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-Anbu\Business\"/>
    </mc:Choice>
  </mc:AlternateContent>
  <bookViews>
    <workbookView xWindow="0" yWindow="0" windowWidth="20496" windowHeight="7620" tabRatio="728" activeTab="1"/>
  </bookViews>
  <sheets>
    <sheet name="Summary" sheetId="1" r:id="rId1"/>
    <sheet name="My-Accounts" sheetId="24" r:id="rId2"/>
    <sheet name="PL-Chart" sheetId="37" r:id="rId3"/>
    <sheet name="Truck" sheetId="42" r:id="rId4"/>
    <sheet name="ICICI-Cash" sheetId="34" r:id="rId5"/>
    <sheet name="ICICI-FNO" sheetId="33" r:id="rId6"/>
    <sheet name="FY18-Equ-FNO-Zerodha" sheetId="39" r:id="rId7"/>
    <sheet name="FY17-Equ-FNO-Zerodha" sheetId="38" r:id="rId8"/>
    <sheet name="FY16-Equ-FNO-Zerodha" sheetId="36" r:id="rId9"/>
    <sheet name="FY16-Equ-FNO-RKG " sheetId="28" r:id="rId10"/>
    <sheet name="FY15-Equ-FNO-RKG" sheetId="35" r:id="rId11"/>
    <sheet name="FY15-ICICI-Cash" sheetId="31" r:id="rId12"/>
    <sheet name="FY15-ICICI-FNO" sheetId="32" r:id="rId13"/>
    <sheet name="FY14-ICICI" sheetId="29" r:id="rId14"/>
    <sheet name="FY14-Equ-FNO-RKG" sheetId="22" r:id="rId15"/>
    <sheet name="FY13-Equ-FNO-RKG" sheetId="21" r:id="rId16"/>
    <sheet name="FY13-FNO" sheetId="20" r:id="rId17"/>
    <sheet name="FY13-Equity" sheetId="23" r:id="rId18"/>
    <sheet name="FY12-Equity" sheetId="18" r:id="rId19"/>
    <sheet name="FY12-FNO" sheetId="19" r:id="rId20"/>
    <sheet name="FY12-Equ-FNO-RKG " sheetId="16" r:id="rId21"/>
    <sheet name="FY11-Equity" sheetId="2" r:id="rId22"/>
    <sheet name="FY11-FNO" sheetId="3" r:id="rId23"/>
    <sheet name="FY11-Equ-FNO-RKG" sheetId="15" r:id="rId24"/>
    <sheet name="FY11-Equity-SBI" sheetId="4" r:id="rId25"/>
    <sheet name="FY11-Angel" sheetId="5" r:id="rId26"/>
    <sheet name="FY10-Equity" sheetId="6" r:id="rId27"/>
    <sheet name="FY10-FNO" sheetId="7" r:id="rId28"/>
    <sheet name="FY10-Equity-SBI" sheetId="8" r:id="rId29"/>
    <sheet name="FY09-Equity" sheetId="9" r:id="rId30"/>
    <sheet name="FY09-FNO" sheetId="10" r:id="rId31"/>
    <sheet name="FY08-Equity" sheetId="11" r:id="rId32"/>
    <sheet name="FY08-FNO" sheetId="12" r:id="rId33"/>
    <sheet name="FY07-Equity" sheetId="13" r:id="rId34"/>
    <sheet name="FY07-FNO" sheetId="14" r:id="rId35"/>
    <sheet name="Income-From-PC" sheetId="17" r:id="rId36"/>
  </sheets>
  <definedNames>
    <definedName name="_xlnm._FilterDatabase" localSheetId="32" hidden="1">'FY08-FNO'!$A$1:$H$81</definedName>
    <definedName name="_xlnm._FilterDatabase" localSheetId="30" hidden="1">'FY09-FNO'!$A$1:$H$1</definedName>
    <definedName name="_xlnm._FilterDatabase" localSheetId="27" hidden="1">'FY10-FNO'!$A$1:$H$1</definedName>
    <definedName name="_xlnm._FilterDatabase" localSheetId="21" hidden="1">'FY11-Equity'!$A$1:$L$222</definedName>
    <definedName name="_xlnm._FilterDatabase" localSheetId="22" hidden="1">'FY11-FNO'!$A$1:$H$1</definedName>
    <definedName name="_xlnm._FilterDatabase" localSheetId="18" hidden="1">'FY12-Equity'!$A$20:$L$116</definedName>
    <definedName name="_xlnm._FilterDatabase" localSheetId="19" hidden="1">'FY12-FNO'!$A$1:$H$1</definedName>
    <definedName name="_xlnm._FilterDatabase" localSheetId="17" hidden="1">'FY13-Equity'!$A$9:$L$22</definedName>
    <definedName name="_xlnm._FilterDatabase" localSheetId="16" hidden="1">'FY13-FNO'!$A$1:$I$1</definedName>
    <definedName name="_xlnm._FilterDatabase" localSheetId="13" hidden="1">'FY14-ICICI'!$A$1:$I$1</definedName>
    <definedName name="_xlnm._FilterDatabase" localSheetId="11" hidden="1">'FY15-ICICI-Cash'!#REF!</definedName>
    <definedName name="_xlnm._FilterDatabase" localSheetId="12" hidden="1">'FY15-ICICI-FNO'!#REF!</definedName>
    <definedName name="_xlnm._FilterDatabase" localSheetId="4" hidden="1">'ICICI-Cash'!$A$1:$P$1</definedName>
    <definedName name="_xlnm._FilterDatabase" localSheetId="5" hidden="1">'ICICI-FNO'!$A$1:$O$1</definedName>
    <definedName name="_xlnm.Print_Area" localSheetId="1">'My-Accounts'!$A$1:$L$48</definedName>
  </definedNames>
  <calcPr calcId="162913"/>
</workbook>
</file>

<file path=xl/calcChain.xml><?xml version="1.0" encoding="utf-8"?>
<calcChain xmlns="http://schemas.openxmlformats.org/spreadsheetml/2006/main">
  <c r="G5" i="24" l="1"/>
  <c r="F5" i="24"/>
  <c r="D5" i="24"/>
  <c r="F4" i="24"/>
  <c r="D4" i="24"/>
  <c r="G4" i="24" l="1"/>
  <c r="G10" i="24" s="1"/>
  <c r="O18" i="24" l="1"/>
  <c r="F13" i="24"/>
  <c r="D12" i="24"/>
  <c r="L10" i="24"/>
  <c r="F44" i="42"/>
  <c r="C44" i="42"/>
  <c r="C40" i="42"/>
  <c r="C39" i="42"/>
  <c r="F41" i="42" s="1"/>
  <c r="C38" i="42"/>
  <c r="C37" i="42"/>
  <c r="F38" i="42" s="1"/>
  <c r="F36" i="42"/>
  <c r="F27" i="42"/>
  <c r="F24" i="42"/>
  <c r="F19" i="42"/>
  <c r="F11" i="42"/>
  <c r="F7" i="42"/>
  <c r="K6" i="42"/>
  <c r="K52" i="42" s="1"/>
  <c r="G29" i="39"/>
  <c r="G26" i="39"/>
  <c r="G16" i="39"/>
  <c r="C52" i="42" l="1"/>
  <c r="I55" i="42" s="1"/>
  <c r="J29" i="39" l="1"/>
  <c r="J26" i="39"/>
  <c r="N15" i="1"/>
  <c r="K15" i="1"/>
  <c r="F15" i="1"/>
  <c r="O15" i="1"/>
  <c r="F10" i="39"/>
  <c r="J29" i="36"/>
  <c r="J252" i="39"/>
  <c r="J253" i="39"/>
  <c r="J254" i="39"/>
  <c r="J255" i="39"/>
  <c r="J256" i="39"/>
  <c r="J425" i="39"/>
  <c r="J426" i="39"/>
  <c r="J427" i="39"/>
  <c r="J428" i="39"/>
  <c r="J429" i="39"/>
  <c r="I428" i="39" l="1"/>
  <c r="I255" i="39"/>
  <c r="I256" i="39"/>
  <c r="I257" i="39"/>
  <c r="J257" i="39" s="1"/>
  <c r="I429" i="39"/>
  <c r="H429" i="39"/>
  <c r="H257" i="39"/>
  <c r="H256" i="39"/>
  <c r="H255" i="39"/>
  <c r="H428" i="39"/>
  <c r="I417" i="39"/>
  <c r="I418" i="39"/>
  <c r="I419" i="39"/>
  <c r="I420" i="39"/>
  <c r="I421" i="39"/>
  <c r="I422" i="39"/>
  <c r="I423" i="39"/>
  <c r="I424" i="39"/>
  <c r="I425" i="39"/>
  <c r="I426" i="39"/>
  <c r="I427" i="39"/>
  <c r="I254" i="39"/>
  <c r="H254" i="39"/>
  <c r="H427" i="39"/>
  <c r="I253" i="39"/>
  <c r="I252" i="39"/>
  <c r="H253" i="39"/>
  <c r="H252" i="39"/>
  <c r="H426" i="39"/>
  <c r="H425" i="39"/>
  <c r="I251" i="39" l="1"/>
  <c r="J251" i="39" s="1"/>
  <c r="H251" i="39"/>
  <c r="I248" i="39"/>
  <c r="I249" i="39"/>
  <c r="J249" i="39"/>
  <c r="I250" i="39"/>
  <c r="H250" i="39"/>
  <c r="H249" i="39"/>
  <c r="H248" i="39"/>
  <c r="I245" i="39"/>
  <c r="I246" i="39"/>
  <c r="I247" i="39"/>
  <c r="H247" i="39"/>
  <c r="H246" i="39"/>
  <c r="J246" i="39" s="1"/>
  <c r="H245" i="39"/>
  <c r="H424" i="39"/>
  <c r="J424" i="39" s="1"/>
  <c r="I244" i="39"/>
  <c r="H421" i="39"/>
  <c r="J421" i="39" s="1"/>
  <c r="H422" i="39"/>
  <c r="J422" i="39" s="1"/>
  <c r="H423" i="39"/>
  <c r="J423" i="39" s="1"/>
  <c r="H244" i="39"/>
  <c r="I242" i="39"/>
  <c r="I243" i="39"/>
  <c r="H243" i="39"/>
  <c r="H242" i="39"/>
  <c r="H418" i="39"/>
  <c r="J418" i="39" s="1"/>
  <c r="H419" i="39"/>
  <c r="J419" i="39" s="1"/>
  <c r="H239" i="39"/>
  <c r="I239" i="39"/>
  <c r="H420" i="39"/>
  <c r="J420" i="39" s="1"/>
  <c r="H240" i="39"/>
  <c r="I240" i="39"/>
  <c r="H241" i="39"/>
  <c r="I241" i="39"/>
  <c r="I398" i="39"/>
  <c r="I399" i="39"/>
  <c r="I400" i="39"/>
  <c r="I401" i="39"/>
  <c r="I402" i="39"/>
  <c r="I403" i="39"/>
  <c r="I404" i="39"/>
  <c r="I405" i="39"/>
  <c r="I406" i="39"/>
  <c r="I407" i="39"/>
  <c r="I408" i="39"/>
  <c r="I409" i="39"/>
  <c r="I410" i="39"/>
  <c r="I411" i="39"/>
  <c r="I412" i="39"/>
  <c r="I413" i="39"/>
  <c r="I414" i="39"/>
  <c r="I415" i="39"/>
  <c r="I416" i="39"/>
  <c r="H398" i="39"/>
  <c r="H399" i="39"/>
  <c r="H400" i="39"/>
  <c r="H401" i="39"/>
  <c r="J401" i="39" s="1"/>
  <c r="H402" i="39"/>
  <c r="H403" i="39"/>
  <c r="H404" i="39"/>
  <c r="H405" i="39"/>
  <c r="H406" i="39"/>
  <c r="H407" i="39"/>
  <c r="H408" i="39"/>
  <c r="H409" i="39"/>
  <c r="J409" i="39" s="1"/>
  <c r="H410" i="39"/>
  <c r="H411" i="39"/>
  <c r="J411" i="39" s="1"/>
  <c r="H412" i="39"/>
  <c r="H413" i="39"/>
  <c r="H414" i="39"/>
  <c r="J414" i="39" s="1"/>
  <c r="H415" i="39"/>
  <c r="J415" i="39" s="1"/>
  <c r="H416" i="39"/>
  <c r="H417" i="39"/>
  <c r="J417" i="39" s="1"/>
  <c r="I238" i="39"/>
  <c r="H238" i="39"/>
  <c r="I233" i="39"/>
  <c r="I234" i="39"/>
  <c r="I235" i="39"/>
  <c r="I236" i="39"/>
  <c r="I237" i="39"/>
  <c r="H237" i="39"/>
  <c r="H236" i="39"/>
  <c r="H235" i="39"/>
  <c r="H234" i="39"/>
  <c r="H233" i="39"/>
  <c r="I228" i="39"/>
  <c r="I229" i="39"/>
  <c r="I230" i="39"/>
  <c r="I231" i="39"/>
  <c r="I232" i="39"/>
  <c r="J416" i="39" l="1"/>
  <c r="J248" i="39"/>
  <c r="J250" i="39"/>
  <c r="J247" i="39"/>
  <c r="J240" i="39"/>
  <c r="J245" i="39"/>
  <c r="J238" i="39"/>
  <c r="J243" i="39"/>
  <c r="J244" i="39"/>
  <c r="J242" i="39"/>
  <c r="J399" i="39"/>
  <c r="J241" i="39"/>
  <c r="J407" i="39"/>
  <c r="J403" i="39"/>
  <c r="J412" i="39"/>
  <c r="J413" i="39"/>
  <c r="J405" i="39"/>
  <c r="J404" i="39"/>
  <c r="J239" i="39"/>
  <c r="J406" i="39"/>
  <c r="J398" i="39"/>
  <c r="J408" i="39"/>
  <c r="J400" i="39"/>
  <c r="J410" i="39"/>
  <c r="J402" i="39"/>
  <c r="J235" i="39"/>
  <c r="J233" i="39"/>
  <c r="J234" i="39"/>
  <c r="J237" i="39"/>
  <c r="J236" i="39"/>
  <c r="H232" i="39"/>
  <c r="J232" i="39" s="1"/>
  <c r="H231" i="39"/>
  <c r="J231" i="39" s="1"/>
  <c r="H230" i="39"/>
  <c r="J230" i="39" s="1"/>
  <c r="H229" i="39"/>
  <c r="J229" i="39" s="1"/>
  <c r="H228" i="39"/>
  <c r="J228" i="39" s="1"/>
  <c r="I223" i="39"/>
  <c r="I224" i="39"/>
  <c r="I225" i="39"/>
  <c r="I226" i="39"/>
  <c r="I227" i="39"/>
  <c r="H227" i="39"/>
  <c r="H226" i="39"/>
  <c r="H225" i="39"/>
  <c r="H224" i="39"/>
  <c r="H223" i="39"/>
  <c r="I220" i="39"/>
  <c r="I221" i="39"/>
  <c r="I222" i="39"/>
  <c r="H222" i="39"/>
  <c r="H221" i="39"/>
  <c r="H220" i="39"/>
  <c r="J222" i="39" l="1"/>
  <c r="J220" i="39"/>
  <c r="J224" i="39"/>
  <c r="J225" i="39"/>
  <c r="J226" i="39"/>
  <c r="J227" i="39"/>
  <c r="J223" i="39"/>
  <c r="J221" i="39"/>
  <c r="I219" i="39"/>
  <c r="H219" i="39"/>
  <c r="I218" i="39"/>
  <c r="I217" i="39"/>
  <c r="H218" i="39"/>
  <c r="H217" i="39"/>
  <c r="I214" i="39"/>
  <c r="H214" i="39"/>
  <c r="I215" i="39"/>
  <c r="I216" i="39"/>
  <c r="I213" i="39"/>
  <c r="H216" i="39"/>
  <c r="H215" i="39"/>
  <c r="H213" i="39"/>
  <c r="I212" i="39"/>
  <c r="I211" i="39"/>
  <c r="H212" i="39"/>
  <c r="H211" i="39"/>
  <c r="I210" i="39"/>
  <c r="H210" i="39"/>
  <c r="I209" i="39"/>
  <c r="H209" i="39"/>
  <c r="J216" i="39" l="1"/>
  <c r="J215" i="39"/>
  <c r="J214" i="39"/>
  <c r="J217" i="39"/>
  <c r="J219" i="39"/>
  <c r="J218" i="39"/>
  <c r="J213" i="39"/>
  <c r="J209" i="39"/>
  <c r="J210" i="39"/>
  <c r="J212" i="39"/>
  <c r="J211" i="39"/>
  <c r="H205" i="39"/>
  <c r="I205" i="39"/>
  <c r="H206" i="39"/>
  <c r="I206" i="39"/>
  <c r="H207" i="39"/>
  <c r="I207" i="39"/>
  <c r="H208" i="39"/>
  <c r="I208" i="39"/>
  <c r="I203" i="39"/>
  <c r="I204" i="39"/>
  <c r="H204" i="39"/>
  <c r="H203" i="39"/>
  <c r="H392" i="39"/>
  <c r="I392" i="39"/>
  <c r="H393" i="39"/>
  <c r="I393" i="39"/>
  <c r="H394" i="39"/>
  <c r="I394" i="39"/>
  <c r="H395" i="39"/>
  <c r="I395" i="39"/>
  <c r="H396" i="39"/>
  <c r="I396" i="39"/>
  <c r="H397" i="39"/>
  <c r="I397" i="39"/>
  <c r="H181" i="39"/>
  <c r="I181" i="39"/>
  <c r="H182" i="39"/>
  <c r="I182" i="39"/>
  <c r="H183" i="39"/>
  <c r="I183" i="39"/>
  <c r="H184" i="39"/>
  <c r="I184" i="39"/>
  <c r="H185" i="39"/>
  <c r="I185" i="39"/>
  <c r="H186" i="39"/>
  <c r="I186" i="39"/>
  <c r="H187" i="39"/>
  <c r="I187" i="39"/>
  <c r="H188" i="39"/>
  <c r="I188" i="39"/>
  <c r="H189" i="39"/>
  <c r="I189" i="39"/>
  <c r="H190" i="39"/>
  <c r="I190" i="39"/>
  <c r="H191" i="39"/>
  <c r="I191" i="39"/>
  <c r="H192" i="39"/>
  <c r="I192" i="39"/>
  <c r="H193" i="39"/>
  <c r="I193" i="39"/>
  <c r="H194" i="39"/>
  <c r="I194" i="39"/>
  <c r="H195" i="39"/>
  <c r="I195" i="39"/>
  <c r="H196" i="39"/>
  <c r="I196" i="39"/>
  <c r="H197" i="39"/>
  <c r="I197" i="39"/>
  <c r="H198" i="39"/>
  <c r="I198" i="39"/>
  <c r="H199" i="39"/>
  <c r="I199" i="39"/>
  <c r="H200" i="39"/>
  <c r="I200" i="39"/>
  <c r="H201" i="39"/>
  <c r="I201" i="39"/>
  <c r="H202" i="39"/>
  <c r="I202" i="39"/>
  <c r="I178" i="39"/>
  <c r="I179" i="39"/>
  <c r="I180" i="39"/>
  <c r="I390" i="39"/>
  <c r="I391" i="39"/>
  <c r="H180" i="39"/>
  <c r="H391" i="39"/>
  <c r="I389" i="39"/>
  <c r="J186" i="39" l="1"/>
  <c r="J393" i="39"/>
  <c r="J204" i="39"/>
  <c r="J394" i="39"/>
  <c r="J396" i="39"/>
  <c r="J397" i="39"/>
  <c r="J395" i="39"/>
  <c r="J203" i="39"/>
  <c r="J205" i="39"/>
  <c r="J206" i="39"/>
  <c r="J392" i="39"/>
  <c r="J207" i="39"/>
  <c r="J391" i="39"/>
  <c r="J198" i="39"/>
  <c r="J196" i="39"/>
  <c r="J194" i="39"/>
  <c r="J190" i="39"/>
  <c r="J201" i="39"/>
  <c r="J197" i="39"/>
  <c r="J193" i="39"/>
  <c r="J208" i="39"/>
  <c r="J182" i="39"/>
  <c r="J202" i="39"/>
  <c r="J187" i="39"/>
  <c r="J185" i="39"/>
  <c r="J181" i="39"/>
  <c r="J199" i="39"/>
  <c r="J192" i="39"/>
  <c r="J183" i="39"/>
  <c r="J195" i="39"/>
  <c r="J188" i="39"/>
  <c r="J200" i="39"/>
  <c r="J191" i="39"/>
  <c r="J189" i="39"/>
  <c r="J184" i="39"/>
  <c r="J180" i="39"/>
  <c r="H179" i="39"/>
  <c r="J179" i="39" s="1"/>
  <c r="H178" i="39"/>
  <c r="J178" i="39" s="1"/>
  <c r="H390" i="39"/>
  <c r="J390" i="39" s="1"/>
  <c r="I177" i="39"/>
  <c r="H177" i="39"/>
  <c r="H389" i="39"/>
  <c r="J389" i="39" s="1"/>
  <c r="J177" i="39" l="1"/>
  <c r="I173" i="39"/>
  <c r="I174" i="39"/>
  <c r="I175" i="39"/>
  <c r="I176" i="39"/>
  <c r="H176" i="39"/>
  <c r="H175" i="39"/>
  <c r="H174" i="39"/>
  <c r="H173" i="39"/>
  <c r="I172" i="39"/>
  <c r="I171" i="39"/>
  <c r="H172" i="39"/>
  <c r="H171" i="39"/>
  <c r="I169" i="39"/>
  <c r="I170" i="39"/>
  <c r="H170" i="39"/>
  <c r="H169" i="39"/>
  <c r="I168" i="39"/>
  <c r="I167" i="39"/>
  <c r="H168" i="39"/>
  <c r="I388" i="39"/>
  <c r="H388" i="39"/>
  <c r="H167" i="39"/>
  <c r="J174" i="39" l="1"/>
  <c r="J176" i="39"/>
  <c r="J172" i="39"/>
  <c r="J173" i="39"/>
  <c r="J171" i="39"/>
  <c r="J175" i="39"/>
  <c r="J170" i="39"/>
  <c r="J169" i="39"/>
  <c r="J167" i="39"/>
  <c r="J388" i="39"/>
  <c r="J168" i="39"/>
  <c r="I165" i="39"/>
  <c r="I166" i="39"/>
  <c r="I386" i="39"/>
  <c r="I387" i="39"/>
  <c r="H386" i="39"/>
  <c r="H387" i="39"/>
  <c r="H166" i="39"/>
  <c r="H165" i="39"/>
  <c r="I163" i="39"/>
  <c r="I164" i="39"/>
  <c r="H164" i="39"/>
  <c r="H163" i="39"/>
  <c r="J166" i="39" l="1"/>
  <c r="J386" i="39"/>
  <c r="J165" i="39"/>
  <c r="J164" i="39"/>
  <c r="J387" i="39"/>
  <c r="J163" i="39"/>
  <c r="I161" i="39"/>
  <c r="I162" i="39"/>
  <c r="H162" i="39"/>
  <c r="H161" i="39"/>
  <c r="I160" i="39"/>
  <c r="H160" i="39"/>
  <c r="I159" i="39"/>
  <c r="I158" i="39"/>
  <c r="I385" i="39"/>
  <c r="F159" i="39"/>
  <c r="H159" i="39" s="1"/>
  <c r="F158" i="39"/>
  <c r="H158" i="39" s="1"/>
  <c r="H385" i="39"/>
  <c r="I155" i="39"/>
  <c r="I156" i="39"/>
  <c r="I157" i="39"/>
  <c r="H157" i="39"/>
  <c r="H156" i="39"/>
  <c r="H155" i="39"/>
  <c r="I384" i="39"/>
  <c r="H384" i="39"/>
  <c r="J155" i="39" l="1"/>
  <c r="J160" i="39"/>
  <c r="J385" i="39"/>
  <c r="J162" i="39"/>
  <c r="J384" i="39"/>
  <c r="J161" i="39"/>
  <c r="J156" i="39"/>
  <c r="J158" i="39"/>
  <c r="J157" i="39"/>
  <c r="J159" i="39"/>
  <c r="I154" i="39"/>
  <c r="H154" i="39"/>
  <c r="I153" i="39"/>
  <c r="I151" i="39"/>
  <c r="I152" i="39"/>
  <c r="H153" i="39"/>
  <c r="H152" i="39"/>
  <c r="H151" i="39"/>
  <c r="I383" i="39"/>
  <c r="H383" i="39"/>
  <c r="H150" i="39"/>
  <c r="I150" i="39"/>
  <c r="I149" i="39"/>
  <c r="I382" i="39"/>
  <c r="H382" i="39"/>
  <c r="H149" i="39"/>
  <c r="I148" i="39"/>
  <c r="I380" i="39"/>
  <c r="I381" i="39"/>
  <c r="H381" i="39"/>
  <c r="H380" i="39"/>
  <c r="H148" i="39"/>
  <c r="I147" i="39"/>
  <c r="I379" i="39"/>
  <c r="H379" i="39"/>
  <c r="H147" i="39"/>
  <c r="H146" i="39"/>
  <c r="I146" i="39"/>
  <c r="H378" i="39"/>
  <c r="I378" i="39"/>
  <c r="H143" i="39"/>
  <c r="I143" i="39"/>
  <c r="H144" i="39"/>
  <c r="I144" i="39"/>
  <c r="H145" i="39"/>
  <c r="I145" i="39"/>
  <c r="H375" i="39"/>
  <c r="I375" i="39"/>
  <c r="H376" i="39"/>
  <c r="I376" i="39"/>
  <c r="H377" i="39"/>
  <c r="I377" i="39"/>
  <c r="H137" i="39"/>
  <c r="I137" i="39"/>
  <c r="H138" i="39"/>
  <c r="I138" i="39"/>
  <c r="H139" i="39"/>
  <c r="I139" i="39"/>
  <c r="H367" i="39"/>
  <c r="I367" i="39"/>
  <c r="H368" i="39"/>
  <c r="I368" i="39"/>
  <c r="H369" i="39"/>
  <c r="I369" i="39"/>
  <c r="H370" i="39"/>
  <c r="I370" i="39"/>
  <c r="H371" i="39"/>
  <c r="I371" i="39"/>
  <c r="H372" i="39"/>
  <c r="I372" i="39"/>
  <c r="H140" i="39"/>
  <c r="I140" i="39"/>
  <c r="H141" i="39"/>
  <c r="I141" i="39"/>
  <c r="H373" i="39"/>
  <c r="I373" i="39"/>
  <c r="H374" i="39"/>
  <c r="I374" i="39"/>
  <c r="H142" i="39"/>
  <c r="I142" i="39"/>
  <c r="I132" i="39"/>
  <c r="I133" i="39"/>
  <c r="I134" i="39"/>
  <c r="I135" i="39"/>
  <c r="I136" i="39"/>
  <c r="I360" i="39"/>
  <c r="I361" i="39"/>
  <c r="I362" i="39"/>
  <c r="I363" i="39"/>
  <c r="I364" i="39"/>
  <c r="I365" i="39"/>
  <c r="I366" i="39"/>
  <c r="H132" i="39"/>
  <c r="H133" i="39"/>
  <c r="H134" i="39"/>
  <c r="H135" i="39"/>
  <c r="H136" i="39"/>
  <c r="H360" i="39"/>
  <c r="H361" i="39"/>
  <c r="H362" i="39"/>
  <c r="H363" i="39"/>
  <c r="H364" i="39"/>
  <c r="H365" i="39"/>
  <c r="H366" i="39"/>
  <c r="J152" i="39" l="1"/>
  <c r="J383" i="39"/>
  <c r="J153" i="39"/>
  <c r="J154" i="39"/>
  <c r="J145" i="39"/>
  <c r="J378" i="39"/>
  <c r="J151" i="39"/>
  <c r="J373" i="39"/>
  <c r="J377" i="39"/>
  <c r="J382" i="39"/>
  <c r="J150" i="39"/>
  <c r="J139" i="39"/>
  <c r="J376" i="39"/>
  <c r="J149" i="39"/>
  <c r="J380" i="39"/>
  <c r="J381" i="39"/>
  <c r="J371" i="39"/>
  <c r="J372" i="39"/>
  <c r="J374" i="39"/>
  <c r="J379" i="39"/>
  <c r="J375" i="39"/>
  <c r="J148" i="39"/>
  <c r="J146" i="39"/>
  <c r="J147" i="39"/>
  <c r="J369" i="39"/>
  <c r="J132" i="39"/>
  <c r="J368" i="39"/>
  <c r="J367" i="39"/>
  <c r="J144" i="39"/>
  <c r="J143" i="39"/>
  <c r="J370" i="39"/>
  <c r="J135" i="39"/>
  <c r="J142" i="39"/>
  <c r="J141" i="39"/>
  <c r="J362" i="39"/>
  <c r="J360" i="39"/>
  <c r="J361" i="39"/>
  <c r="J140" i="39"/>
  <c r="J365" i="39"/>
  <c r="J134" i="39"/>
  <c r="J364" i="39"/>
  <c r="J133" i="39"/>
  <c r="J138" i="39"/>
  <c r="J363" i="39"/>
  <c r="J366" i="39"/>
  <c r="J137" i="39"/>
  <c r="J136" i="39"/>
  <c r="I123" i="39"/>
  <c r="I124" i="39"/>
  <c r="I125" i="39"/>
  <c r="I126" i="39"/>
  <c r="I127" i="39"/>
  <c r="I128" i="39"/>
  <c r="I129" i="39"/>
  <c r="I130" i="39"/>
  <c r="I131" i="39"/>
  <c r="I355" i="39"/>
  <c r="I356" i="39"/>
  <c r="I357" i="39"/>
  <c r="I358" i="39"/>
  <c r="I359" i="39"/>
  <c r="H131" i="39"/>
  <c r="H358" i="39"/>
  <c r="H130" i="39"/>
  <c r="H359" i="39"/>
  <c r="H129" i="39"/>
  <c r="H128" i="39"/>
  <c r="H126" i="39"/>
  <c r="H356" i="39"/>
  <c r="H127" i="39"/>
  <c r="H357" i="39"/>
  <c r="H125" i="39"/>
  <c r="H124" i="39"/>
  <c r="H355" i="39"/>
  <c r="H123" i="39"/>
  <c r="I121" i="39"/>
  <c r="I122" i="39"/>
  <c r="I353" i="39"/>
  <c r="I354" i="39"/>
  <c r="H121" i="39"/>
  <c r="H354" i="39"/>
  <c r="H353" i="39"/>
  <c r="H122" i="39"/>
  <c r="I120" i="39"/>
  <c r="I349" i="39"/>
  <c r="I350" i="39"/>
  <c r="I351" i="39"/>
  <c r="I352" i="39"/>
  <c r="H352" i="39"/>
  <c r="H351" i="39"/>
  <c r="H350" i="39"/>
  <c r="H349" i="39"/>
  <c r="H120" i="39"/>
  <c r="I347" i="39"/>
  <c r="I348" i="39"/>
  <c r="I119" i="39"/>
  <c r="H119" i="39"/>
  <c r="H347" i="39"/>
  <c r="H348" i="39"/>
  <c r="I116" i="39"/>
  <c r="I117" i="39"/>
  <c r="I118" i="39"/>
  <c r="I344" i="39"/>
  <c r="I345" i="39"/>
  <c r="I346" i="39"/>
  <c r="H345" i="39"/>
  <c r="H344" i="39"/>
  <c r="H118" i="39"/>
  <c r="H117" i="39"/>
  <c r="J117" i="39" s="1"/>
  <c r="H116" i="39"/>
  <c r="H346" i="39"/>
  <c r="I340" i="39"/>
  <c r="I341" i="39"/>
  <c r="I342" i="39"/>
  <c r="I343" i="39"/>
  <c r="I115" i="39"/>
  <c r="H115" i="39"/>
  <c r="H343" i="39"/>
  <c r="H342" i="39"/>
  <c r="H341" i="39"/>
  <c r="H340" i="39"/>
  <c r="I337" i="39"/>
  <c r="I338" i="39"/>
  <c r="I339" i="39"/>
  <c r="I111" i="39"/>
  <c r="I112" i="39"/>
  <c r="I113" i="39"/>
  <c r="H113" i="39"/>
  <c r="H338" i="39"/>
  <c r="H339" i="39"/>
  <c r="H112" i="39"/>
  <c r="F337" i="39"/>
  <c r="H337" i="39" s="1"/>
  <c r="H111" i="39"/>
  <c r="I114" i="39"/>
  <c r="H114" i="39"/>
  <c r="I335" i="39"/>
  <c r="H335" i="39"/>
  <c r="H107" i="39"/>
  <c r="I107" i="39"/>
  <c r="H108" i="39"/>
  <c r="I108" i="39"/>
  <c r="H109" i="39"/>
  <c r="I109" i="39"/>
  <c r="H110" i="39"/>
  <c r="I110" i="39"/>
  <c r="H333" i="39"/>
  <c r="I333" i="39"/>
  <c r="H334" i="39"/>
  <c r="I334" i="39"/>
  <c r="H336" i="39"/>
  <c r="I336" i="39"/>
  <c r="J124" i="39" l="1"/>
  <c r="J355" i="39"/>
  <c r="J130" i="39"/>
  <c r="J356" i="39"/>
  <c r="J359" i="39"/>
  <c r="J121" i="39"/>
  <c r="J128" i="39"/>
  <c r="J129" i="39"/>
  <c r="J125" i="39"/>
  <c r="J127" i="39"/>
  <c r="J131" i="39"/>
  <c r="J126" i="39"/>
  <c r="J351" i="39"/>
  <c r="J357" i="39"/>
  <c r="J348" i="39"/>
  <c r="J358" i="39"/>
  <c r="J123" i="39"/>
  <c r="J350" i="39"/>
  <c r="J353" i="39"/>
  <c r="J352" i="39"/>
  <c r="J122" i="39"/>
  <c r="J347" i="39"/>
  <c r="J354" i="39"/>
  <c r="J120" i="39"/>
  <c r="J349" i="39"/>
  <c r="J346" i="39"/>
  <c r="J344" i="39"/>
  <c r="J345" i="39"/>
  <c r="J119" i="39"/>
  <c r="J339" i="39"/>
  <c r="J343" i="39"/>
  <c r="J116" i="39"/>
  <c r="J118" i="39"/>
  <c r="J115" i="39"/>
  <c r="J341" i="39"/>
  <c r="J342" i="39"/>
  <c r="J340" i="39"/>
  <c r="J335" i="39"/>
  <c r="J338" i="39"/>
  <c r="J337" i="39"/>
  <c r="J113" i="39"/>
  <c r="J111" i="39"/>
  <c r="J112" i="39"/>
  <c r="J108" i="39"/>
  <c r="J333" i="39"/>
  <c r="J114" i="39"/>
  <c r="J334" i="39"/>
  <c r="J336" i="39"/>
  <c r="J107" i="39"/>
  <c r="J109" i="39"/>
  <c r="J110" i="39"/>
  <c r="I329" i="39"/>
  <c r="I330" i="39"/>
  <c r="I331" i="39"/>
  <c r="I332" i="39"/>
  <c r="I103" i="39"/>
  <c r="I104" i="39"/>
  <c r="I105" i="39"/>
  <c r="I106" i="39"/>
  <c r="H332" i="39"/>
  <c r="H331" i="39"/>
  <c r="H330" i="39"/>
  <c r="H329" i="39"/>
  <c r="H106" i="39"/>
  <c r="H105" i="39"/>
  <c r="H104" i="39"/>
  <c r="H103" i="39"/>
  <c r="I102" i="39"/>
  <c r="H325" i="39"/>
  <c r="H326" i="39"/>
  <c r="H327" i="39"/>
  <c r="H328" i="39"/>
  <c r="I325" i="39"/>
  <c r="I326" i="39"/>
  <c r="I327" i="39"/>
  <c r="I328" i="39"/>
  <c r="I324" i="39"/>
  <c r="I101" i="39"/>
  <c r="H102" i="39"/>
  <c r="H101" i="39"/>
  <c r="H324" i="39"/>
  <c r="I100" i="39"/>
  <c r="I322" i="39"/>
  <c r="I323" i="39"/>
  <c r="I97" i="39"/>
  <c r="I98" i="39"/>
  <c r="I99" i="39"/>
  <c r="H323" i="39"/>
  <c r="H322" i="39"/>
  <c r="H100" i="39"/>
  <c r="H99" i="39"/>
  <c r="H98" i="39"/>
  <c r="H97" i="39"/>
  <c r="J97" i="39" l="1"/>
  <c r="J105" i="39"/>
  <c r="J323" i="39"/>
  <c r="J106" i="39"/>
  <c r="J329" i="39"/>
  <c r="J331" i="39"/>
  <c r="J332" i="39"/>
  <c r="J324" i="39"/>
  <c r="J103" i="39"/>
  <c r="J104" i="39"/>
  <c r="J330" i="39"/>
  <c r="J98" i="39"/>
  <c r="J101" i="39"/>
  <c r="J328" i="39"/>
  <c r="J327" i="39"/>
  <c r="J100" i="39"/>
  <c r="J326" i="39"/>
  <c r="J325" i="39"/>
  <c r="J99" i="39"/>
  <c r="J322" i="39"/>
  <c r="J102" i="39"/>
  <c r="I312" i="39"/>
  <c r="H312" i="39"/>
  <c r="H93" i="39"/>
  <c r="I93" i="39"/>
  <c r="H94" i="39"/>
  <c r="I94" i="39"/>
  <c r="H95" i="39"/>
  <c r="I95" i="39"/>
  <c r="H96" i="39"/>
  <c r="I96" i="39"/>
  <c r="H315" i="39"/>
  <c r="I315" i="39"/>
  <c r="H316" i="39"/>
  <c r="I316" i="39"/>
  <c r="H317" i="39"/>
  <c r="I317" i="39"/>
  <c r="H318" i="39"/>
  <c r="I318" i="39"/>
  <c r="H319" i="39"/>
  <c r="I319" i="39"/>
  <c r="H320" i="39"/>
  <c r="I320" i="39"/>
  <c r="H321" i="39"/>
  <c r="I321" i="39"/>
  <c r="I88" i="39"/>
  <c r="I89" i="39"/>
  <c r="I90" i="39"/>
  <c r="I91" i="39"/>
  <c r="I92" i="39"/>
  <c r="H87" i="39"/>
  <c r="H88" i="39"/>
  <c r="H89" i="39"/>
  <c r="H90" i="39"/>
  <c r="H91" i="39"/>
  <c r="H92" i="39"/>
  <c r="I313" i="39"/>
  <c r="I314" i="39"/>
  <c r="H314" i="39"/>
  <c r="H313" i="39"/>
  <c r="I311" i="39"/>
  <c r="I87" i="39"/>
  <c r="H311" i="39"/>
  <c r="I308" i="39"/>
  <c r="I309" i="39"/>
  <c r="I310" i="39"/>
  <c r="I86" i="39"/>
  <c r="I84" i="39"/>
  <c r="I85" i="39"/>
  <c r="H310" i="39"/>
  <c r="H86" i="39"/>
  <c r="H309" i="39"/>
  <c r="H308" i="39"/>
  <c r="H85" i="39"/>
  <c r="H84" i="39"/>
  <c r="I303" i="39"/>
  <c r="I304" i="39"/>
  <c r="I305" i="39"/>
  <c r="I306" i="39"/>
  <c r="I307" i="39"/>
  <c r="I302" i="39"/>
  <c r="I77" i="39"/>
  <c r="I78" i="39"/>
  <c r="I79" i="39"/>
  <c r="I80" i="39"/>
  <c r="I81" i="39"/>
  <c r="I82" i="39"/>
  <c r="I83" i="39"/>
  <c r="H304" i="39"/>
  <c r="H303" i="39"/>
  <c r="H83" i="39"/>
  <c r="H302" i="39"/>
  <c r="H82" i="39"/>
  <c r="H81" i="39"/>
  <c r="H80" i="39"/>
  <c r="H307" i="39"/>
  <c r="H79" i="39"/>
  <c r="H78" i="39"/>
  <c r="H306" i="39"/>
  <c r="H305" i="39"/>
  <c r="H77" i="39"/>
  <c r="I75" i="39"/>
  <c r="I76" i="39"/>
  <c r="I301" i="39"/>
  <c r="H301" i="39"/>
  <c r="H76" i="39"/>
  <c r="H75" i="39"/>
  <c r="I74" i="39"/>
  <c r="H74" i="39"/>
  <c r="I72" i="39"/>
  <c r="I73" i="39"/>
  <c r="I299" i="39"/>
  <c r="I300" i="39"/>
  <c r="H73" i="39"/>
  <c r="H300" i="39"/>
  <c r="H299" i="39"/>
  <c r="H72" i="39"/>
  <c r="I296" i="39"/>
  <c r="I297" i="39"/>
  <c r="I298" i="39"/>
  <c r="I70" i="39"/>
  <c r="I71" i="39"/>
  <c r="H296" i="39"/>
  <c r="H71" i="39"/>
  <c r="H298" i="39"/>
  <c r="H70" i="39"/>
  <c r="H297" i="39"/>
  <c r="I295" i="39"/>
  <c r="H295" i="39"/>
  <c r="I294" i="39"/>
  <c r="I69" i="39"/>
  <c r="H69" i="39"/>
  <c r="H294" i="39"/>
  <c r="I68" i="39"/>
  <c r="H68" i="39"/>
  <c r="I293" i="39"/>
  <c r="I67" i="39"/>
  <c r="H293" i="39"/>
  <c r="H67" i="39"/>
  <c r="J307" i="39" l="1"/>
  <c r="J82" i="39"/>
  <c r="J306" i="39"/>
  <c r="J86" i="39"/>
  <c r="J92" i="39"/>
  <c r="J94" i="39"/>
  <c r="J316" i="39"/>
  <c r="J321" i="39"/>
  <c r="J319" i="39"/>
  <c r="J95" i="39"/>
  <c r="J317" i="39"/>
  <c r="J318" i="39"/>
  <c r="J312" i="39"/>
  <c r="J320" i="39"/>
  <c r="J315" i="39"/>
  <c r="J93" i="39"/>
  <c r="J302" i="39"/>
  <c r="J96" i="39"/>
  <c r="J78" i="39"/>
  <c r="J303" i="39"/>
  <c r="J79" i="39"/>
  <c r="J309" i="39"/>
  <c r="J91" i="39"/>
  <c r="J89" i="39"/>
  <c r="J310" i="39"/>
  <c r="J314" i="39"/>
  <c r="J90" i="39"/>
  <c r="J77" i="39"/>
  <c r="J80" i="39"/>
  <c r="J81" i="39"/>
  <c r="J305" i="39"/>
  <c r="J83" i="39"/>
  <c r="J84" i="39"/>
  <c r="J85" i="39"/>
  <c r="J88" i="39"/>
  <c r="J301" i="39"/>
  <c r="J304" i="39"/>
  <c r="J308" i="39"/>
  <c r="J87" i="39"/>
  <c r="J311" i="39"/>
  <c r="J313" i="39"/>
  <c r="J73" i="39"/>
  <c r="J75" i="39"/>
  <c r="J71" i="39"/>
  <c r="J299" i="39"/>
  <c r="J72" i="39"/>
  <c r="J76" i="39"/>
  <c r="J74" i="39"/>
  <c r="J295" i="39"/>
  <c r="J300" i="39"/>
  <c r="J297" i="39"/>
  <c r="J70" i="39"/>
  <c r="J296" i="39"/>
  <c r="J298" i="39"/>
  <c r="J69" i="39"/>
  <c r="J68" i="39"/>
  <c r="J294" i="39"/>
  <c r="J293" i="39"/>
  <c r="J67" i="39"/>
  <c r="O16" i="24"/>
  <c r="K16" i="1"/>
  <c r="O15" i="24" l="1"/>
  <c r="I66" i="39" l="1"/>
  <c r="H66" i="39"/>
  <c r="H65" i="39"/>
  <c r="I292" i="39"/>
  <c r="I65" i="39"/>
  <c r="H292" i="39"/>
  <c r="I291" i="39"/>
  <c r="I290" i="39"/>
  <c r="H291" i="39"/>
  <c r="H290" i="39"/>
  <c r="I289" i="39"/>
  <c r="H289" i="39"/>
  <c r="I64" i="39"/>
  <c r="I63" i="39"/>
  <c r="I62" i="39"/>
  <c r="I61" i="39"/>
  <c r="H64" i="39"/>
  <c r="H63" i="39"/>
  <c r="I288" i="39"/>
  <c r="H288" i="39"/>
  <c r="J290" i="39" l="1"/>
  <c r="J288" i="39"/>
  <c r="J63" i="39"/>
  <c r="J291" i="39"/>
  <c r="J292" i="39"/>
  <c r="J66" i="39"/>
  <c r="J289" i="39"/>
  <c r="J65" i="39"/>
  <c r="J64" i="39"/>
  <c r="I17" i="1"/>
  <c r="J17" i="1"/>
  <c r="I287" i="39"/>
  <c r="H285" i="39"/>
  <c r="I286" i="39"/>
  <c r="I285" i="39"/>
  <c r="H287" i="39"/>
  <c r="H286" i="39"/>
  <c r="H62" i="39"/>
  <c r="J62" i="39" s="1"/>
  <c r="H61" i="39"/>
  <c r="J61" i="39" s="1"/>
  <c r="I59" i="39"/>
  <c r="I58" i="39"/>
  <c r="I60" i="39"/>
  <c r="H59" i="39"/>
  <c r="H60" i="39"/>
  <c r="H58" i="39"/>
  <c r="G29" i="36"/>
  <c r="G25" i="38"/>
  <c r="E651" i="39"/>
  <c r="E596" i="39"/>
  <c r="E565" i="39"/>
  <c r="E529" i="39"/>
  <c r="J50" i="39"/>
  <c r="J43" i="39"/>
  <c r="J287" i="39" l="1"/>
  <c r="J59" i="39"/>
  <c r="J286" i="39"/>
  <c r="J60" i="39"/>
  <c r="J285" i="39"/>
  <c r="J58" i="39"/>
  <c r="J52" i="39"/>
  <c r="G9" i="39" s="1"/>
  <c r="G11" i="39" s="1"/>
  <c r="E15" i="1" s="1"/>
  <c r="I148" i="38"/>
  <c r="I149" i="38"/>
  <c r="I150" i="38"/>
  <c r="I151" i="38"/>
  <c r="I152" i="38"/>
  <c r="I153" i="38"/>
  <c r="H153" i="38"/>
  <c r="J153" i="38" s="1"/>
  <c r="H152" i="38"/>
  <c r="H151" i="38"/>
  <c r="J151" i="38" s="1"/>
  <c r="H150" i="38"/>
  <c r="H149" i="38"/>
  <c r="J149" i="38" s="1"/>
  <c r="H148" i="38"/>
  <c r="I212" i="38"/>
  <c r="H212" i="38"/>
  <c r="I146" i="38"/>
  <c r="I147" i="38"/>
  <c r="H147" i="38"/>
  <c r="H146" i="38"/>
  <c r="J147" i="38" l="1"/>
  <c r="J148" i="38"/>
  <c r="J152" i="38"/>
  <c r="J212" i="38"/>
  <c r="J150" i="38"/>
  <c r="J281" i="39"/>
  <c r="J452" i="39"/>
  <c r="J146" i="38"/>
  <c r="P15" i="1" l="1"/>
  <c r="J454" i="39"/>
  <c r="F9" i="39" s="1"/>
  <c r="I209" i="38"/>
  <c r="I210" i="38"/>
  <c r="I211" i="38"/>
  <c r="H211" i="38"/>
  <c r="H210" i="38"/>
  <c r="H209" i="38"/>
  <c r="J209" i="38" s="1"/>
  <c r="F11" i="39" l="1"/>
  <c r="G14" i="39"/>
  <c r="J211" i="38"/>
  <c r="J210" i="38"/>
  <c r="I143" i="38"/>
  <c r="I144" i="38"/>
  <c r="I145" i="38"/>
  <c r="I205" i="38"/>
  <c r="I206" i="38"/>
  <c r="I207" i="38"/>
  <c r="I208" i="38"/>
  <c r="H145" i="38"/>
  <c r="H208" i="38"/>
  <c r="H144" i="38"/>
  <c r="J144" i="38" s="1"/>
  <c r="H143" i="38"/>
  <c r="H207" i="38"/>
  <c r="J207" i="38" s="1"/>
  <c r="H206" i="38"/>
  <c r="J206" i="38" s="1"/>
  <c r="H205" i="38"/>
  <c r="J143" i="38" l="1"/>
  <c r="J205" i="38"/>
  <c r="J145" i="38"/>
  <c r="J208" i="38"/>
  <c r="I136" i="38"/>
  <c r="H136" i="38"/>
  <c r="I135" i="38"/>
  <c r="H135" i="38"/>
  <c r="I134" i="38"/>
  <c r="H134" i="38"/>
  <c r="I133" i="38"/>
  <c r="H133" i="38"/>
  <c r="H139" i="38"/>
  <c r="H138" i="38"/>
  <c r="H137" i="38"/>
  <c r="J135" i="38" l="1"/>
  <c r="J134" i="38"/>
  <c r="J136" i="38"/>
  <c r="J133" i="38"/>
  <c r="E292" i="38"/>
  <c r="I142" i="38"/>
  <c r="I141" i="38"/>
  <c r="H142" i="38"/>
  <c r="H141" i="38"/>
  <c r="I204" i="38"/>
  <c r="I140" i="38"/>
  <c r="I139" i="38"/>
  <c r="J139" i="38" s="1"/>
  <c r="I138" i="38"/>
  <c r="J138" i="38" s="1"/>
  <c r="I137" i="38"/>
  <c r="J137" i="38" s="1"/>
  <c r="H140" i="38"/>
  <c r="J140" i="38" s="1"/>
  <c r="H204" i="38"/>
  <c r="I202" i="38"/>
  <c r="I203" i="38"/>
  <c r="H203" i="38"/>
  <c r="H202" i="38"/>
  <c r="I132" i="38"/>
  <c r="I131" i="38"/>
  <c r="I130" i="38"/>
  <c r="I129" i="38"/>
  <c r="H132" i="38"/>
  <c r="H131" i="38"/>
  <c r="J131" i="38" s="1"/>
  <c r="H130" i="38"/>
  <c r="H129" i="38"/>
  <c r="I127" i="38"/>
  <c r="I128" i="38"/>
  <c r="I126" i="38"/>
  <c r="I201" i="38"/>
  <c r="I199" i="38"/>
  <c r="I200" i="38"/>
  <c r="I198" i="38"/>
  <c r="H128" i="38"/>
  <c r="H200" i="38"/>
  <c r="H127" i="38"/>
  <c r="H126" i="38"/>
  <c r="H201" i="38"/>
  <c r="J201" i="38" s="1"/>
  <c r="I125" i="38"/>
  <c r="I124" i="38"/>
  <c r="H199" i="38"/>
  <c r="J199" i="38" s="1"/>
  <c r="H125" i="38"/>
  <c r="H124" i="38"/>
  <c r="I121" i="38"/>
  <c r="I122" i="38"/>
  <c r="I123" i="38"/>
  <c r="H123" i="38"/>
  <c r="H122" i="38"/>
  <c r="H198" i="38"/>
  <c r="H121" i="38"/>
  <c r="E413" i="38"/>
  <c r="E359" i="38"/>
  <c r="E328" i="38"/>
  <c r="F10" i="38" s="1"/>
  <c r="J141" i="38" l="1"/>
  <c r="J142" i="38"/>
  <c r="J127" i="38"/>
  <c r="J203" i="38"/>
  <c r="J202" i="38"/>
  <c r="J204" i="38"/>
  <c r="J130" i="38"/>
  <c r="J132" i="38"/>
  <c r="J129" i="38"/>
  <c r="J128" i="38"/>
  <c r="J200" i="38"/>
  <c r="J126" i="38"/>
  <c r="J123" i="38"/>
  <c r="J124" i="38"/>
  <c r="J198" i="38"/>
  <c r="J125" i="38"/>
  <c r="J122" i="38"/>
  <c r="J121" i="38"/>
  <c r="J77" i="38"/>
  <c r="J113" i="38"/>
  <c r="O83" i="36"/>
  <c r="F83" i="36"/>
  <c r="P83" i="36" s="1"/>
  <c r="O44" i="36"/>
  <c r="F44" i="36"/>
  <c r="O82" i="36"/>
  <c r="F82" i="36"/>
  <c r="O43" i="36"/>
  <c r="F43" i="36"/>
  <c r="P44" i="36" l="1"/>
  <c r="J194" i="38"/>
  <c r="N14" i="1" s="1"/>
  <c r="J245" i="38"/>
  <c r="O14" i="1" s="1"/>
  <c r="J115" i="38"/>
  <c r="G9" i="38" s="1"/>
  <c r="G11" i="38" s="1"/>
  <c r="E14" i="1" s="1"/>
  <c r="P82" i="36"/>
  <c r="P43" i="36"/>
  <c r="D752" i="36"/>
  <c r="J247" i="38" l="1"/>
  <c r="P14" i="1"/>
  <c r="F9" i="38"/>
  <c r="F11" i="38" s="1"/>
  <c r="O42" i="36"/>
  <c r="O41" i="36"/>
  <c r="F42" i="36"/>
  <c r="F41" i="36"/>
  <c r="F14" i="1" l="1"/>
  <c r="G14" i="38"/>
  <c r="P41" i="36"/>
  <c r="P42" i="36"/>
  <c r="O9" i="24"/>
  <c r="O569" i="36"/>
  <c r="O568" i="36"/>
  <c r="O567" i="36"/>
  <c r="O566" i="36"/>
  <c r="O565" i="36"/>
  <c r="O564" i="36"/>
  <c r="O563" i="36"/>
  <c r="O562" i="36"/>
  <c r="F569" i="36"/>
  <c r="P569" i="36" s="1"/>
  <c r="F568" i="36"/>
  <c r="F567" i="36"/>
  <c r="F566" i="36"/>
  <c r="F565" i="36"/>
  <c r="P565" i="36" s="1"/>
  <c r="F564" i="36"/>
  <c r="P564" i="36" s="1"/>
  <c r="F563" i="36"/>
  <c r="P563" i="36" s="1"/>
  <c r="F562" i="36"/>
  <c r="P562" i="36" s="1"/>
  <c r="E636" i="36"/>
  <c r="O561" i="36"/>
  <c r="O560" i="36"/>
  <c r="O559" i="36"/>
  <c r="O558" i="36"/>
  <c r="O307" i="36"/>
  <c r="O306" i="36"/>
  <c r="O305" i="36"/>
  <c r="O304" i="36"/>
  <c r="F561" i="36"/>
  <c r="P561" i="36" s="1"/>
  <c r="F560" i="36"/>
  <c r="P560" i="36" s="1"/>
  <c r="F559" i="36"/>
  <c r="F558" i="36"/>
  <c r="F307" i="36"/>
  <c r="P307" i="36"/>
  <c r="F306" i="36"/>
  <c r="F305" i="36"/>
  <c r="F304" i="36"/>
  <c r="O303" i="36"/>
  <c r="O302" i="36"/>
  <c r="O301" i="36"/>
  <c r="O300" i="36"/>
  <c r="O557" i="36"/>
  <c r="O556" i="36"/>
  <c r="O555" i="36"/>
  <c r="O554" i="36"/>
  <c r="O553" i="36"/>
  <c r="O552" i="36"/>
  <c r="O299" i="36"/>
  <c r="O298" i="36"/>
  <c r="O297" i="36"/>
  <c r="O296" i="36"/>
  <c r="O295" i="36"/>
  <c r="O294" i="36"/>
  <c r="F303" i="36"/>
  <c r="P303" i="36" s="1"/>
  <c r="F302" i="36"/>
  <c r="P302" i="36" s="1"/>
  <c r="F301" i="36"/>
  <c r="F300" i="36"/>
  <c r="F557" i="36"/>
  <c r="P557" i="36" s="1"/>
  <c r="F556" i="36"/>
  <c r="F555" i="36"/>
  <c r="F554" i="36"/>
  <c r="F553" i="36"/>
  <c r="F552" i="36"/>
  <c r="F299" i="36"/>
  <c r="F298" i="36"/>
  <c r="P298" i="36" s="1"/>
  <c r="F297" i="36"/>
  <c r="F296" i="36"/>
  <c r="F295" i="36"/>
  <c r="F294" i="36"/>
  <c r="O551" i="36"/>
  <c r="O293" i="36"/>
  <c r="O292" i="36"/>
  <c r="F551" i="36"/>
  <c r="F293" i="36"/>
  <c r="F292" i="36"/>
  <c r="F283" i="36"/>
  <c r="O550" i="36"/>
  <c r="O549" i="36"/>
  <c r="O548" i="36"/>
  <c r="O291" i="36"/>
  <c r="O290" i="36"/>
  <c r="O547" i="36"/>
  <c r="O546" i="36"/>
  <c r="O289" i="36"/>
  <c r="O288" i="36"/>
  <c r="O545" i="36"/>
  <c r="O287" i="36"/>
  <c r="O286" i="36"/>
  <c r="O285" i="36"/>
  <c r="O544" i="36"/>
  <c r="O543" i="36"/>
  <c r="O284" i="36"/>
  <c r="O283" i="36"/>
  <c r="O542" i="36"/>
  <c r="O541" i="36"/>
  <c r="O540" i="36"/>
  <c r="O539" i="36"/>
  <c r="O282" i="36"/>
  <c r="F550" i="36"/>
  <c r="F549" i="36"/>
  <c r="F548" i="36"/>
  <c r="F291" i="36"/>
  <c r="F290" i="36"/>
  <c r="F547" i="36"/>
  <c r="F546" i="36"/>
  <c r="F289" i="36"/>
  <c r="F288" i="36"/>
  <c r="F545" i="36"/>
  <c r="F287" i="36"/>
  <c r="F286" i="36"/>
  <c r="F285" i="36"/>
  <c r="F544" i="36"/>
  <c r="F543" i="36"/>
  <c r="F284" i="36"/>
  <c r="F542" i="36"/>
  <c r="F541" i="36"/>
  <c r="F540" i="36"/>
  <c r="F539" i="36"/>
  <c r="F282" i="36"/>
  <c r="F280" i="36"/>
  <c r="O281" i="36"/>
  <c r="O280" i="36"/>
  <c r="O538" i="36"/>
  <c r="O537" i="36"/>
  <c r="O536" i="36"/>
  <c r="O279" i="36"/>
  <c r="O278" i="36"/>
  <c r="O277" i="36"/>
  <c r="O535" i="36"/>
  <c r="O534" i="36"/>
  <c r="O533" i="36"/>
  <c r="O532" i="36"/>
  <c r="O531" i="36"/>
  <c r="O530" i="36"/>
  <c r="O529" i="36"/>
  <c r="O528" i="36"/>
  <c r="O527" i="36"/>
  <c r="O276" i="36"/>
  <c r="O275" i="36"/>
  <c r="O274" i="36"/>
  <c r="O273" i="36"/>
  <c r="O272" i="36"/>
  <c r="O526" i="36"/>
  <c r="O525" i="36"/>
  <c r="O271" i="36"/>
  <c r="O270" i="36"/>
  <c r="F281" i="36"/>
  <c r="F538" i="36"/>
  <c r="F537" i="36"/>
  <c r="F536" i="36"/>
  <c r="P536" i="36" s="1"/>
  <c r="F279" i="36"/>
  <c r="F278" i="36"/>
  <c r="F277" i="36"/>
  <c r="F535" i="36"/>
  <c r="F534" i="36"/>
  <c r="F533" i="36"/>
  <c r="F532" i="36"/>
  <c r="F531" i="36"/>
  <c r="F530" i="36"/>
  <c r="F529" i="36"/>
  <c r="F528" i="36"/>
  <c r="F527" i="36"/>
  <c r="F276" i="36"/>
  <c r="F275" i="36"/>
  <c r="F274" i="36"/>
  <c r="F273" i="36"/>
  <c r="F272" i="36"/>
  <c r="F526" i="36"/>
  <c r="F525" i="36"/>
  <c r="F271" i="36"/>
  <c r="F270" i="36"/>
  <c r="O266" i="36"/>
  <c r="F266" i="36"/>
  <c r="O521" i="36"/>
  <c r="F524" i="36"/>
  <c r="O520" i="36"/>
  <c r="F523" i="36"/>
  <c r="O519" i="36"/>
  <c r="F522" i="36"/>
  <c r="O518" i="36"/>
  <c r="F521" i="36"/>
  <c r="O517" i="36"/>
  <c r="F520" i="36"/>
  <c r="O516" i="36"/>
  <c r="F519" i="36"/>
  <c r="O524" i="36"/>
  <c r="O523" i="36"/>
  <c r="P523" i="36" s="1"/>
  <c r="O522" i="36"/>
  <c r="O515" i="36"/>
  <c r="O269" i="36"/>
  <c r="O268" i="36"/>
  <c r="O267" i="36"/>
  <c r="O265" i="36"/>
  <c r="O264" i="36"/>
  <c r="O263" i="36"/>
  <c r="O262" i="36"/>
  <c r="O261" i="36"/>
  <c r="F269" i="36"/>
  <c r="P269" i="36" s="1"/>
  <c r="F268" i="36"/>
  <c r="P268" i="36" s="1"/>
  <c r="F267" i="36"/>
  <c r="P267" i="36" s="1"/>
  <c r="F518" i="36"/>
  <c r="F517" i="36"/>
  <c r="F516" i="36"/>
  <c r="F515" i="36"/>
  <c r="F265" i="36"/>
  <c r="P265" i="36" s="1"/>
  <c r="F264" i="36"/>
  <c r="F263" i="36"/>
  <c r="P263" i="36" s="1"/>
  <c r="F262" i="36"/>
  <c r="F261" i="36"/>
  <c r="P261" i="36" s="1"/>
  <c r="F504" i="36"/>
  <c r="F505" i="36"/>
  <c r="F506" i="36"/>
  <c r="F507" i="36"/>
  <c r="F508" i="36"/>
  <c r="F509" i="36"/>
  <c r="F510" i="36"/>
  <c r="F511" i="36"/>
  <c r="F512" i="36"/>
  <c r="F513" i="36"/>
  <c r="F514" i="36"/>
  <c r="F254" i="36"/>
  <c r="F255" i="36"/>
  <c r="F256" i="36"/>
  <c r="F257" i="36"/>
  <c r="F258" i="36"/>
  <c r="F259" i="36"/>
  <c r="F260" i="36"/>
  <c r="F494" i="36"/>
  <c r="F495" i="36"/>
  <c r="F496" i="36"/>
  <c r="F497" i="36"/>
  <c r="F498" i="36"/>
  <c r="F499" i="36"/>
  <c r="F500" i="36"/>
  <c r="F501" i="36"/>
  <c r="F502" i="36"/>
  <c r="F503" i="36"/>
  <c r="O254" i="36"/>
  <c r="P254" i="36" s="1"/>
  <c r="O255" i="36"/>
  <c r="O256" i="36"/>
  <c r="O257" i="36"/>
  <c r="O258" i="36"/>
  <c r="P258" i="36" s="1"/>
  <c r="O259" i="36"/>
  <c r="O260" i="36"/>
  <c r="O510" i="36"/>
  <c r="O511" i="36"/>
  <c r="O512" i="36"/>
  <c r="O513" i="36"/>
  <c r="O514" i="36"/>
  <c r="O509" i="36"/>
  <c r="O252" i="36"/>
  <c r="O253" i="36"/>
  <c r="F253" i="36"/>
  <c r="F252" i="36"/>
  <c r="O508" i="36"/>
  <c r="O251" i="36"/>
  <c r="O507" i="36"/>
  <c r="O506" i="36"/>
  <c r="O505" i="36"/>
  <c r="O250" i="36"/>
  <c r="O249" i="36"/>
  <c r="O248" i="36"/>
  <c r="F251" i="36"/>
  <c r="F250" i="36"/>
  <c r="P250" i="36" s="1"/>
  <c r="F249" i="36"/>
  <c r="P249" i="36" s="1"/>
  <c r="F248" i="36"/>
  <c r="O241" i="36"/>
  <c r="O242" i="36"/>
  <c r="O243" i="36"/>
  <c r="O244" i="36"/>
  <c r="O245" i="36"/>
  <c r="O246" i="36"/>
  <c r="O247" i="36"/>
  <c r="O492" i="36"/>
  <c r="O493" i="36"/>
  <c r="O494" i="36"/>
  <c r="O495" i="36"/>
  <c r="O496" i="36"/>
  <c r="O497" i="36"/>
  <c r="O498" i="36"/>
  <c r="O499" i="36"/>
  <c r="O500" i="36"/>
  <c r="O501" i="36"/>
  <c r="O502" i="36"/>
  <c r="O503" i="36"/>
  <c r="O504" i="36"/>
  <c r="F242" i="36"/>
  <c r="F493" i="36"/>
  <c r="F243" i="36"/>
  <c r="P243" i="36" s="1"/>
  <c r="F244" i="36"/>
  <c r="P244" i="36" s="1"/>
  <c r="F245" i="36"/>
  <c r="F246" i="36"/>
  <c r="P246" i="36" s="1"/>
  <c r="F247" i="36"/>
  <c r="P247" i="36" s="1"/>
  <c r="F492" i="36"/>
  <c r="F241" i="36"/>
  <c r="O240" i="36"/>
  <c r="O239" i="36"/>
  <c r="O238" i="36"/>
  <c r="O491" i="36"/>
  <c r="O490" i="36"/>
  <c r="O237" i="36"/>
  <c r="O236" i="36"/>
  <c r="O485" i="36"/>
  <c r="O484" i="36"/>
  <c r="O235" i="36"/>
  <c r="O234" i="36"/>
  <c r="O489" i="36"/>
  <c r="O233" i="36"/>
  <c r="O488" i="36"/>
  <c r="O232" i="36"/>
  <c r="O231" i="36"/>
  <c r="O230" i="36"/>
  <c r="O229" i="36"/>
  <c r="O487" i="36"/>
  <c r="O486" i="36"/>
  <c r="O228" i="36"/>
  <c r="O227" i="36"/>
  <c r="F240" i="36"/>
  <c r="F239" i="36"/>
  <c r="F238" i="36"/>
  <c r="F491" i="36"/>
  <c r="F490" i="36"/>
  <c r="F237" i="36"/>
  <c r="F236" i="36"/>
  <c r="F485" i="36"/>
  <c r="F484" i="36"/>
  <c r="F235" i="36"/>
  <c r="F234" i="36"/>
  <c r="F489" i="36"/>
  <c r="F233" i="36"/>
  <c r="F488" i="36"/>
  <c r="F232" i="36"/>
  <c r="F231" i="36"/>
  <c r="F230" i="36"/>
  <c r="F229" i="36"/>
  <c r="F487" i="36"/>
  <c r="F486" i="36"/>
  <c r="F228" i="36"/>
  <c r="F227" i="36"/>
  <c r="O226" i="36"/>
  <c r="O225" i="36"/>
  <c r="O224" i="36"/>
  <c r="P224" i="36" s="1"/>
  <c r="O483" i="36"/>
  <c r="O482" i="36"/>
  <c r="O481" i="36"/>
  <c r="O480" i="36"/>
  <c r="O479" i="36"/>
  <c r="F483" i="36"/>
  <c r="F482" i="36"/>
  <c r="F481" i="36"/>
  <c r="F226" i="36"/>
  <c r="F225" i="36"/>
  <c r="F224" i="36"/>
  <c r="F480" i="36"/>
  <c r="P480" i="36" s="1"/>
  <c r="F479" i="36"/>
  <c r="P479" i="36" s="1"/>
  <c r="O220" i="36"/>
  <c r="O221" i="36"/>
  <c r="O222" i="36"/>
  <c r="O223" i="36"/>
  <c r="O472" i="36"/>
  <c r="O473" i="36"/>
  <c r="O474" i="36"/>
  <c r="O475" i="36"/>
  <c r="O476" i="36"/>
  <c r="O477" i="36"/>
  <c r="O478" i="36"/>
  <c r="F478" i="36"/>
  <c r="F477" i="36"/>
  <c r="F476" i="36"/>
  <c r="F475" i="36"/>
  <c r="F474" i="36"/>
  <c r="F473" i="36"/>
  <c r="F472" i="36"/>
  <c r="F223" i="36"/>
  <c r="F222" i="36"/>
  <c r="F221" i="36"/>
  <c r="F220" i="36"/>
  <c r="P492" i="36"/>
  <c r="P245" i="36"/>
  <c r="D636" i="36"/>
  <c r="O216" i="36"/>
  <c r="F216" i="36"/>
  <c r="O207" i="36"/>
  <c r="O208" i="36"/>
  <c r="O466" i="36"/>
  <c r="O467" i="36"/>
  <c r="O209" i="36"/>
  <c r="O210" i="36"/>
  <c r="O468" i="36"/>
  <c r="O211" i="36"/>
  <c r="O212" i="36"/>
  <c r="O213" i="36"/>
  <c r="O214" i="36"/>
  <c r="O215" i="36"/>
  <c r="O469" i="36"/>
  <c r="O470" i="36"/>
  <c r="O471" i="36"/>
  <c r="O217" i="36"/>
  <c r="O218" i="36"/>
  <c r="O219" i="36"/>
  <c r="F219" i="36"/>
  <c r="F218" i="36"/>
  <c r="F217" i="36"/>
  <c r="F471" i="36"/>
  <c r="F470" i="36"/>
  <c r="F469" i="36"/>
  <c r="F215" i="36"/>
  <c r="F214" i="36"/>
  <c r="F213" i="36"/>
  <c r="F212" i="36"/>
  <c r="F211" i="36"/>
  <c r="F468" i="36"/>
  <c r="F210" i="36"/>
  <c r="F209" i="36"/>
  <c r="F467" i="36"/>
  <c r="F466" i="36"/>
  <c r="F208" i="36"/>
  <c r="F207" i="36"/>
  <c r="O206" i="36"/>
  <c r="F206" i="36"/>
  <c r="O463" i="36"/>
  <c r="O198" i="36"/>
  <c r="O199" i="36"/>
  <c r="O200" i="36"/>
  <c r="O201" i="36"/>
  <c r="O204" i="36"/>
  <c r="O205" i="36"/>
  <c r="O202" i="36"/>
  <c r="O203" i="36"/>
  <c r="O464" i="36"/>
  <c r="O465" i="36"/>
  <c r="O197" i="36"/>
  <c r="F465" i="36"/>
  <c r="F464" i="36"/>
  <c r="F203" i="36"/>
  <c r="F202" i="36"/>
  <c r="P202" i="36" s="1"/>
  <c r="F205" i="36"/>
  <c r="F204" i="36"/>
  <c r="P204" i="36" s="1"/>
  <c r="F201" i="36"/>
  <c r="F200" i="36"/>
  <c r="F199" i="36"/>
  <c r="F198" i="36"/>
  <c r="F463" i="36"/>
  <c r="F197" i="36"/>
  <c r="O194" i="36"/>
  <c r="O195" i="36"/>
  <c r="O196" i="36"/>
  <c r="O454" i="36"/>
  <c r="O455" i="36"/>
  <c r="O456" i="36"/>
  <c r="O457" i="36"/>
  <c r="O458" i="36"/>
  <c r="O459" i="36"/>
  <c r="O460" i="36"/>
  <c r="O461" i="36"/>
  <c r="O462" i="36"/>
  <c r="F462" i="36"/>
  <c r="F461" i="36"/>
  <c r="F460" i="36"/>
  <c r="F459" i="36"/>
  <c r="F458" i="36"/>
  <c r="F457" i="36"/>
  <c r="F456" i="36"/>
  <c r="F455" i="36"/>
  <c r="F454" i="36"/>
  <c r="F196" i="36"/>
  <c r="F195" i="36"/>
  <c r="F194" i="36"/>
  <c r="O193" i="36"/>
  <c r="O192" i="36"/>
  <c r="F193" i="36"/>
  <c r="F192" i="36"/>
  <c r="O445" i="36"/>
  <c r="F445" i="36"/>
  <c r="F437" i="36"/>
  <c r="O437" i="36"/>
  <c r="O438" i="36"/>
  <c r="O439" i="36"/>
  <c r="O440" i="36"/>
  <c r="O441" i="36"/>
  <c r="O442" i="36"/>
  <c r="O443" i="36"/>
  <c r="O444" i="36"/>
  <c r="O184" i="36"/>
  <c r="O185" i="36"/>
  <c r="O186" i="36"/>
  <c r="O187" i="36"/>
  <c r="O188" i="36"/>
  <c r="O446" i="36"/>
  <c r="O447" i="36"/>
  <c r="O448" i="36"/>
  <c r="O449" i="36"/>
  <c r="O450" i="36"/>
  <c r="O451" i="36"/>
  <c r="O452" i="36"/>
  <c r="O453" i="36"/>
  <c r="O189" i="36"/>
  <c r="O190" i="36"/>
  <c r="O191" i="36"/>
  <c r="F191" i="36"/>
  <c r="F190" i="36"/>
  <c r="F189" i="36"/>
  <c r="F453" i="36"/>
  <c r="F452" i="36"/>
  <c r="F451" i="36"/>
  <c r="F450" i="36"/>
  <c r="P450" i="36" s="1"/>
  <c r="F449" i="36"/>
  <c r="F448" i="36"/>
  <c r="F447" i="36"/>
  <c r="F446" i="36"/>
  <c r="F188" i="36"/>
  <c r="F187" i="36"/>
  <c r="F186" i="36"/>
  <c r="F185" i="36"/>
  <c r="F184" i="36"/>
  <c r="F444" i="36"/>
  <c r="F443" i="36"/>
  <c r="F442" i="36"/>
  <c r="F441" i="36"/>
  <c r="F440" i="36"/>
  <c r="F439" i="36"/>
  <c r="F438" i="36"/>
  <c r="O176" i="36"/>
  <c r="O430" i="36"/>
  <c r="O431" i="36"/>
  <c r="O432" i="36"/>
  <c r="P432" i="36" s="1"/>
  <c r="O433" i="36"/>
  <c r="O177" i="36"/>
  <c r="O434" i="36"/>
  <c r="O435" i="36"/>
  <c r="P435" i="36" s="1"/>
  <c r="O436" i="36"/>
  <c r="O178" i="36"/>
  <c r="O179" i="36"/>
  <c r="O180" i="36"/>
  <c r="O181" i="36"/>
  <c r="O182" i="36"/>
  <c r="O183" i="36"/>
  <c r="F183" i="36"/>
  <c r="F182" i="36"/>
  <c r="F181" i="36"/>
  <c r="F180" i="36"/>
  <c r="F179" i="36"/>
  <c r="F178" i="36"/>
  <c r="F436" i="36"/>
  <c r="F435" i="36"/>
  <c r="F434" i="36"/>
  <c r="F177" i="36"/>
  <c r="F433" i="36"/>
  <c r="F432" i="36"/>
  <c r="F431" i="36"/>
  <c r="F430" i="36"/>
  <c r="F176" i="36"/>
  <c r="O424" i="36"/>
  <c r="O425" i="36"/>
  <c r="O167" i="36"/>
  <c r="O168" i="36"/>
  <c r="O169" i="36"/>
  <c r="O170" i="36"/>
  <c r="O171" i="36"/>
  <c r="O172" i="36"/>
  <c r="O420" i="36"/>
  <c r="O175" i="36"/>
  <c r="O419" i="36"/>
  <c r="O421" i="36"/>
  <c r="O422" i="36"/>
  <c r="O423" i="36"/>
  <c r="O173" i="36"/>
  <c r="O174" i="36"/>
  <c r="O426" i="36"/>
  <c r="O427" i="36"/>
  <c r="O428" i="36"/>
  <c r="O429" i="36"/>
  <c r="F429" i="36"/>
  <c r="F428" i="36"/>
  <c r="F427" i="36"/>
  <c r="F426" i="36"/>
  <c r="F174" i="36"/>
  <c r="F173" i="36"/>
  <c r="F423" i="36"/>
  <c r="F422" i="36"/>
  <c r="F421" i="36"/>
  <c r="F419" i="36"/>
  <c r="F175" i="36"/>
  <c r="F420" i="36"/>
  <c r="F172" i="36"/>
  <c r="F171" i="36"/>
  <c r="F170" i="36"/>
  <c r="F169" i="36"/>
  <c r="F168" i="36"/>
  <c r="F167" i="36"/>
  <c r="F425" i="36"/>
  <c r="F424" i="36"/>
  <c r="P424" i="36" s="1"/>
  <c r="O164" i="36"/>
  <c r="O165" i="36"/>
  <c r="O166" i="36"/>
  <c r="O418" i="36"/>
  <c r="F418" i="36"/>
  <c r="F166" i="36"/>
  <c r="F165" i="36"/>
  <c r="F164" i="36"/>
  <c r="P164" i="36" s="1"/>
  <c r="O152" i="36"/>
  <c r="O402" i="36"/>
  <c r="O153" i="36"/>
  <c r="O403" i="36"/>
  <c r="O154" i="36"/>
  <c r="O155" i="36"/>
  <c r="O156" i="36"/>
  <c r="O404" i="36"/>
  <c r="O405" i="36"/>
  <c r="O406" i="36"/>
  <c r="O157" i="36"/>
  <c r="O158" i="36"/>
  <c r="O159" i="36"/>
  <c r="O407" i="36"/>
  <c r="O408" i="36"/>
  <c r="O409" i="36"/>
  <c r="O410" i="36"/>
  <c r="O411" i="36"/>
  <c r="O412" i="36"/>
  <c r="O160" i="36"/>
  <c r="O161" i="36"/>
  <c r="O413" i="36"/>
  <c r="O414" i="36"/>
  <c r="O415" i="36"/>
  <c r="O416" i="36"/>
  <c r="O417" i="36"/>
  <c r="O162" i="36"/>
  <c r="O163" i="36"/>
  <c r="F163" i="36"/>
  <c r="F162" i="36"/>
  <c r="F417" i="36"/>
  <c r="F416" i="36"/>
  <c r="F415" i="36"/>
  <c r="F414" i="36"/>
  <c r="F413" i="36"/>
  <c r="F161" i="36"/>
  <c r="F160" i="36"/>
  <c r="F412" i="36"/>
  <c r="F411" i="36"/>
  <c r="F410" i="36"/>
  <c r="F409" i="36"/>
  <c r="F408" i="36"/>
  <c r="F407" i="36"/>
  <c r="F159" i="36"/>
  <c r="F158" i="36"/>
  <c r="F157" i="36"/>
  <c r="F406" i="36"/>
  <c r="F405" i="36"/>
  <c r="F404" i="36"/>
  <c r="F156" i="36"/>
  <c r="F155" i="36"/>
  <c r="F154" i="36"/>
  <c r="F403" i="36"/>
  <c r="F153" i="36"/>
  <c r="F402" i="36"/>
  <c r="O142" i="36"/>
  <c r="O143" i="36"/>
  <c r="O399" i="36"/>
  <c r="O144" i="36"/>
  <c r="O145" i="36"/>
  <c r="O146" i="36"/>
  <c r="O147" i="36"/>
  <c r="O148" i="36"/>
  <c r="O149" i="36"/>
  <c r="O150" i="36"/>
  <c r="O400" i="36"/>
  <c r="O401" i="36"/>
  <c r="O151" i="36"/>
  <c r="F152" i="36"/>
  <c r="P152" i="36" s="1"/>
  <c r="F151" i="36"/>
  <c r="F401" i="36"/>
  <c r="P401" i="36" s="1"/>
  <c r="F400" i="36"/>
  <c r="F150" i="36"/>
  <c r="P150" i="36" s="1"/>
  <c r="F149" i="36"/>
  <c r="F148" i="36"/>
  <c r="F147" i="36"/>
  <c r="F146" i="36"/>
  <c r="P146" i="36" s="1"/>
  <c r="F145" i="36"/>
  <c r="F144" i="36"/>
  <c r="F399" i="36"/>
  <c r="F143" i="36"/>
  <c r="P143" i="36" s="1"/>
  <c r="F142" i="36"/>
  <c r="O141" i="36"/>
  <c r="O390" i="36"/>
  <c r="O391" i="36"/>
  <c r="O392" i="36"/>
  <c r="O393" i="36"/>
  <c r="O394" i="36"/>
  <c r="O395" i="36"/>
  <c r="O396" i="36"/>
  <c r="O397" i="36"/>
  <c r="O398" i="36"/>
  <c r="F390" i="36"/>
  <c r="F391" i="36"/>
  <c r="F392" i="36"/>
  <c r="F393" i="36"/>
  <c r="F394" i="36"/>
  <c r="F395" i="36"/>
  <c r="F396" i="36"/>
  <c r="F397" i="36"/>
  <c r="F398" i="36"/>
  <c r="F141" i="36"/>
  <c r="O140" i="36"/>
  <c r="O389" i="36"/>
  <c r="O388" i="36"/>
  <c r="O387" i="36"/>
  <c r="F140" i="36"/>
  <c r="F389" i="36"/>
  <c r="P389" i="36" s="1"/>
  <c r="F388" i="36"/>
  <c r="F387" i="36"/>
  <c r="P387" i="36" s="1"/>
  <c r="O132" i="36"/>
  <c r="O133" i="36"/>
  <c r="O385" i="36"/>
  <c r="O386" i="36"/>
  <c r="O134" i="36"/>
  <c r="O135" i="36"/>
  <c r="O136" i="36"/>
  <c r="O137" i="36"/>
  <c r="O138" i="36"/>
  <c r="O139" i="36"/>
  <c r="F139" i="36"/>
  <c r="F138" i="36"/>
  <c r="F137" i="36"/>
  <c r="F136" i="36"/>
  <c r="F135" i="36"/>
  <c r="F134" i="36"/>
  <c r="F386" i="36"/>
  <c r="F385" i="36"/>
  <c r="F133" i="36"/>
  <c r="F132" i="36"/>
  <c r="O381" i="36"/>
  <c r="O382" i="36"/>
  <c r="O383" i="36"/>
  <c r="O384" i="36"/>
  <c r="O130" i="36"/>
  <c r="O131" i="36"/>
  <c r="F131" i="36"/>
  <c r="F130" i="36"/>
  <c r="F384" i="36"/>
  <c r="F383" i="36"/>
  <c r="F382" i="36"/>
  <c r="F381" i="36"/>
  <c r="O374" i="36"/>
  <c r="O375" i="36"/>
  <c r="O376" i="36"/>
  <c r="O377" i="36"/>
  <c r="O378" i="36"/>
  <c r="O379" i="36"/>
  <c r="O380" i="36"/>
  <c r="F380" i="36"/>
  <c r="F379" i="36"/>
  <c r="F378" i="36"/>
  <c r="F377" i="36"/>
  <c r="F376" i="36"/>
  <c r="F375" i="36"/>
  <c r="F374" i="36"/>
  <c r="O129" i="36"/>
  <c r="O128" i="36"/>
  <c r="F129" i="36"/>
  <c r="F128" i="36"/>
  <c r="O81" i="36"/>
  <c r="O40" i="36"/>
  <c r="O372" i="36"/>
  <c r="O373" i="36"/>
  <c r="O371" i="36"/>
  <c r="O122" i="36"/>
  <c r="O123" i="36"/>
  <c r="O124" i="36"/>
  <c r="O125" i="36"/>
  <c r="O126" i="36"/>
  <c r="O127" i="36"/>
  <c r="O121" i="36"/>
  <c r="D667" i="36"/>
  <c r="D698" i="36"/>
  <c r="F127" i="36"/>
  <c r="F125" i="36"/>
  <c r="F124" i="36"/>
  <c r="F126" i="36"/>
  <c r="F373" i="36"/>
  <c r="F372" i="36"/>
  <c r="F371" i="36"/>
  <c r="F123" i="36"/>
  <c r="F122" i="36"/>
  <c r="F121" i="36"/>
  <c r="F81" i="36"/>
  <c r="P81" i="36" s="1"/>
  <c r="P113" i="36" s="1"/>
  <c r="F40" i="36"/>
  <c r="F10" i="24"/>
  <c r="F12" i="24" s="1"/>
  <c r="F14" i="24" s="1"/>
  <c r="F15" i="24" s="1"/>
  <c r="N411" i="28"/>
  <c r="N410" i="28"/>
  <c r="G411" i="28"/>
  <c r="O411" i="28" s="1"/>
  <c r="G410" i="28"/>
  <c r="O410" i="28"/>
  <c r="N409" i="28"/>
  <c r="G409" i="28"/>
  <c r="O409" i="28"/>
  <c r="G589" i="28"/>
  <c r="F708" i="28"/>
  <c r="N405" i="28"/>
  <c r="N406" i="28"/>
  <c r="N407" i="28"/>
  <c r="N408" i="28"/>
  <c r="N197" i="28"/>
  <c r="G197" i="28"/>
  <c r="O197" i="28" s="1"/>
  <c r="G408" i="28"/>
  <c r="G407" i="28"/>
  <c r="O407" i="28" s="1"/>
  <c r="G406" i="28"/>
  <c r="O406" i="28"/>
  <c r="G405" i="28"/>
  <c r="N196" i="28"/>
  <c r="N195" i="28"/>
  <c r="N404" i="28"/>
  <c r="N403" i="28"/>
  <c r="G196" i="28"/>
  <c r="O196" i="28" s="1"/>
  <c r="G195" i="28"/>
  <c r="O195" i="28" s="1"/>
  <c r="G404" i="28"/>
  <c r="O404" i="28" s="1"/>
  <c r="G403" i="28"/>
  <c r="O403" i="28" s="1"/>
  <c r="M453" i="28"/>
  <c r="M452" i="28"/>
  <c r="H451" i="28"/>
  <c r="H452" i="28"/>
  <c r="H453" i="28"/>
  <c r="N453" i="28" s="1"/>
  <c r="O405" i="28"/>
  <c r="N452" i="28"/>
  <c r="N402" i="28"/>
  <c r="N401" i="28"/>
  <c r="N194" i="28"/>
  <c r="N193" i="28"/>
  <c r="N192" i="28"/>
  <c r="N191" i="28"/>
  <c r="N190" i="28"/>
  <c r="G402" i="28"/>
  <c r="O402" i="28" s="1"/>
  <c r="G401" i="28"/>
  <c r="G194" i="28"/>
  <c r="G193" i="28"/>
  <c r="O193" i="28"/>
  <c r="G192" i="28"/>
  <c r="G191" i="28"/>
  <c r="O191" i="28" s="1"/>
  <c r="G190" i="28"/>
  <c r="O190" i="28" s="1"/>
  <c r="N189" i="28"/>
  <c r="G189" i="28"/>
  <c r="O189" i="28" s="1"/>
  <c r="N400" i="28"/>
  <c r="N188" i="28"/>
  <c r="N187" i="28"/>
  <c r="N399" i="28"/>
  <c r="O399" i="28" s="1"/>
  <c r="G400" i="28"/>
  <c r="G188" i="28"/>
  <c r="O188" i="28" s="1"/>
  <c r="G187" i="28"/>
  <c r="G399" i="28"/>
  <c r="N398" i="28"/>
  <c r="G398" i="28"/>
  <c r="O398" i="28" s="1"/>
  <c r="O192" i="28"/>
  <c r="O194" i="28"/>
  <c r="O401" i="28"/>
  <c r="O187" i="28"/>
  <c r="O400" i="28"/>
  <c r="N390" i="28"/>
  <c r="N391" i="28"/>
  <c r="N392" i="28"/>
  <c r="O392" i="28" s="1"/>
  <c r="N393" i="28"/>
  <c r="N394" i="28"/>
  <c r="O394" i="28" s="1"/>
  <c r="N395" i="28"/>
  <c r="N396" i="28"/>
  <c r="O396" i="28" s="1"/>
  <c r="N397" i="28"/>
  <c r="N186" i="28"/>
  <c r="O186" i="28" s="1"/>
  <c r="G396" i="28"/>
  <c r="G395" i="28"/>
  <c r="G186" i="28"/>
  <c r="N185" i="28"/>
  <c r="N184" i="28"/>
  <c r="G185" i="28"/>
  <c r="O185" i="28" s="1"/>
  <c r="G184" i="28"/>
  <c r="G397" i="28"/>
  <c r="O397" i="28" s="1"/>
  <c r="O184" i="28"/>
  <c r="O395" i="28"/>
  <c r="N181" i="28"/>
  <c r="N182" i="28"/>
  <c r="N183" i="28"/>
  <c r="G183" i="28"/>
  <c r="G394" i="28"/>
  <c r="G393" i="28"/>
  <c r="O393" i="28"/>
  <c r="G392" i="28"/>
  <c r="G391" i="28"/>
  <c r="O391" i="28"/>
  <c r="G182" i="28"/>
  <c r="G181" i="28"/>
  <c r="O181" i="28" s="1"/>
  <c r="N180" i="28"/>
  <c r="G180" i="28"/>
  <c r="O180" i="28" s="1"/>
  <c r="N179" i="28"/>
  <c r="N178" i="28"/>
  <c r="G179" i="28"/>
  <c r="G178" i="28"/>
  <c r="O178" i="28" s="1"/>
  <c r="N389" i="28"/>
  <c r="N388" i="28"/>
  <c r="N177" i="28"/>
  <c r="N176" i="28"/>
  <c r="N175" i="28"/>
  <c r="G390" i="28"/>
  <c r="G389" i="28"/>
  <c r="O389" i="28" s="1"/>
  <c r="G388" i="28"/>
  <c r="N174" i="28"/>
  <c r="O174" i="28" s="1"/>
  <c r="N387" i="28"/>
  <c r="G177" i="28"/>
  <c r="O177" i="28" s="1"/>
  <c r="G176" i="28"/>
  <c r="G175" i="28"/>
  <c r="O175" i="28" s="1"/>
  <c r="G174" i="28"/>
  <c r="G387" i="28"/>
  <c r="O388" i="28"/>
  <c r="O387" i="28"/>
  <c r="O182" i="28"/>
  <c r="O179" i="28"/>
  <c r="O183" i="28"/>
  <c r="O176" i="28"/>
  <c r="N386" i="28"/>
  <c r="N385" i="28"/>
  <c r="N173" i="28"/>
  <c r="N172" i="28"/>
  <c r="N171" i="28"/>
  <c r="O171" i="28" s="1"/>
  <c r="N384" i="28"/>
  <c r="N383" i="28"/>
  <c r="O383" i="28" s="1"/>
  <c r="G386" i="28"/>
  <c r="G385" i="28"/>
  <c r="O385" i="28" s="1"/>
  <c r="G173" i="28"/>
  <c r="G172" i="28"/>
  <c r="O172" i="28" s="1"/>
  <c r="G171" i="28"/>
  <c r="G384" i="28"/>
  <c r="O384" i="28" s="1"/>
  <c r="G383" i="28"/>
  <c r="M451" i="28"/>
  <c r="O386" i="28"/>
  <c r="O173" i="28"/>
  <c r="N382" i="28"/>
  <c r="N170" i="28"/>
  <c r="O170" i="28" s="1"/>
  <c r="N169" i="28"/>
  <c r="G382" i="28"/>
  <c r="O382" i="28" s="1"/>
  <c r="G170" i="28"/>
  <c r="G169" i="28"/>
  <c r="O169" i="28" s="1"/>
  <c r="N379" i="28"/>
  <c r="N168" i="28"/>
  <c r="N167" i="28"/>
  <c r="N380" i="28"/>
  <c r="N166" i="28"/>
  <c r="N165" i="28"/>
  <c r="N164" i="28"/>
  <c r="N163" i="28"/>
  <c r="N162" i="28"/>
  <c r="N161" i="28"/>
  <c r="N160" i="28"/>
  <c r="N159" i="28"/>
  <c r="N158" i="28"/>
  <c r="N381" i="28"/>
  <c r="G379" i="28"/>
  <c r="G168" i="28"/>
  <c r="G167" i="28"/>
  <c r="G380" i="28"/>
  <c r="O380" i="28" s="1"/>
  <c r="G166" i="28"/>
  <c r="G165" i="28"/>
  <c r="O165" i="28" s="1"/>
  <c r="G164" i="28"/>
  <c r="G163" i="28"/>
  <c r="O163" i="28" s="1"/>
  <c r="G162" i="28"/>
  <c r="G161" i="28"/>
  <c r="O161" i="28" s="1"/>
  <c r="G160" i="28"/>
  <c r="G159" i="28"/>
  <c r="G158" i="28"/>
  <c r="G381" i="28"/>
  <c r="M450" i="28"/>
  <c r="H450" i="28"/>
  <c r="N450" i="28" s="1"/>
  <c r="N368" i="28"/>
  <c r="G368" i="28"/>
  <c r="F657" i="28"/>
  <c r="N517" i="28"/>
  <c r="H449" i="28"/>
  <c r="M449" i="28"/>
  <c r="N449" i="28" s="1"/>
  <c r="N157" i="28"/>
  <c r="N378" i="28"/>
  <c r="N156" i="28"/>
  <c r="N377" i="28"/>
  <c r="N155" i="28"/>
  <c r="N154" i="28"/>
  <c r="N376" i="28"/>
  <c r="N375" i="28"/>
  <c r="N374" i="28"/>
  <c r="N373" i="28"/>
  <c r="N372" i="28"/>
  <c r="N371" i="28"/>
  <c r="N370" i="28"/>
  <c r="N153" i="28"/>
  <c r="N152" i="28"/>
  <c r="N151" i="28"/>
  <c r="N150" i="28"/>
  <c r="N149" i="28"/>
  <c r="N148" i="28"/>
  <c r="N369" i="28"/>
  <c r="N147" i="28"/>
  <c r="N367" i="28"/>
  <c r="G157" i="28"/>
  <c r="G378" i="28"/>
  <c r="O378" i="28" s="1"/>
  <c r="G156" i="28"/>
  <c r="G377" i="28"/>
  <c r="G155" i="28"/>
  <c r="G154" i="28"/>
  <c r="G376" i="28"/>
  <c r="G375" i="28"/>
  <c r="O375" i="28" s="1"/>
  <c r="G374" i="28"/>
  <c r="G373" i="28"/>
  <c r="O373" i="28" s="1"/>
  <c r="G372" i="28"/>
  <c r="G371" i="28"/>
  <c r="O371" i="28" s="1"/>
  <c r="G370" i="28"/>
  <c r="G153" i="28"/>
  <c r="O153" i="28" s="1"/>
  <c r="G152" i="28"/>
  <c r="G151" i="28"/>
  <c r="O151" i="28" s="1"/>
  <c r="G150" i="28"/>
  <c r="G149" i="28"/>
  <c r="O149" i="28" s="1"/>
  <c r="G148" i="28"/>
  <c r="G369" i="28"/>
  <c r="O369" i="28" s="1"/>
  <c r="G147" i="28"/>
  <c r="G367" i="28"/>
  <c r="O367" i="28" s="1"/>
  <c r="O370" i="28"/>
  <c r="O379" i="28"/>
  <c r="O374" i="28"/>
  <c r="O147" i="28"/>
  <c r="O381" i="28"/>
  <c r="O377" i="28"/>
  <c r="O372" i="28"/>
  <c r="O376" i="28"/>
  <c r="O368" i="28"/>
  <c r="O159" i="28"/>
  <c r="O168" i="28"/>
  <c r="O158" i="28"/>
  <c r="O160" i="28"/>
  <c r="O162" i="28"/>
  <c r="O164" i="28"/>
  <c r="O166" i="28"/>
  <c r="O167" i="28"/>
  <c r="O157" i="28"/>
  <c r="O156" i="28"/>
  <c r="O155" i="28"/>
  <c r="O154" i="28"/>
  <c r="O152" i="28"/>
  <c r="O150" i="28"/>
  <c r="O148" i="28"/>
  <c r="N366" i="28"/>
  <c r="N365" i="28"/>
  <c r="N364" i="28"/>
  <c r="N146" i="28"/>
  <c r="O146" i="28" s="1"/>
  <c r="N362" i="28"/>
  <c r="N145" i="28"/>
  <c r="N363" i="28"/>
  <c r="N144" i="28"/>
  <c r="O144" i="28" s="1"/>
  <c r="N143" i="28"/>
  <c r="G366" i="28"/>
  <c r="O366" i="28" s="1"/>
  <c r="G365" i="28"/>
  <c r="G364" i="28"/>
  <c r="G146" i="28"/>
  <c r="G362" i="28"/>
  <c r="O362" i="28" s="1"/>
  <c r="G145" i="28"/>
  <c r="G363" i="28"/>
  <c r="G144" i="28"/>
  <c r="G143" i="28"/>
  <c r="O143" i="28" s="1"/>
  <c r="O363" i="28"/>
  <c r="O364" i="28"/>
  <c r="O145" i="28"/>
  <c r="O365" i="28"/>
  <c r="N135" i="28"/>
  <c r="N136" i="28"/>
  <c r="O136" i="28" s="1"/>
  <c r="N137" i="28"/>
  <c r="N356" i="28"/>
  <c r="O356" i="28" s="1"/>
  <c r="N357" i="28"/>
  <c r="N358" i="28"/>
  <c r="N359" i="28"/>
  <c r="N360" i="28"/>
  <c r="O360" i="28" s="1"/>
  <c r="N138" i="28"/>
  <c r="N361" i="28"/>
  <c r="O361" i="28" s="1"/>
  <c r="N139" i="28"/>
  <c r="N140" i="28"/>
  <c r="O140" i="28" s="1"/>
  <c r="N141" i="28"/>
  <c r="N142" i="28"/>
  <c r="O142" i="28" s="1"/>
  <c r="G142" i="28"/>
  <c r="G141" i="28"/>
  <c r="O141" i="28" s="1"/>
  <c r="G140" i="28"/>
  <c r="G139" i="28"/>
  <c r="O139" i="28" s="1"/>
  <c r="G361" i="28"/>
  <c r="G138" i="28"/>
  <c r="O138" i="28" s="1"/>
  <c r="G360" i="28"/>
  <c r="G359" i="28"/>
  <c r="O359" i="28" s="1"/>
  <c r="G358" i="28"/>
  <c r="G357" i="28"/>
  <c r="O357" i="28" s="1"/>
  <c r="G356" i="28"/>
  <c r="G137" i="28"/>
  <c r="O137" i="28" s="1"/>
  <c r="G136" i="28"/>
  <c r="G135" i="28"/>
  <c r="N355" i="28"/>
  <c r="G355" i="28"/>
  <c r="O355" i="28" s="1"/>
  <c r="N134" i="28"/>
  <c r="N133" i="28"/>
  <c r="G134" i="28"/>
  <c r="G133" i="28"/>
  <c r="O133" i="28" s="1"/>
  <c r="N354" i="28"/>
  <c r="N132" i="28"/>
  <c r="N353" i="28"/>
  <c r="N352" i="28"/>
  <c r="N351" i="28"/>
  <c r="N350" i="28"/>
  <c r="G354" i="28"/>
  <c r="G132" i="28"/>
  <c r="G353" i="28"/>
  <c r="G352" i="28"/>
  <c r="G351" i="28"/>
  <c r="G350" i="28"/>
  <c r="O350" i="28" s="1"/>
  <c r="N131" i="28"/>
  <c r="N130" i="28"/>
  <c r="O130" i="28" s="1"/>
  <c r="N349" i="28"/>
  <c r="N129" i="28"/>
  <c r="O129" i="28" s="1"/>
  <c r="N128" i="28"/>
  <c r="N348" i="28"/>
  <c r="O348" i="28" s="1"/>
  <c r="N347" i="28"/>
  <c r="G131" i="28"/>
  <c r="O131" i="28" s="1"/>
  <c r="G130" i="28"/>
  <c r="G349" i="28"/>
  <c r="O349" i="28" s="1"/>
  <c r="G129" i="28"/>
  <c r="G128" i="28"/>
  <c r="O128" i="28" s="1"/>
  <c r="G348" i="28"/>
  <c r="G347" i="28"/>
  <c r="O347" i="28" s="1"/>
  <c r="N127" i="28"/>
  <c r="G127" i="28"/>
  <c r="O127" i="28" s="1"/>
  <c r="N346" i="28"/>
  <c r="G346" i="28"/>
  <c r="O346" i="28" s="1"/>
  <c r="N345" i="28"/>
  <c r="G345" i="28"/>
  <c r="O345" i="28" s="1"/>
  <c r="O353" i="28"/>
  <c r="O351" i="28"/>
  <c r="O354" i="28"/>
  <c r="O352" i="28"/>
  <c r="O358" i="28"/>
  <c r="O135" i="28"/>
  <c r="O134" i="28"/>
  <c r="O132" i="28"/>
  <c r="N344" i="28"/>
  <c r="N343" i="28"/>
  <c r="N126" i="28"/>
  <c r="O126" i="28" s="1"/>
  <c r="N125" i="28"/>
  <c r="G344" i="28"/>
  <c r="O344" i="28" s="1"/>
  <c r="G126" i="28"/>
  <c r="G125" i="28"/>
  <c r="N124" i="28"/>
  <c r="G124" i="28"/>
  <c r="G343" i="28"/>
  <c r="O343" i="28"/>
  <c r="O125" i="28"/>
  <c r="O124" i="28"/>
  <c r="N120" i="28"/>
  <c r="G120" i="28"/>
  <c r="O120" i="28" s="1"/>
  <c r="N342" i="28"/>
  <c r="G342" i="28"/>
  <c r="N117" i="28"/>
  <c r="N118" i="28"/>
  <c r="O118" i="28" s="1"/>
  <c r="N119" i="28"/>
  <c r="N337" i="28"/>
  <c r="O337" i="28" s="1"/>
  <c r="N338" i="28"/>
  <c r="N339" i="28"/>
  <c r="N121" i="28"/>
  <c r="N122" i="28"/>
  <c r="N123" i="28"/>
  <c r="N340" i="28"/>
  <c r="O340" i="28" s="1"/>
  <c r="N341" i="28"/>
  <c r="G341" i="28"/>
  <c r="O341" i="28" s="1"/>
  <c r="G340" i="28"/>
  <c r="G123" i="28"/>
  <c r="G122" i="28"/>
  <c r="G121" i="28"/>
  <c r="O121" i="28" s="1"/>
  <c r="G339" i="28"/>
  <c r="G338" i="28"/>
  <c r="G337" i="28"/>
  <c r="G119" i="28"/>
  <c r="O119" i="28" s="1"/>
  <c r="G118" i="28"/>
  <c r="G117" i="28"/>
  <c r="O339" i="28"/>
  <c r="O117" i="28"/>
  <c r="O338" i="28"/>
  <c r="O123" i="28"/>
  <c r="O342" i="28"/>
  <c r="O122" i="28"/>
  <c r="N116" i="28"/>
  <c r="O116" i="28" s="1"/>
  <c r="G116" i="28"/>
  <c r="N115" i="28"/>
  <c r="O115" i="28" s="1"/>
  <c r="G115" i="28"/>
  <c r="N336" i="28"/>
  <c r="O336" i="28" s="1"/>
  <c r="N335" i="28"/>
  <c r="N334" i="28"/>
  <c r="N333" i="28"/>
  <c r="N332" i="28"/>
  <c r="O332" i="28" s="1"/>
  <c r="G336" i="28"/>
  <c r="G335" i="28"/>
  <c r="G334" i="28"/>
  <c r="G333" i="28"/>
  <c r="O333" i="28" s="1"/>
  <c r="G332" i="28"/>
  <c r="O334" i="28"/>
  <c r="O335" i="28"/>
  <c r="N328" i="28"/>
  <c r="N329" i="28"/>
  <c r="O329" i="28" s="1"/>
  <c r="N330" i="28"/>
  <c r="N331" i="28"/>
  <c r="O331" i="28" s="1"/>
  <c r="N114" i="28"/>
  <c r="N113" i="28"/>
  <c r="N112" i="28"/>
  <c r="N111" i="28"/>
  <c r="G331" i="28"/>
  <c r="G114" i="28"/>
  <c r="O114" i="28" s="1"/>
  <c r="G113" i="28"/>
  <c r="G112" i="28"/>
  <c r="G111" i="28"/>
  <c r="G330" i="28"/>
  <c r="G329" i="28"/>
  <c r="G328" i="28"/>
  <c r="O328" i="28" s="1"/>
  <c r="N110" i="28"/>
  <c r="N327" i="28"/>
  <c r="G110" i="28"/>
  <c r="G327" i="28"/>
  <c r="O327" i="28" s="1"/>
  <c r="N109" i="28"/>
  <c r="N326" i="28"/>
  <c r="N108" i="28"/>
  <c r="N325" i="28"/>
  <c r="N324" i="28"/>
  <c r="G109" i="28"/>
  <c r="G326" i="28"/>
  <c r="O326" i="28"/>
  <c r="O113" i="28"/>
  <c r="O109" i="28"/>
  <c r="O111" i="28"/>
  <c r="O330" i="28"/>
  <c r="O110" i="28"/>
  <c r="O112" i="28"/>
  <c r="G108" i="28"/>
  <c r="O108" i="28" s="1"/>
  <c r="G325" i="28"/>
  <c r="O325" i="28" s="1"/>
  <c r="G324" i="28"/>
  <c r="O324" i="28" s="1"/>
  <c r="N107" i="28"/>
  <c r="O107" i="28" s="1"/>
  <c r="N106" i="28"/>
  <c r="N323" i="28"/>
  <c r="G107" i="28"/>
  <c r="G106" i="28"/>
  <c r="G323" i="28"/>
  <c r="N322" i="28"/>
  <c r="N105" i="28"/>
  <c r="G322" i="28"/>
  <c r="G105" i="28"/>
  <c r="O106" i="28"/>
  <c r="O322" i="28"/>
  <c r="O323" i="28"/>
  <c r="O105" i="28"/>
  <c r="N102" i="28"/>
  <c r="N103" i="28"/>
  <c r="O103" i="28" s="1"/>
  <c r="N104" i="28"/>
  <c r="G104" i="28"/>
  <c r="G103" i="28"/>
  <c r="N321" i="28"/>
  <c r="N320" i="28"/>
  <c r="G321" i="28"/>
  <c r="G320" i="28"/>
  <c r="N319" i="28"/>
  <c r="N318" i="28"/>
  <c r="G319" i="28"/>
  <c r="O319" i="28" s="1"/>
  <c r="G318" i="28"/>
  <c r="O321" i="28"/>
  <c r="O104" i="28"/>
  <c r="O318" i="28"/>
  <c r="O320" i="28"/>
  <c r="G102" i="28"/>
  <c r="O102" i="28" s="1"/>
  <c r="N317" i="28"/>
  <c r="O317" i="28" s="1"/>
  <c r="G317" i="28"/>
  <c r="N101" i="28"/>
  <c r="O101" i="28" s="1"/>
  <c r="G101" i="28"/>
  <c r="N100" i="28"/>
  <c r="O100" i="28" s="1"/>
  <c r="N316" i="28"/>
  <c r="N315" i="28"/>
  <c r="O315" i="28" s="1"/>
  <c r="N99" i="28"/>
  <c r="N314" i="28"/>
  <c r="O314" i="28" s="1"/>
  <c r="N313" i="28"/>
  <c r="N312" i="28"/>
  <c r="O312" i="28" s="1"/>
  <c r="G100" i="28"/>
  <c r="G316" i="28"/>
  <c r="O316" i="28" s="1"/>
  <c r="G315" i="28"/>
  <c r="G99" i="28"/>
  <c r="G314" i="28"/>
  <c r="G313" i="28"/>
  <c r="O313" i="28" s="1"/>
  <c r="G312" i="28"/>
  <c r="N90" i="28"/>
  <c r="O90" i="28" s="1"/>
  <c r="N91" i="28"/>
  <c r="N92" i="28"/>
  <c r="O92" i="28" s="1"/>
  <c r="N93" i="28"/>
  <c r="N94" i="28"/>
  <c r="O94" i="28" s="1"/>
  <c r="N95" i="28"/>
  <c r="N96" i="28"/>
  <c r="N97" i="28"/>
  <c r="N98" i="28"/>
  <c r="O98" i="28" s="1"/>
  <c r="G98" i="28"/>
  <c r="G97" i="28"/>
  <c r="O97" i="28" s="1"/>
  <c r="G96" i="28"/>
  <c r="G95" i="28"/>
  <c r="O95" i="28" s="1"/>
  <c r="G94" i="28"/>
  <c r="G93" i="28"/>
  <c r="O93" i="28" s="1"/>
  <c r="G92" i="28"/>
  <c r="G91" i="28"/>
  <c r="O91" i="28" s="1"/>
  <c r="G90" i="28"/>
  <c r="N311" i="28"/>
  <c r="N310" i="28"/>
  <c r="N309" i="28"/>
  <c r="O309" i="28" s="1"/>
  <c r="N308" i="28"/>
  <c r="G311" i="28"/>
  <c r="O311" i="28" s="1"/>
  <c r="G310" i="28"/>
  <c r="O310" i="28"/>
  <c r="G309" i="28"/>
  <c r="G308" i="28"/>
  <c r="O308" i="28" s="1"/>
  <c r="O99" i="28"/>
  <c r="O96" i="28"/>
  <c r="N89" i="28"/>
  <c r="N88" i="28"/>
  <c r="G89" i="28"/>
  <c r="G88" i="28"/>
  <c r="G87" i="28"/>
  <c r="N307" i="28"/>
  <c r="N306" i="28"/>
  <c r="G307" i="28"/>
  <c r="G306" i="28"/>
  <c r="O306" i="28" s="1"/>
  <c r="N87" i="28"/>
  <c r="N86" i="28"/>
  <c r="N85" i="28"/>
  <c r="N84" i="28"/>
  <c r="N305" i="28"/>
  <c r="G86" i="28"/>
  <c r="G85" i="28"/>
  <c r="G84" i="28"/>
  <c r="O84" i="28" s="1"/>
  <c r="G305" i="28"/>
  <c r="O305" i="28"/>
  <c r="O88" i="28"/>
  <c r="O89" i="28"/>
  <c r="O307" i="28"/>
  <c r="O86" i="28"/>
  <c r="O85" i="28"/>
  <c r="O87" i="28"/>
  <c r="N300" i="28"/>
  <c r="N301" i="28"/>
  <c r="O301" i="28" s="1"/>
  <c r="N302" i="28"/>
  <c r="N303" i="28"/>
  <c r="N304" i="28"/>
  <c r="N81" i="28"/>
  <c r="O81" i="28" s="1"/>
  <c r="N82" i="28"/>
  <c r="N83" i="28"/>
  <c r="G83" i="28"/>
  <c r="G82" i="28"/>
  <c r="G81" i="28"/>
  <c r="G304" i="28"/>
  <c r="O304" i="28" s="1"/>
  <c r="G303" i="28"/>
  <c r="G302" i="28"/>
  <c r="G301" i="28"/>
  <c r="G300" i="28"/>
  <c r="O300" i="28" s="1"/>
  <c r="O303" i="28"/>
  <c r="O83" i="28"/>
  <c r="O302" i="28"/>
  <c r="O82" i="28"/>
  <c r="N292" i="28"/>
  <c r="N293" i="28"/>
  <c r="O293" i="28" s="1"/>
  <c r="N76" i="28"/>
  <c r="N294" i="28"/>
  <c r="N295" i="28"/>
  <c r="N296" i="28"/>
  <c r="O296" i="28" s="1"/>
  <c r="N297" i="28"/>
  <c r="N77" i="28"/>
  <c r="N78" i="28"/>
  <c r="N79" i="28"/>
  <c r="O79" i="28" s="1"/>
  <c r="N80" i="28"/>
  <c r="N298" i="28"/>
  <c r="N299" i="28"/>
  <c r="G299" i="28"/>
  <c r="O299" i="28" s="1"/>
  <c r="G298" i="28"/>
  <c r="G80" i="28"/>
  <c r="O80" i="28" s="1"/>
  <c r="G79" i="28"/>
  <c r="G78" i="28"/>
  <c r="G77" i="28"/>
  <c r="G297" i="28"/>
  <c r="G296" i="28"/>
  <c r="G295" i="28"/>
  <c r="G294" i="28"/>
  <c r="G76" i="28"/>
  <c r="O76" i="28" s="1"/>
  <c r="G293" i="28"/>
  <c r="G292" i="28"/>
  <c r="O292" i="28" s="1"/>
  <c r="O297" i="28"/>
  <c r="O294" i="28"/>
  <c r="O298" i="28"/>
  <c r="O295" i="28"/>
  <c r="O77" i="28"/>
  <c r="O78" i="28"/>
  <c r="N75" i="28"/>
  <c r="N74" i="28"/>
  <c r="G74" i="28"/>
  <c r="G75" i="28"/>
  <c r="N291" i="28"/>
  <c r="G291" i="28"/>
  <c r="G67" i="28"/>
  <c r="N67" i="28"/>
  <c r="G71" i="28"/>
  <c r="N71" i="28"/>
  <c r="G72" i="28"/>
  <c r="N72" i="28"/>
  <c r="G73" i="28"/>
  <c r="N73" i="28"/>
  <c r="G65" i="28"/>
  <c r="N65" i="28"/>
  <c r="G70" i="28"/>
  <c r="N70" i="28"/>
  <c r="G64" i="28"/>
  <c r="N64" i="28"/>
  <c r="G69" i="28"/>
  <c r="N69" i="28"/>
  <c r="G66" i="28"/>
  <c r="N66" i="28"/>
  <c r="G68" i="28"/>
  <c r="N68" i="28"/>
  <c r="G290" i="28"/>
  <c r="N290" i="28"/>
  <c r="G53" i="28"/>
  <c r="N53" i="28"/>
  <c r="G54" i="28"/>
  <c r="N54" i="28"/>
  <c r="G58" i="28"/>
  <c r="N58" i="28"/>
  <c r="G283" i="28"/>
  <c r="N283" i="28"/>
  <c r="G288" i="28"/>
  <c r="N288" i="28"/>
  <c r="G282" i="28"/>
  <c r="N282" i="28"/>
  <c r="G284" i="28"/>
  <c r="N284" i="28"/>
  <c r="G285" i="28"/>
  <c r="N285" i="28"/>
  <c r="G286" i="28"/>
  <c r="N286" i="28"/>
  <c r="G287" i="28"/>
  <c r="N287" i="28"/>
  <c r="G289" i="28"/>
  <c r="N289" i="28"/>
  <c r="G55" i="28"/>
  <c r="N55" i="28"/>
  <c r="G273" i="28"/>
  <c r="N273" i="28"/>
  <c r="G274" i="28"/>
  <c r="N274" i="28"/>
  <c r="G275" i="28"/>
  <c r="N275" i="28"/>
  <c r="G276" i="28"/>
  <c r="N276" i="28"/>
  <c r="G277" i="28"/>
  <c r="N277" i="28"/>
  <c r="G278" i="28"/>
  <c r="N278" i="28"/>
  <c r="G279" i="28"/>
  <c r="N279" i="28"/>
  <c r="G280" i="28"/>
  <c r="N280" i="28"/>
  <c r="G281" i="28"/>
  <c r="N281" i="28"/>
  <c r="N61" i="28"/>
  <c r="G61" i="28"/>
  <c r="N62" i="28"/>
  <c r="G62" i="28"/>
  <c r="N63" i="28"/>
  <c r="G63" i="28"/>
  <c r="G60" i="28"/>
  <c r="N60" i="28"/>
  <c r="N59" i="28"/>
  <c r="G59" i="28"/>
  <c r="G40" i="28"/>
  <c r="N40" i="28"/>
  <c r="G41" i="28"/>
  <c r="N41" i="28"/>
  <c r="G42" i="28"/>
  <c r="N42" i="28"/>
  <c r="G43" i="28"/>
  <c r="N43" i="28"/>
  <c r="G44" i="28"/>
  <c r="N44" i="28"/>
  <c r="G45" i="28"/>
  <c r="N45" i="28"/>
  <c r="G46" i="28"/>
  <c r="N46" i="28"/>
  <c r="G47" i="28"/>
  <c r="N47" i="28"/>
  <c r="G48" i="28"/>
  <c r="N48" i="28"/>
  <c r="G49" i="28"/>
  <c r="N49" i="28"/>
  <c r="G50" i="28"/>
  <c r="N50" i="28"/>
  <c r="G51" i="28"/>
  <c r="N51" i="28"/>
  <c r="G52" i="28"/>
  <c r="N52" i="28"/>
  <c r="G56" i="28"/>
  <c r="N56" i="28"/>
  <c r="G57" i="28"/>
  <c r="N57" i="28"/>
  <c r="G265" i="28"/>
  <c r="N265" i="28"/>
  <c r="G266" i="28"/>
  <c r="N266" i="28"/>
  <c r="G267" i="28"/>
  <c r="N267" i="28"/>
  <c r="G268" i="28"/>
  <c r="N268" i="28"/>
  <c r="G269" i="28"/>
  <c r="N269" i="28"/>
  <c r="G270" i="28"/>
  <c r="N270" i="28"/>
  <c r="G271" i="28"/>
  <c r="N271" i="28"/>
  <c r="G272" i="28"/>
  <c r="N272" i="28"/>
  <c r="F600" i="28"/>
  <c r="F619" i="28"/>
  <c r="F589" i="28"/>
  <c r="F865" i="35"/>
  <c r="F845" i="35"/>
  <c r="F933" i="35"/>
  <c r="F1030" i="35"/>
  <c r="H572" i="35"/>
  <c r="M572" i="35"/>
  <c r="N572" i="35" s="1"/>
  <c r="H573" i="35"/>
  <c r="M573" i="35"/>
  <c r="H574" i="35"/>
  <c r="M574" i="35"/>
  <c r="H575" i="35"/>
  <c r="M575" i="35"/>
  <c r="H576" i="35"/>
  <c r="K576" i="35"/>
  <c r="M576" i="35" s="1"/>
  <c r="H577" i="35"/>
  <c r="M577" i="35"/>
  <c r="N577" i="35"/>
  <c r="H578" i="35"/>
  <c r="M578" i="35"/>
  <c r="H579" i="35"/>
  <c r="M579" i="35"/>
  <c r="N579" i="35" s="1"/>
  <c r="H580" i="35"/>
  <c r="N580" i="35" s="1"/>
  <c r="K580" i="35"/>
  <c r="M580" i="35" s="1"/>
  <c r="H581" i="35"/>
  <c r="M581" i="35"/>
  <c r="H582" i="35"/>
  <c r="M582" i="35"/>
  <c r="H583" i="35"/>
  <c r="M583" i="35"/>
  <c r="H584" i="35"/>
  <c r="M584" i="35"/>
  <c r="H585" i="35"/>
  <c r="M585" i="35"/>
  <c r="N585" i="35"/>
  <c r="H586" i="35"/>
  <c r="M586" i="35"/>
  <c r="N586" i="35" s="1"/>
  <c r="H587" i="35"/>
  <c r="K587" i="35"/>
  <c r="M587" i="35" s="1"/>
  <c r="H588" i="35"/>
  <c r="M588" i="35"/>
  <c r="N588" i="35"/>
  <c r="H589" i="35"/>
  <c r="N589" i="35"/>
  <c r="M589" i="35"/>
  <c r="H590" i="35"/>
  <c r="K590" i="35"/>
  <c r="M590" i="35"/>
  <c r="H591" i="35"/>
  <c r="M591" i="35"/>
  <c r="H592" i="35"/>
  <c r="M592" i="35"/>
  <c r="N592" i="35" s="1"/>
  <c r="H593" i="35"/>
  <c r="M593" i="35"/>
  <c r="H594" i="35"/>
  <c r="N594" i="35" s="1"/>
  <c r="M594" i="35"/>
  <c r="H595" i="35"/>
  <c r="K595" i="35"/>
  <c r="M595" i="35" s="1"/>
  <c r="N595" i="35"/>
  <c r="H596" i="35"/>
  <c r="M596" i="35"/>
  <c r="H597" i="35"/>
  <c r="K597" i="35"/>
  <c r="M597" i="35" s="1"/>
  <c r="H598" i="35"/>
  <c r="K598" i="35"/>
  <c r="M598" i="35"/>
  <c r="H599" i="35"/>
  <c r="K599" i="35"/>
  <c r="M599" i="35" s="1"/>
  <c r="H600" i="35"/>
  <c r="N600" i="35" s="1"/>
  <c r="M600" i="35"/>
  <c r="H601" i="35"/>
  <c r="M601" i="35"/>
  <c r="H602" i="35"/>
  <c r="M602" i="35"/>
  <c r="H603" i="35"/>
  <c r="M603" i="35"/>
  <c r="H604" i="35"/>
  <c r="J604" i="35"/>
  <c r="M604" i="35" s="1"/>
  <c r="H605" i="35"/>
  <c r="M605" i="35"/>
  <c r="H606" i="35"/>
  <c r="M606" i="35"/>
  <c r="H607" i="35"/>
  <c r="N607" i="35" s="1"/>
  <c r="M607" i="35"/>
  <c r="H608" i="35"/>
  <c r="M608" i="35"/>
  <c r="N608" i="35" s="1"/>
  <c r="H609" i="35"/>
  <c r="M609" i="35"/>
  <c r="H610" i="35"/>
  <c r="M610" i="35"/>
  <c r="H611" i="35"/>
  <c r="N611" i="35" s="1"/>
  <c r="M611" i="35"/>
  <c r="H612" i="35"/>
  <c r="M612" i="35"/>
  <c r="N612" i="35" s="1"/>
  <c r="H613" i="35"/>
  <c r="M613" i="35"/>
  <c r="N613" i="35"/>
  <c r="H614" i="35"/>
  <c r="M614" i="35"/>
  <c r="N614" i="35" s="1"/>
  <c r="H615" i="35"/>
  <c r="M615" i="35"/>
  <c r="H616" i="35"/>
  <c r="M616" i="35"/>
  <c r="N616" i="35" s="1"/>
  <c r="H617" i="35"/>
  <c r="M617" i="35"/>
  <c r="H618" i="35"/>
  <c r="M618" i="35"/>
  <c r="H619" i="35"/>
  <c r="M619" i="35"/>
  <c r="N619" i="35" s="1"/>
  <c r="H620" i="35"/>
  <c r="M620" i="35"/>
  <c r="H621" i="35"/>
  <c r="M621" i="35"/>
  <c r="N621" i="35"/>
  <c r="H622" i="35"/>
  <c r="J622" i="35"/>
  <c r="M622" i="35" s="1"/>
  <c r="H623" i="35"/>
  <c r="M623" i="35"/>
  <c r="H624" i="35"/>
  <c r="N624" i="35" s="1"/>
  <c r="M624" i="35"/>
  <c r="H625" i="35"/>
  <c r="M625" i="35"/>
  <c r="N625" i="35" s="1"/>
  <c r="H626" i="35"/>
  <c r="M626" i="35"/>
  <c r="H627" i="35"/>
  <c r="M627" i="35"/>
  <c r="N627" i="35"/>
  <c r="H628" i="35"/>
  <c r="N628" i="35"/>
  <c r="M628" i="35"/>
  <c r="H629" i="35"/>
  <c r="M629" i="35"/>
  <c r="N629" i="35"/>
  <c r="H630" i="35"/>
  <c r="M630" i="35"/>
  <c r="N630" i="35" s="1"/>
  <c r="H631" i="35"/>
  <c r="M631" i="35"/>
  <c r="H632" i="35"/>
  <c r="M632" i="35"/>
  <c r="N632" i="35"/>
  <c r="H633" i="35"/>
  <c r="M633" i="35"/>
  <c r="H634" i="35"/>
  <c r="M634" i="35"/>
  <c r="N634" i="35" s="1"/>
  <c r="H635" i="35"/>
  <c r="M635" i="35"/>
  <c r="N635" i="35"/>
  <c r="H636" i="35"/>
  <c r="M636" i="35"/>
  <c r="H637" i="35"/>
  <c r="J637" i="35"/>
  <c r="M637" i="35" s="1"/>
  <c r="N637" i="35" s="1"/>
  <c r="H638" i="35"/>
  <c r="M638" i="35"/>
  <c r="N638" i="35" s="1"/>
  <c r="H639" i="35"/>
  <c r="M639" i="35"/>
  <c r="N639" i="35"/>
  <c r="H640" i="35"/>
  <c r="M640" i="35"/>
  <c r="H641" i="35"/>
  <c r="J641" i="35"/>
  <c r="M641" i="35" s="1"/>
  <c r="H642" i="35"/>
  <c r="M642" i="35"/>
  <c r="H643" i="35"/>
  <c r="M643" i="35"/>
  <c r="N643" i="35" s="1"/>
  <c r="H644" i="35"/>
  <c r="N644" i="35"/>
  <c r="M644" i="35"/>
  <c r="H645" i="35"/>
  <c r="N645" i="35" s="1"/>
  <c r="M645" i="35"/>
  <c r="H646" i="35"/>
  <c r="M646" i="35"/>
  <c r="H647" i="35"/>
  <c r="N647" i="35" s="1"/>
  <c r="M647" i="35"/>
  <c r="H648" i="35"/>
  <c r="N648" i="35" s="1"/>
  <c r="M648" i="35"/>
  <c r="H649" i="35"/>
  <c r="J649" i="35"/>
  <c r="M649" i="35" s="1"/>
  <c r="N649" i="35"/>
  <c r="H650" i="35"/>
  <c r="M650" i="35"/>
  <c r="H651" i="35"/>
  <c r="N651" i="35"/>
  <c r="M651" i="35"/>
  <c r="H652" i="35"/>
  <c r="M652" i="35"/>
  <c r="H653" i="35"/>
  <c r="N653" i="35" s="1"/>
  <c r="M653" i="35"/>
  <c r="H654" i="35"/>
  <c r="M654" i="35"/>
  <c r="N654" i="35" s="1"/>
  <c r="H655" i="35"/>
  <c r="N655" i="35" s="1"/>
  <c r="M655" i="35"/>
  <c r="H656" i="35"/>
  <c r="M656" i="35"/>
  <c r="N656" i="35" s="1"/>
  <c r="H657" i="35"/>
  <c r="N657" i="35" s="1"/>
  <c r="M657" i="35"/>
  <c r="H658" i="35"/>
  <c r="M658" i="35"/>
  <c r="H659" i="35"/>
  <c r="M659" i="35"/>
  <c r="N659" i="35" s="1"/>
  <c r="H660" i="35"/>
  <c r="M660" i="35"/>
  <c r="H661" i="35"/>
  <c r="M661" i="35"/>
  <c r="N661" i="35"/>
  <c r="H662" i="35"/>
  <c r="M662" i="35"/>
  <c r="N662" i="35" s="1"/>
  <c r="H663" i="35"/>
  <c r="M663" i="35"/>
  <c r="N663" i="35" s="1"/>
  <c r="H664" i="35"/>
  <c r="M664" i="35"/>
  <c r="N664" i="35" s="1"/>
  <c r="H665" i="35"/>
  <c r="J665" i="35"/>
  <c r="M665" i="35" s="1"/>
  <c r="N665" i="35" s="1"/>
  <c r="H666" i="35"/>
  <c r="M666" i="35"/>
  <c r="H667" i="35"/>
  <c r="M667" i="35"/>
  <c r="N667" i="35" s="1"/>
  <c r="H668" i="35"/>
  <c r="K668" i="35"/>
  <c r="M668" i="35"/>
  <c r="H669" i="35"/>
  <c r="J669" i="35"/>
  <c r="M669" i="35" s="1"/>
  <c r="H670" i="35"/>
  <c r="N670" i="35" s="1"/>
  <c r="J670" i="35"/>
  <c r="M670" i="35"/>
  <c r="H671" i="35"/>
  <c r="J671" i="35"/>
  <c r="M671" i="35" s="1"/>
  <c r="H672" i="35"/>
  <c r="M672" i="35"/>
  <c r="H673" i="35"/>
  <c r="M673" i="35"/>
  <c r="H674" i="35"/>
  <c r="M674" i="35"/>
  <c r="N674" i="35"/>
  <c r="H675" i="35"/>
  <c r="M675" i="35"/>
  <c r="H676" i="35"/>
  <c r="K676" i="35"/>
  <c r="M676" i="35" s="1"/>
  <c r="H677" i="35"/>
  <c r="N677" i="35" s="1"/>
  <c r="K677" i="35"/>
  <c r="M677" i="35"/>
  <c r="H678" i="35"/>
  <c r="N678" i="35"/>
  <c r="M678" i="35"/>
  <c r="H679" i="35"/>
  <c r="N679" i="35" s="1"/>
  <c r="M679" i="35"/>
  <c r="H680" i="35"/>
  <c r="N680" i="35" s="1"/>
  <c r="M680" i="35"/>
  <c r="H681" i="35"/>
  <c r="M681" i="35"/>
  <c r="N681" i="35" s="1"/>
  <c r="H682" i="35"/>
  <c r="M682" i="35"/>
  <c r="H683" i="35"/>
  <c r="K683" i="35"/>
  <c r="M683" i="35"/>
  <c r="H684" i="35"/>
  <c r="M684" i="35"/>
  <c r="H685" i="35"/>
  <c r="J685" i="35"/>
  <c r="M685" i="35" s="1"/>
  <c r="N685" i="35" s="1"/>
  <c r="H686" i="35"/>
  <c r="M686" i="35"/>
  <c r="H687" i="35"/>
  <c r="J687" i="35"/>
  <c r="M687" i="35" s="1"/>
  <c r="N687" i="35" s="1"/>
  <c r="H688" i="35"/>
  <c r="M688" i="35"/>
  <c r="N688" i="35"/>
  <c r="H689" i="35"/>
  <c r="J689" i="35"/>
  <c r="M689" i="35" s="1"/>
  <c r="H342" i="35"/>
  <c r="N342" i="35" s="1"/>
  <c r="M342" i="35"/>
  <c r="H343" i="35"/>
  <c r="M343" i="35"/>
  <c r="N343" i="35"/>
  <c r="H344" i="35"/>
  <c r="M344" i="35"/>
  <c r="N344" i="35" s="1"/>
  <c r="H345" i="35"/>
  <c r="M345" i="35"/>
  <c r="N345" i="35"/>
  <c r="H346" i="35"/>
  <c r="M346" i="35"/>
  <c r="H347" i="35"/>
  <c r="M347" i="35"/>
  <c r="H348" i="35"/>
  <c r="M348" i="35"/>
  <c r="N348" i="35" s="1"/>
  <c r="H349" i="35"/>
  <c r="M349" i="35"/>
  <c r="H350" i="35"/>
  <c r="M350" i="35"/>
  <c r="H351" i="35"/>
  <c r="N351" i="35" s="1"/>
  <c r="M351" i="35"/>
  <c r="H352" i="35"/>
  <c r="M352" i="35"/>
  <c r="N352" i="35" s="1"/>
  <c r="H353" i="35"/>
  <c r="M353" i="35"/>
  <c r="H354" i="35"/>
  <c r="M354" i="35"/>
  <c r="N354" i="35"/>
  <c r="H355" i="35"/>
  <c r="N355" i="35"/>
  <c r="M355" i="35"/>
  <c r="H356" i="35"/>
  <c r="M356" i="35"/>
  <c r="N356" i="35"/>
  <c r="H357" i="35"/>
  <c r="N357" i="35"/>
  <c r="M357" i="35"/>
  <c r="H358" i="35"/>
  <c r="N358" i="35" s="1"/>
  <c r="M358" i="35"/>
  <c r="H359" i="35"/>
  <c r="M359" i="35"/>
  <c r="N359" i="35"/>
  <c r="H360" i="35"/>
  <c r="M360" i="35"/>
  <c r="H361" i="35"/>
  <c r="M361" i="35"/>
  <c r="N361" i="35" s="1"/>
  <c r="H362" i="35"/>
  <c r="M362" i="35"/>
  <c r="N362" i="35"/>
  <c r="H363" i="35"/>
  <c r="M363" i="35"/>
  <c r="H364" i="35"/>
  <c r="M364" i="35"/>
  <c r="N364" i="35" s="1"/>
  <c r="H365" i="35"/>
  <c r="M365" i="35"/>
  <c r="N365" i="35"/>
  <c r="H366" i="35"/>
  <c r="M366" i="35"/>
  <c r="H367" i="35"/>
  <c r="N367" i="35"/>
  <c r="M367" i="35"/>
  <c r="H368" i="35"/>
  <c r="M368" i="35"/>
  <c r="N368" i="35"/>
  <c r="H369" i="35"/>
  <c r="M369" i="35"/>
  <c r="N369" i="35" s="1"/>
  <c r="H370" i="35"/>
  <c r="M370" i="35"/>
  <c r="N370" i="35" s="1"/>
  <c r="H371" i="35"/>
  <c r="M371" i="35"/>
  <c r="H372" i="35"/>
  <c r="M372" i="35"/>
  <c r="N372" i="35"/>
  <c r="H373" i="35"/>
  <c r="M373" i="35"/>
  <c r="N373" i="35" s="1"/>
  <c r="H374" i="35"/>
  <c r="N374" i="35" s="1"/>
  <c r="M374" i="35"/>
  <c r="H375" i="35"/>
  <c r="N375" i="35" s="1"/>
  <c r="K375" i="35"/>
  <c r="M375" i="35"/>
  <c r="H376" i="35"/>
  <c r="N376" i="35"/>
  <c r="M376" i="35"/>
  <c r="H377" i="35"/>
  <c r="M377" i="35"/>
  <c r="H378" i="35"/>
  <c r="N378" i="35" s="1"/>
  <c r="M378" i="35"/>
  <c r="H379" i="35"/>
  <c r="K379" i="35"/>
  <c r="M379" i="35" s="1"/>
  <c r="H380" i="35"/>
  <c r="N380" i="35" s="1"/>
  <c r="M380" i="35"/>
  <c r="H381" i="35"/>
  <c r="M381" i="35"/>
  <c r="N381" i="35"/>
  <c r="H382" i="35"/>
  <c r="M382" i="35"/>
  <c r="N382" i="35" s="1"/>
  <c r="H383" i="35"/>
  <c r="M383" i="35"/>
  <c r="N383" i="35" s="1"/>
  <c r="H384" i="35"/>
  <c r="M384" i="35"/>
  <c r="N384" i="35" s="1"/>
  <c r="H385" i="35"/>
  <c r="K385" i="35"/>
  <c r="M385" i="35"/>
  <c r="H386" i="35"/>
  <c r="M386" i="35"/>
  <c r="H387" i="35"/>
  <c r="M387" i="35"/>
  <c r="N387" i="35" s="1"/>
  <c r="H388" i="35"/>
  <c r="N388" i="35" s="1"/>
  <c r="M388" i="35"/>
  <c r="H389" i="35"/>
  <c r="M389" i="35"/>
  <c r="N389" i="35" s="1"/>
  <c r="H390" i="35"/>
  <c r="M390" i="35"/>
  <c r="N390" i="35"/>
  <c r="H391" i="35"/>
  <c r="M391" i="35"/>
  <c r="H392" i="35"/>
  <c r="N392" i="35"/>
  <c r="M392" i="35"/>
  <c r="H393" i="35"/>
  <c r="N393" i="35" s="1"/>
  <c r="M393" i="35"/>
  <c r="H394" i="35"/>
  <c r="N394" i="35" s="1"/>
  <c r="M394" i="35"/>
  <c r="H395" i="35"/>
  <c r="M395" i="35"/>
  <c r="H396" i="35"/>
  <c r="N396" i="35"/>
  <c r="M396" i="35"/>
  <c r="H397" i="35"/>
  <c r="M397" i="35"/>
  <c r="H398" i="35"/>
  <c r="M398" i="35"/>
  <c r="H399" i="35"/>
  <c r="M399" i="35"/>
  <c r="N399" i="35" s="1"/>
  <c r="H400" i="35"/>
  <c r="M400" i="35"/>
  <c r="N400" i="35" s="1"/>
  <c r="H401" i="35"/>
  <c r="M401" i="35"/>
  <c r="H402" i="35"/>
  <c r="K402" i="35"/>
  <c r="M402" i="35"/>
  <c r="H403" i="35"/>
  <c r="N403" i="35"/>
  <c r="M403" i="35"/>
  <c r="H404" i="35"/>
  <c r="M404" i="35"/>
  <c r="N404" i="35"/>
  <c r="H405" i="35"/>
  <c r="M405" i="35"/>
  <c r="H406" i="35"/>
  <c r="M406" i="35"/>
  <c r="N406" i="35" s="1"/>
  <c r="H407" i="35"/>
  <c r="M407" i="35"/>
  <c r="H408" i="35"/>
  <c r="M408" i="35"/>
  <c r="N408" i="35"/>
  <c r="H409" i="35"/>
  <c r="M409" i="35"/>
  <c r="N409" i="35" s="1"/>
  <c r="H410" i="35"/>
  <c r="J410" i="35"/>
  <c r="M410" i="35"/>
  <c r="H411" i="35"/>
  <c r="M411" i="35"/>
  <c r="N411" i="35" s="1"/>
  <c r="H412" i="35"/>
  <c r="M412" i="35"/>
  <c r="H413" i="35"/>
  <c r="M413" i="35"/>
  <c r="N413" i="35"/>
  <c r="H414" i="35"/>
  <c r="N414" i="35"/>
  <c r="M414" i="35"/>
  <c r="H415" i="35"/>
  <c r="N415" i="35" s="1"/>
  <c r="J415" i="35"/>
  <c r="M415" i="35" s="1"/>
  <c r="H416" i="35"/>
  <c r="N416" i="35" s="1"/>
  <c r="M416" i="35"/>
  <c r="H417" i="35"/>
  <c r="N417" i="35" s="1"/>
  <c r="M417" i="35"/>
  <c r="H418" i="35"/>
  <c r="M418" i="35"/>
  <c r="H419" i="35"/>
  <c r="N419" i="35"/>
  <c r="M419" i="35"/>
  <c r="H420" i="35"/>
  <c r="M420" i="35"/>
  <c r="N420" i="35"/>
  <c r="H421" i="35"/>
  <c r="M421" i="35"/>
  <c r="N421" i="35" s="1"/>
  <c r="H422" i="35"/>
  <c r="M422" i="35"/>
  <c r="N422" i="35"/>
  <c r="H423" i="35"/>
  <c r="M423" i="35"/>
  <c r="N423" i="35" s="1"/>
  <c r="H424" i="35"/>
  <c r="M424" i="35"/>
  <c r="N424" i="35" s="1"/>
  <c r="H425" i="35"/>
  <c r="J425" i="35"/>
  <c r="M425" i="35"/>
  <c r="H426" i="35"/>
  <c r="N426" i="35"/>
  <c r="M426" i="35"/>
  <c r="H427" i="35"/>
  <c r="M427" i="35"/>
  <c r="H428" i="35"/>
  <c r="M428" i="35"/>
  <c r="H429" i="35"/>
  <c r="M429" i="35"/>
  <c r="H430" i="35"/>
  <c r="N430" i="35"/>
  <c r="M430" i="35"/>
  <c r="H431" i="35"/>
  <c r="M431" i="35"/>
  <c r="N431" i="35"/>
  <c r="H432" i="35"/>
  <c r="M432" i="35"/>
  <c r="N432" i="35" s="1"/>
  <c r="H433" i="35"/>
  <c r="J433" i="35"/>
  <c r="M433" i="35" s="1"/>
  <c r="H434" i="35"/>
  <c r="M434" i="35"/>
  <c r="H435" i="35"/>
  <c r="M435" i="35"/>
  <c r="H436" i="35"/>
  <c r="M436" i="35"/>
  <c r="N436" i="35" s="1"/>
  <c r="H437" i="35"/>
  <c r="N437" i="35"/>
  <c r="M437" i="35"/>
  <c r="H438" i="35"/>
  <c r="N438" i="35" s="1"/>
  <c r="M438" i="35"/>
  <c r="H439" i="35"/>
  <c r="N439" i="35" s="1"/>
  <c r="M439" i="35"/>
  <c r="H440" i="35"/>
  <c r="M440" i="35"/>
  <c r="H441" i="35"/>
  <c r="M441" i="35"/>
  <c r="N441" i="35" s="1"/>
  <c r="H442" i="35"/>
  <c r="N442" i="35" s="1"/>
  <c r="M442" i="35"/>
  <c r="H443" i="35"/>
  <c r="N443" i="35" s="1"/>
  <c r="M443" i="35"/>
  <c r="H444" i="35"/>
  <c r="N444" i="35" s="1"/>
  <c r="M444" i="35"/>
  <c r="H445" i="35"/>
  <c r="N445" i="35" s="1"/>
  <c r="M445" i="35"/>
  <c r="H446" i="35"/>
  <c r="M446" i="35"/>
  <c r="H447" i="35"/>
  <c r="M447" i="35"/>
  <c r="N447" i="35" s="1"/>
  <c r="H448" i="35"/>
  <c r="M448" i="35"/>
  <c r="H449" i="35"/>
  <c r="N449" i="35" s="1"/>
  <c r="M449" i="35"/>
  <c r="H450" i="35"/>
  <c r="M450" i="35"/>
  <c r="N450" i="35" s="1"/>
  <c r="H451" i="35"/>
  <c r="N451" i="35" s="1"/>
  <c r="M451" i="35"/>
  <c r="H452" i="35"/>
  <c r="M452" i="35"/>
  <c r="N452" i="35"/>
  <c r="H453" i="35"/>
  <c r="N453" i="35"/>
  <c r="M453" i="35"/>
  <c r="H454" i="35"/>
  <c r="M454" i="35"/>
  <c r="N454" i="35"/>
  <c r="H455" i="35"/>
  <c r="N455" i="35"/>
  <c r="M455" i="35"/>
  <c r="H456" i="35"/>
  <c r="N456" i="35" s="1"/>
  <c r="M456" i="35"/>
  <c r="H457" i="35"/>
  <c r="N457" i="35" s="1"/>
  <c r="M457" i="35"/>
  <c r="H458" i="35"/>
  <c r="M458" i="35"/>
  <c r="N458" i="35" s="1"/>
  <c r="H459" i="35"/>
  <c r="M459" i="35"/>
  <c r="N459" i="35"/>
  <c r="H460" i="35"/>
  <c r="M460" i="35"/>
  <c r="H461" i="35"/>
  <c r="M461" i="35"/>
  <c r="N461" i="35" s="1"/>
  <c r="H462" i="35"/>
  <c r="M462" i="35"/>
  <c r="N462" i="35" s="1"/>
  <c r="H463" i="35"/>
  <c r="M463" i="35"/>
  <c r="N463" i="35"/>
  <c r="H464" i="35"/>
  <c r="M464" i="35"/>
  <c r="H465" i="35"/>
  <c r="M465" i="35"/>
  <c r="N465" i="35" s="1"/>
  <c r="H466" i="35"/>
  <c r="N466" i="35" s="1"/>
  <c r="M466" i="35"/>
  <c r="H467" i="35"/>
  <c r="M467" i="35"/>
  <c r="H468" i="35"/>
  <c r="M468" i="35"/>
  <c r="N468" i="35"/>
  <c r="H469" i="35"/>
  <c r="N469" i="35"/>
  <c r="M469" i="35"/>
  <c r="H470" i="35"/>
  <c r="J470" i="35"/>
  <c r="M470" i="35"/>
  <c r="H471" i="35"/>
  <c r="M471" i="35"/>
  <c r="H472" i="35"/>
  <c r="M472" i="35"/>
  <c r="H473" i="35"/>
  <c r="M473" i="35"/>
  <c r="H474" i="35"/>
  <c r="M474" i="35"/>
  <c r="H475" i="35"/>
  <c r="M475" i="35"/>
  <c r="N475" i="35" s="1"/>
  <c r="H476" i="35"/>
  <c r="M476" i="35"/>
  <c r="H477" i="35"/>
  <c r="M477" i="35"/>
  <c r="N477" i="35" s="1"/>
  <c r="H478" i="35"/>
  <c r="J478" i="35"/>
  <c r="M478" i="35" s="1"/>
  <c r="H479" i="35"/>
  <c r="M479" i="35"/>
  <c r="H480" i="35"/>
  <c r="M480" i="35"/>
  <c r="H481" i="35"/>
  <c r="N481" i="35"/>
  <c r="M481" i="35"/>
  <c r="H482" i="35"/>
  <c r="M482" i="35"/>
  <c r="H483" i="35"/>
  <c r="M483" i="35"/>
  <c r="N483" i="35"/>
  <c r="H484" i="35"/>
  <c r="M484" i="35"/>
  <c r="N484" i="35" s="1"/>
  <c r="H485" i="35"/>
  <c r="M485" i="35"/>
  <c r="H486" i="35"/>
  <c r="M486" i="35"/>
  <c r="N486" i="35"/>
  <c r="H487" i="35"/>
  <c r="N487" i="35"/>
  <c r="M487" i="35"/>
  <c r="H488" i="35"/>
  <c r="M488" i="35"/>
  <c r="H489" i="35"/>
  <c r="M489" i="35"/>
  <c r="N489" i="35"/>
  <c r="H490" i="35"/>
  <c r="M490" i="35"/>
  <c r="N490" i="35" s="1"/>
  <c r="H491" i="35"/>
  <c r="M491" i="35"/>
  <c r="N491" i="35"/>
  <c r="H492" i="35"/>
  <c r="M492" i="35"/>
  <c r="N492" i="35" s="1"/>
  <c r="H493" i="35"/>
  <c r="M493" i="35"/>
  <c r="H494" i="35"/>
  <c r="M494" i="35"/>
  <c r="N494" i="35"/>
  <c r="H495" i="35"/>
  <c r="M495" i="35"/>
  <c r="N495" i="35" s="1"/>
  <c r="H496" i="35"/>
  <c r="M496" i="35"/>
  <c r="H497" i="35"/>
  <c r="N497" i="35" s="1"/>
  <c r="M497" i="35"/>
  <c r="H498" i="35"/>
  <c r="M498" i="35"/>
  <c r="H499" i="35"/>
  <c r="N499" i="35"/>
  <c r="M499" i="35"/>
  <c r="H500" i="35"/>
  <c r="M500" i="35"/>
  <c r="H501" i="35"/>
  <c r="M501" i="35"/>
  <c r="H502" i="35"/>
  <c r="M502" i="35"/>
  <c r="N502" i="35" s="1"/>
  <c r="H503" i="35"/>
  <c r="M503" i="35"/>
  <c r="H504" i="35"/>
  <c r="M504" i="35"/>
  <c r="H505" i="35"/>
  <c r="M505" i="35"/>
  <c r="H506" i="35"/>
  <c r="M506" i="35"/>
  <c r="N506" i="35" s="1"/>
  <c r="H507" i="35"/>
  <c r="M507" i="35"/>
  <c r="H508" i="35"/>
  <c r="M508" i="35"/>
  <c r="H509" i="35"/>
  <c r="M509" i="35"/>
  <c r="H510" i="35"/>
  <c r="M510" i="35"/>
  <c r="N510" i="35"/>
  <c r="H511" i="35"/>
  <c r="M511" i="35"/>
  <c r="N511" i="35" s="1"/>
  <c r="H512" i="35"/>
  <c r="M512" i="35"/>
  <c r="H513" i="35"/>
  <c r="N513" i="35" s="1"/>
  <c r="M513" i="35"/>
  <c r="H514" i="35"/>
  <c r="M514" i="35"/>
  <c r="H515" i="35"/>
  <c r="N515" i="35"/>
  <c r="M515" i="35"/>
  <c r="H516" i="35"/>
  <c r="M516" i="35"/>
  <c r="H517" i="35"/>
  <c r="M517" i="35"/>
  <c r="H518" i="35"/>
  <c r="M518" i="35"/>
  <c r="H519" i="35"/>
  <c r="M519" i="35"/>
  <c r="N519" i="35" s="1"/>
  <c r="H520" i="35"/>
  <c r="M520" i="35"/>
  <c r="N520" i="35" s="1"/>
  <c r="H521" i="35"/>
  <c r="N521" i="35"/>
  <c r="M521" i="35"/>
  <c r="H522" i="35"/>
  <c r="J522" i="35"/>
  <c r="M522" i="35"/>
  <c r="H523" i="35"/>
  <c r="M523" i="35"/>
  <c r="H524" i="35"/>
  <c r="M524" i="35"/>
  <c r="N524" i="35"/>
  <c r="H525" i="35"/>
  <c r="M525" i="35"/>
  <c r="H526" i="35"/>
  <c r="N526" i="35"/>
  <c r="M526" i="35"/>
  <c r="H527" i="35"/>
  <c r="M527" i="35"/>
  <c r="H528" i="35"/>
  <c r="M528" i="35"/>
  <c r="H529" i="35"/>
  <c r="M529" i="35"/>
  <c r="N529" i="35" s="1"/>
  <c r="H530" i="35"/>
  <c r="M530" i="35"/>
  <c r="H531" i="35"/>
  <c r="M531" i="35"/>
  <c r="N531" i="35" s="1"/>
  <c r="H532" i="35"/>
  <c r="M532" i="35"/>
  <c r="N532" i="35" s="1"/>
  <c r="H533" i="35"/>
  <c r="M533" i="35"/>
  <c r="H534" i="35"/>
  <c r="M534" i="35"/>
  <c r="H535" i="35"/>
  <c r="M535" i="35"/>
  <c r="N535" i="35"/>
  <c r="H536" i="35"/>
  <c r="N536" i="35"/>
  <c r="M536" i="35"/>
  <c r="H537" i="35"/>
  <c r="M537" i="35"/>
  <c r="N537" i="35"/>
  <c r="H538" i="35"/>
  <c r="N538" i="35"/>
  <c r="M538" i="35"/>
  <c r="H539" i="35"/>
  <c r="M539" i="35"/>
  <c r="H540" i="35"/>
  <c r="M540" i="35"/>
  <c r="N540" i="35"/>
  <c r="H541" i="35"/>
  <c r="M541" i="35"/>
  <c r="H542" i="35"/>
  <c r="M542" i="35"/>
  <c r="H543" i="35"/>
  <c r="M543" i="35"/>
  <c r="H544" i="35"/>
  <c r="M544" i="35"/>
  <c r="H545" i="35"/>
  <c r="M545" i="35"/>
  <c r="N545" i="35" s="1"/>
  <c r="H546" i="35"/>
  <c r="M546" i="35"/>
  <c r="N546" i="35"/>
  <c r="H547" i="35"/>
  <c r="M547" i="35"/>
  <c r="N547" i="35" s="1"/>
  <c r="H548" i="35"/>
  <c r="M548" i="35"/>
  <c r="N548" i="35" s="1"/>
  <c r="H549" i="35"/>
  <c r="M549" i="35"/>
  <c r="N549" i="35"/>
  <c r="P26" i="22"/>
  <c r="P27" i="22"/>
  <c r="M62" i="22"/>
  <c r="M49" i="22"/>
  <c r="H402" i="22"/>
  <c r="M402" i="22"/>
  <c r="H403" i="22"/>
  <c r="M403" i="22"/>
  <c r="N403" i="22" s="1"/>
  <c r="H404" i="22"/>
  <c r="N404" i="22" s="1"/>
  <c r="M404" i="22"/>
  <c r="H405" i="22"/>
  <c r="K405" i="22"/>
  <c r="M405" i="22" s="1"/>
  <c r="H406" i="22"/>
  <c r="M406" i="22"/>
  <c r="H407" i="22"/>
  <c r="N407" i="22" s="1"/>
  <c r="M407" i="22"/>
  <c r="H408" i="22"/>
  <c r="M408" i="22"/>
  <c r="N408" i="22"/>
  <c r="H409" i="22"/>
  <c r="K409" i="22"/>
  <c r="M409" i="22" s="1"/>
  <c r="N409" i="22" s="1"/>
  <c r="H410" i="22"/>
  <c r="M410" i="22"/>
  <c r="H411" i="22"/>
  <c r="M411" i="22"/>
  <c r="N411" i="22"/>
  <c r="H412" i="22"/>
  <c r="N412" i="22"/>
  <c r="M412" i="22"/>
  <c r="H413" i="22"/>
  <c r="M413" i="22"/>
  <c r="H414" i="22"/>
  <c r="M414" i="22"/>
  <c r="N414" i="22"/>
  <c r="H415" i="22"/>
  <c r="K415" i="22"/>
  <c r="M415" i="22" s="1"/>
  <c r="N415" i="22"/>
  <c r="H416" i="22"/>
  <c r="M416" i="22"/>
  <c r="N416" i="22" s="1"/>
  <c r="H417" i="22"/>
  <c r="N417" i="22"/>
  <c r="M417" i="22"/>
  <c r="H418" i="22"/>
  <c r="M418" i="22"/>
  <c r="H419" i="22"/>
  <c r="N419" i="22" s="1"/>
  <c r="M419" i="22"/>
  <c r="H420" i="22"/>
  <c r="M420" i="22"/>
  <c r="H421" i="22"/>
  <c r="N421" i="22"/>
  <c r="M421" i="22"/>
  <c r="H422" i="22"/>
  <c r="M422" i="22"/>
  <c r="H423" i="22"/>
  <c r="M423" i="22"/>
  <c r="H424" i="22"/>
  <c r="M424" i="22"/>
  <c r="N424" i="22" s="1"/>
  <c r="H425" i="22"/>
  <c r="M425" i="22"/>
  <c r="N425" i="22" s="1"/>
  <c r="H426" i="22"/>
  <c r="M426" i="22"/>
  <c r="N426" i="22"/>
  <c r="H427" i="22"/>
  <c r="M427" i="22"/>
  <c r="H428" i="22"/>
  <c r="M428" i="22"/>
  <c r="N428" i="22" s="1"/>
  <c r="H429" i="22"/>
  <c r="N429" i="22" s="1"/>
  <c r="M429" i="22"/>
  <c r="H430" i="22"/>
  <c r="N430" i="22" s="1"/>
  <c r="M430" i="22"/>
  <c r="H431" i="22"/>
  <c r="M431" i="22"/>
  <c r="N431" i="22"/>
  <c r="H432" i="22"/>
  <c r="M432" i="22"/>
  <c r="H433" i="22"/>
  <c r="K433" i="22"/>
  <c r="M433" i="22" s="1"/>
  <c r="N433" i="22" s="1"/>
  <c r="H434" i="22"/>
  <c r="M434" i="22"/>
  <c r="H435" i="22"/>
  <c r="M435" i="22"/>
  <c r="N435" i="22" s="1"/>
  <c r="H436" i="22"/>
  <c r="K436" i="22"/>
  <c r="M436" i="22" s="1"/>
  <c r="H437" i="22"/>
  <c r="M437" i="22"/>
  <c r="H438" i="22"/>
  <c r="M438" i="22"/>
  <c r="H439" i="22"/>
  <c r="K439" i="22"/>
  <c r="M439" i="22" s="1"/>
  <c r="N439" i="22" s="1"/>
  <c r="H440" i="22"/>
  <c r="K440" i="22"/>
  <c r="M440" i="22"/>
  <c r="H441" i="22"/>
  <c r="N441" i="22"/>
  <c r="M441" i="22"/>
  <c r="H442" i="22"/>
  <c r="M442" i="22"/>
  <c r="H443" i="22"/>
  <c r="M443" i="22"/>
  <c r="H444" i="22"/>
  <c r="K444" i="22"/>
  <c r="M444" i="22" s="1"/>
  <c r="N444" i="22" s="1"/>
  <c r="H445" i="22"/>
  <c r="M445" i="22"/>
  <c r="H446" i="22"/>
  <c r="K446" i="22"/>
  <c r="M446" i="22"/>
  <c r="H447" i="22"/>
  <c r="M447" i="22"/>
  <c r="H448" i="22"/>
  <c r="M448" i="22"/>
  <c r="N448" i="22" s="1"/>
  <c r="H449" i="22"/>
  <c r="N449" i="22" s="1"/>
  <c r="M449" i="22"/>
  <c r="H450" i="22"/>
  <c r="N450" i="22" s="1"/>
  <c r="M450" i="22"/>
  <c r="H451" i="22"/>
  <c r="M451" i="22"/>
  <c r="N451" i="22"/>
  <c r="H452" i="22"/>
  <c r="K452" i="22"/>
  <c r="M452" i="22"/>
  <c r="N452" i="22" s="1"/>
  <c r="H453" i="22"/>
  <c r="K453" i="22"/>
  <c r="M453" i="22" s="1"/>
  <c r="N453" i="22" s="1"/>
  <c r="H454" i="22"/>
  <c r="M454" i="22"/>
  <c r="H455" i="22"/>
  <c r="M455" i="22"/>
  <c r="H456" i="22"/>
  <c r="M456" i="22"/>
  <c r="H457" i="22"/>
  <c r="N457" i="22"/>
  <c r="M457" i="22"/>
  <c r="H458" i="22"/>
  <c r="K458" i="22"/>
  <c r="M458" i="22"/>
  <c r="H459" i="22"/>
  <c r="K459" i="22"/>
  <c r="M459" i="22" s="1"/>
  <c r="N459" i="22"/>
  <c r="H460" i="22"/>
  <c r="M460" i="22"/>
  <c r="H461" i="22"/>
  <c r="K461" i="22"/>
  <c r="M461" i="22" s="1"/>
  <c r="H462" i="22"/>
  <c r="M462" i="22"/>
  <c r="H463" i="22"/>
  <c r="M463" i="22"/>
  <c r="H464" i="22"/>
  <c r="M464" i="22"/>
  <c r="N464" i="22" s="1"/>
  <c r="H465" i="22"/>
  <c r="M465" i="22"/>
  <c r="N465" i="22"/>
  <c r="H466" i="22"/>
  <c r="M466" i="22"/>
  <c r="H467" i="22"/>
  <c r="K467" i="22"/>
  <c r="M467" i="22"/>
  <c r="N467" i="22" s="1"/>
  <c r="H468" i="22"/>
  <c r="M468" i="22"/>
  <c r="N468" i="22" s="1"/>
  <c r="H469" i="22"/>
  <c r="N469" i="22" s="1"/>
  <c r="M469" i="22"/>
  <c r="H470" i="22"/>
  <c r="M470" i="22"/>
  <c r="N470" i="22" s="1"/>
  <c r="H471" i="22"/>
  <c r="N471" i="22" s="1"/>
  <c r="M471" i="22"/>
  <c r="H472" i="22"/>
  <c r="M472" i="22"/>
  <c r="N472" i="22" s="1"/>
  <c r="H473" i="22"/>
  <c r="N473" i="22" s="1"/>
  <c r="M473" i="22"/>
  <c r="H474" i="22"/>
  <c r="M474" i="22"/>
  <c r="H475" i="22"/>
  <c r="M475" i="22"/>
  <c r="N475" i="22" s="1"/>
  <c r="H476" i="22"/>
  <c r="K476" i="22"/>
  <c r="M476" i="22"/>
  <c r="H477" i="22"/>
  <c r="M477" i="22"/>
  <c r="N477" i="22" s="1"/>
  <c r="H478" i="22"/>
  <c r="K478" i="22"/>
  <c r="M478" i="22"/>
  <c r="H479" i="22"/>
  <c r="N479" i="22"/>
  <c r="M479" i="22"/>
  <c r="H480" i="22"/>
  <c r="M480" i="22"/>
  <c r="N480" i="22"/>
  <c r="H481" i="22"/>
  <c r="N481" i="22"/>
  <c r="M481" i="22"/>
  <c r="H482" i="22"/>
  <c r="K482" i="22"/>
  <c r="M482" i="22"/>
  <c r="H483" i="22"/>
  <c r="M483" i="22"/>
  <c r="N483" i="22" s="1"/>
  <c r="H484" i="22"/>
  <c r="N484" i="22" s="1"/>
  <c r="M484" i="22"/>
  <c r="H485" i="22"/>
  <c r="K485" i="22"/>
  <c r="M485" i="22"/>
  <c r="H486" i="22"/>
  <c r="M486" i="22"/>
  <c r="N486" i="22"/>
  <c r="H487" i="22"/>
  <c r="M487" i="22"/>
  <c r="H488" i="22"/>
  <c r="M488" i="22"/>
  <c r="N488" i="22" s="1"/>
  <c r="H489" i="22"/>
  <c r="N489" i="22" s="1"/>
  <c r="M489" i="22"/>
  <c r="H490" i="22"/>
  <c r="M490" i="22"/>
  <c r="N490" i="22"/>
  <c r="H491" i="22"/>
  <c r="N491" i="22"/>
  <c r="M491" i="22"/>
  <c r="H492" i="22"/>
  <c r="M492" i="22"/>
  <c r="H493" i="22"/>
  <c r="M493" i="22"/>
  <c r="N493" i="22"/>
  <c r="H494" i="22"/>
  <c r="K494" i="22"/>
  <c r="M494" i="22" s="1"/>
  <c r="N494" i="22" s="1"/>
  <c r="H495" i="22"/>
  <c r="K495" i="22"/>
  <c r="M495" i="22" s="1"/>
  <c r="N495" i="22"/>
  <c r="H496" i="22"/>
  <c r="K496" i="22"/>
  <c r="M496" i="22" s="1"/>
  <c r="N496" i="22" s="1"/>
  <c r="H497" i="22"/>
  <c r="K497" i="22"/>
  <c r="M497" i="22" s="1"/>
  <c r="N497" i="22"/>
  <c r="H498" i="22"/>
  <c r="M498" i="22"/>
  <c r="N498" i="22" s="1"/>
  <c r="H499" i="22"/>
  <c r="M499" i="22"/>
  <c r="H500" i="22"/>
  <c r="M500" i="22"/>
  <c r="N500" i="22"/>
  <c r="H501" i="22"/>
  <c r="K501" i="22"/>
  <c r="M501" i="22" s="1"/>
  <c r="H502" i="22"/>
  <c r="N502" i="22" s="1"/>
  <c r="M502" i="22"/>
  <c r="H503" i="22"/>
  <c r="M503" i="22"/>
  <c r="H504" i="22"/>
  <c r="K504" i="22"/>
  <c r="M504" i="22"/>
  <c r="N504" i="22" s="1"/>
  <c r="H505" i="22"/>
  <c r="K505" i="22"/>
  <c r="M505" i="22" s="1"/>
  <c r="H506" i="22"/>
  <c r="N506" i="22" s="1"/>
  <c r="M506" i="22"/>
  <c r="H507" i="22"/>
  <c r="K507" i="22"/>
  <c r="M507" i="22" s="1"/>
  <c r="H508" i="22"/>
  <c r="M508" i="22"/>
  <c r="N508" i="22"/>
  <c r="H509" i="22"/>
  <c r="J509" i="22"/>
  <c r="M509" i="22" s="1"/>
  <c r="H510" i="22"/>
  <c r="M510" i="22"/>
  <c r="H511" i="22"/>
  <c r="J511" i="22"/>
  <c r="M511" i="22"/>
  <c r="H512" i="22"/>
  <c r="K512" i="22"/>
  <c r="M512" i="22"/>
  <c r="H513" i="22"/>
  <c r="K513" i="22"/>
  <c r="M513" i="22"/>
  <c r="H514" i="22"/>
  <c r="M514" i="22"/>
  <c r="N514" i="22"/>
  <c r="H515" i="22"/>
  <c r="M515" i="22"/>
  <c r="N515" i="22" s="1"/>
  <c r="H516" i="22"/>
  <c r="M516" i="22"/>
  <c r="N516" i="22" s="1"/>
  <c r="H517" i="22"/>
  <c r="M517" i="22"/>
  <c r="H518" i="22"/>
  <c r="M518" i="22"/>
  <c r="N518" i="22"/>
  <c r="H519" i="22"/>
  <c r="N519" i="22"/>
  <c r="M519" i="22"/>
  <c r="H520" i="22"/>
  <c r="M520" i="22"/>
  <c r="H521" i="22"/>
  <c r="M521" i="22"/>
  <c r="N521" i="22"/>
  <c r="H522" i="22"/>
  <c r="K522" i="22"/>
  <c r="M522" i="22" s="1"/>
  <c r="N522" i="22"/>
  <c r="H523" i="22"/>
  <c r="M523" i="22"/>
  <c r="N523" i="22" s="1"/>
  <c r="H524" i="22"/>
  <c r="M524" i="22"/>
  <c r="H525" i="22"/>
  <c r="M525" i="22"/>
  <c r="H526" i="22"/>
  <c r="N526" i="22"/>
  <c r="M526" i="22"/>
  <c r="H70" i="22"/>
  <c r="N70" i="22" s="1"/>
  <c r="M70" i="22"/>
  <c r="H71" i="22"/>
  <c r="M71" i="22"/>
  <c r="H72" i="22"/>
  <c r="N72" i="22"/>
  <c r="M72" i="22"/>
  <c r="H73" i="22"/>
  <c r="M73" i="22"/>
  <c r="N73" i="22"/>
  <c r="H74" i="22"/>
  <c r="N74" i="22"/>
  <c r="M74" i="22"/>
  <c r="H75" i="22"/>
  <c r="M75" i="22"/>
  <c r="N75" i="22"/>
  <c r="H76" i="22"/>
  <c r="N76" i="22"/>
  <c r="M76" i="22"/>
  <c r="H77" i="22"/>
  <c r="M77" i="22"/>
  <c r="N77" i="22"/>
  <c r="H78" i="22"/>
  <c r="N78" i="22"/>
  <c r="M78" i="22"/>
  <c r="H79" i="22"/>
  <c r="M79" i="22"/>
  <c r="H80" i="22"/>
  <c r="M80" i="22"/>
  <c r="N80" i="22"/>
  <c r="H81" i="22"/>
  <c r="K81" i="22"/>
  <c r="M81" i="22" s="1"/>
  <c r="N81" i="22"/>
  <c r="H82" i="22"/>
  <c r="M82" i="22"/>
  <c r="N82" i="22" s="1"/>
  <c r="H83" i="22"/>
  <c r="M83" i="22"/>
  <c r="H84" i="22"/>
  <c r="M84" i="22"/>
  <c r="H85" i="22"/>
  <c r="M85" i="22"/>
  <c r="N85" i="22" s="1"/>
  <c r="H86" i="22"/>
  <c r="K86" i="22"/>
  <c r="M86" i="22"/>
  <c r="H87" i="22"/>
  <c r="M87" i="22"/>
  <c r="N87" i="22"/>
  <c r="H88" i="22"/>
  <c r="N88" i="22"/>
  <c r="M88" i="22"/>
  <c r="H89" i="22"/>
  <c r="M89" i="22"/>
  <c r="H90" i="22"/>
  <c r="M90" i="22"/>
  <c r="N90" i="22"/>
  <c r="H91" i="22"/>
  <c r="K91" i="22"/>
  <c r="M91" i="22" s="1"/>
  <c r="N91" i="22" s="1"/>
  <c r="H92" i="22"/>
  <c r="K92" i="22"/>
  <c r="M92" i="22" s="1"/>
  <c r="N92" i="22"/>
  <c r="H93" i="22"/>
  <c r="M93" i="22"/>
  <c r="N93" i="22" s="1"/>
  <c r="H94" i="22"/>
  <c r="M94" i="22"/>
  <c r="H95" i="22"/>
  <c r="M95" i="22"/>
  <c r="N95" i="22"/>
  <c r="H96" i="22"/>
  <c r="M96" i="22"/>
  <c r="H97" i="22"/>
  <c r="M97" i="22"/>
  <c r="N97" i="22" s="1"/>
  <c r="H98" i="22"/>
  <c r="K98" i="22"/>
  <c r="M98" i="22"/>
  <c r="H99" i="22"/>
  <c r="N99" i="22"/>
  <c r="M99" i="22"/>
  <c r="H100" i="22"/>
  <c r="M100" i="22"/>
  <c r="H101" i="22"/>
  <c r="N101" i="22" s="1"/>
  <c r="M101" i="22"/>
  <c r="H102" i="22"/>
  <c r="K102" i="22"/>
  <c r="M102" i="22" s="1"/>
  <c r="H103" i="22"/>
  <c r="M103" i="22"/>
  <c r="N103" i="22"/>
  <c r="H104" i="22"/>
  <c r="M104" i="22"/>
  <c r="N104" i="22" s="1"/>
  <c r="H105" i="22"/>
  <c r="M105" i="22"/>
  <c r="N105" i="22" s="1"/>
  <c r="H106" i="22"/>
  <c r="M106" i="22"/>
  <c r="H107" i="22"/>
  <c r="M107" i="22"/>
  <c r="H108" i="22"/>
  <c r="M108" i="22"/>
  <c r="N108" i="22" s="1"/>
  <c r="H109" i="22"/>
  <c r="M109" i="22"/>
  <c r="N109" i="22"/>
  <c r="H110" i="22"/>
  <c r="M110" i="22"/>
  <c r="H111" i="22"/>
  <c r="M111" i="22"/>
  <c r="N111" i="22" s="1"/>
  <c r="H112" i="22"/>
  <c r="M112" i="22"/>
  <c r="H113" i="22"/>
  <c r="M113" i="22"/>
  <c r="N113" i="22"/>
  <c r="H114" i="22"/>
  <c r="N114" i="22"/>
  <c r="M114" i="22"/>
  <c r="H115" i="22"/>
  <c r="N115" i="22" s="1"/>
  <c r="M115" i="22"/>
  <c r="H116" i="22"/>
  <c r="M116" i="22"/>
  <c r="N116" i="22"/>
  <c r="H117" i="22"/>
  <c r="M117" i="22"/>
  <c r="N117" i="22" s="1"/>
  <c r="H118" i="22"/>
  <c r="M118" i="22"/>
  <c r="H119" i="22"/>
  <c r="M119" i="22"/>
  <c r="N119" i="22"/>
  <c r="H120" i="22"/>
  <c r="M120" i="22"/>
  <c r="H121" i="22"/>
  <c r="M121" i="22"/>
  <c r="N121" i="22" s="1"/>
  <c r="H122" i="22"/>
  <c r="N122" i="22" s="1"/>
  <c r="M122" i="22"/>
  <c r="H123" i="22"/>
  <c r="M123" i="22"/>
  <c r="H124" i="22"/>
  <c r="M124" i="22"/>
  <c r="N124" i="22" s="1"/>
  <c r="H125" i="22"/>
  <c r="M125" i="22"/>
  <c r="N125" i="22"/>
  <c r="H126" i="22"/>
  <c r="M126" i="22"/>
  <c r="N126" i="22" s="1"/>
  <c r="H127" i="22"/>
  <c r="M127" i="22"/>
  <c r="N127" i="22" s="1"/>
  <c r="H128" i="22"/>
  <c r="M128" i="22"/>
  <c r="H129" i="22"/>
  <c r="M129" i="22"/>
  <c r="N129" i="22"/>
  <c r="H130" i="22"/>
  <c r="N130" i="22"/>
  <c r="M130" i="22"/>
  <c r="H131" i="22"/>
  <c r="M131" i="22"/>
  <c r="H132" i="22"/>
  <c r="M132" i="22"/>
  <c r="N132" i="22"/>
  <c r="H133" i="22"/>
  <c r="M133" i="22"/>
  <c r="N133" i="22" s="1"/>
  <c r="H134" i="22"/>
  <c r="N134" i="22" s="1"/>
  <c r="M134" i="22"/>
  <c r="H135" i="22"/>
  <c r="M135" i="22"/>
  <c r="N135" i="22"/>
  <c r="H136" i="22"/>
  <c r="M136" i="22"/>
  <c r="N136" i="22" s="1"/>
  <c r="H137" i="22"/>
  <c r="M137" i="22"/>
  <c r="H138" i="22"/>
  <c r="M138" i="22"/>
  <c r="N138" i="22" s="1"/>
  <c r="H139" i="22"/>
  <c r="M139" i="22"/>
  <c r="H140" i="22"/>
  <c r="M140" i="22"/>
  <c r="N140" i="22"/>
  <c r="H141" i="22"/>
  <c r="M141" i="22"/>
  <c r="N141" i="22" s="1"/>
  <c r="H142" i="22"/>
  <c r="N142" i="22" s="1"/>
  <c r="M142" i="22"/>
  <c r="H143" i="22"/>
  <c r="M143" i="22"/>
  <c r="N143" i="22"/>
  <c r="H144" i="22"/>
  <c r="M144" i="22"/>
  <c r="N144" i="22" s="1"/>
  <c r="H145" i="22"/>
  <c r="M145" i="22"/>
  <c r="N145" i="22" s="1"/>
  <c r="H146" i="22"/>
  <c r="M146" i="22"/>
  <c r="H147" i="22"/>
  <c r="M147" i="22"/>
  <c r="N147" i="22" s="1"/>
  <c r="H148" i="22"/>
  <c r="M148" i="22"/>
  <c r="N148" i="22" s="1"/>
  <c r="H149" i="22"/>
  <c r="M149" i="22"/>
  <c r="N149" i="22"/>
  <c r="H150" i="22"/>
  <c r="M150" i="22"/>
  <c r="H151" i="22"/>
  <c r="M151" i="22"/>
  <c r="N151" i="22" s="1"/>
  <c r="H152" i="22"/>
  <c r="M152" i="22"/>
  <c r="H153" i="22"/>
  <c r="N153" i="22" s="1"/>
  <c r="M153" i="22"/>
  <c r="H154" i="22"/>
  <c r="N154" i="22" s="1"/>
  <c r="M154" i="22"/>
  <c r="H155" i="22"/>
  <c r="K155" i="22"/>
  <c r="M155" i="22" s="1"/>
  <c r="H156" i="22"/>
  <c r="M156" i="22"/>
  <c r="H157" i="22"/>
  <c r="N157" i="22" s="1"/>
  <c r="M157" i="22"/>
  <c r="H158" i="22"/>
  <c r="M158" i="22"/>
  <c r="H159" i="22"/>
  <c r="N159" i="22"/>
  <c r="M159" i="22"/>
  <c r="H160" i="22"/>
  <c r="M160" i="22"/>
  <c r="H161" i="22"/>
  <c r="M161" i="22"/>
  <c r="H162" i="22"/>
  <c r="M162" i="22"/>
  <c r="N162" i="22" s="1"/>
  <c r="H163" i="22"/>
  <c r="M163" i="22"/>
  <c r="N163" i="22" s="1"/>
  <c r="H164" i="22"/>
  <c r="M164" i="22"/>
  <c r="N164" i="22" s="1"/>
  <c r="H165" i="22"/>
  <c r="M165" i="22"/>
  <c r="H166" i="22"/>
  <c r="M166" i="22"/>
  <c r="N166" i="22" s="1"/>
  <c r="H167" i="22"/>
  <c r="M167" i="22"/>
  <c r="N167" i="22" s="1"/>
  <c r="H168" i="22"/>
  <c r="M168" i="22"/>
  <c r="H169" i="22"/>
  <c r="K169" i="22"/>
  <c r="M169" i="22"/>
  <c r="H170" i="22"/>
  <c r="N170" i="22"/>
  <c r="M170" i="22"/>
  <c r="H171" i="22"/>
  <c r="M171" i="22"/>
  <c r="H172" i="22"/>
  <c r="M172" i="22"/>
  <c r="H173" i="22"/>
  <c r="M173" i="22"/>
  <c r="N173" i="22"/>
  <c r="H174" i="22"/>
  <c r="N174" i="22"/>
  <c r="M174" i="22"/>
  <c r="H175" i="22"/>
  <c r="M175" i="22"/>
  <c r="N175" i="22"/>
  <c r="H176" i="22"/>
  <c r="N176" i="22"/>
  <c r="M176" i="22"/>
  <c r="H177" i="22"/>
  <c r="M177" i="22"/>
  <c r="N177" i="22"/>
  <c r="H178" i="22"/>
  <c r="N178" i="22"/>
  <c r="M178" i="22"/>
  <c r="H179" i="22"/>
  <c r="M179" i="22"/>
  <c r="H180" i="22"/>
  <c r="M180" i="22"/>
  <c r="N180" i="22"/>
  <c r="H181" i="22"/>
  <c r="M181" i="22"/>
  <c r="H182" i="22"/>
  <c r="M182" i="22"/>
  <c r="H183" i="22"/>
  <c r="M183" i="22"/>
  <c r="H184" i="22"/>
  <c r="M184" i="22"/>
  <c r="H185" i="22"/>
  <c r="M185" i="22"/>
  <c r="H186" i="22"/>
  <c r="M186" i="22"/>
  <c r="N186" i="22" s="1"/>
  <c r="H187" i="22"/>
  <c r="N187" i="22" s="1"/>
  <c r="M187" i="22"/>
  <c r="H188" i="22"/>
  <c r="M188" i="22"/>
  <c r="H189" i="22"/>
  <c r="K189" i="22"/>
  <c r="M189" i="22"/>
  <c r="H190" i="22"/>
  <c r="M190" i="22"/>
  <c r="H191" i="22"/>
  <c r="M191" i="22"/>
  <c r="N191" i="22"/>
  <c r="H192" i="22"/>
  <c r="M192" i="22"/>
  <c r="H193" i="22"/>
  <c r="M193" i="22"/>
  <c r="N193" i="22" s="1"/>
  <c r="H194" i="22"/>
  <c r="N194" i="22" s="1"/>
  <c r="M194" i="22"/>
  <c r="H195" i="22"/>
  <c r="N195" i="22" s="1"/>
  <c r="M195" i="22"/>
  <c r="H196" i="22"/>
  <c r="N196" i="22" s="1"/>
  <c r="M196" i="22"/>
  <c r="H197" i="22"/>
  <c r="N197" i="22" s="1"/>
  <c r="M197" i="22"/>
  <c r="H198" i="22"/>
  <c r="M198" i="22"/>
  <c r="H199" i="22"/>
  <c r="N199" i="22"/>
  <c r="M199" i="22"/>
  <c r="H200" i="22"/>
  <c r="M200" i="22"/>
  <c r="H201" i="22"/>
  <c r="M201" i="22"/>
  <c r="H202" i="22"/>
  <c r="M202" i="22"/>
  <c r="N202" i="22" s="1"/>
  <c r="H203" i="22"/>
  <c r="M203" i="22"/>
  <c r="H204" i="22"/>
  <c r="M204" i="22"/>
  <c r="N204" i="22" s="1"/>
  <c r="H205" i="22"/>
  <c r="M205" i="22"/>
  <c r="H206" i="22"/>
  <c r="M206" i="22"/>
  <c r="N206" i="22" s="1"/>
  <c r="H207" i="22"/>
  <c r="M207" i="22"/>
  <c r="H208" i="22"/>
  <c r="M208" i="22"/>
  <c r="H209" i="22"/>
  <c r="M209" i="22"/>
  <c r="N209" i="22" s="1"/>
  <c r="H210" i="22"/>
  <c r="M210" i="22"/>
  <c r="H211" i="22"/>
  <c r="M211" i="22"/>
  <c r="H212" i="22"/>
  <c r="M212" i="22"/>
  <c r="H213" i="22"/>
  <c r="M213" i="22"/>
  <c r="H214" i="22"/>
  <c r="M214" i="22"/>
  <c r="H215" i="22"/>
  <c r="M215" i="22"/>
  <c r="N215" i="22"/>
  <c r="H216" i="22"/>
  <c r="M216" i="22"/>
  <c r="H217" i="22"/>
  <c r="M217" i="22"/>
  <c r="N217" i="22" s="1"/>
  <c r="H218" i="22"/>
  <c r="M218" i="22"/>
  <c r="N218" i="22"/>
  <c r="H219" i="22"/>
  <c r="M219" i="22"/>
  <c r="N219" i="22" s="1"/>
  <c r="H220" i="22"/>
  <c r="M220" i="22"/>
  <c r="N220" i="22" s="1"/>
  <c r="H221" i="22"/>
  <c r="N221" i="22"/>
  <c r="M221" i="22"/>
  <c r="H222" i="22"/>
  <c r="M222" i="22"/>
  <c r="H223" i="22"/>
  <c r="N223" i="22" s="1"/>
  <c r="M223" i="22"/>
  <c r="H224" i="22"/>
  <c r="M224" i="22"/>
  <c r="H225" i="22"/>
  <c r="N225" i="22" s="1"/>
  <c r="M225" i="22"/>
  <c r="H226" i="22"/>
  <c r="M226" i="22"/>
  <c r="N226" i="22" s="1"/>
  <c r="H227" i="22"/>
  <c r="N227" i="22" s="1"/>
  <c r="M227" i="22"/>
  <c r="H228" i="22"/>
  <c r="M228" i="22"/>
  <c r="H229" i="22"/>
  <c r="N229" i="22"/>
  <c r="M229" i="22"/>
  <c r="H230" i="22"/>
  <c r="M230" i="22"/>
  <c r="H231" i="22"/>
  <c r="M231" i="22"/>
  <c r="N231" i="22"/>
  <c r="H232" i="22"/>
  <c r="M232" i="22"/>
  <c r="H233" i="22"/>
  <c r="M233" i="22"/>
  <c r="H234" i="22"/>
  <c r="M234" i="22"/>
  <c r="H235" i="22"/>
  <c r="M235" i="22"/>
  <c r="H236" i="22"/>
  <c r="M236" i="22"/>
  <c r="H237" i="22"/>
  <c r="N237" i="22"/>
  <c r="M237" i="22"/>
  <c r="H238" i="22"/>
  <c r="M238" i="22"/>
  <c r="H239" i="22"/>
  <c r="M239" i="22"/>
  <c r="H240" i="22"/>
  <c r="M240" i="22"/>
  <c r="H241" i="22"/>
  <c r="N241" i="22"/>
  <c r="M241" i="22"/>
  <c r="H242" i="22"/>
  <c r="M242" i="22"/>
  <c r="N242" i="22"/>
  <c r="H243" i="22"/>
  <c r="M243" i="22"/>
  <c r="H244" i="22"/>
  <c r="M244" i="22"/>
  <c r="N244" i="22" s="1"/>
  <c r="H245" i="22"/>
  <c r="N245" i="22"/>
  <c r="M245" i="22"/>
  <c r="H246" i="22"/>
  <c r="M246" i="22"/>
  <c r="N246" i="22"/>
  <c r="H247" i="22"/>
  <c r="M247" i="22"/>
  <c r="N247" i="22" s="1"/>
  <c r="H248" i="22"/>
  <c r="M248" i="22"/>
  <c r="N248" i="22" s="1"/>
  <c r="H249" i="22"/>
  <c r="N249" i="22"/>
  <c r="M249" i="22"/>
  <c r="H250" i="22"/>
  <c r="M250" i="22"/>
  <c r="N250" i="22"/>
  <c r="H251" i="22"/>
  <c r="M251" i="22"/>
  <c r="H252" i="22"/>
  <c r="M252" i="22"/>
  <c r="N252" i="22" s="1"/>
  <c r="H253" i="22"/>
  <c r="M253" i="22"/>
  <c r="N253" i="22" s="1"/>
  <c r="H254" i="22"/>
  <c r="M254" i="22"/>
  <c r="H255" i="22"/>
  <c r="M255" i="22"/>
  <c r="N255" i="22"/>
  <c r="H256" i="22"/>
  <c r="M256" i="22"/>
  <c r="H257" i="22"/>
  <c r="M257" i="22"/>
  <c r="H258" i="22"/>
  <c r="M258" i="22"/>
  <c r="H259" i="22"/>
  <c r="M259" i="22"/>
  <c r="H260" i="22"/>
  <c r="K260" i="22"/>
  <c r="M260" i="22"/>
  <c r="N260" i="22" s="1"/>
  <c r="H261" i="22"/>
  <c r="M261" i="22"/>
  <c r="N261" i="22" s="1"/>
  <c r="H262" i="22"/>
  <c r="N262" i="22" s="1"/>
  <c r="M262" i="22"/>
  <c r="H263" i="22"/>
  <c r="M263" i="22"/>
  <c r="N263" i="22" s="1"/>
  <c r="H264" i="22"/>
  <c r="N264" i="22" s="1"/>
  <c r="M264" i="22"/>
  <c r="H265" i="22"/>
  <c r="M265" i="22"/>
  <c r="N265" i="22" s="1"/>
  <c r="H266" i="22"/>
  <c r="N266" i="22" s="1"/>
  <c r="M266" i="22"/>
  <c r="H267" i="22"/>
  <c r="M267" i="22"/>
  <c r="H268" i="22"/>
  <c r="M268" i="22"/>
  <c r="N268" i="22" s="1"/>
  <c r="H269" i="22"/>
  <c r="N269" i="22" s="1"/>
  <c r="M269" i="22"/>
  <c r="H270" i="22"/>
  <c r="M270" i="22"/>
  <c r="H271" i="22"/>
  <c r="M271" i="22"/>
  <c r="H272" i="22"/>
  <c r="M272" i="22"/>
  <c r="H273" i="22"/>
  <c r="M273" i="22"/>
  <c r="H274" i="22"/>
  <c r="K274" i="22"/>
  <c r="M274" i="22"/>
  <c r="H275" i="22"/>
  <c r="N275" i="22"/>
  <c r="M275" i="22"/>
  <c r="H276" i="22"/>
  <c r="M276" i="22"/>
  <c r="N276" i="22"/>
  <c r="H277" i="22"/>
  <c r="K277" i="22"/>
  <c r="M277" i="22" s="1"/>
  <c r="H278" i="22"/>
  <c r="M278" i="22"/>
  <c r="H279" i="22"/>
  <c r="K279" i="22"/>
  <c r="M279" i="22"/>
  <c r="H280" i="22"/>
  <c r="M280" i="22"/>
  <c r="N280" i="22" s="1"/>
  <c r="H281" i="22"/>
  <c r="M281" i="22"/>
  <c r="H282" i="22"/>
  <c r="M282" i="22"/>
  <c r="F648" i="22"/>
  <c r="F661" i="22"/>
  <c r="F716" i="22"/>
  <c r="F794" i="22"/>
  <c r="G622" i="22"/>
  <c r="F622" i="22"/>
  <c r="G201" i="35"/>
  <c r="N201" i="35"/>
  <c r="G202" i="35"/>
  <c r="N202" i="35"/>
  <c r="G203" i="35"/>
  <c r="N203" i="35"/>
  <c r="O203" i="35" s="1"/>
  <c r="G204" i="35"/>
  <c r="O204" i="35"/>
  <c r="N204" i="35"/>
  <c r="G205" i="35"/>
  <c r="N205" i="35"/>
  <c r="O205" i="35"/>
  <c r="G206" i="35"/>
  <c r="O206" i="35"/>
  <c r="N206" i="35"/>
  <c r="G207" i="35"/>
  <c r="N207" i="35"/>
  <c r="O207" i="35"/>
  <c r="G208" i="35"/>
  <c r="O208" i="35"/>
  <c r="N208" i="35"/>
  <c r="G209" i="35"/>
  <c r="O209" i="35" s="1"/>
  <c r="N209" i="35"/>
  <c r="G210" i="35"/>
  <c r="N210" i="35"/>
  <c r="O210" i="35"/>
  <c r="G211" i="35"/>
  <c r="N211" i="35"/>
  <c r="G212" i="35"/>
  <c r="N212" i="35"/>
  <c r="O212" i="35" s="1"/>
  <c r="G213" i="35"/>
  <c r="N213" i="35"/>
  <c r="O213" i="35" s="1"/>
  <c r="G214" i="35"/>
  <c r="N214" i="35"/>
  <c r="O214" i="35" s="1"/>
  <c r="G215" i="35"/>
  <c r="N215" i="35"/>
  <c r="O215" i="35" s="1"/>
  <c r="G216" i="35"/>
  <c r="N216" i="35"/>
  <c r="O216" i="35" s="1"/>
  <c r="G217" i="35"/>
  <c r="N217" i="35"/>
  <c r="O217" i="35" s="1"/>
  <c r="G218" i="35"/>
  <c r="N218" i="35"/>
  <c r="O218" i="35" s="1"/>
  <c r="G219" i="35"/>
  <c r="N219" i="35"/>
  <c r="G220" i="35"/>
  <c r="N220" i="35"/>
  <c r="G221" i="35"/>
  <c r="N221" i="35"/>
  <c r="O221" i="35" s="1"/>
  <c r="G222" i="35"/>
  <c r="N222" i="35"/>
  <c r="G223" i="35"/>
  <c r="N223" i="35"/>
  <c r="G224" i="35"/>
  <c r="N224" i="35"/>
  <c r="G225" i="35"/>
  <c r="N225" i="35"/>
  <c r="O225" i="35" s="1"/>
  <c r="G226" i="35"/>
  <c r="N226" i="35"/>
  <c r="G227" i="35"/>
  <c r="N227" i="35"/>
  <c r="G228" i="35"/>
  <c r="N228" i="35"/>
  <c r="G229" i="35"/>
  <c r="N229" i="35"/>
  <c r="G230" i="35"/>
  <c r="N230" i="35"/>
  <c r="G231" i="35"/>
  <c r="N231" i="35"/>
  <c r="G232" i="35"/>
  <c r="N232" i="35"/>
  <c r="O232" i="35" s="1"/>
  <c r="G233" i="35"/>
  <c r="N233" i="35"/>
  <c r="G234" i="35"/>
  <c r="N234" i="35"/>
  <c r="G235" i="35"/>
  <c r="N235" i="35"/>
  <c r="G236" i="35"/>
  <c r="N236" i="35"/>
  <c r="G237" i="35"/>
  <c r="N237" i="35"/>
  <c r="G238" i="35"/>
  <c r="N238" i="35"/>
  <c r="O238" i="35"/>
  <c r="G239" i="35"/>
  <c r="N239" i="35"/>
  <c r="G240" i="35"/>
  <c r="O240" i="35"/>
  <c r="N240" i="35"/>
  <c r="G241" i="35"/>
  <c r="N241" i="35"/>
  <c r="G242" i="35"/>
  <c r="N242" i="35"/>
  <c r="G243" i="35"/>
  <c r="N243" i="35"/>
  <c r="O243" i="35" s="1"/>
  <c r="G244" i="35"/>
  <c r="N244" i="35"/>
  <c r="G245" i="35"/>
  <c r="N245" i="35"/>
  <c r="O245" i="35" s="1"/>
  <c r="G246" i="35"/>
  <c r="N246" i="35"/>
  <c r="G247" i="35"/>
  <c r="N247" i="35"/>
  <c r="G248" i="35"/>
  <c r="N248" i="35"/>
  <c r="O248" i="35" s="1"/>
  <c r="G249" i="35"/>
  <c r="N249" i="35"/>
  <c r="G250" i="35"/>
  <c r="N250" i="35"/>
  <c r="G251" i="35"/>
  <c r="N251" i="35"/>
  <c r="G252" i="35"/>
  <c r="N252" i="35"/>
  <c r="G253" i="35"/>
  <c r="N253" i="35"/>
  <c r="G254" i="35"/>
  <c r="N254" i="35"/>
  <c r="O254" i="35"/>
  <c r="G255" i="35"/>
  <c r="N255" i="35"/>
  <c r="G256" i="35"/>
  <c r="O256" i="35"/>
  <c r="N256" i="35"/>
  <c r="G257" i="35"/>
  <c r="N257" i="35"/>
  <c r="G258" i="35"/>
  <c r="N258" i="35"/>
  <c r="G259" i="35"/>
  <c r="N259" i="35"/>
  <c r="O259" i="35" s="1"/>
  <c r="G260" i="35"/>
  <c r="N260" i="35"/>
  <c r="G261" i="35"/>
  <c r="N261" i="35"/>
  <c r="O261" i="35" s="1"/>
  <c r="G262" i="35"/>
  <c r="N262" i="35"/>
  <c r="G263" i="35"/>
  <c r="N263" i="35"/>
  <c r="G264" i="35"/>
  <c r="N264" i="35"/>
  <c r="O264" i="35" s="1"/>
  <c r="G265" i="35"/>
  <c r="N265" i="35"/>
  <c r="G266" i="35"/>
  <c r="N266" i="35"/>
  <c r="G267" i="35"/>
  <c r="N267" i="35"/>
  <c r="G268" i="35"/>
  <c r="N268" i="35"/>
  <c r="G269" i="35"/>
  <c r="N269" i="35"/>
  <c r="G270" i="35"/>
  <c r="N270" i="35"/>
  <c r="O270" i="35"/>
  <c r="G271" i="35"/>
  <c r="N271" i="35"/>
  <c r="G272" i="35"/>
  <c r="O272" i="35"/>
  <c r="N272" i="35"/>
  <c r="G273" i="35"/>
  <c r="N273" i="35"/>
  <c r="G274" i="35"/>
  <c r="N274" i="35"/>
  <c r="G275" i="35"/>
  <c r="N275" i="35"/>
  <c r="O275" i="35" s="1"/>
  <c r="G276" i="35"/>
  <c r="N276" i="35"/>
  <c r="G277" i="35"/>
  <c r="N277" i="35"/>
  <c r="O277" i="35" s="1"/>
  <c r="G278" i="35"/>
  <c r="N278" i="35"/>
  <c r="G279" i="35"/>
  <c r="N279" i="35"/>
  <c r="G280" i="35"/>
  <c r="N280" i="35"/>
  <c r="O280" i="35" s="1"/>
  <c r="G281" i="35"/>
  <c r="N281" i="35"/>
  <c r="G282" i="35"/>
  <c r="N282" i="35"/>
  <c r="G283" i="35"/>
  <c r="N283" i="35"/>
  <c r="G284" i="35"/>
  <c r="N284" i="35"/>
  <c r="G285" i="35"/>
  <c r="N285" i="35"/>
  <c r="G286" i="35"/>
  <c r="N286" i="35"/>
  <c r="O286" i="35"/>
  <c r="G287" i="35"/>
  <c r="N287" i="35"/>
  <c r="G288" i="35"/>
  <c r="O288" i="35"/>
  <c r="N288" i="35"/>
  <c r="G289" i="35"/>
  <c r="N289" i="35"/>
  <c r="G290" i="35"/>
  <c r="N290" i="35"/>
  <c r="G291" i="35"/>
  <c r="N291" i="35"/>
  <c r="O291" i="35" s="1"/>
  <c r="G292" i="35"/>
  <c r="N292" i="35"/>
  <c r="G293" i="35"/>
  <c r="N293" i="35"/>
  <c r="O293" i="35" s="1"/>
  <c r="G294" i="35"/>
  <c r="N294" i="35"/>
  <c r="G295" i="35"/>
  <c r="N295" i="35"/>
  <c r="G296" i="35"/>
  <c r="N296" i="35"/>
  <c r="O296" i="35" s="1"/>
  <c r="G297" i="35"/>
  <c r="N297" i="35"/>
  <c r="G298" i="35"/>
  <c r="N298" i="35"/>
  <c r="G299" i="35"/>
  <c r="N299" i="35"/>
  <c r="G300" i="35"/>
  <c r="N300" i="35"/>
  <c r="G301" i="35"/>
  <c r="N301" i="35"/>
  <c r="G302" i="35"/>
  <c r="N302" i="35"/>
  <c r="O302" i="35"/>
  <c r="G303" i="35"/>
  <c r="N303" i="35"/>
  <c r="G304" i="35"/>
  <c r="O304" i="35"/>
  <c r="N304" i="35"/>
  <c r="G305" i="35"/>
  <c r="N305" i="35"/>
  <c r="G306" i="35"/>
  <c r="N306" i="35"/>
  <c r="G307" i="35"/>
  <c r="N307" i="35"/>
  <c r="O307" i="35" s="1"/>
  <c r="G308" i="35"/>
  <c r="N308" i="35"/>
  <c r="G309" i="35"/>
  <c r="N309" i="35"/>
  <c r="O309" i="35" s="1"/>
  <c r="G310" i="35"/>
  <c r="N310" i="35"/>
  <c r="G311" i="35"/>
  <c r="N311" i="35"/>
  <c r="G312" i="35"/>
  <c r="N312" i="35"/>
  <c r="O312" i="35" s="1"/>
  <c r="G313" i="35"/>
  <c r="N313" i="35"/>
  <c r="G314" i="35"/>
  <c r="N314" i="35"/>
  <c r="G315" i="35"/>
  <c r="N315" i="35"/>
  <c r="G316" i="35"/>
  <c r="N316" i="35"/>
  <c r="G317" i="35"/>
  <c r="N317" i="35"/>
  <c r="G318" i="35"/>
  <c r="N318" i="35"/>
  <c r="O318" i="35"/>
  <c r="G319" i="35"/>
  <c r="N319" i="35"/>
  <c r="G320" i="35"/>
  <c r="O320" i="35"/>
  <c r="N320" i="35"/>
  <c r="G321" i="35"/>
  <c r="N321" i="35"/>
  <c r="G322" i="35"/>
  <c r="N322" i="35"/>
  <c r="G323" i="35"/>
  <c r="N323" i="35"/>
  <c r="O323" i="35" s="1"/>
  <c r="G40" i="35"/>
  <c r="N40" i="35"/>
  <c r="G41" i="35"/>
  <c r="N41" i="35"/>
  <c r="O41" i="35"/>
  <c r="G42" i="35"/>
  <c r="N42" i="35"/>
  <c r="G43" i="35"/>
  <c r="O43" i="35"/>
  <c r="N43" i="35"/>
  <c r="G44" i="35"/>
  <c r="N44" i="35"/>
  <c r="O44" i="35"/>
  <c r="G45" i="35"/>
  <c r="O45" i="35"/>
  <c r="N45" i="35"/>
  <c r="G46" i="35"/>
  <c r="N46" i="35"/>
  <c r="O46" i="35"/>
  <c r="G47" i="35"/>
  <c r="O47" i="35"/>
  <c r="N47" i="35"/>
  <c r="G48" i="35"/>
  <c r="N48" i="35"/>
  <c r="G49" i="35"/>
  <c r="N49" i="35"/>
  <c r="G50" i="35"/>
  <c r="N50" i="35"/>
  <c r="G51" i="35"/>
  <c r="N51" i="35"/>
  <c r="O51" i="35" s="1"/>
  <c r="G52" i="35"/>
  <c r="N52" i="35"/>
  <c r="O52" i="35" s="1"/>
  <c r="G53" i="35"/>
  <c r="O53" i="35"/>
  <c r="N53" i="35"/>
  <c r="G54" i="35"/>
  <c r="O54" i="35" s="1"/>
  <c r="N54" i="35"/>
  <c r="G55" i="35"/>
  <c r="N55" i="35"/>
  <c r="O55" i="35"/>
  <c r="G56" i="35"/>
  <c r="N56" i="35"/>
  <c r="G57" i="35"/>
  <c r="N57" i="35"/>
  <c r="O57" i="35" s="1"/>
  <c r="G58" i="35"/>
  <c r="N58" i="35"/>
  <c r="G59" i="35"/>
  <c r="N59" i="35"/>
  <c r="G60" i="35"/>
  <c r="N60" i="35"/>
  <c r="G61" i="35"/>
  <c r="O61" i="35"/>
  <c r="N61" i="35"/>
  <c r="G62" i="35"/>
  <c r="N62" i="35"/>
  <c r="O62" i="35"/>
  <c r="G63" i="35"/>
  <c r="O63" i="35"/>
  <c r="N63" i="35"/>
  <c r="G64" i="35"/>
  <c r="O64" i="35" s="1"/>
  <c r="N64" i="35"/>
  <c r="G65" i="35"/>
  <c r="O65" i="35" s="1"/>
  <c r="N65" i="35"/>
  <c r="G66" i="35"/>
  <c r="N66" i="35"/>
  <c r="G67" i="35"/>
  <c r="O67" i="35"/>
  <c r="N67" i="35"/>
  <c r="G68" i="35"/>
  <c r="N68" i="35"/>
  <c r="G69" i="35"/>
  <c r="N69" i="35"/>
  <c r="G70" i="35"/>
  <c r="N70" i="35"/>
  <c r="O70" i="35" s="1"/>
  <c r="G71" i="35"/>
  <c r="N71" i="35"/>
  <c r="O71" i="35" s="1"/>
  <c r="G72" i="35"/>
  <c r="N72" i="35"/>
  <c r="G73" i="35"/>
  <c r="N73" i="35"/>
  <c r="O73" i="35"/>
  <c r="G74" i="35"/>
  <c r="N74" i="35"/>
  <c r="G75" i="35"/>
  <c r="O75" i="35"/>
  <c r="N75" i="35"/>
  <c r="G76" i="35"/>
  <c r="N76" i="35"/>
  <c r="O76" i="35"/>
  <c r="G77" i="35"/>
  <c r="O77" i="35"/>
  <c r="N77" i="35"/>
  <c r="G78" i="35"/>
  <c r="N78" i="35"/>
  <c r="O78" i="35"/>
  <c r="G79" i="35"/>
  <c r="O79" i="35"/>
  <c r="N79" i="35"/>
  <c r="G80" i="35"/>
  <c r="N80" i="35"/>
  <c r="G81" i="35"/>
  <c r="N81" i="35"/>
  <c r="G82" i="35"/>
  <c r="N82" i="35"/>
  <c r="G83" i="35"/>
  <c r="O83" i="35"/>
  <c r="N83" i="35"/>
  <c r="G84" i="35"/>
  <c r="N84" i="35"/>
  <c r="O84" i="35"/>
  <c r="G85" i="35"/>
  <c r="O85" i="35"/>
  <c r="N85" i="35"/>
  <c r="G86" i="35"/>
  <c r="N86" i="35"/>
  <c r="O86" i="35"/>
  <c r="G87" i="35"/>
  <c r="N87" i="35"/>
  <c r="O87" i="35" s="1"/>
  <c r="G88" i="35"/>
  <c r="N88" i="35"/>
  <c r="G89" i="35"/>
  <c r="N89" i="35"/>
  <c r="O89" i="35"/>
  <c r="G90" i="35"/>
  <c r="N90" i="35"/>
  <c r="G91" i="35"/>
  <c r="N91" i="35"/>
  <c r="G92" i="35"/>
  <c r="N92" i="35"/>
  <c r="O92" i="35" s="1"/>
  <c r="G93" i="35"/>
  <c r="O93" i="35" s="1"/>
  <c r="N93" i="35"/>
  <c r="G94" i="35"/>
  <c r="N94" i="35"/>
  <c r="O94" i="35" s="1"/>
  <c r="G95" i="35"/>
  <c r="O95" i="35" s="1"/>
  <c r="N95" i="35"/>
  <c r="G96" i="35"/>
  <c r="N96" i="35"/>
  <c r="G97" i="35"/>
  <c r="O97" i="35"/>
  <c r="N97" i="35"/>
  <c r="G98" i="35"/>
  <c r="N98" i="35"/>
  <c r="G99" i="35"/>
  <c r="N99" i="35"/>
  <c r="G100" i="35"/>
  <c r="N100" i="35"/>
  <c r="G101" i="35"/>
  <c r="N101" i="35"/>
  <c r="G102" i="35"/>
  <c r="N102" i="35"/>
  <c r="O102" i="35"/>
  <c r="G103" i="35"/>
  <c r="N103" i="35"/>
  <c r="O103" i="35" s="1"/>
  <c r="G104" i="35"/>
  <c r="N104" i="35"/>
  <c r="G105" i="35"/>
  <c r="N105" i="35"/>
  <c r="O105" i="35"/>
  <c r="G106" i="35"/>
  <c r="N106" i="35"/>
  <c r="O106" i="35" s="1"/>
  <c r="G107" i="35"/>
  <c r="O107" i="35"/>
  <c r="N107" i="35"/>
  <c r="G108" i="35"/>
  <c r="N108" i="35"/>
  <c r="O108" i="35"/>
  <c r="G109" i="35"/>
  <c r="O109" i="35"/>
  <c r="N109" i="35"/>
  <c r="G110" i="35"/>
  <c r="N110" i="35"/>
  <c r="O110" i="35"/>
  <c r="G111" i="35"/>
  <c r="O111" i="35"/>
  <c r="N111" i="35"/>
  <c r="G112" i="35"/>
  <c r="O112" i="35" s="1"/>
  <c r="N112" i="35"/>
  <c r="G113" i="35"/>
  <c r="O113" i="35" s="1"/>
  <c r="N113" i="35"/>
  <c r="G114" i="35"/>
  <c r="N114" i="35"/>
  <c r="G115" i="35"/>
  <c r="O115" i="35"/>
  <c r="N115" i="35"/>
  <c r="G116" i="35"/>
  <c r="N116" i="35"/>
  <c r="O116" i="35"/>
  <c r="G117" i="35"/>
  <c r="O117" i="35"/>
  <c r="N117" i="35"/>
  <c r="G118" i="35"/>
  <c r="N118" i="35"/>
  <c r="O118" i="35"/>
  <c r="G119" i="35"/>
  <c r="N119" i="35"/>
  <c r="O119" i="35" s="1"/>
  <c r="G120" i="35"/>
  <c r="N120" i="35"/>
  <c r="G121" i="35"/>
  <c r="N121" i="35"/>
  <c r="O121" i="35"/>
  <c r="G122" i="35"/>
  <c r="N122" i="35"/>
  <c r="O122" i="35" s="1"/>
  <c r="G123" i="35"/>
  <c r="N123" i="35"/>
  <c r="G124" i="35"/>
  <c r="N124" i="35"/>
  <c r="O124" i="35" s="1"/>
  <c r="G125" i="35"/>
  <c r="N125" i="35"/>
  <c r="O125" i="35" s="1"/>
  <c r="G126" i="35"/>
  <c r="N126" i="35"/>
  <c r="O126" i="35" s="1"/>
  <c r="G127" i="35"/>
  <c r="N127" i="35"/>
  <c r="G128" i="35"/>
  <c r="N128" i="35"/>
  <c r="O128" i="35" s="1"/>
  <c r="G129" i="35"/>
  <c r="O129" i="35"/>
  <c r="N129" i="35"/>
  <c r="G130" i="35"/>
  <c r="N130" i="35"/>
  <c r="G131" i="35"/>
  <c r="O131" i="35" s="1"/>
  <c r="N131" i="35"/>
  <c r="G132" i="35"/>
  <c r="N132" i="35"/>
  <c r="O132" i="35" s="1"/>
  <c r="G133" i="35"/>
  <c r="O133" i="35" s="1"/>
  <c r="N133" i="35"/>
  <c r="G134" i="35"/>
  <c r="N134" i="35"/>
  <c r="O134" i="35" s="1"/>
  <c r="G135" i="35"/>
  <c r="N135" i="35"/>
  <c r="O135" i="35"/>
  <c r="G136" i="35"/>
  <c r="N136" i="35"/>
  <c r="G137" i="35"/>
  <c r="N137" i="35"/>
  <c r="O137" i="35" s="1"/>
  <c r="G138" i="35"/>
  <c r="N138" i="35"/>
  <c r="G139" i="35"/>
  <c r="N139" i="35"/>
  <c r="G140" i="35"/>
  <c r="N140" i="35"/>
  <c r="O140" i="35"/>
  <c r="G141" i="35"/>
  <c r="N141" i="35"/>
  <c r="G142" i="35"/>
  <c r="N142" i="35"/>
  <c r="O142" i="35" s="1"/>
  <c r="G143" i="35"/>
  <c r="O143" i="35" s="1"/>
  <c r="N143" i="35"/>
  <c r="G144" i="35"/>
  <c r="N144" i="35"/>
  <c r="G145" i="35"/>
  <c r="O145" i="35"/>
  <c r="N145" i="35"/>
  <c r="G146" i="35"/>
  <c r="N146" i="35"/>
  <c r="G147" i="35"/>
  <c r="N147" i="35"/>
  <c r="G148" i="35"/>
  <c r="N148" i="35"/>
  <c r="O148" i="35"/>
  <c r="G149" i="35"/>
  <c r="O149" i="35"/>
  <c r="N149" i="35"/>
  <c r="G150" i="35"/>
  <c r="N150" i="35"/>
  <c r="O150" i="35"/>
  <c r="G151" i="35"/>
  <c r="N151" i="35"/>
  <c r="O151" i="35" s="1"/>
  <c r="G152" i="35"/>
  <c r="N152" i="35"/>
  <c r="G153" i="35"/>
  <c r="N153" i="35"/>
  <c r="O153" i="35"/>
  <c r="G154" i="35"/>
  <c r="N154" i="35"/>
  <c r="O154" i="35" s="1"/>
  <c r="G155" i="35"/>
  <c r="N155" i="35"/>
  <c r="G156" i="35"/>
  <c r="N156" i="35"/>
  <c r="O156" i="35" s="1"/>
  <c r="G157" i="35"/>
  <c r="N157" i="35"/>
  <c r="O157" i="35" s="1"/>
  <c r="G158" i="35"/>
  <c r="N158" i="35"/>
  <c r="O158" i="35" s="1"/>
  <c r="G159" i="35"/>
  <c r="N159" i="35"/>
  <c r="G160" i="35"/>
  <c r="N160" i="35"/>
  <c r="O160" i="35" s="1"/>
  <c r="G161" i="35"/>
  <c r="O161" i="35"/>
  <c r="N161" i="35"/>
  <c r="G162" i="35"/>
  <c r="N162" i="35"/>
  <c r="G163" i="35"/>
  <c r="O163" i="35" s="1"/>
  <c r="N163" i="35"/>
  <c r="G164" i="35"/>
  <c r="N164" i="35"/>
  <c r="O164" i="35"/>
  <c r="G165" i="35"/>
  <c r="O165" i="35"/>
  <c r="N165" i="35"/>
  <c r="G166" i="35"/>
  <c r="N166" i="35"/>
  <c r="O166" i="35"/>
  <c r="G167" i="35"/>
  <c r="N167" i="35"/>
  <c r="O167" i="35" s="1"/>
  <c r="G168" i="35"/>
  <c r="N168" i="35"/>
  <c r="G169" i="35"/>
  <c r="N169" i="35"/>
  <c r="O169" i="35"/>
  <c r="G170" i="35"/>
  <c r="N170" i="35"/>
  <c r="G171" i="35"/>
  <c r="N171" i="35"/>
  <c r="G172" i="35"/>
  <c r="N172" i="35"/>
  <c r="G173" i="35"/>
  <c r="N173" i="35"/>
  <c r="G174" i="35"/>
  <c r="N174" i="35"/>
  <c r="G175" i="35"/>
  <c r="O175" i="35"/>
  <c r="N175" i="35"/>
  <c r="G176" i="35"/>
  <c r="N176" i="35"/>
  <c r="G177" i="35"/>
  <c r="N177" i="35"/>
  <c r="G178" i="35"/>
  <c r="N178" i="35"/>
  <c r="F985" i="34"/>
  <c r="P985" i="34"/>
  <c r="F558" i="34"/>
  <c r="F559" i="34"/>
  <c r="F561" i="34"/>
  <c r="P561" i="34"/>
  <c r="G472" i="33"/>
  <c r="O472" i="33"/>
  <c r="G477" i="33" s="1"/>
  <c r="G280" i="33"/>
  <c r="O280" i="33"/>
  <c r="N23" i="1"/>
  <c r="P23" i="1" s="1"/>
  <c r="F19" i="31"/>
  <c r="P19" i="31"/>
  <c r="G48" i="32"/>
  <c r="G50" i="32" s="1"/>
  <c r="O48" i="32"/>
  <c r="F38" i="31"/>
  <c r="F40" i="31"/>
  <c r="P38" i="31"/>
  <c r="G58" i="32"/>
  <c r="G82" i="32" s="1"/>
  <c r="O82" i="32"/>
  <c r="P4" i="1"/>
  <c r="O5" i="1"/>
  <c r="N5" i="1"/>
  <c r="P5" i="1" s="1"/>
  <c r="O6" i="1"/>
  <c r="N6" i="1"/>
  <c r="P6" i="1" s="1"/>
  <c r="O7" i="1"/>
  <c r="N7" i="1"/>
  <c r="P7" i="1" s="1"/>
  <c r="O8" i="1"/>
  <c r="N8" i="1"/>
  <c r="P8" i="1" s="1"/>
  <c r="O9" i="1"/>
  <c r="P9" i="1"/>
  <c r="N9" i="1"/>
  <c r="O10" i="1"/>
  <c r="P10" i="1" s="1"/>
  <c r="N10" i="1"/>
  <c r="O11" i="1"/>
  <c r="P11" i="1" s="1"/>
  <c r="N11" i="1"/>
  <c r="K4" i="1"/>
  <c r="K5" i="1"/>
  <c r="K6" i="1"/>
  <c r="K7" i="1"/>
  <c r="K8" i="1"/>
  <c r="K9" i="1"/>
  <c r="K10" i="1"/>
  <c r="G41" i="29"/>
  <c r="H41" i="29"/>
  <c r="G21" i="29"/>
  <c r="H23" i="29"/>
  <c r="H21" i="29"/>
  <c r="G816" i="35"/>
  <c r="F816" i="35"/>
  <c r="M31" i="21"/>
  <c r="M18" i="21"/>
  <c r="M33" i="21"/>
  <c r="N933" i="21" s="1"/>
  <c r="N935" i="21"/>
  <c r="H544" i="21"/>
  <c r="N544" i="21"/>
  <c r="M544" i="21"/>
  <c r="H545" i="21"/>
  <c r="M545" i="21"/>
  <c r="N545" i="21"/>
  <c r="H546" i="21"/>
  <c r="N546" i="21"/>
  <c r="M546" i="21"/>
  <c r="H547" i="21"/>
  <c r="N547" i="21" s="1"/>
  <c r="M547" i="21"/>
  <c r="H548" i="21"/>
  <c r="N548" i="21" s="1"/>
  <c r="M548" i="21"/>
  <c r="H549" i="21"/>
  <c r="M549" i="21"/>
  <c r="H550" i="21"/>
  <c r="M550" i="21"/>
  <c r="H551" i="21"/>
  <c r="M551" i="21"/>
  <c r="N551" i="21" s="1"/>
  <c r="H552" i="21"/>
  <c r="N552" i="21" s="1"/>
  <c r="M552" i="21"/>
  <c r="H553" i="21"/>
  <c r="M553" i="21"/>
  <c r="N553" i="21" s="1"/>
  <c r="H554" i="21"/>
  <c r="N554" i="21" s="1"/>
  <c r="M554" i="21"/>
  <c r="H555" i="21"/>
  <c r="M555" i="21"/>
  <c r="H556" i="21"/>
  <c r="N556" i="21"/>
  <c r="M556" i="21"/>
  <c r="H557" i="21"/>
  <c r="M557" i="21"/>
  <c r="H558" i="21"/>
  <c r="M558" i="21"/>
  <c r="N558" i="21"/>
  <c r="H559" i="21"/>
  <c r="M559" i="21"/>
  <c r="H560" i="21"/>
  <c r="M560" i="21"/>
  <c r="H561" i="21"/>
  <c r="M561" i="21"/>
  <c r="H562" i="21"/>
  <c r="M562" i="21"/>
  <c r="H563" i="21"/>
  <c r="M563" i="21"/>
  <c r="H564" i="21"/>
  <c r="M564" i="21"/>
  <c r="N564" i="21" s="1"/>
  <c r="H565" i="21"/>
  <c r="M565" i="21"/>
  <c r="H566" i="21"/>
  <c r="M566" i="21"/>
  <c r="N566" i="21"/>
  <c r="H567" i="21"/>
  <c r="M567" i="21"/>
  <c r="N567" i="21" s="1"/>
  <c r="H568" i="21"/>
  <c r="M568" i="21"/>
  <c r="N568" i="21" s="1"/>
  <c r="H569" i="21"/>
  <c r="M569" i="21"/>
  <c r="H570" i="21"/>
  <c r="M570" i="21"/>
  <c r="N570" i="21" s="1"/>
  <c r="H571" i="21"/>
  <c r="M571" i="21"/>
  <c r="N571" i="21" s="1"/>
  <c r="H572" i="21"/>
  <c r="M572" i="21"/>
  <c r="N572" i="21" s="1"/>
  <c r="H573" i="21"/>
  <c r="M573" i="21"/>
  <c r="H574" i="21"/>
  <c r="M574" i="21"/>
  <c r="N574" i="21" s="1"/>
  <c r="H575" i="21"/>
  <c r="M575" i="21"/>
  <c r="H576" i="21"/>
  <c r="M576" i="21"/>
  <c r="H577" i="21"/>
  <c r="N577" i="21"/>
  <c r="M577" i="21"/>
  <c r="H578" i="21"/>
  <c r="M578" i="21"/>
  <c r="H579" i="21"/>
  <c r="M579" i="21"/>
  <c r="N579" i="21"/>
  <c r="H580" i="21"/>
  <c r="M580" i="21"/>
  <c r="N580" i="21" s="1"/>
  <c r="H581" i="21"/>
  <c r="M581" i="21"/>
  <c r="N581" i="21" s="1"/>
  <c r="H582" i="21"/>
  <c r="M582" i="21"/>
  <c r="N582" i="21" s="1"/>
  <c r="H583" i="21"/>
  <c r="M583" i="21"/>
  <c r="N583" i="21" s="1"/>
  <c r="H584" i="21"/>
  <c r="M584" i="21"/>
  <c r="N584" i="21" s="1"/>
  <c r="H585" i="21"/>
  <c r="M585" i="21"/>
  <c r="N585" i="21" s="1"/>
  <c r="H586" i="21"/>
  <c r="M586" i="21"/>
  <c r="H587" i="21"/>
  <c r="M587" i="21"/>
  <c r="N587" i="21"/>
  <c r="H588" i="21"/>
  <c r="M588" i="21"/>
  <c r="H589" i="21"/>
  <c r="M589" i="21"/>
  <c r="H590" i="21"/>
  <c r="M590" i="21"/>
  <c r="H591" i="21"/>
  <c r="M591" i="21"/>
  <c r="H592" i="21"/>
  <c r="M592" i="21"/>
  <c r="H593" i="21"/>
  <c r="M593" i="21"/>
  <c r="N593" i="21" s="1"/>
  <c r="H594" i="21"/>
  <c r="M594" i="21"/>
  <c r="H595" i="21"/>
  <c r="M595" i="21"/>
  <c r="H596" i="21"/>
  <c r="M596" i="21"/>
  <c r="N596" i="21"/>
  <c r="H597" i="21"/>
  <c r="N597" i="21"/>
  <c r="M597" i="21"/>
  <c r="H598" i="21"/>
  <c r="M598" i="21"/>
  <c r="N598" i="21"/>
  <c r="H599" i="21"/>
  <c r="N599" i="21"/>
  <c r="M599" i="21"/>
  <c r="H600" i="21"/>
  <c r="N600" i="21" s="1"/>
  <c r="M600" i="21"/>
  <c r="H601" i="21"/>
  <c r="N601" i="21" s="1"/>
  <c r="M601" i="21"/>
  <c r="H602" i="21"/>
  <c r="M602" i="21"/>
  <c r="H603" i="21"/>
  <c r="M603" i="21"/>
  <c r="N603" i="21" s="1"/>
  <c r="H604" i="21"/>
  <c r="M604" i="21"/>
  <c r="N604" i="21"/>
  <c r="H605" i="21"/>
  <c r="N605" i="21"/>
  <c r="M605" i="21"/>
  <c r="H606" i="21"/>
  <c r="M606" i="21"/>
  <c r="N606" i="21"/>
  <c r="H607" i="21"/>
  <c r="N607" i="21"/>
  <c r="M607" i="21"/>
  <c r="H608" i="21"/>
  <c r="M608" i="21"/>
  <c r="H609" i="21"/>
  <c r="M609" i="21"/>
  <c r="N609" i="21"/>
  <c r="H610" i="21"/>
  <c r="M610" i="21"/>
  <c r="H611" i="21"/>
  <c r="M611" i="21"/>
  <c r="N611" i="21" s="1"/>
  <c r="H612" i="21"/>
  <c r="M612" i="21"/>
  <c r="H613" i="21"/>
  <c r="M613" i="21"/>
  <c r="H614" i="21"/>
  <c r="M614" i="21"/>
  <c r="H615" i="21"/>
  <c r="M615" i="21"/>
  <c r="N615" i="21"/>
  <c r="H616" i="21"/>
  <c r="M616" i="21"/>
  <c r="H617" i="21"/>
  <c r="N617" i="21"/>
  <c r="M617" i="21"/>
  <c r="H618" i="21"/>
  <c r="M618" i="21"/>
  <c r="H619" i="21"/>
  <c r="M619" i="21"/>
  <c r="H620" i="21"/>
  <c r="M620" i="21"/>
  <c r="N620" i="21"/>
  <c r="H621" i="21"/>
  <c r="N621" i="21"/>
  <c r="M621" i="21"/>
  <c r="H622" i="21"/>
  <c r="M622" i="21"/>
  <c r="N622" i="21"/>
  <c r="H623" i="21"/>
  <c r="N623" i="21"/>
  <c r="M623" i="21"/>
  <c r="H624" i="21"/>
  <c r="M624" i="21"/>
  <c r="H625" i="21"/>
  <c r="M625" i="21"/>
  <c r="N625" i="21"/>
  <c r="H626" i="21"/>
  <c r="M626" i="21"/>
  <c r="H627" i="21"/>
  <c r="M627" i="21"/>
  <c r="N627" i="21" s="1"/>
  <c r="H628" i="21"/>
  <c r="N628" i="21" s="1"/>
  <c r="M628" i="21"/>
  <c r="H629" i="21"/>
  <c r="N629" i="21" s="1"/>
  <c r="M629" i="21"/>
  <c r="H630" i="21"/>
  <c r="N630" i="21" s="1"/>
  <c r="M630" i="21"/>
  <c r="H631" i="21"/>
  <c r="M631" i="21"/>
  <c r="N631" i="21"/>
  <c r="H632" i="21"/>
  <c r="M632" i="21"/>
  <c r="N632" i="21" s="1"/>
  <c r="H633" i="21"/>
  <c r="N633" i="21"/>
  <c r="M633" i="21"/>
  <c r="H634" i="21"/>
  <c r="N634" i="21" s="1"/>
  <c r="M634" i="21"/>
  <c r="H635" i="21"/>
  <c r="N635" i="21" s="1"/>
  <c r="M635" i="21"/>
  <c r="H636" i="21"/>
  <c r="M636" i="21"/>
  <c r="N636" i="21"/>
  <c r="H637" i="21"/>
  <c r="N637" i="21"/>
  <c r="M637" i="21"/>
  <c r="H638" i="21"/>
  <c r="M638" i="21"/>
  <c r="N638" i="21"/>
  <c r="H639" i="21"/>
  <c r="N639" i="21"/>
  <c r="M639" i="21"/>
  <c r="H640" i="21"/>
  <c r="M640" i="21"/>
  <c r="H641" i="21"/>
  <c r="M641" i="21"/>
  <c r="N641" i="21"/>
  <c r="H642" i="21"/>
  <c r="M642" i="21"/>
  <c r="H643" i="21"/>
  <c r="M643" i="21"/>
  <c r="N643" i="21" s="1"/>
  <c r="H644" i="21"/>
  <c r="M644" i="21"/>
  <c r="H645" i="21"/>
  <c r="M645" i="21"/>
  <c r="H646" i="21"/>
  <c r="M646" i="21"/>
  <c r="H647" i="21"/>
  <c r="M647" i="21"/>
  <c r="H648" i="21"/>
  <c r="M648" i="21"/>
  <c r="H649" i="21"/>
  <c r="M649" i="21"/>
  <c r="N649" i="21"/>
  <c r="H650" i="21"/>
  <c r="M650" i="21"/>
  <c r="H651" i="21"/>
  <c r="M651" i="21"/>
  <c r="H652" i="21"/>
  <c r="M652" i="21"/>
  <c r="N652" i="21" s="1"/>
  <c r="H653" i="21"/>
  <c r="N653" i="21" s="1"/>
  <c r="M653" i="21"/>
  <c r="H654" i="21"/>
  <c r="M654" i="21"/>
  <c r="N654" i="21"/>
  <c r="H655" i="21"/>
  <c r="N655" i="21"/>
  <c r="M655" i="21"/>
  <c r="H656" i="21"/>
  <c r="M656" i="21"/>
  <c r="H657" i="21"/>
  <c r="N657" i="21" s="1"/>
  <c r="M657" i="21"/>
  <c r="H658" i="21"/>
  <c r="M658" i="21"/>
  <c r="H659" i="21"/>
  <c r="M659" i="21"/>
  <c r="N659" i="21" s="1"/>
  <c r="H660" i="21"/>
  <c r="M660" i="21"/>
  <c r="N660" i="21"/>
  <c r="H661" i="21"/>
  <c r="N661" i="21"/>
  <c r="M661" i="21"/>
  <c r="H662" i="21"/>
  <c r="M662" i="21"/>
  <c r="N662" i="21"/>
  <c r="H663" i="21"/>
  <c r="M663" i="21"/>
  <c r="N663" i="21" s="1"/>
  <c r="H664" i="21"/>
  <c r="M664" i="21"/>
  <c r="H665" i="21"/>
  <c r="M665" i="21"/>
  <c r="N665" i="21"/>
  <c r="H666" i="21"/>
  <c r="M666" i="21"/>
  <c r="H667" i="21"/>
  <c r="M667" i="21"/>
  <c r="H668" i="21"/>
  <c r="M668" i="21"/>
  <c r="N668" i="21" s="1"/>
  <c r="H669" i="21"/>
  <c r="N669" i="21" s="1"/>
  <c r="M669" i="21"/>
  <c r="H670" i="21"/>
  <c r="M670" i="21"/>
  <c r="N670" i="21"/>
  <c r="H671" i="21"/>
  <c r="N671" i="21"/>
  <c r="M671" i="21"/>
  <c r="H672" i="21"/>
  <c r="M672" i="21"/>
  <c r="H673" i="21"/>
  <c r="N673" i="21" s="1"/>
  <c r="M673" i="21"/>
  <c r="H674" i="21"/>
  <c r="M674" i="21"/>
  <c r="H675" i="21"/>
  <c r="M675" i="21"/>
  <c r="N675" i="21" s="1"/>
  <c r="H676" i="21"/>
  <c r="M676" i="21"/>
  <c r="N676" i="21"/>
  <c r="H677" i="21"/>
  <c r="M677" i="21"/>
  <c r="H678" i="21"/>
  <c r="M678" i="21"/>
  <c r="N678" i="21" s="1"/>
  <c r="H679" i="21"/>
  <c r="M679" i="21"/>
  <c r="N679" i="21"/>
  <c r="H680" i="21"/>
  <c r="M680" i="21"/>
  <c r="H681" i="21"/>
  <c r="M681" i="21"/>
  <c r="N681" i="21" s="1"/>
  <c r="H682" i="21"/>
  <c r="N682" i="21" s="1"/>
  <c r="M682" i="21"/>
  <c r="H683" i="21"/>
  <c r="M683" i="21"/>
  <c r="N683" i="21"/>
  <c r="H684" i="21"/>
  <c r="M684" i="21"/>
  <c r="N684" i="21" s="1"/>
  <c r="H685" i="21"/>
  <c r="M685" i="21"/>
  <c r="H686" i="21"/>
  <c r="M686" i="21"/>
  <c r="N686" i="21"/>
  <c r="H687" i="21"/>
  <c r="M687" i="21"/>
  <c r="H688" i="21"/>
  <c r="M688" i="21"/>
  <c r="H689" i="21"/>
  <c r="N689" i="21"/>
  <c r="M689" i="21"/>
  <c r="H690" i="21"/>
  <c r="M690" i="21"/>
  <c r="H691" i="21"/>
  <c r="M691" i="21"/>
  <c r="H692" i="21"/>
  <c r="M692" i="21"/>
  <c r="N692" i="21"/>
  <c r="H693" i="21"/>
  <c r="N693" i="21"/>
  <c r="M693" i="21"/>
  <c r="H694" i="21"/>
  <c r="M694" i="21"/>
  <c r="N694" i="21"/>
  <c r="H695" i="21"/>
  <c r="K695" i="21"/>
  <c r="M695" i="21" s="1"/>
  <c r="H696" i="21"/>
  <c r="N696" i="21" s="1"/>
  <c r="M696" i="21"/>
  <c r="H697" i="21"/>
  <c r="M697" i="21"/>
  <c r="N697" i="21"/>
  <c r="H698" i="21"/>
  <c r="N698" i="21"/>
  <c r="M698" i="21"/>
  <c r="H699" i="21"/>
  <c r="M699" i="21"/>
  <c r="H700" i="21"/>
  <c r="N700" i="21" s="1"/>
  <c r="M700" i="21"/>
  <c r="H701" i="21"/>
  <c r="M701" i="21"/>
  <c r="H702" i="21"/>
  <c r="M702" i="21"/>
  <c r="N702" i="21" s="1"/>
  <c r="H703" i="21"/>
  <c r="M703" i="21"/>
  <c r="N703" i="21"/>
  <c r="H704" i="21"/>
  <c r="N704" i="21"/>
  <c r="M704" i="21"/>
  <c r="H705" i="21"/>
  <c r="M705" i="21"/>
  <c r="N705" i="21"/>
  <c r="H706" i="21"/>
  <c r="M706" i="21"/>
  <c r="N706" i="21" s="1"/>
  <c r="H707" i="21"/>
  <c r="M707" i="21"/>
  <c r="H708" i="21"/>
  <c r="M708" i="21"/>
  <c r="N708" i="21"/>
  <c r="H709" i="21"/>
  <c r="M709" i="21"/>
  <c r="H710" i="21"/>
  <c r="M710" i="21"/>
  <c r="H711" i="21"/>
  <c r="M711" i="21"/>
  <c r="N711" i="21" s="1"/>
  <c r="H712" i="21"/>
  <c r="N712" i="21" s="1"/>
  <c r="M712" i="21"/>
  <c r="H713" i="21"/>
  <c r="M713" i="21"/>
  <c r="N713" i="21"/>
  <c r="H714" i="21"/>
  <c r="N714" i="21"/>
  <c r="M714" i="21"/>
  <c r="H715" i="21"/>
  <c r="M715" i="21"/>
  <c r="H716" i="21"/>
  <c r="N716" i="21" s="1"/>
  <c r="M716" i="21"/>
  <c r="H717" i="21"/>
  <c r="M717" i="21"/>
  <c r="H718" i="21"/>
  <c r="M718" i="21"/>
  <c r="N718" i="21" s="1"/>
  <c r="H719" i="21"/>
  <c r="M719" i="21"/>
  <c r="N719" i="21"/>
  <c r="H720" i="21"/>
  <c r="M720" i="21"/>
  <c r="H721" i="21"/>
  <c r="M721" i="21"/>
  <c r="N721" i="21" s="1"/>
  <c r="H722" i="21"/>
  <c r="M722" i="21"/>
  <c r="N722" i="21"/>
  <c r="H723" i="21"/>
  <c r="M723" i="21"/>
  <c r="H724" i="21"/>
  <c r="M724" i="21"/>
  <c r="N724" i="21" s="1"/>
  <c r="H725" i="21"/>
  <c r="M725" i="21"/>
  <c r="H726" i="21"/>
  <c r="N726" i="21" s="1"/>
  <c r="M726" i="21"/>
  <c r="H727" i="21"/>
  <c r="K727" i="21"/>
  <c r="M727" i="21"/>
  <c r="H728" i="21"/>
  <c r="M728" i="21"/>
  <c r="H729" i="21"/>
  <c r="M729" i="21"/>
  <c r="N729" i="21"/>
  <c r="H730" i="21"/>
  <c r="M730" i="21"/>
  <c r="H731" i="21"/>
  <c r="M731" i="21"/>
  <c r="H732" i="21"/>
  <c r="M732" i="21"/>
  <c r="N732" i="21" s="1"/>
  <c r="H733" i="21"/>
  <c r="M733" i="21"/>
  <c r="H734" i="21"/>
  <c r="M734" i="21"/>
  <c r="N734" i="21"/>
  <c r="H735" i="21"/>
  <c r="K735" i="21"/>
  <c r="M735" i="21" s="1"/>
  <c r="N735" i="21" s="1"/>
  <c r="H736" i="21"/>
  <c r="M736" i="21"/>
  <c r="H737" i="21"/>
  <c r="M737" i="21"/>
  <c r="N737" i="21" s="1"/>
  <c r="H738" i="21"/>
  <c r="M738" i="21"/>
  <c r="H739" i="21"/>
  <c r="M739" i="21"/>
  <c r="H740" i="21"/>
  <c r="M740" i="21"/>
  <c r="N740" i="21" s="1"/>
  <c r="H741" i="21"/>
  <c r="M741" i="21"/>
  <c r="H742" i="21"/>
  <c r="M742" i="21"/>
  <c r="N742" i="21"/>
  <c r="H743" i="21"/>
  <c r="M743" i="21"/>
  <c r="H744" i="21"/>
  <c r="M744" i="21"/>
  <c r="H745" i="21"/>
  <c r="M745" i="21"/>
  <c r="H746" i="21"/>
  <c r="M746" i="21"/>
  <c r="N746" i="21" s="1"/>
  <c r="H747" i="21"/>
  <c r="N747" i="21" s="1"/>
  <c r="M747" i="21"/>
  <c r="H748" i="21"/>
  <c r="N748" i="21" s="1"/>
  <c r="M748" i="21"/>
  <c r="H749" i="21"/>
  <c r="M749" i="21"/>
  <c r="H750" i="21"/>
  <c r="N750" i="21"/>
  <c r="M750" i="21"/>
  <c r="H751" i="21"/>
  <c r="M751" i="21"/>
  <c r="N751" i="21"/>
  <c r="H752" i="21"/>
  <c r="N752" i="21"/>
  <c r="M752" i="21"/>
  <c r="H753" i="21"/>
  <c r="K753" i="21"/>
  <c r="M753" i="21"/>
  <c r="H754" i="21"/>
  <c r="M754" i="21"/>
  <c r="H755" i="21"/>
  <c r="N755" i="21" s="1"/>
  <c r="M755" i="21"/>
  <c r="H756" i="21"/>
  <c r="N756" i="21" s="1"/>
  <c r="M756" i="21"/>
  <c r="H757" i="21"/>
  <c r="N757" i="21" s="1"/>
  <c r="M757" i="21"/>
  <c r="H758" i="21"/>
  <c r="N758" i="21" s="1"/>
  <c r="M758" i="21"/>
  <c r="H759" i="21"/>
  <c r="M759" i="21"/>
  <c r="N759" i="21"/>
  <c r="H760" i="21"/>
  <c r="M760" i="21"/>
  <c r="H761" i="21"/>
  <c r="N761" i="21"/>
  <c r="M761" i="21"/>
  <c r="H762" i="21"/>
  <c r="N762" i="21" s="1"/>
  <c r="M762" i="21"/>
  <c r="H763" i="21"/>
  <c r="N763" i="21" s="1"/>
  <c r="M763" i="21"/>
  <c r="H764" i="21"/>
  <c r="M764" i="21"/>
  <c r="N764" i="21" s="1"/>
  <c r="H765" i="21"/>
  <c r="K765" i="21"/>
  <c r="M765" i="21"/>
  <c r="H766" i="21"/>
  <c r="M766" i="21"/>
  <c r="H767" i="21"/>
  <c r="M767" i="21"/>
  <c r="N767" i="21" s="1"/>
  <c r="H768" i="21"/>
  <c r="M768" i="21"/>
  <c r="N768" i="21" s="1"/>
  <c r="H769" i="21"/>
  <c r="M769" i="21"/>
  <c r="H770" i="21"/>
  <c r="M770" i="21"/>
  <c r="N770" i="21" s="1"/>
  <c r="H771" i="21"/>
  <c r="M771" i="21"/>
  <c r="H772" i="21"/>
  <c r="M772" i="21"/>
  <c r="H773" i="21"/>
  <c r="M773" i="21"/>
  <c r="H774" i="21"/>
  <c r="N774" i="21"/>
  <c r="M774" i="21"/>
  <c r="H775" i="21"/>
  <c r="M775" i="21"/>
  <c r="N775" i="21"/>
  <c r="H776" i="21"/>
  <c r="N776" i="21"/>
  <c r="M776" i="21"/>
  <c r="H777" i="21"/>
  <c r="M777" i="21"/>
  <c r="N777" i="21"/>
  <c r="H778" i="21"/>
  <c r="N778" i="21"/>
  <c r="M778" i="21"/>
  <c r="H779" i="21"/>
  <c r="M779" i="21"/>
  <c r="H780" i="21"/>
  <c r="M780" i="21"/>
  <c r="N780" i="21"/>
  <c r="H781" i="21"/>
  <c r="M781" i="21"/>
  <c r="N781" i="21" s="1"/>
  <c r="H782" i="21"/>
  <c r="M782" i="21"/>
  <c r="N782" i="21" s="1"/>
  <c r="H783" i="21"/>
  <c r="M783" i="21"/>
  <c r="N783" i="21" s="1"/>
  <c r="H784" i="21"/>
  <c r="M784" i="21"/>
  <c r="N784" i="21" s="1"/>
  <c r="H785" i="21"/>
  <c r="M785" i="21"/>
  <c r="N785" i="21" s="1"/>
  <c r="H786" i="21"/>
  <c r="M786" i="21"/>
  <c r="N786" i="21" s="1"/>
  <c r="H787" i="21"/>
  <c r="M787" i="21"/>
  <c r="H788" i="21"/>
  <c r="M788" i="21"/>
  <c r="H789" i="21"/>
  <c r="M789" i="21"/>
  <c r="H790" i="21"/>
  <c r="N790" i="21"/>
  <c r="M790" i="21"/>
  <c r="H791" i="21"/>
  <c r="M791" i="21"/>
  <c r="N791" i="21"/>
  <c r="H792" i="21"/>
  <c r="N792" i="21"/>
  <c r="M792" i="21"/>
  <c r="H793" i="21"/>
  <c r="M793" i="21"/>
  <c r="N793" i="21"/>
  <c r="H794" i="21"/>
  <c r="N794" i="21"/>
  <c r="M794" i="21"/>
  <c r="H795" i="21"/>
  <c r="M795" i="21"/>
  <c r="H796" i="21"/>
  <c r="M796" i="21"/>
  <c r="N796" i="21"/>
  <c r="H797" i="21"/>
  <c r="M797" i="21"/>
  <c r="N797" i="21" s="1"/>
  <c r="H798" i="21"/>
  <c r="M798" i="21"/>
  <c r="H799" i="21"/>
  <c r="M799" i="21"/>
  <c r="N799" i="21" s="1"/>
  <c r="H800" i="21"/>
  <c r="M800" i="21"/>
  <c r="N800" i="21" s="1"/>
  <c r="H801" i="21"/>
  <c r="M801" i="21"/>
  <c r="H802" i="21"/>
  <c r="M802" i="21"/>
  <c r="N802" i="21" s="1"/>
  <c r="H803" i="21"/>
  <c r="M803" i="21"/>
  <c r="H804" i="21"/>
  <c r="M804" i="21"/>
  <c r="H805" i="21"/>
  <c r="M805" i="21"/>
  <c r="H806" i="21"/>
  <c r="N806" i="21"/>
  <c r="M806" i="21"/>
  <c r="H807" i="21"/>
  <c r="M807" i="21"/>
  <c r="N807" i="21"/>
  <c r="H808" i="21"/>
  <c r="N808" i="21"/>
  <c r="M808" i="21"/>
  <c r="H809" i="21"/>
  <c r="M809" i="21"/>
  <c r="N809" i="21"/>
  <c r="H810" i="21"/>
  <c r="N810" i="21"/>
  <c r="M810" i="21"/>
  <c r="H811" i="21"/>
  <c r="M811" i="21"/>
  <c r="H812" i="21"/>
  <c r="M812" i="21"/>
  <c r="N812" i="21"/>
  <c r="H813" i="21"/>
  <c r="M813" i="21"/>
  <c r="N813" i="21" s="1"/>
  <c r="H814" i="21"/>
  <c r="M814" i="21"/>
  <c r="N814" i="21" s="1"/>
  <c r="H815" i="21"/>
  <c r="M815" i="21"/>
  <c r="N815" i="21" s="1"/>
  <c r="H816" i="21"/>
  <c r="M816" i="21"/>
  <c r="N816" i="21" s="1"/>
  <c r="H817" i="21"/>
  <c r="K817" i="21"/>
  <c r="M817" i="21" s="1"/>
  <c r="N817" i="21" s="1"/>
  <c r="H818" i="21"/>
  <c r="M818" i="21"/>
  <c r="H819" i="21"/>
  <c r="M819" i="21"/>
  <c r="H820" i="21"/>
  <c r="M820" i="21"/>
  <c r="N820" i="21" s="1"/>
  <c r="H821" i="21"/>
  <c r="M821" i="21"/>
  <c r="H822" i="21"/>
  <c r="M822" i="21"/>
  <c r="N822" i="21" s="1"/>
  <c r="H823" i="21"/>
  <c r="M823" i="21"/>
  <c r="H824" i="21"/>
  <c r="M824" i="21"/>
  <c r="N824" i="21" s="1"/>
  <c r="H825" i="21"/>
  <c r="M825" i="21"/>
  <c r="N825" i="21" s="1"/>
  <c r="H826" i="21"/>
  <c r="M826" i="21"/>
  <c r="H827" i="21"/>
  <c r="M827" i="21"/>
  <c r="N827" i="21"/>
  <c r="H828" i="21"/>
  <c r="M828" i="21"/>
  <c r="H829" i="21"/>
  <c r="M829" i="21"/>
  <c r="H830" i="21"/>
  <c r="M830" i="21"/>
  <c r="H831" i="21"/>
  <c r="M831" i="21"/>
  <c r="H832" i="21"/>
  <c r="M832" i="21"/>
  <c r="H833" i="21"/>
  <c r="M833" i="21"/>
  <c r="N833" i="21" s="1"/>
  <c r="H834" i="21"/>
  <c r="M834" i="21"/>
  <c r="H835" i="21"/>
  <c r="M835" i="21"/>
  <c r="N835" i="21"/>
  <c r="H836" i="21"/>
  <c r="M836" i="21"/>
  <c r="N836" i="21" s="1"/>
  <c r="H837" i="21"/>
  <c r="M837" i="21"/>
  <c r="H838" i="21"/>
  <c r="M838" i="21"/>
  <c r="N838" i="21"/>
  <c r="H839" i="21"/>
  <c r="M839" i="21"/>
  <c r="H840" i="21"/>
  <c r="M840" i="21"/>
  <c r="H841" i="21"/>
  <c r="N841" i="21"/>
  <c r="M841" i="21"/>
  <c r="H842" i="21"/>
  <c r="M842" i="21"/>
  <c r="H843" i="21"/>
  <c r="M843" i="21"/>
  <c r="H844" i="21"/>
  <c r="M844" i="21"/>
  <c r="N844" i="21" s="1"/>
  <c r="H845" i="21"/>
  <c r="M845" i="21"/>
  <c r="H846" i="21"/>
  <c r="M846" i="21"/>
  <c r="N846" i="21"/>
  <c r="H847" i="21"/>
  <c r="M847" i="21"/>
  <c r="H848" i="21"/>
  <c r="M848" i="21"/>
  <c r="N848" i="21" s="1"/>
  <c r="H849" i="21"/>
  <c r="M849" i="21"/>
  <c r="N849" i="21"/>
  <c r="H850" i="21"/>
  <c r="K850" i="21"/>
  <c r="M850" i="21" s="1"/>
  <c r="H851" i="21"/>
  <c r="M851" i="21"/>
  <c r="N851" i="21"/>
  <c r="H852" i="21"/>
  <c r="N852" i="21"/>
  <c r="M852" i="21"/>
  <c r="H853" i="21"/>
  <c r="M853" i="21"/>
  <c r="N853" i="21"/>
  <c r="H854" i="21"/>
  <c r="N854" i="21"/>
  <c r="M854" i="21"/>
  <c r="H855" i="21"/>
  <c r="M855" i="21"/>
  <c r="H856" i="21"/>
  <c r="M856" i="21"/>
  <c r="N856" i="21"/>
  <c r="H857" i="21"/>
  <c r="M857" i="21"/>
  <c r="H858" i="21"/>
  <c r="M858" i="21"/>
  <c r="H859" i="21"/>
  <c r="K859" i="21"/>
  <c r="M859" i="21" s="1"/>
  <c r="H860" i="21"/>
  <c r="M860" i="21"/>
  <c r="H861" i="21"/>
  <c r="N861" i="21" s="1"/>
  <c r="M861" i="21"/>
  <c r="H862" i="21"/>
  <c r="M862" i="21"/>
  <c r="N862" i="21"/>
  <c r="H863" i="21"/>
  <c r="N863" i="21"/>
  <c r="M863" i="21"/>
  <c r="H864" i="21"/>
  <c r="M864" i="21"/>
  <c r="N864" i="21"/>
  <c r="H865" i="21"/>
  <c r="N865" i="21"/>
  <c r="M865" i="21"/>
  <c r="H866" i="21"/>
  <c r="M866" i="21"/>
  <c r="H867" i="21"/>
  <c r="N867" i="21" s="1"/>
  <c r="M867" i="21"/>
  <c r="H868" i="21"/>
  <c r="M868" i="21"/>
  <c r="H869" i="21"/>
  <c r="M869" i="21"/>
  <c r="N869" i="21" s="1"/>
  <c r="H870" i="21"/>
  <c r="M870" i="21"/>
  <c r="N870" i="21"/>
  <c r="H871" i="21"/>
  <c r="M871" i="21"/>
  <c r="H872" i="21"/>
  <c r="M872" i="21"/>
  <c r="N872" i="21" s="1"/>
  <c r="H873" i="21"/>
  <c r="M873" i="21"/>
  <c r="H874" i="21"/>
  <c r="M874" i="21"/>
  <c r="H875" i="21"/>
  <c r="M875" i="21"/>
  <c r="N875" i="21"/>
  <c r="H876" i="21"/>
  <c r="M876" i="21"/>
  <c r="H877" i="21"/>
  <c r="M877" i="21"/>
  <c r="N877" i="21" s="1"/>
  <c r="H878" i="21"/>
  <c r="M878" i="21"/>
  <c r="H879" i="21"/>
  <c r="N879" i="21" s="1"/>
  <c r="M879" i="21"/>
  <c r="H880" i="21"/>
  <c r="N880" i="21" s="1"/>
  <c r="M880" i="21"/>
  <c r="H881" i="21"/>
  <c r="N881" i="21" s="1"/>
  <c r="M881" i="21"/>
  <c r="H882" i="21"/>
  <c r="M882" i="21"/>
  <c r="H883" i="21"/>
  <c r="M883" i="21"/>
  <c r="N883" i="21"/>
  <c r="H884" i="21"/>
  <c r="M884" i="21"/>
  <c r="N884" i="21" s="1"/>
  <c r="H885" i="21"/>
  <c r="M885" i="21"/>
  <c r="N885" i="21" s="1"/>
  <c r="H886" i="21"/>
  <c r="M886" i="21"/>
  <c r="N886" i="21"/>
  <c r="H887" i="21"/>
  <c r="M887" i="21"/>
  <c r="H888" i="21"/>
  <c r="M888" i="21"/>
  <c r="N888" i="21" s="1"/>
  <c r="H889" i="21"/>
  <c r="N889" i="21" s="1"/>
  <c r="M889" i="21"/>
  <c r="H890" i="21"/>
  <c r="M890" i="21"/>
  <c r="N890" i="21"/>
  <c r="H891" i="21"/>
  <c r="N891" i="21"/>
  <c r="M891" i="21"/>
  <c r="H892" i="21"/>
  <c r="M892" i="21"/>
  <c r="H893" i="21"/>
  <c r="N893" i="21" s="1"/>
  <c r="M893" i="21"/>
  <c r="H894" i="21"/>
  <c r="M894" i="21"/>
  <c r="N894" i="21" s="1"/>
  <c r="H895" i="21"/>
  <c r="N895" i="21" s="1"/>
  <c r="M895" i="21"/>
  <c r="H896" i="21"/>
  <c r="M896" i="21"/>
  <c r="N896" i="21"/>
  <c r="H897" i="21"/>
  <c r="M897" i="21"/>
  <c r="N897" i="21" s="1"/>
  <c r="H898" i="21"/>
  <c r="M898" i="21"/>
  <c r="N898" i="21" s="1"/>
  <c r="H899" i="21"/>
  <c r="M899" i="21"/>
  <c r="N899" i="21"/>
  <c r="H900" i="21"/>
  <c r="M900" i="21"/>
  <c r="H901" i="21"/>
  <c r="M901" i="21"/>
  <c r="N901" i="21" s="1"/>
  <c r="H902" i="21"/>
  <c r="M902" i="21"/>
  <c r="N902" i="21"/>
  <c r="H903" i="21"/>
  <c r="M903" i="21"/>
  <c r="N903" i="21" s="1"/>
  <c r="H904" i="21"/>
  <c r="M904" i="21"/>
  <c r="N904" i="21" s="1"/>
  <c r="H905" i="21"/>
  <c r="M905" i="21"/>
  <c r="H906" i="21"/>
  <c r="M906" i="21"/>
  <c r="N906" i="21"/>
  <c r="H907" i="21"/>
  <c r="N907" i="21"/>
  <c r="M907" i="21"/>
  <c r="H39" i="21"/>
  <c r="M39" i="21"/>
  <c r="H40" i="21"/>
  <c r="M40" i="21"/>
  <c r="H41" i="21"/>
  <c r="M41" i="21"/>
  <c r="N41" i="21"/>
  <c r="H42" i="21"/>
  <c r="M42" i="21"/>
  <c r="H43" i="21"/>
  <c r="N43" i="21"/>
  <c r="M43" i="21"/>
  <c r="H44" i="21"/>
  <c r="M44" i="21"/>
  <c r="N44" i="21"/>
  <c r="H45" i="21"/>
  <c r="N45" i="21"/>
  <c r="M45" i="21"/>
  <c r="H46" i="21"/>
  <c r="M46" i="21"/>
  <c r="N46" i="21"/>
  <c r="H47" i="21"/>
  <c r="N47" i="21"/>
  <c r="M47" i="21"/>
  <c r="H48" i="21"/>
  <c r="M48" i="21"/>
  <c r="N48" i="21"/>
  <c r="H49" i="21"/>
  <c r="N49" i="21"/>
  <c r="M49" i="21"/>
  <c r="H50" i="21"/>
  <c r="M50" i="21"/>
  <c r="H51" i="21"/>
  <c r="M51" i="21"/>
  <c r="N51" i="21"/>
  <c r="H52" i="21"/>
  <c r="M52" i="21"/>
  <c r="H53" i="21"/>
  <c r="M53" i="21"/>
  <c r="H54" i="21"/>
  <c r="M54" i="21"/>
  <c r="H55" i="21"/>
  <c r="M55" i="21"/>
  <c r="H56" i="21"/>
  <c r="M56" i="21"/>
  <c r="H57" i="21"/>
  <c r="M57" i="21"/>
  <c r="N57" i="21" s="1"/>
  <c r="H58" i="21"/>
  <c r="M58" i="21"/>
  <c r="H59" i="21"/>
  <c r="N59" i="21" s="1"/>
  <c r="M59" i="21"/>
  <c r="H60" i="21"/>
  <c r="M60" i="21"/>
  <c r="N60" i="21" s="1"/>
  <c r="H61" i="21"/>
  <c r="N61" i="21" s="1"/>
  <c r="M61" i="21"/>
  <c r="H62" i="21"/>
  <c r="M62" i="21"/>
  <c r="N62" i="21" s="1"/>
  <c r="H63" i="21"/>
  <c r="N63" i="21" s="1"/>
  <c r="M63" i="21"/>
  <c r="H64" i="21"/>
  <c r="M64" i="21"/>
  <c r="N64" i="21" s="1"/>
  <c r="H65" i="21"/>
  <c r="N65" i="21" s="1"/>
  <c r="M65" i="21"/>
  <c r="H66" i="21"/>
  <c r="M66" i="21"/>
  <c r="H67" i="21"/>
  <c r="M67" i="21"/>
  <c r="N67" i="21" s="1"/>
  <c r="H68" i="21"/>
  <c r="M68" i="21"/>
  <c r="H69" i="21"/>
  <c r="N69" i="21" s="1"/>
  <c r="M69" i="21"/>
  <c r="H70" i="21"/>
  <c r="N70" i="21" s="1"/>
  <c r="M70" i="21"/>
  <c r="H71" i="21"/>
  <c r="N71" i="21" s="1"/>
  <c r="M71" i="21"/>
  <c r="H72" i="21"/>
  <c r="N72" i="21" s="1"/>
  <c r="M72" i="21"/>
  <c r="H73" i="21"/>
  <c r="M73" i="21"/>
  <c r="N73" i="21"/>
  <c r="H74" i="21"/>
  <c r="M74" i="21"/>
  <c r="H75" i="21"/>
  <c r="N75" i="21"/>
  <c r="M75" i="21"/>
  <c r="H76" i="21"/>
  <c r="M76" i="21"/>
  <c r="N76" i="21"/>
  <c r="H77" i="21"/>
  <c r="N77" i="21"/>
  <c r="M77" i="21"/>
  <c r="H78" i="21"/>
  <c r="M78" i="21"/>
  <c r="N78" i="21"/>
  <c r="H79" i="21"/>
  <c r="N79" i="21"/>
  <c r="M79" i="21"/>
  <c r="H80" i="21"/>
  <c r="M80" i="21"/>
  <c r="N80" i="21"/>
  <c r="H81" i="21"/>
  <c r="N81" i="21"/>
  <c r="M81" i="21"/>
  <c r="H82" i="21"/>
  <c r="N82" i="21" s="1"/>
  <c r="M82" i="21"/>
  <c r="H83" i="21"/>
  <c r="M83" i="21"/>
  <c r="N83" i="21"/>
  <c r="H84" i="21"/>
  <c r="M84" i="21"/>
  <c r="N84" i="21" s="1"/>
  <c r="H85" i="21"/>
  <c r="M85" i="21"/>
  <c r="H86" i="21"/>
  <c r="M86" i="21"/>
  <c r="H87" i="21"/>
  <c r="M87" i="21"/>
  <c r="N87" i="21" s="1"/>
  <c r="H88" i="21"/>
  <c r="M88" i="21"/>
  <c r="N88" i="21" s="1"/>
  <c r="H89" i="21"/>
  <c r="M89" i="21"/>
  <c r="N89" i="21" s="1"/>
  <c r="H90" i="21"/>
  <c r="M90" i="21"/>
  <c r="H91" i="21"/>
  <c r="M91" i="21"/>
  <c r="H92" i="21"/>
  <c r="M92" i="21"/>
  <c r="N92" i="21" s="1"/>
  <c r="H93" i="21"/>
  <c r="M93" i="21"/>
  <c r="H94" i="21"/>
  <c r="M94" i="21"/>
  <c r="N94" i="21" s="1"/>
  <c r="H95" i="21"/>
  <c r="M95" i="21"/>
  <c r="H96" i="21"/>
  <c r="M96" i="21"/>
  <c r="N96" i="21" s="1"/>
  <c r="H97" i="21"/>
  <c r="M97" i="21"/>
  <c r="H98" i="21"/>
  <c r="M98" i="21"/>
  <c r="N98" i="21" s="1"/>
  <c r="H99" i="21"/>
  <c r="M99" i="21"/>
  <c r="N99" i="21" s="1"/>
  <c r="H100" i="21"/>
  <c r="M100" i="21"/>
  <c r="H101" i="21"/>
  <c r="M101" i="21"/>
  <c r="H102" i="21"/>
  <c r="M102" i="21"/>
  <c r="H103" i="21"/>
  <c r="M103" i="21"/>
  <c r="H104" i="21"/>
  <c r="M104" i="21"/>
  <c r="H105" i="21"/>
  <c r="M105" i="21"/>
  <c r="N105" i="21"/>
  <c r="H106" i="21"/>
  <c r="M106" i="21"/>
  <c r="H107" i="21"/>
  <c r="N107" i="21"/>
  <c r="M107" i="21"/>
  <c r="H108" i="21"/>
  <c r="M108" i="21"/>
  <c r="N108" i="21"/>
  <c r="H109" i="21"/>
  <c r="N109" i="21"/>
  <c r="M109" i="21"/>
  <c r="H110" i="21"/>
  <c r="M110" i="21"/>
  <c r="N110" i="21"/>
  <c r="H111" i="21"/>
  <c r="N111" i="21"/>
  <c r="M111" i="21"/>
  <c r="H112" i="21"/>
  <c r="M112" i="21"/>
  <c r="N112" i="21"/>
  <c r="H113" i="21"/>
  <c r="N113" i="21"/>
  <c r="M113" i="21"/>
  <c r="H114" i="21"/>
  <c r="M114" i="21"/>
  <c r="H115" i="21"/>
  <c r="M115" i="21"/>
  <c r="N115" i="21"/>
  <c r="H116" i="21"/>
  <c r="M116" i="21"/>
  <c r="N116" i="21" s="1"/>
  <c r="H117" i="21"/>
  <c r="N117" i="21" s="1"/>
  <c r="M117" i="21"/>
  <c r="H118" i="21"/>
  <c r="M118" i="21"/>
  <c r="N118" i="21"/>
  <c r="H119" i="21"/>
  <c r="M119" i="21"/>
  <c r="H120" i="21"/>
  <c r="M120" i="21"/>
  <c r="N120" i="21" s="1"/>
  <c r="H121" i="21"/>
  <c r="M121" i="21"/>
  <c r="N121" i="21" s="1"/>
  <c r="H122" i="21"/>
  <c r="M122" i="21"/>
  <c r="H123" i="21"/>
  <c r="M123" i="21"/>
  <c r="N123" i="21"/>
  <c r="H124" i="21"/>
  <c r="M124" i="21"/>
  <c r="H125" i="21"/>
  <c r="M125" i="21"/>
  <c r="H126" i="21"/>
  <c r="M126" i="21"/>
  <c r="H127" i="21"/>
  <c r="M127" i="21"/>
  <c r="H128" i="21"/>
  <c r="M128" i="21"/>
  <c r="H129" i="21"/>
  <c r="M129" i="21"/>
  <c r="N129" i="21" s="1"/>
  <c r="H130" i="21"/>
  <c r="N130" i="21" s="1"/>
  <c r="M130" i="21"/>
  <c r="H131" i="21"/>
  <c r="M131" i="21"/>
  <c r="N131" i="21"/>
  <c r="H132" i="21"/>
  <c r="M132" i="21"/>
  <c r="N132" i="21" s="1"/>
  <c r="H133" i="21"/>
  <c r="M133" i="21"/>
  <c r="H134" i="21"/>
  <c r="M134" i="21"/>
  <c r="N134" i="21"/>
  <c r="H135" i="21"/>
  <c r="M135" i="21"/>
  <c r="H136" i="21"/>
  <c r="M136" i="21"/>
  <c r="H137" i="21"/>
  <c r="N137" i="21"/>
  <c r="M137" i="21"/>
  <c r="H138" i="21"/>
  <c r="M138" i="21"/>
  <c r="H139" i="21"/>
  <c r="M139" i="21"/>
  <c r="H140" i="21"/>
  <c r="M140" i="21"/>
  <c r="N140" i="21"/>
  <c r="H141" i="21"/>
  <c r="N141" i="21"/>
  <c r="M141" i="21"/>
  <c r="H142" i="21"/>
  <c r="M142" i="21"/>
  <c r="N142" i="21"/>
  <c r="H143" i="21"/>
  <c r="N143" i="21"/>
  <c r="M143" i="21"/>
  <c r="H144" i="21"/>
  <c r="M144" i="21"/>
  <c r="H145" i="21"/>
  <c r="M145" i="21"/>
  <c r="H146" i="21"/>
  <c r="M146" i="21"/>
  <c r="N146" i="21" s="1"/>
  <c r="H147" i="21"/>
  <c r="M147" i="21"/>
  <c r="N147" i="21" s="1"/>
  <c r="H148" i="21"/>
  <c r="M148" i="21"/>
  <c r="N148" i="21"/>
  <c r="H149" i="21"/>
  <c r="M149" i="21"/>
  <c r="H150" i="21"/>
  <c r="M150" i="21"/>
  <c r="N150" i="21" s="1"/>
  <c r="H151" i="21"/>
  <c r="N151" i="21" s="1"/>
  <c r="M151" i="21"/>
  <c r="H152" i="21"/>
  <c r="M152" i="21"/>
  <c r="H153" i="21"/>
  <c r="M153" i="21"/>
  <c r="N153" i="21"/>
  <c r="H154" i="21"/>
  <c r="M154" i="21"/>
  <c r="H155" i="21"/>
  <c r="M155" i="21"/>
  <c r="N155" i="21" s="1"/>
  <c r="H156" i="21"/>
  <c r="M156" i="21"/>
  <c r="H157" i="21"/>
  <c r="M157" i="21"/>
  <c r="H158" i="21"/>
  <c r="M158" i="21"/>
  <c r="H159" i="21"/>
  <c r="M159" i="21"/>
  <c r="H160" i="21"/>
  <c r="M160" i="21"/>
  <c r="H161" i="21"/>
  <c r="M161" i="21"/>
  <c r="N161" i="21"/>
  <c r="H162" i="21"/>
  <c r="M162" i="21"/>
  <c r="H163" i="21"/>
  <c r="M163" i="21"/>
  <c r="N163" i="21" s="1"/>
  <c r="H164" i="21"/>
  <c r="M164" i="21"/>
  <c r="N164" i="21"/>
  <c r="H165" i="21"/>
  <c r="M165" i="21"/>
  <c r="N165" i="21" s="1"/>
  <c r="H166" i="21"/>
  <c r="M166" i="21"/>
  <c r="N166" i="21" s="1"/>
  <c r="H167" i="21"/>
  <c r="M167" i="21"/>
  <c r="H168" i="21"/>
  <c r="M168" i="21"/>
  <c r="H169" i="21"/>
  <c r="M169" i="21"/>
  <c r="H170" i="21"/>
  <c r="M170" i="21"/>
  <c r="H171" i="21"/>
  <c r="M171" i="21"/>
  <c r="N171" i="21" s="1"/>
  <c r="H172" i="21"/>
  <c r="M172" i="21"/>
  <c r="N172" i="21" s="1"/>
  <c r="H173" i="21"/>
  <c r="M173" i="21"/>
  <c r="H174" i="21"/>
  <c r="M174" i="21"/>
  <c r="N174" i="21" s="1"/>
  <c r="H175" i="21"/>
  <c r="M175" i="21"/>
  <c r="H176" i="21"/>
  <c r="M176" i="21"/>
  <c r="N176" i="21" s="1"/>
  <c r="H177" i="21"/>
  <c r="N177" i="21"/>
  <c r="M177" i="21"/>
  <c r="H178" i="21"/>
  <c r="N178" i="21" s="1"/>
  <c r="M178" i="21"/>
  <c r="H179" i="21"/>
  <c r="M179" i="21"/>
  <c r="N179" i="21"/>
  <c r="H180" i="21"/>
  <c r="M180" i="21"/>
  <c r="N180" i="21" s="1"/>
  <c r="H181" i="21"/>
  <c r="M181" i="21"/>
  <c r="H182" i="21"/>
  <c r="M182" i="21"/>
  <c r="N182" i="21"/>
  <c r="H183" i="21"/>
  <c r="N183" i="21"/>
  <c r="M183" i="21"/>
  <c r="H184" i="21"/>
  <c r="M184" i="21"/>
  <c r="H185" i="21"/>
  <c r="M185" i="21"/>
  <c r="N185" i="21"/>
  <c r="H186" i="21"/>
  <c r="M186" i="21"/>
  <c r="H187" i="21"/>
  <c r="M187" i="21"/>
  <c r="N187" i="21" s="1"/>
  <c r="H188" i="21"/>
  <c r="N188" i="21" s="1"/>
  <c r="M188" i="21"/>
  <c r="H189" i="21"/>
  <c r="N189" i="21" s="1"/>
  <c r="M189" i="21"/>
  <c r="H190" i="21"/>
  <c r="N190" i="21" s="1"/>
  <c r="M190" i="21"/>
  <c r="H191" i="21"/>
  <c r="N191" i="21" s="1"/>
  <c r="M191" i="21"/>
  <c r="H192" i="21"/>
  <c r="N192" i="21" s="1"/>
  <c r="M192" i="21"/>
  <c r="H193" i="21"/>
  <c r="M193" i="21"/>
  <c r="N193" i="21"/>
  <c r="H194" i="21"/>
  <c r="M194" i="21"/>
  <c r="N194" i="21" s="1"/>
  <c r="H195" i="21"/>
  <c r="M195" i="21"/>
  <c r="N195" i="21" s="1"/>
  <c r="H196" i="21"/>
  <c r="M196" i="21"/>
  <c r="H197" i="21"/>
  <c r="M197" i="21"/>
  <c r="H198" i="21"/>
  <c r="M198" i="21"/>
  <c r="N198" i="21"/>
  <c r="H199" i="21"/>
  <c r="M199" i="21"/>
  <c r="H200" i="21"/>
  <c r="M200" i="21"/>
  <c r="H201" i="21"/>
  <c r="N201" i="21"/>
  <c r="M201" i="21"/>
  <c r="H202" i="21"/>
  <c r="M202" i="21"/>
  <c r="H203" i="21"/>
  <c r="M203" i="21"/>
  <c r="H204" i="21"/>
  <c r="M204" i="21"/>
  <c r="N204" i="21"/>
  <c r="H205" i="21"/>
  <c r="N205" i="21"/>
  <c r="M205" i="21"/>
  <c r="H206" i="21"/>
  <c r="M206" i="21"/>
  <c r="N206" i="21"/>
  <c r="H207" i="21"/>
  <c r="N207" i="21"/>
  <c r="M207" i="21"/>
  <c r="H208" i="21"/>
  <c r="M208" i="21"/>
  <c r="H209" i="21"/>
  <c r="M209" i="21"/>
  <c r="H210" i="21"/>
  <c r="M210" i="21"/>
  <c r="N210" i="21" s="1"/>
  <c r="H211" i="21"/>
  <c r="M211" i="21"/>
  <c r="N211" i="21" s="1"/>
  <c r="H212" i="21"/>
  <c r="M212" i="21"/>
  <c r="H213" i="21"/>
  <c r="M213" i="21"/>
  <c r="H214" i="21"/>
  <c r="M214" i="21"/>
  <c r="H215" i="21"/>
  <c r="M215" i="21"/>
  <c r="H216" i="21"/>
  <c r="M216" i="21"/>
  <c r="H217" i="21"/>
  <c r="M217" i="21"/>
  <c r="N217" i="21"/>
  <c r="H218" i="21"/>
  <c r="M218" i="21"/>
  <c r="H219" i="21"/>
  <c r="M219" i="21"/>
  <c r="N219" i="21" s="1"/>
  <c r="H220" i="21"/>
  <c r="M220" i="21"/>
  <c r="N220" i="21"/>
  <c r="H221" i="21"/>
  <c r="M221" i="21"/>
  <c r="N221" i="21" s="1"/>
  <c r="H222" i="21"/>
  <c r="M222" i="21"/>
  <c r="N222" i="21" s="1"/>
  <c r="H223" i="21"/>
  <c r="M223" i="21"/>
  <c r="H224" i="21"/>
  <c r="M224" i="21"/>
  <c r="H225" i="21"/>
  <c r="M225" i="21"/>
  <c r="H226" i="21"/>
  <c r="M226" i="21"/>
  <c r="N226" i="21" s="1"/>
  <c r="H227" i="21"/>
  <c r="M227" i="21"/>
  <c r="N227" i="21" s="1"/>
  <c r="H228" i="21"/>
  <c r="M228" i="21"/>
  <c r="N228" i="21" s="1"/>
  <c r="H229" i="21"/>
  <c r="N229" i="21"/>
  <c r="M229" i="21"/>
  <c r="H230" i="21"/>
  <c r="M230" i="21"/>
  <c r="N230" i="21"/>
  <c r="H231" i="21"/>
  <c r="N231" i="21"/>
  <c r="M231" i="21"/>
  <c r="H232" i="21"/>
  <c r="M232" i="21"/>
  <c r="H233" i="21"/>
  <c r="N233" i="21" s="1"/>
  <c r="M233" i="21"/>
  <c r="H234" i="21"/>
  <c r="M234" i="21"/>
  <c r="H235" i="21"/>
  <c r="M235" i="21"/>
  <c r="N235" i="21" s="1"/>
  <c r="H236" i="21"/>
  <c r="M236" i="21"/>
  <c r="N236" i="21"/>
  <c r="H237" i="21"/>
  <c r="M237" i="21"/>
  <c r="N237" i="21" s="1"/>
  <c r="H238" i="21"/>
  <c r="M238" i="21"/>
  <c r="N238" i="21" s="1"/>
  <c r="H239" i="21"/>
  <c r="N239" i="21" s="1"/>
  <c r="M239" i="21"/>
  <c r="H240" i="21"/>
  <c r="M240" i="21"/>
  <c r="H241" i="21"/>
  <c r="M241" i="21"/>
  <c r="N241" i="21"/>
  <c r="H242" i="21"/>
  <c r="M242" i="21"/>
  <c r="H243" i="21"/>
  <c r="M243" i="21"/>
  <c r="N243" i="21" s="1"/>
  <c r="H244" i="21"/>
  <c r="M244" i="21"/>
  <c r="H245" i="21"/>
  <c r="N245" i="21" s="1"/>
  <c r="M245" i="21"/>
  <c r="H246" i="21"/>
  <c r="N246" i="21" s="1"/>
  <c r="M246" i="21"/>
  <c r="H247" i="21"/>
  <c r="N247" i="21" s="1"/>
  <c r="M247" i="21"/>
  <c r="H248" i="21"/>
  <c r="M248" i="21"/>
  <c r="H249" i="21"/>
  <c r="M249" i="21"/>
  <c r="N249" i="21" s="1"/>
  <c r="H250" i="21"/>
  <c r="M250" i="21"/>
  <c r="H251" i="21"/>
  <c r="M251" i="21"/>
  <c r="N251" i="21"/>
  <c r="H252" i="21"/>
  <c r="M252" i="21"/>
  <c r="N252" i="21" s="1"/>
  <c r="H253" i="21"/>
  <c r="N253" i="21" s="1"/>
  <c r="M253" i="21"/>
  <c r="H254" i="21"/>
  <c r="M254" i="21"/>
  <c r="N254" i="21"/>
  <c r="H255" i="21"/>
  <c r="M255" i="21"/>
  <c r="H256" i="21"/>
  <c r="M256" i="21"/>
  <c r="N256" i="21" s="1"/>
  <c r="H257" i="21"/>
  <c r="N257" i="21" s="1"/>
  <c r="M257" i="21"/>
  <c r="H258" i="21"/>
  <c r="M258" i="21"/>
  <c r="H259" i="21"/>
  <c r="N259" i="21"/>
  <c r="M259" i="21"/>
  <c r="H260" i="21"/>
  <c r="M260" i="21"/>
  <c r="N260" i="21"/>
  <c r="H261" i="21"/>
  <c r="M261" i="21"/>
  <c r="H262" i="21"/>
  <c r="M262" i="21"/>
  <c r="N262" i="21" s="1"/>
  <c r="H263" i="21"/>
  <c r="N263" i="21" s="1"/>
  <c r="M263" i="21"/>
  <c r="H264" i="21"/>
  <c r="N264" i="21" s="1"/>
  <c r="M264" i="21"/>
  <c r="H265" i="21"/>
  <c r="M265" i="21"/>
  <c r="N265" i="21"/>
  <c r="H266" i="21"/>
  <c r="M266" i="21"/>
  <c r="H267" i="21"/>
  <c r="M267" i="21"/>
  <c r="N267" i="21" s="1"/>
  <c r="H268" i="21"/>
  <c r="M268" i="21"/>
  <c r="N268" i="21" s="1"/>
  <c r="H269" i="21"/>
  <c r="N269" i="21"/>
  <c r="M269" i="21"/>
  <c r="H270" i="21"/>
  <c r="M270" i="21"/>
  <c r="H271" i="21"/>
  <c r="N271" i="21" s="1"/>
  <c r="M271" i="21"/>
  <c r="H272" i="21"/>
  <c r="M272" i="21"/>
  <c r="N272" i="21" s="1"/>
  <c r="H273" i="21"/>
  <c r="M273" i="21"/>
  <c r="N273" i="21" s="1"/>
  <c r="H274" i="21"/>
  <c r="N274" i="21" s="1"/>
  <c r="M274" i="21"/>
  <c r="H275" i="21"/>
  <c r="M275" i="21"/>
  <c r="N275" i="21"/>
  <c r="H276" i="21"/>
  <c r="M276" i="21"/>
  <c r="H277" i="21"/>
  <c r="M277" i="21"/>
  <c r="H278" i="21"/>
  <c r="M278" i="21"/>
  <c r="H279" i="21"/>
  <c r="N279" i="21"/>
  <c r="M279" i="21"/>
  <c r="H280" i="21"/>
  <c r="M280" i="21"/>
  <c r="N280" i="21"/>
  <c r="H281" i="21"/>
  <c r="M281" i="21"/>
  <c r="N281" i="21" s="1"/>
  <c r="H282" i="21"/>
  <c r="M282" i="21"/>
  <c r="H283" i="21"/>
  <c r="N283" i="21"/>
  <c r="M283" i="21"/>
  <c r="H284" i="21"/>
  <c r="M284" i="21"/>
  <c r="N284" i="21"/>
  <c r="H285" i="21"/>
  <c r="M285" i="21"/>
  <c r="N285" i="21" s="1"/>
  <c r="H286" i="21"/>
  <c r="M286" i="21"/>
  <c r="H287" i="21"/>
  <c r="M287" i="21"/>
  <c r="N287" i="21" s="1"/>
  <c r="H288" i="21"/>
  <c r="M288" i="21"/>
  <c r="H289" i="21"/>
  <c r="N289" i="21" s="1"/>
  <c r="M289" i="21"/>
  <c r="H290" i="21"/>
  <c r="M290" i="21"/>
  <c r="H291" i="21"/>
  <c r="M291" i="21"/>
  <c r="H292" i="21"/>
  <c r="M292" i="21"/>
  <c r="N292" i="21" s="1"/>
  <c r="H293" i="21"/>
  <c r="N293" i="21"/>
  <c r="M293" i="21"/>
  <c r="H294" i="21"/>
  <c r="M294" i="21"/>
  <c r="H295" i="21"/>
  <c r="M295" i="21"/>
  <c r="N295" i="21"/>
  <c r="H296" i="21"/>
  <c r="M296" i="21"/>
  <c r="N296" i="21" s="1"/>
  <c r="H297" i="21"/>
  <c r="N297" i="21"/>
  <c r="M297" i="21"/>
  <c r="H298" i="21"/>
  <c r="M298" i="21"/>
  <c r="H299" i="21"/>
  <c r="N299" i="21" s="1"/>
  <c r="M299" i="21"/>
  <c r="H300" i="21"/>
  <c r="M300" i="21"/>
  <c r="N300" i="21" s="1"/>
  <c r="H301" i="21"/>
  <c r="N301" i="21" s="1"/>
  <c r="K301" i="21"/>
  <c r="M301" i="21" s="1"/>
  <c r="H302" i="21"/>
  <c r="M302" i="21"/>
  <c r="N302" i="21"/>
  <c r="H303" i="21"/>
  <c r="M303" i="21"/>
  <c r="N303" i="21" s="1"/>
  <c r="H304" i="21"/>
  <c r="M304" i="21"/>
  <c r="H305" i="21"/>
  <c r="M305" i="21"/>
  <c r="H306" i="21"/>
  <c r="M306" i="21"/>
  <c r="H307" i="21"/>
  <c r="M307" i="21"/>
  <c r="N307" i="21"/>
  <c r="H308" i="21"/>
  <c r="M308" i="21"/>
  <c r="N308" i="21" s="1"/>
  <c r="H309" i="21"/>
  <c r="N309" i="21" s="1"/>
  <c r="M309" i="21"/>
  <c r="H310" i="21"/>
  <c r="N310" i="21" s="1"/>
  <c r="M310" i="21"/>
  <c r="H311" i="21"/>
  <c r="M311" i="21"/>
  <c r="N311" i="21" s="1"/>
  <c r="H312" i="21"/>
  <c r="M312" i="21"/>
  <c r="H313" i="21"/>
  <c r="M313" i="21"/>
  <c r="H314" i="21"/>
  <c r="N314" i="21"/>
  <c r="M314" i="21"/>
  <c r="H315" i="21"/>
  <c r="M315" i="21"/>
  <c r="H316" i="21"/>
  <c r="M316" i="21"/>
  <c r="N316" i="21"/>
  <c r="H317" i="21"/>
  <c r="M317" i="21"/>
  <c r="H318" i="21"/>
  <c r="M318" i="21"/>
  <c r="N318" i="21" s="1"/>
  <c r="H319" i="21"/>
  <c r="M319" i="21"/>
  <c r="N319" i="21" s="1"/>
  <c r="H320" i="21"/>
  <c r="N320" i="21" s="1"/>
  <c r="M320" i="21"/>
  <c r="H321" i="21"/>
  <c r="M321" i="21"/>
  <c r="N321" i="21"/>
  <c r="H322" i="21"/>
  <c r="M322" i="21"/>
  <c r="N322" i="21" s="1"/>
  <c r="H323" i="21"/>
  <c r="K323" i="21"/>
  <c r="M323" i="21"/>
  <c r="H324" i="21"/>
  <c r="M324" i="21"/>
  <c r="N324" i="21" s="1"/>
  <c r="H325" i="21"/>
  <c r="N325" i="21" s="1"/>
  <c r="M325" i="21"/>
  <c r="H326" i="21"/>
  <c r="M326" i="21"/>
  <c r="N326" i="21" s="1"/>
  <c r="H327" i="21"/>
  <c r="N327" i="21" s="1"/>
  <c r="M327" i="21"/>
  <c r="H328" i="21"/>
  <c r="M328" i="21"/>
  <c r="N328" i="21" s="1"/>
  <c r="H329" i="21"/>
  <c r="N329" i="21" s="1"/>
  <c r="M329" i="21"/>
  <c r="H330" i="21"/>
  <c r="M330" i="21"/>
  <c r="H331" i="21"/>
  <c r="M331" i="21"/>
  <c r="N331" i="21" s="1"/>
  <c r="H332" i="21"/>
  <c r="K332" i="21"/>
  <c r="M332" i="21"/>
  <c r="H333" i="21"/>
  <c r="M333" i="21"/>
  <c r="N333" i="21" s="1"/>
  <c r="H334" i="21"/>
  <c r="M334" i="21"/>
  <c r="H335" i="21"/>
  <c r="M335" i="21"/>
  <c r="H336" i="21"/>
  <c r="M336" i="21"/>
  <c r="N336" i="21" s="1"/>
  <c r="H337" i="21"/>
  <c r="M337" i="21"/>
  <c r="H338" i="21"/>
  <c r="M338" i="21"/>
  <c r="H339" i="21"/>
  <c r="N339" i="21" s="1"/>
  <c r="M339" i="21"/>
  <c r="H340" i="21"/>
  <c r="N340" i="21" s="1"/>
  <c r="M340" i="21"/>
  <c r="H341" i="21"/>
  <c r="M341" i="21"/>
  <c r="H342" i="21"/>
  <c r="M342" i="21"/>
  <c r="N342" i="21"/>
  <c r="H343" i="21"/>
  <c r="M343" i="21"/>
  <c r="H344" i="21"/>
  <c r="N344" i="21"/>
  <c r="M344" i="21"/>
  <c r="H345" i="21"/>
  <c r="M345" i="21"/>
  <c r="H346" i="21"/>
  <c r="M346" i="21"/>
  <c r="H347" i="21"/>
  <c r="M347" i="21"/>
  <c r="N347" i="21" s="1"/>
  <c r="H348" i="21"/>
  <c r="M348" i="21"/>
  <c r="H349" i="21"/>
  <c r="M349" i="21"/>
  <c r="N349" i="21" s="1"/>
  <c r="H350" i="21"/>
  <c r="M350" i="21"/>
  <c r="H351" i="21"/>
  <c r="M351" i="21"/>
  <c r="H352" i="21"/>
  <c r="M352" i="21"/>
  <c r="N352" i="21" s="1"/>
  <c r="H353" i="21"/>
  <c r="M353" i="21"/>
  <c r="H354" i="21"/>
  <c r="M354" i="21"/>
  <c r="H355" i="21"/>
  <c r="N355" i="21" s="1"/>
  <c r="M355" i="21"/>
  <c r="H356" i="21"/>
  <c r="N356" i="21" s="1"/>
  <c r="M356" i="21"/>
  <c r="H357" i="21"/>
  <c r="M357" i="21"/>
  <c r="H358" i="21"/>
  <c r="M358" i="21"/>
  <c r="N358" i="21"/>
  <c r="H359" i="21"/>
  <c r="M359" i="21"/>
  <c r="H360" i="21"/>
  <c r="N360" i="21"/>
  <c r="M360" i="21"/>
  <c r="H361" i="21"/>
  <c r="M361" i="21"/>
  <c r="H362" i="21"/>
  <c r="M362" i="21"/>
  <c r="H363" i="21"/>
  <c r="M363" i="21"/>
  <c r="N363" i="21" s="1"/>
  <c r="H364" i="21"/>
  <c r="M364" i="21"/>
  <c r="H365" i="21"/>
  <c r="M365" i="21"/>
  <c r="N365" i="21" s="1"/>
  <c r="H366" i="21"/>
  <c r="M366" i="21"/>
  <c r="H367" i="21"/>
  <c r="M367" i="21"/>
  <c r="H368" i="21"/>
  <c r="M368" i="21"/>
  <c r="N368" i="21" s="1"/>
  <c r="H369" i="21"/>
  <c r="M369" i="21"/>
  <c r="H370" i="21"/>
  <c r="M370" i="21"/>
  <c r="H371" i="21"/>
  <c r="N371" i="21" s="1"/>
  <c r="M371" i="21"/>
  <c r="H372" i="21"/>
  <c r="N372" i="21" s="1"/>
  <c r="M372" i="21"/>
  <c r="H373" i="21"/>
  <c r="M373" i="21"/>
  <c r="H374" i="21"/>
  <c r="K374" i="21"/>
  <c r="M374" i="21"/>
  <c r="H375" i="21"/>
  <c r="M375" i="21"/>
  <c r="N375" i="21" s="1"/>
  <c r="H376" i="21"/>
  <c r="M376" i="21"/>
  <c r="N376" i="21" s="1"/>
  <c r="H377" i="21"/>
  <c r="M377" i="21"/>
  <c r="N377" i="21"/>
  <c r="H378" i="21"/>
  <c r="M378" i="21"/>
  <c r="H379" i="21"/>
  <c r="M379" i="21"/>
  <c r="N379" i="21" s="1"/>
  <c r="H380" i="21"/>
  <c r="M380" i="21"/>
  <c r="N380" i="21"/>
  <c r="H381" i="21"/>
  <c r="M381" i="21"/>
  <c r="H382" i="21"/>
  <c r="M382" i="21"/>
  <c r="N382" i="21" s="1"/>
  <c r="H383" i="21"/>
  <c r="N383" i="21" s="1"/>
  <c r="M383" i="21"/>
  <c r="H384" i="21"/>
  <c r="M384" i="21"/>
  <c r="N384" i="21" s="1"/>
  <c r="H385" i="21"/>
  <c r="N385" i="21" s="1"/>
  <c r="M385" i="21"/>
  <c r="H386" i="21"/>
  <c r="M386" i="21"/>
  <c r="H387" i="21"/>
  <c r="N387" i="21"/>
  <c r="M387" i="21"/>
  <c r="H388" i="21"/>
  <c r="M388" i="21"/>
  <c r="H389" i="21"/>
  <c r="M389" i="21"/>
  <c r="H390" i="21"/>
  <c r="M390" i="21"/>
  <c r="H391" i="21"/>
  <c r="N391" i="21" s="1"/>
  <c r="M391" i="21"/>
  <c r="H392" i="21"/>
  <c r="M392" i="21"/>
  <c r="N392" i="21"/>
  <c r="H393" i="21"/>
  <c r="M393" i="21"/>
  <c r="N393" i="21" s="1"/>
  <c r="H394" i="21"/>
  <c r="M394" i="21"/>
  <c r="H395" i="21"/>
  <c r="M395" i="21"/>
  <c r="N395" i="21"/>
  <c r="H396" i="21"/>
  <c r="K396" i="21"/>
  <c r="M396" i="21" s="1"/>
  <c r="N396" i="21" s="1"/>
  <c r="H397" i="21"/>
  <c r="M397" i="21"/>
  <c r="N397" i="21" s="1"/>
  <c r="H398" i="21"/>
  <c r="M398" i="21"/>
  <c r="N398" i="21"/>
  <c r="H399" i="21"/>
  <c r="M399" i="21"/>
  <c r="N399" i="21" s="1"/>
  <c r="H400" i="21"/>
  <c r="M400" i="21"/>
  <c r="N400" i="21" s="1"/>
  <c r="H401" i="21"/>
  <c r="K401" i="21"/>
  <c r="M401" i="21"/>
  <c r="H402" i="21"/>
  <c r="M402" i="21"/>
  <c r="N402" i="21"/>
  <c r="H403" i="21"/>
  <c r="K403" i="21"/>
  <c r="M403" i="21" s="1"/>
  <c r="H404" i="21"/>
  <c r="M404" i="21"/>
  <c r="H405" i="21"/>
  <c r="M405" i="21"/>
  <c r="N405" i="21" s="1"/>
  <c r="H406" i="21"/>
  <c r="M406" i="21"/>
  <c r="H407" i="21"/>
  <c r="M407" i="21"/>
  <c r="N407" i="21" s="1"/>
  <c r="H408" i="21"/>
  <c r="M408" i="21"/>
  <c r="N408" i="21" s="1"/>
  <c r="H409" i="21"/>
  <c r="M409" i="21"/>
  <c r="H410" i="21"/>
  <c r="M410" i="21"/>
  <c r="H411" i="21"/>
  <c r="N411" i="21" s="1"/>
  <c r="M411" i="21"/>
  <c r="H412" i="21"/>
  <c r="N412" i="21" s="1"/>
  <c r="M412" i="21"/>
  <c r="H413" i="21"/>
  <c r="M413" i="21"/>
  <c r="H414" i="21"/>
  <c r="M414" i="21"/>
  <c r="N414" i="21"/>
  <c r="H415" i="21"/>
  <c r="M415" i="21"/>
  <c r="H416" i="21"/>
  <c r="N416" i="21"/>
  <c r="M416" i="21"/>
  <c r="H417" i="21"/>
  <c r="M417" i="21"/>
  <c r="H418" i="21"/>
  <c r="M418" i="21"/>
  <c r="H419" i="21"/>
  <c r="M419" i="21"/>
  <c r="N419" i="21" s="1"/>
  <c r="H420" i="21"/>
  <c r="M420" i="21"/>
  <c r="H421" i="21"/>
  <c r="M421" i="21"/>
  <c r="N421" i="21" s="1"/>
  <c r="H422" i="21"/>
  <c r="M422" i="21"/>
  <c r="H423" i="21"/>
  <c r="M423" i="21"/>
  <c r="N423" i="21" s="1"/>
  <c r="H424" i="21"/>
  <c r="M424" i="21"/>
  <c r="N424" i="21" s="1"/>
  <c r="H425" i="21"/>
  <c r="N425" i="21" s="1"/>
  <c r="M425" i="21"/>
  <c r="H426" i="21"/>
  <c r="M426" i="21"/>
  <c r="H427" i="21"/>
  <c r="M427" i="21"/>
  <c r="H428" i="21"/>
  <c r="K428" i="21"/>
  <c r="M428" i="21"/>
  <c r="H429" i="21"/>
  <c r="M429" i="21"/>
  <c r="N429" i="21" s="1"/>
  <c r="H430" i="21"/>
  <c r="M430" i="21"/>
  <c r="N430" i="21" s="1"/>
  <c r="H431" i="21"/>
  <c r="N431" i="21" s="1"/>
  <c r="M431" i="21"/>
  <c r="H432" i="21"/>
  <c r="M432" i="21"/>
  <c r="N432" i="21"/>
  <c r="H433" i="21"/>
  <c r="M433" i="21"/>
  <c r="N433" i="21" s="1"/>
  <c r="H434" i="21"/>
  <c r="M434" i="21"/>
  <c r="H435" i="21"/>
  <c r="M435" i="21"/>
  <c r="N435" i="21"/>
  <c r="H436" i="21"/>
  <c r="M436" i="21"/>
  <c r="H437" i="21"/>
  <c r="M437" i="21"/>
  <c r="N437" i="21" s="1"/>
  <c r="H438" i="21"/>
  <c r="M438" i="21"/>
  <c r="N438" i="21" s="1"/>
  <c r="H439" i="21"/>
  <c r="N439" i="21" s="1"/>
  <c r="M439" i="21"/>
  <c r="H440" i="21"/>
  <c r="M440" i="21"/>
  <c r="N440" i="21"/>
  <c r="H441" i="21"/>
  <c r="N441" i="21"/>
  <c r="M441" i="21"/>
  <c r="H442" i="21"/>
  <c r="N442" i="21" s="1"/>
  <c r="M442" i="21"/>
  <c r="H443" i="21"/>
  <c r="N443" i="21" s="1"/>
  <c r="M443" i="21"/>
  <c r="H444" i="21"/>
  <c r="M444" i="21"/>
  <c r="N444" i="21" s="1"/>
  <c r="H445" i="21"/>
  <c r="N445" i="21" s="1"/>
  <c r="M445" i="21"/>
  <c r="H446" i="21"/>
  <c r="M446" i="21"/>
  <c r="N446" i="21"/>
  <c r="H447" i="21"/>
  <c r="M447" i="21"/>
  <c r="H448" i="21"/>
  <c r="M448" i="21"/>
  <c r="N448" i="21" s="1"/>
  <c r="H449" i="21"/>
  <c r="M449" i="21"/>
  <c r="N449" i="21"/>
  <c r="H450" i="21"/>
  <c r="M450" i="21"/>
  <c r="H451" i="21"/>
  <c r="M451" i="21"/>
  <c r="N451" i="21" s="1"/>
  <c r="H452" i="21"/>
  <c r="M452" i="21"/>
  <c r="N452" i="21"/>
  <c r="H453" i="21"/>
  <c r="M453" i="21"/>
  <c r="N453" i="21" s="1"/>
  <c r="H454" i="21"/>
  <c r="M454" i="21"/>
  <c r="N454" i="21" s="1"/>
  <c r="H455" i="21"/>
  <c r="M455" i="21"/>
  <c r="H456" i="21"/>
  <c r="M456" i="21"/>
  <c r="N456" i="21"/>
  <c r="H457" i="21"/>
  <c r="N457" i="21"/>
  <c r="M457" i="21"/>
  <c r="H458" i="21"/>
  <c r="M458" i="21"/>
  <c r="H459" i="21"/>
  <c r="M459" i="21"/>
  <c r="H460" i="21"/>
  <c r="M460" i="21"/>
  <c r="N460" i="21" s="1"/>
  <c r="H461" i="21"/>
  <c r="N461" i="21" s="1"/>
  <c r="M461" i="21"/>
  <c r="H462" i="21"/>
  <c r="M462" i="21"/>
  <c r="N462" i="21"/>
  <c r="H463" i="21"/>
  <c r="K463" i="21"/>
  <c r="M463" i="21" s="1"/>
  <c r="H464" i="21"/>
  <c r="N464" i="21" s="1"/>
  <c r="M464" i="21"/>
  <c r="H465" i="21"/>
  <c r="M465" i="21"/>
  <c r="N465" i="21" s="1"/>
  <c r="H466" i="21"/>
  <c r="N466" i="21" s="1"/>
  <c r="M466" i="21"/>
  <c r="H467" i="21"/>
  <c r="M467" i="21"/>
  <c r="N467" i="21" s="1"/>
  <c r="H468" i="21"/>
  <c r="N468" i="21" s="1"/>
  <c r="M468" i="21"/>
  <c r="H469" i="21"/>
  <c r="K469" i="21"/>
  <c r="M469" i="21" s="1"/>
  <c r="H470" i="21"/>
  <c r="M470" i="21"/>
  <c r="N470" i="21"/>
  <c r="H471" i="21"/>
  <c r="M471" i="21"/>
  <c r="N471" i="21" s="1"/>
  <c r="H472" i="21"/>
  <c r="M472" i="21"/>
  <c r="N472" i="21" s="1"/>
  <c r="H473" i="21"/>
  <c r="M473" i="21"/>
  <c r="H474" i="21"/>
  <c r="M474" i="21"/>
  <c r="N474" i="21" s="1"/>
  <c r="H475" i="21"/>
  <c r="N475" i="21"/>
  <c r="M475" i="21"/>
  <c r="H476" i="21"/>
  <c r="M476" i="21"/>
  <c r="N476" i="21"/>
  <c r="H477" i="21"/>
  <c r="M477" i="21"/>
  <c r="N477" i="21" s="1"/>
  <c r="H478" i="21"/>
  <c r="M478" i="21"/>
  <c r="N478" i="21" s="1"/>
  <c r="H479" i="21"/>
  <c r="M479" i="21"/>
  <c r="H480" i="21"/>
  <c r="M480" i="21"/>
  <c r="N480" i="21" s="1"/>
  <c r="H481" i="21"/>
  <c r="M481" i="21"/>
  <c r="N481" i="21"/>
  <c r="H482" i="21"/>
  <c r="M482" i="21"/>
  <c r="H483" i="21"/>
  <c r="K483" i="21"/>
  <c r="M483" i="21" s="1"/>
  <c r="H484" i="21"/>
  <c r="M484" i="21"/>
  <c r="N484" i="21"/>
  <c r="H485" i="21"/>
  <c r="K485" i="21"/>
  <c r="M485" i="21" s="1"/>
  <c r="N485" i="21" s="1"/>
  <c r="H486" i="21"/>
  <c r="M486" i="21"/>
  <c r="N486" i="21"/>
  <c r="H487" i="21"/>
  <c r="K487" i="21"/>
  <c r="M487" i="21" s="1"/>
  <c r="N487" i="21" s="1"/>
  <c r="H488" i="21"/>
  <c r="N488" i="21" s="1"/>
  <c r="M488" i="21"/>
  <c r="H489" i="21"/>
  <c r="K489" i="21"/>
  <c r="M489" i="21"/>
  <c r="H490" i="21"/>
  <c r="M490" i="21"/>
  <c r="H491" i="21"/>
  <c r="K491" i="21"/>
  <c r="M491" i="21" s="1"/>
  <c r="H492" i="21"/>
  <c r="M492" i="21"/>
  <c r="H493" i="21"/>
  <c r="M493" i="21"/>
  <c r="N493" i="21" s="1"/>
  <c r="H494" i="21"/>
  <c r="K494" i="21"/>
  <c r="M494" i="21" s="1"/>
  <c r="N494" i="21" s="1"/>
  <c r="H495" i="21"/>
  <c r="M495" i="21"/>
  <c r="H496" i="21"/>
  <c r="K496" i="21"/>
  <c r="M496" i="21" s="1"/>
  <c r="H497" i="21"/>
  <c r="K497" i="21"/>
  <c r="M497" i="21"/>
  <c r="H498" i="21"/>
  <c r="M498" i="21"/>
  <c r="H499" i="21"/>
  <c r="N499" i="21"/>
  <c r="M499" i="21"/>
  <c r="H500" i="21"/>
  <c r="M500" i="21"/>
  <c r="H501" i="21"/>
  <c r="K501" i="21"/>
  <c r="M501" i="21"/>
  <c r="H502" i="21"/>
  <c r="N502" i="21"/>
  <c r="M502" i="21"/>
  <c r="H503" i="21"/>
  <c r="M503" i="21"/>
  <c r="N503" i="21"/>
  <c r="H504" i="21"/>
  <c r="K504" i="21"/>
  <c r="M504" i="21" s="1"/>
  <c r="H505" i="21"/>
  <c r="M505" i="21"/>
  <c r="N505" i="21"/>
  <c r="H506" i="21"/>
  <c r="M506" i="21"/>
  <c r="N506" i="21" s="1"/>
  <c r="H507" i="21"/>
  <c r="M507" i="21"/>
  <c r="N507" i="21" s="1"/>
  <c r="H508" i="21"/>
  <c r="M508" i="21"/>
  <c r="N508" i="21" s="1"/>
  <c r="H509" i="21"/>
  <c r="M509" i="21"/>
  <c r="N509" i="21" s="1"/>
  <c r="H510" i="21"/>
  <c r="M510" i="21"/>
  <c r="N510" i="21" s="1"/>
  <c r="H511" i="21"/>
  <c r="M511" i="21"/>
  <c r="N511" i="21" s="1"/>
  <c r="H512" i="21"/>
  <c r="M512" i="21"/>
  <c r="H513" i="21"/>
  <c r="K513" i="21"/>
  <c r="M513" i="21"/>
  <c r="H514" i="21"/>
  <c r="M514" i="21"/>
  <c r="N514" i="21" s="1"/>
  <c r="H515" i="21"/>
  <c r="N515" i="21" s="1"/>
  <c r="M515" i="21"/>
  <c r="H516" i="21"/>
  <c r="N516" i="21" s="1"/>
  <c r="M516" i="21"/>
  <c r="H517" i="21"/>
  <c r="K517" i="21"/>
  <c r="M517" i="21" s="1"/>
  <c r="N517" i="21"/>
  <c r="H518" i="21"/>
  <c r="M518" i="21"/>
  <c r="H519" i="21"/>
  <c r="M519" i="21"/>
  <c r="N519" i="21" s="1"/>
  <c r="H520" i="21"/>
  <c r="K520" i="21"/>
  <c r="M520" i="21"/>
  <c r="H521" i="21"/>
  <c r="M521" i="21"/>
  <c r="F1045" i="21"/>
  <c r="F1057" i="21"/>
  <c r="F1092" i="21"/>
  <c r="F1150" i="21"/>
  <c r="G1022" i="21"/>
  <c r="F1022" i="21"/>
  <c r="H1024" i="21" s="1"/>
  <c r="L22" i="16"/>
  <c r="K23" i="16"/>
  <c r="L23" i="16" s="1"/>
  <c r="K24" i="16"/>
  <c r="L24" i="16" s="1"/>
  <c r="K25" i="16"/>
  <c r="L25" i="16" s="1"/>
  <c r="K26" i="16"/>
  <c r="L26" i="16" s="1"/>
  <c r="K27" i="16"/>
  <c r="L27" i="16" s="1"/>
  <c r="K7" i="16"/>
  <c r="L7" i="16" s="1"/>
  <c r="K8" i="16"/>
  <c r="L8" i="16" s="1"/>
  <c r="K9" i="16"/>
  <c r="L9" i="16" s="1"/>
  <c r="K10" i="16"/>
  <c r="L10" i="16" s="1"/>
  <c r="K11" i="16"/>
  <c r="L11" i="16" s="1"/>
  <c r="K12" i="16"/>
  <c r="L12" i="16" s="1"/>
  <c r="E863" i="16"/>
  <c r="M797" i="16" s="1"/>
  <c r="G471" i="16"/>
  <c r="L471" i="16"/>
  <c r="M471" i="16"/>
  <c r="G472" i="16"/>
  <c r="M472" i="16"/>
  <c r="L472" i="16"/>
  <c r="G473" i="16"/>
  <c r="L473" i="16"/>
  <c r="G474" i="16"/>
  <c r="L474" i="16"/>
  <c r="G475" i="16"/>
  <c r="L475" i="16"/>
  <c r="G476" i="16"/>
  <c r="L476" i="16"/>
  <c r="M476" i="16" s="1"/>
  <c r="G477" i="16"/>
  <c r="L477" i="16"/>
  <c r="G478" i="16"/>
  <c r="M478" i="16"/>
  <c r="L478" i="16"/>
  <c r="G479" i="16"/>
  <c r="L479" i="16"/>
  <c r="M479" i="16"/>
  <c r="G480" i="16"/>
  <c r="M480" i="16"/>
  <c r="L480" i="16"/>
  <c r="G481" i="16"/>
  <c r="M481" i="16" s="1"/>
  <c r="L481" i="16"/>
  <c r="G482" i="16"/>
  <c r="L482" i="16"/>
  <c r="M482" i="16"/>
  <c r="G483" i="16"/>
  <c r="L483" i="16"/>
  <c r="M483" i="16" s="1"/>
  <c r="G484" i="16"/>
  <c r="L484" i="16"/>
  <c r="M484" i="16" s="1"/>
  <c r="G485" i="16"/>
  <c r="L485" i="16"/>
  <c r="G486" i="16"/>
  <c r="L486" i="16"/>
  <c r="G487" i="16"/>
  <c r="M487" i="16" s="1"/>
  <c r="L487" i="16"/>
  <c r="G488" i="16"/>
  <c r="M488" i="16" s="1"/>
  <c r="L488" i="16"/>
  <c r="G489" i="16"/>
  <c r="L489" i="16"/>
  <c r="G490" i="16"/>
  <c r="L490" i="16"/>
  <c r="M490" i="16"/>
  <c r="G491" i="16"/>
  <c r="L491" i="16"/>
  <c r="G492" i="16"/>
  <c r="L492" i="16"/>
  <c r="M492" i="16" s="1"/>
  <c r="G493" i="16"/>
  <c r="M493" i="16" s="1"/>
  <c r="L493" i="16"/>
  <c r="G494" i="16"/>
  <c r="M494" i="16" s="1"/>
  <c r="L494" i="16"/>
  <c r="G495" i="16"/>
  <c r="L495" i="16"/>
  <c r="M495" i="16"/>
  <c r="G496" i="16"/>
  <c r="L496" i="16"/>
  <c r="G497" i="16"/>
  <c r="L497" i="16"/>
  <c r="M497" i="16" s="1"/>
  <c r="G498" i="16"/>
  <c r="M498" i="16"/>
  <c r="L498" i="16"/>
  <c r="G499" i="16"/>
  <c r="M499" i="16" s="1"/>
  <c r="L499" i="16"/>
  <c r="G500" i="16"/>
  <c r="M500" i="16" s="1"/>
  <c r="L500" i="16"/>
  <c r="G501" i="16"/>
  <c r="L501" i="16"/>
  <c r="M501" i="16"/>
  <c r="G502" i="16"/>
  <c r="M502" i="16"/>
  <c r="L502" i="16"/>
  <c r="G503" i="16"/>
  <c r="L503" i="16"/>
  <c r="M503" i="16"/>
  <c r="G504" i="16"/>
  <c r="M504" i="16"/>
  <c r="L504" i="16"/>
  <c r="G505" i="16"/>
  <c r="L505" i="16"/>
  <c r="M505" i="16"/>
  <c r="G506" i="16"/>
  <c r="M506" i="16"/>
  <c r="L506" i="16"/>
  <c r="G507" i="16"/>
  <c r="L507" i="16"/>
  <c r="G508" i="16"/>
  <c r="L508" i="16"/>
  <c r="M508" i="16"/>
  <c r="G509" i="16"/>
  <c r="L509" i="16"/>
  <c r="M509" i="16" s="1"/>
  <c r="G510" i="16"/>
  <c r="L510" i="16"/>
  <c r="M510" i="16" s="1"/>
  <c r="G511" i="16"/>
  <c r="L511" i="16"/>
  <c r="G512" i="16"/>
  <c r="L512" i="16"/>
  <c r="G513" i="16"/>
  <c r="L513" i="16"/>
  <c r="M513" i="16" s="1"/>
  <c r="G514" i="16"/>
  <c r="L514" i="16"/>
  <c r="M514" i="16" s="1"/>
  <c r="G515" i="16"/>
  <c r="L515" i="16"/>
  <c r="G516" i="16"/>
  <c r="L516" i="16"/>
  <c r="G517" i="16"/>
  <c r="L517" i="16"/>
  <c r="M517" i="16" s="1"/>
  <c r="G518" i="16"/>
  <c r="L518" i="16"/>
  <c r="G519" i="16"/>
  <c r="L519" i="16"/>
  <c r="M519" i="16" s="1"/>
  <c r="G520" i="16"/>
  <c r="L520" i="16"/>
  <c r="G521" i="16"/>
  <c r="L521" i="16"/>
  <c r="M521" i="16" s="1"/>
  <c r="G522" i="16"/>
  <c r="L522" i="16"/>
  <c r="G523" i="16"/>
  <c r="L523" i="16"/>
  <c r="G524" i="16"/>
  <c r="L524" i="16"/>
  <c r="M524" i="16" s="1"/>
  <c r="G525" i="16"/>
  <c r="M525" i="16" s="1"/>
  <c r="L525" i="16"/>
  <c r="G526" i="16"/>
  <c r="L526" i="16"/>
  <c r="G527" i="16"/>
  <c r="L527" i="16"/>
  <c r="G528" i="16"/>
  <c r="M528" i="16"/>
  <c r="L528" i="16"/>
  <c r="G529" i="16"/>
  <c r="M529" i="16" s="1"/>
  <c r="L529" i="16"/>
  <c r="G530" i="16"/>
  <c r="L530" i="16"/>
  <c r="M530" i="16"/>
  <c r="G531" i="16"/>
  <c r="L531" i="16"/>
  <c r="M531" i="16" s="1"/>
  <c r="G532" i="16"/>
  <c r="L532" i="16"/>
  <c r="M532" i="16" s="1"/>
  <c r="G533" i="16"/>
  <c r="L533" i="16"/>
  <c r="M533" i="16"/>
  <c r="G534" i="16"/>
  <c r="M534" i="16"/>
  <c r="L534" i="16"/>
  <c r="G535" i="16"/>
  <c r="L535" i="16"/>
  <c r="M535" i="16"/>
  <c r="G536" i="16"/>
  <c r="M536" i="16"/>
  <c r="L536" i="16"/>
  <c r="G537" i="16"/>
  <c r="L537" i="16"/>
  <c r="M537" i="16"/>
  <c r="G538" i="16"/>
  <c r="M538" i="16"/>
  <c r="L538" i="16"/>
  <c r="G539" i="16"/>
  <c r="L539" i="16"/>
  <c r="G540" i="16"/>
  <c r="L540" i="16"/>
  <c r="G541" i="16"/>
  <c r="L541" i="16"/>
  <c r="M541" i="16" s="1"/>
  <c r="G542" i="16"/>
  <c r="L542" i="16"/>
  <c r="M542" i="16" s="1"/>
  <c r="G543" i="16"/>
  <c r="L543" i="16"/>
  <c r="M543" i="16" s="1"/>
  <c r="G544" i="16"/>
  <c r="L544" i="16"/>
  <c r="G545" i="16"/>
  <c r="L545" i="16"/>
  <c r="M545" i="16" s="1"/>
  <c r="G546" i="16"/>
  <c r="L546" i="16"/>
  <c r="M546" i="16"/>
  <c r="G547" i="16"/>
  <c r="L547" i="16"/>
  <c r="G548" i="16"/>
  <c r="L548" i="16"/>
  <c r="M548" i="16" s="1"/>
  <c r="G549" i="16"/>
  <c r="M549" i="16" s="1"/>
  <c r="L549" i="16"/>
  <c r="G550" i="16"/>
  <c r="M550" i="16" s="1"/>
  <c r="L550" i="16"/>
  <c r="G551" i="16"/>
  <c r="L551" i="16"/>
  <c r="M551" i="16"/>
  <c r="G552" i="16"/>
  <c r="L552" i="16"/>
  <c r="M552" i="16" s="1"/>
  <c r="G553" i="16"/>
  <c r="L553" i="16"/>
  <c r="M553" i="16" s="1"/>
  <c r="G554" i="16"/>
  <c r="L554" i="16"/>
  <c r="G555" i="16"/>
  <c r="L555" i="16"/>
  <c r="G556" i="16"/>
  <c r="M556" i="16"/>
  <c r="L556" i="16"/>
  <c r="G557" i="16"/>
  <c r="M557" i="16" s="1"/>
  <c r="L557" i="16"/>
  <c r="G558" i="16"/>
  <c r="M558" i="16" s="1"/>
  <c r="L558" i="16"/>
  <c r="G559" i="16"/>
  <c r="L559" i="16"/>
  <c r="M559" i="16" s="1"/>
  <c r="G560" i="16"/>
  <c r="M560" i="16" s="1"/>
  <c r="L560" i="16"/>
  <c r="G561" i="16"/>
  <c r="L561" i="16"/>
  <c r="M561" i="16" s="1"/>
  <c r="G562" i="16"/>
  <c r="L562" i="16"/>
  <c r="M562" i="16"/>
  <c r="G563" i="16"/>
  <c r="L563" i="16"/>
  <c r="M563" i="16" s="1"/>
  <c r="G564" i="16"/>
  <c r="L564" i="16"/>
  <c r="M564" i="16" s="1"/>
  <c r="G565" i="16"/>
  <c r="L565" i="16"/>
  <c r="G566" i="16"/>
  <c r="M566" i="16" s="1"/>
  <c r="L566" i="16"/>
  <c r="G567" i="16"/>
  <c r="L567" i="16"/>
  <c r="G568" i="16"/>
  <c r="L568" i="16"/>
  <c r="G569" i="16"/>
  <c r="L569" i="16"/>
  <c r="M569" i="16"/>
  <c r="G570" i="16"/>
  <c r="M570" i="16"/>
  <c r="L570" i="16"/>
  <c r="G571" i="16"/>
  <c r="L571" i="16"/>
  <c r="G572" i="16"/>
  <c r="L572" i="16"/>
  <c r="G573" i="16"/>
  <c r="L573" i="16"/>
  <c r="M573" i="16" s="1"/>
  <c r="G574" i="16"/>
  <c r="L574" i="16"/>
  <c r="G575" i="16"/>
  <c r="L575" i="16"/>
  <c r="M575" i="16" s="1"/>
  <c r="G576" i="16"/>
  <c r="L576" i="16"/>
  <c r="G577" i="16"/>
  <c r="L577" i="16"/>
  <c r="M577" i="16" s="1"/>
  <c r="G578" i="16"/>
  <c r="L578" i="16"/>
  <c r="M578" i="16"/>
  <c r="G579" i="16"/>
  <c r="L579" i="16"/>
  <c r="G580" i="16"/>
  <c r="L580" i="16"/>
  <c r="M580" i="16" s="1"/>
  <c r="G581" i="16"/>
  <c r="L581" i="16"/>
  <c r="G582" i="16"/>
  <c r="M582" i="16" s="1"/>
  <c r="L582" i="16"/>
  <c r="G583" i="16"/>
  <c r="L583" i="16"/>
  <c r="M583" i="16"/>
  <c r="G584" i="16"/>
  <c r="L584" i="16"/>
  <c r="M584" i="16" s="1"/>
  <c r="G585" i="16"/>
  <c r="L585" i="16"/>
  <c r="M585" i="16" s="1"/>
  <c r="G586" i="16"/>
  <c r="L586" i="16"/>
  <c r="G587" i="16"/>
  <c r="L587" i="16"/>
  <c r="G588" i="16"/>
  <c r="M588" i="16"/>
  <c r="L588" i="16"/>
  <c r="G589" i="16"/>
  <c r="L589" i="16"/>
  <c r="M589" i="16"/>
  <c r="G590" i="16"/>
  <c r="L590" i="16"/>
  <c r="M590" i="16" s="1"/>
  <c r="G591" i="16"/>
  <c r="L591" i="16"/>
  <c r="G592" i="16"/>
  <c r="M592" i="16"/>
  <c r="L592" i="16"/>
  <c r="G593" i="16"/>
  <c r="L593" i="16"/>
  <c r="M593" i="16"/>
  <c r="G594" i="16"/>
  <c r="L594" i="16"/>
  <c r="M594" i="16" s="1"/>
  <c r="G595" i="16"/>
  <c r="L595" i="16"/>
  <c r="G596" i="16"/>
  <c r="L596" i="16"/>
  <c r="M596" i="16"/>
  <c r="G597" i="16"/>
  <c r="L597" i="16"/>
  <c r="G598" i="16"/>
  <c r="L598" i="16"/>
  <c r="M598" i="16" s="1"/>
  <c r="G599" i="16"/>
  <c r="L599" i="16"/>
  <c r="M599" i="16" s="1"/>
  <c r="G600" i="16"/>
  <c r="M600" i="16"/>
  <c r="L600" i="16"/>
  <c r="G601" i="16"/>
  <c r="L601" i="16"/>
  <c r="M601" i="16"/>
  <c r="G602" i="16"/>
  <c r="M602" i="16"/>
  <c r="L602" i="16"/>
  <c r="G603" i="16"/>
  <c r="L603" i="16"/>
  <c r="G604" i="16"/>
  <c r="L604" i="16"/>
  <c r="G605" i="16"/>
  <c r="L605" i="16"/>
  <c r="G606" i="16"/>
  <c r="M606" i="16"/>
  <c r="L606" i="16"/>
  <c r="G607" i="16"/>
  <c r="M607" i="16" s="1"/>
  <c r="L607" i="16"/>
  <c r="G608" i="16"/>
  <c r="M608" i="16" s="1"/>
  <c r="L608" i="16"/>
  <c r="G609" i="16"/>
  <c r="L609" i="16"/>
  <c r="M609" i="16" s="1"/>
  <c r="G610" i="16"/>
  <c r="L610" i="16"/>
  <c r="M610" i="16"/>
  <c r="G611" i="16"/>
  <c r="L611" i="16"/>
  <c r="M611" i="16" s="1"/>
  <c r="G612" i="16"/>
  <c r="L612" i="16"/>
  <c r="M612" i="16" s="1"/>
  <c r="G613" i="16"/>
  <c r="L613" i="16"/>
  <c r="M613" i="16"/>
  <c r="G614" i="16"/>
  <c r="M614" i="16"/>
  <c r="L614" i="16"/>
  <c r="G615" i="16"/>
  <c r="L615" i="16"/>
  <c r="M615" i="16"/>
  <c r="G616" i="16"/>
  <c r="M616" i="16"/>
  <c r="L616" i="16"/>
  <c r="G617" i="16"/>
  <c r="L617" i="16"/>
  <c r="M617" i="16"/>
  <c r="G618" i="16"/>
  <c r="M618" i="16"/>
  <c r="L618" i="16"/>
  <c r="G619" i="16"/>
  <c r="L619" i="16"/>
  <c r="G620" i="16"/>
  <c r="L620" i="16"/>
  <c r="G621" i="16"/>
  <c r="L621" i="16"/>
  <c r="M621" i="16" s="1"/>
  <c r="G622" i="16"/>
  <c r="M622" i="16"/>
  <c r="L622" i="16"/>
  <c r="G623" i="16"/>
  <c r="M623" i="16" s="1"/>
  <c r="L623" i="16"/>
  <c r="G624" i="16"/>
  <c r="M624" i="16" s="1"/>
  <c r="L624" i="16"/>
  <c r="G625" i="16"/>
  <c r="L625" i="16"/>
  <c r="G626" i="16"/>
  <c r="L626" i="16"/>
  <c r="M626" i="16" s="1"/>
  <c r="G627" i="16"/>
  <c r="M627" i="16" s="1"/>
  <c r="L627" i="16"/>
  <c r="G628" i="16"/>
  <c r="L628" i="16"/>
  <c r="M628" i="16"/>
  <c r="G629" i="16"/>
  <c r="L629" i="16"/>
  <c r="M629" i="16" s="1"/>
  <c r="G630" i="16"/>
  <c r="M630" i="16"/>
  <c r="L630" i="16"/>
  <c r="G631" i="16"/>
  <c r="L631" i="16"/>
  <c r="M631" i="16"/>
  <c r="G632" i="16"/>
  <c r="M632" i="16"/>
  <c r="L632" i="16"/>
  <c r="G633" i="16"/>
  <c r="L633" i="16"/>
  <c r="M633" i="16"/>
  <c r="L634" i="16"/>
  <c r="M634" i="16"/>
  <c r="G635" i="16"/>
  <c r="M635" i="16"/>
  <c r="L635" i="16"/>
  <c r="G636" i="16"/>
  <c r="L636" i="16"/>
  <c r="G637" i="16"/>
  <c r="L637" i="16"/>
  <c r="G638" i="16"/>
  <c r="M638" i="16" s="1"/>
  <c r="L638" i="16"/>
  <c r="G639" i="16"/>
  <c r="M639" i="16" s="1"/>
  <c r="L639" i="16"/>
  <c r="G640" i="16"/>
  <c r="L640" i="16"/>
  <c r="G641" i="16"/>
  <c r="L641" i="16"/>
  <c r="M641" i="16" s="1"/>
  <c r="G642" i="16"/>
  <c r="L642" i="16"/>
  <c r="G643" i="16"/>
  <c r="L643" i="16"/>
  <c r="M643" i="16"/>
  <c r="G644" i="16"/>
  <c r="L644" i="16"/>
  <c r="M644" i="16" s="1"/>
  <c r="G645" i="16"/>
  <c r="M645" i="16"/>
  <c r="L645" i="16"/>
  <c r="G646" i="16"/>
  <c r="L646" i="16"/>
  <c r="G647" i="16"/>
  <c r="M647" i="16" s="1"/>
  <c r="L647" i="16"/>
  <c r="G648" i="16"/>
  <c r="L648" i="16"/>
  <c r="G649" i="16"/>
  <c r="M649" i="16"/>
  <c r="L649" i="16"/>
  <c r="G650" i="16"/>
  <c r="L650" i="16"/>
  <c r="G651" i="16"/>
  <c r="L651" i="16"/>
  <c r="G652" i="16"/>
  <c r="L652" i="16"/>
  <c r="M652" i="16" s="1"/>
  <c r="G653" i="16"/>
  <c r="M653" i="16"/>
  <c r="L653" i="16"/>
  <c r="G654" i="16"/>
  <c r="L654" i="16"/>
  <c r="M654" i="16"/>
  <c r="G655" i="16"/>
  <c r="M655" i="16"/>
  <c r="L655" i="16"/>
  <c r="G656" i="16"/>
  <c r="M656" i="16" s="1"/>
  <c r="L656" i="16"/>
  <c r="G657" i="16"/>
  <c r="L657" i="16"/>
  <c r="M657" i="16"/>
  <c r="G658" i="16"/>
  <c r="L658" i="16"/>
  <c r="G659" i="16"/>
  <c r="L659" i="16"/>
  <c r="M659" i="16" s="1"/>
  <c r="G660" i="16"/>
  <c r="L660" i="16"/>
  <c r="G661" i="16"/>
  <c r="M661" i="16" s="1"/>
  <c r="L661" i="16"/>
  <c r="G662" i="16"/>
  <c r="M662" i="16" s="1"/>
  <c r="L662" i="16"/>
  <c r="G663" i="16"/>
  <c r="L663" i="16"/>
  <c r="G664" i="16"/>
  <c r="L664" i="16"/>
  <c r="G665" i="16"/>
  <c r="L665" i="16"/>
  <c r="M665" i="16"/>
  <c r="G666" i="16"/>
  <c r="L666" i="16"/>
  <c r="G667" i="16"/>
  <c r="L667" i="16"/>
  <c r="G668" i="16"/>
  <c r="L668" i="16"/>
  <c r="M668" i="16" s="1"/>
  <c r="G669" i="16"/>
  <c r="M669" i="16"/>
  <c r="L669" i="16"/>
  <c r="G670" i="16"/>
  <c r="L670" i="16"/>
  <c r="M670" i="16"/>
  <c r="G671" i="16"/>
  <c r="M671" i="16"/>
  <c r="L671" i="16"/>
  <c r="G672" i="16"/>
  <c r="L672" i="16"/>
  <c r="M672" i="16"/>
  <c r="G673" i="16"/>
  <c r="M673" i="16"/>
  <c r="L673" i="16"/>
  <c r="G674" i="16"/>
  <c r="L674" i="16"/>
  <c r="G675" i="16"/>
  <c r="M675" i="16" s="1"/>
  <c r="L675" i="16"/>
  <c r="G676" i="16"/>
  <c r="L676" i="16"/>
  <c r="M676" i="16"/>
  <c r="G677" i="16"/>
  <c r="M677" i="16"/>
  <c r="L677" i="16"/>
  <c r="G678" i="16"/>
  <c r="L678" i="16"/>
  <c r="M678" i="16"/>
  <c r="G679" i="16"/>
  <c r="M679" i="16"/>
  <c r="L679" i="16"/>
  <c r="G680" i="16"/>
  <c r="L680" i="16"/>
  <c r="M680" i="16"/>
  <c r="G681" i="16"/>
  <c r="M681" i="16"/>
  <c r="L681" i="16"/>
  <c r="G682" i="16"/>
  <c r="L682" i="16"/>
  <c r="G683" i="16"/>
  <c r="L683" i="16"/>
  <c r="M683" i="16"/>
  <c r="G684" i="16"/>
  <c r="L684" i="16"/>
  <c r="G685" i="16"/>
  <c r="L685" i="16"/>
  <c r="G686" i="16"/>
  <c r="L686" i="16"/>
  <c r="M686" i="16" s="1"/>
  <c r="G687" i="16"/>
  <c r="L687" i="16"/>
  <c r="M687" i="16" s="1"/>
  <c r="G688" i="16"/>
  <c r="L688" i="16"/>
  <c r="G689" i="16"/>
  <c r="L689" i="16"/>
  <c r="M689" i="16" s="1"/>
  <c r="G690" i="16"/>
  <c r="L690" i="16"/>
  <c r="G691" i="16"/>
  <c r="M691" i="16" s="1"/>
  <c r="L691" i="16"/>
  <c r="G692" i="16"/>
  <c r="L692" i="16"/>
  <c r="G693" i="16"/>
  <c r="M693" i="16"/>
  <c r="L693" i="16"/>
  <c r="G694" i="16"/>
  <c r="L694" i="16"/>
  <c r="M694" i="16"/>
  <c r="G695" i="16"/>
  <c r="M695" i="16"/>
  <c r="L695" i="16"/>
  <c r="G696" i="16"/>
  <c r="L696" i="16"/>
  <c r="M696" i="16"/>
  <c r="G697" i="16"/>
  <c r="M697" i="16"/>
  <c r="L697" i="16"/>
  <c r="G698" i="16"/>
  <c r="L698" i="16"/>
  <c r="G699" i="16"/>
  <c r="L699" i="16"/>
  <c r="M699" i="16"/>
  <c r="G700" i="16"/>
  <c r="L700" i="16"/>
  <c r="G701" i="16"/>
  <c r="L701" i="16"/>
  <c r="G702" i="16"/>
  <c r="L702" i="16"/>
  <c r="M702" i="16" s="1"/>
  <c r="G703" i="16"/>
  <c r="L703" i="16"/>
  <c r="M703" i="16" s="1"/>
  <c r="G704" i="16"/>
  <c r="L704" i="16"/>
  <c r="G705" i="16"/>
  <c r="L705" i="16"/>
  <c r="M705" i="16" s="1"/>
  <c r="G706" i="16"/>
  <c r="L706" i="16"/>
  <c r="G707" i="16"/>
  <c r="M707" i="16" s="1"/>
  <c r="L707" i="16"/>
  <c r="G708" i="16"/>
  <c r="L708" i="16"/>
  <c r="M708" i="16" s="1"/>
  <c r="G709" i="16"/>
  <c r="M709" i="16" s="1"/>
  <c r="L709" i="16"/>
  <c r="G710" i="16"/>
  <c r="L710" i="16"/>
  <c r="M710" i="16" s="1"/>
  <c r="G711" i="16"/>
  <c r="M711" i="16" s="1"/>
  <c r="L711" i="16"/>
  <c r="G712" i="16"/>
  <c r="L712" i="16"/>
  <c r="M712" i="16" s="1"/>
  <c r="G713" i="16"/>
  <c r="M713" i="16" s="1"/>
  <c r="L713" i="16"/>
  <c r="G714" i="16"/>
  <c r="L714" i="16"/>
  <c r="G715" i="16"/>
  <c r="L715" i="16"/>
  <c r="M715" i="16" s="1"/>
  <c r="G716" i="16"/>
  <c r="M716" i="16" s="1"/>
  <c r="L716" i="16"/>
  <c r="G717" i="16"/>
  <c r="L717" i="16"/>
  <c r="G718" i="16"/>
  <c r="M718" i="16" s="1"/>
  <c r="L718" i="16"/>
  <c r="G719" i="16"/>
  <c r="M719" i="16" s="1"/>
  <c r="L719" i="16"/>
  <c r="G720" i="16"/>
  <c r="M720" i="16" s="1"/>
  <c r="L720" i="16"/>
  <c r="G721" i="16"/>
  <c r="L721" i="16"/>
  <c r="M721" i="16"/>
  <c r="G722" i="16"/>
  <c r="L722" i="16"/>
  <c r="G723" i="16"/>
  <c r="M723" i="16"/>
  <c r="L723" i="16"/>
  <c r="G724" i="16"/>
  <c r="L724" i="16"/>
  <c r="M724" i="16"/>
  <c r="G725" i="16"/>
  <c r="M725" i="16"/>
  <c r="L725" i="16"/>
  <c r="G726" i="16"/>
  <c r="L726" i="16"/>
  <c r="M726" i="16"/>
  <c r="G727" i="16"/>
  <c r="M727" i="16"/>
  <c r="L727" i="16"/>
  <c r="G728" i="16"/>
  <c r="L728" i="16"/>
  <c r="M728" i="16"/>
  <c r="G729" i="16"/>
  <c r="M729" i="16"/>
  <c r="L729" i="16"/>
  <c r="G730" i="16"/>
  <c r="M730" i="16" s="1"/>
  <c r="L730" i="16"/>
  <c r="G731" i="16"/>
  <c r="L731" i="16"/>
  <c r="M731" i="16"/>
  <c r="G732" i="16"/>
  <c r="L732" i="16"/>
  <c r="M732" i="16" s="1"/>
  <c r="G733" i="16"/>
  <c r="L733" i="16"/>
  <c r="M733" i="16" s="1"/>
  <c r="G734" i="16"/>
  <c r="L734" i="16"/>
  <c r="G735" i="16"/>
  <c r="L735" i="16"/>
  <c r="M735" i="16" s="1"/>
  <c r="G736" i="16"/>
  <c r="L736" i="16"/>
  <c r="M736" i="16" s="1"/>
  <c r="G737" i="16"/>
  <c r="L737" i="16"/>
  <c r="M737" i="16" s="1"/>
  <c r="G738" i="16"/>
  <c r="L738" i="16"/>
  <c r="G739" i="16"/>
  <c r="L739" i="16"/>
  <c r="G740" i="16"/>
  <c r="L740" i="16"/>
  <c r="M740" i="16" s="1"/>
  <c r="G741" i="16"/>
  <c r="L741" i="16"/>
  <c r="G742" i="16"/>
  <c r="L742" i="16"/>
  <c r="M742" i="16" s="1"/>
  <c r="G743" i="16"/>
  <c r="L743" i="16"/>
  <c r="G744" i="16"/>
  <c r="L744" i="16"/>
  <c r="M744" i="16" s="1"/>
  <c r="G745" i="16"/>
  <c r="L745" i="16"/>
  <c r="G746" i="16"/>
  <c r="L746" i="16"/>
  <c r="M746" i="16" s="1"/>
  <c r="G747" i="16"/>
  <c r="L747" i="16"/>
  <c r="M747" i="16" s="1"/>
  <c r="G748" i="16"/>
  <c r="L748" i="16"/>
  <c r="G749" i="16"/>
  <c r="L749" i="16"/>
  <c r="G750" i="16"/>
  <c r="M750" i="16" s="1"/>
  <c r="L750" i="16"/>
  <c r="G751" i="16"/>
  <c r="M751" i="16" s="1"/>
  <c r="L751" i="16"/>
  <c r="G752" i="16"/>
  <c r="L752" i="16"/>
  <c r="G753" i="16"/>
  <c r="L753" i="16"/>
  <c r="M753" i="16"/>
  <c r="G754" i="16"/>
  <c r="L754" i="16"/>
  <c r="G755" i="16"/>
  <c r="L755" i="16"/>
  <c r="M755" i="16" s="1"/>
  <c r="G756" i="16"/>
  <c r="L756" i="16"/>
  <c r="M756" i="16" s="1"/>
  <c r="G757" i="16"/>
  <c r="M757" i="16" s="1"/>
  <c r="L757" i="16"/>
  <c r="G758" i="16"/>
  <c r="L758" i="16"/>
  <c r="M758" i="16" s="1"/>
  <c r="G759" i="16"/>
  <c r="M759" i="16" s="1"/>
  <c r="L759" i="16"/>
  <c r="G760" i="16"/>
  <c r="L760" i="16"/>
  <c r="M760" i="16" s="1"/>
  <c r="G761" i="16"/>
  <c r="M761" i="16" s="1"/>
  <c r="L761" i="16"/>
  <c r="G762" i="16"/>
  <c r="L762" i="16"/>
  <c r="G763" i="16"/>
  <c r="L763" i="16"/>
  <c r="M763" i="16" s="1"/>
  <c r="G764" i="16"/>
  <c r="L764" i="16"/>
  <c r="G765" i="16"/>
  <c r="M765" i="16" s="1"/>
  <c r="L765" i="16"/>
  <c r="G766" i="16"/>
  <c r="M766" i="16" s="1"/>
  <c r="L766" i="16"/>
  <c r="G767" i="16"/>
  <c r="M767" i="16" s="1"/>
  <c r="L767" i="16"/>
  <c r="G768" i="16"/>
  <c r="M768" i="16" s="1"/>
  <c r="L768" i="16"/>
  <c r="G769" i="16"/>
  <c r="L769" i="16"/>
  <c r="M769" i="16"/>
  <c r="G770" i="16"/>
  <c r="L770" i="16"/>
  <c r="G771" i="16"/>
  <c r="L771" i="16"/>
  <c r="M771" i="16" s="1"/>
  <c r="G772" i="16"/>
  <c r="L772" i="16"/>
  <c r="M772" i="16" s="1"/>
  <c r="G773" i="16"/>
  <c r="L773" i="16"/>
  <c r="G774" i="16"/>
  <c r="L774" i="16"/>
  <c r="M774" i="16" s="1"/>
  <c r="G775" i="16"/>
  <c r="L775" i="16"/>
  <c r="G776" i="16"/>
  <c r="L776" i="16"/>
  <c r="M776" i="16" s="1"/>
  <c r="G777" i="16"/>
  <c r="L777" i="16"/>
  <c r="G778" i="16"/>
  <c r="L778" i="16"/>
  <c r="M778" i="16" s="1"/>
  <c r="G779" i="16"/>
  <c r="L779" i="16"/>
  <c r="M779" i="16" s="1"/>
  <c r="G780" i="16"/>
  <c r="M780" i="16" s="1"/>
  <c r="L780" i="16"/>
  <c r="G781" i="16"/>
  <c r="L781" i="16"/>
  <c r="G782" i="16"/>
  <c r="L782" i="16"/>
  <c r="G783" i="16"/>
  <c r="M783" i="16" s="1"/>
  <c r="L783" i="16"/>
  <c r="G39" i="16"/>
  <c r="L39" i="16"/>
  <c r="G40" i="16"/>
  <c r="L40" i="16"/>
  <c r="M40" i="16" s="1"/>
  <c r="G41" i="16"/>
  <c r="L41" i="16"/>
  <c r="G42" i="16"/>
  <c r="M42" i="16"/>
  <c r="G43" i="16"/>
  <c r="L43" i="16"/>
  <c r="M43" i="16" s="1"/>
  <c r="G44" i="16"/>
  <c r="L44" i="16"/>
  <c r="M44" i="16" s="1"/>
  <c r="G45" i="16"/>
  <c r="M45" i="16"/>
  <c r="G46" i="16"/>
  <c r="L46" i="16"/>
  <c r="G47" i="16"/>
  <c r="M47" i="16"/>
  <c r="L47" i="16"/>
  <c r="G48" i="16"/>
  <c r="L48" i="16"/>
  <c r="G49" i="16"/>
  <c r="M49" i="16" s="1"/>
  <c r="L49" i="16"/>
  <c r="G50" i="16"/>
  <c r="L50" i="16"/>
  <c r="M50" i="16" s="1"/>
  <c r="G51" i="16"/>
  <c r="M51" i="16" s="1"/>
  <c r="L51" i="16"/>
  <c r="G52" i="16"/>
  <c r="L52" i="16"/>
  <c r="M52" i="16" s="1"/>
  <c r="G53" i="16"/>
  <c r="L53" i="16"/>
  <c r="M53" i="16"/>
  <c r="G54" i="16"/>
  <c r="L54" i="16"/>
  <c r="M54" i="16" s="1"/>
  <c r="G55" i="16"/>
  <c r="L55" i="16"/>
  <c r="M55" i="16" s="1"/>
  <c r="G56" i="16"/>
  <c r="M56" i="16" s="1"/>
  <c r="L56" i="16"/>
  <c r="G57" i="16"/>
  <c r="L57" i="16"/>
  <c r="G58" i="16"/>
  <c r="L58" i="16"/>
  <c r="G59" i="16"/>
  <c r="M59" i="16" s="1"/>
  <c r="L59" i="16"/>
  <c r="G60" i="16"/>
  <c r="M60" i="16" s="1"/>
  <c r="L60" i="16"/>
  <c r="G61" i="16"/>
  <c r="L61" i="16"/>
  <c r="G62" i="16"/>
  <c r="L62" i="16"/>
  <c r="G63" i="16"/>
  <c r="L63" i="16"/>
  <c r="G64" i="16"/>
  <c r="L64" i="16"/>
  <c r="M64" i="16" s="1"/>
  <c r="G65" i="16"/>
  <c r="L65" i="16"/>
  <c r="G66" i="16"/>
  <c r="L66" i="16"/>
  <c r="M66" i="16" s="1"/>
  <c r="G67" i="16"/>
  <c r="L67" i="16"/>
  <c r="G68" i="16"/>
  <c r="L68" i="16"/>
  <c r="G69" i="16"/>
  <c r="L69" i="16"/>
  <c r="M69" i="16" s="1"/>
  <c r="G70" i="16"/>
  <c r="L70" i="16"/>
  <c r="G71" i="16"/>
  <c r="L71" i="16"/>
  <c r="M71" i="16"/>
  <c r="G72" i="16"/>
  <c r="L72" i="16"/>
  <c r="M72" i="16" s="1"/>
  <c r="G73" i="16"/>
  <c r="L73" i="16"/>
  <c r="G74" i="16"/>
  <c r="L74" i="16"/>
  <c r="G75" i="16"/>
  <c r="L75" i="16"/>
  <c r="M75" i="16" s="1"/>
  <c r="G76" i="16"/>
  <c r="L76" i="16"/>
  <c r="G77" i="16"/>
  <c r="L77" i="16"/>
  <c r="M77" i="16" s="1"/>
  <c r="G78" i="16"/>
  <c r="M78" i="16" s="1"/>
  <c r="L78" i="16"/>
  <c r="G79" i="16"/>
  <c r="L79" i="16"/>
  <c r="M79" i="16"/>
  <c r="G80" i="16"/>
  <c r="L80" i="16"/>
  <c r="M80" i="16" s="1"/>
  <c r="G81" i="16"/>
  <c r="L81" i="16"/>
  <c r="M81" i="16" s="1"/>
  <c r="G82" i="16"/>
  <c r="L82" i="16"/>
  <c r="M82" i="16" s="1"/>
  <c r="G83" i="16"/>
  <c r="L83" i="16"/>
  <c r="G84" i="16"/>
  <c r="L84" i="16"/>
  <c r="M84" i="16" s="1"/>
  <c r="G85" i="16"/>
  <c r="L85" i="16"/>
  <c r="M85" i="16" s="1"/>
  <c r="G86" i="16"/>
  <c r="L86" i="16"/>
  <c r="G87" i="16"/>
  <c r="L87" i="16"/>
  <c r="G88" i="16"/>
  <c r="L88" i="16"/>
  <c r="M88" i="16" s="1"/>
  <c r="G89" i="16"/>
  <c r="L89" i="16"/>
  <c r="G90" i="16"/>
  <c r="L90" i="16"/>
  <c r="M90" i="16" s="1"/>
  <c r="G91" i="16"/>
  <c r="L91" i="16"/>
  <c r="G92" i="16"/>
  <c r="L92" i="16"/>
  <c r="M92" i="16" s="1"/>
  <c r="G93" i="16"/>
  <c r="L93" i="16"/>
  <c r="G94" i="16"/>
  <c r="L94" i="16"/>
  <c r="M94" i="16" s="1"/>
  <c r="G95" i="16"/>
  <c r="L95" i="16"/>
  <c r="M95" i="16" s="1"/>
  <c r="G96" i="16"/>
  <c r="L96" i="16"/>
  <c r="G97" i="16"/>
  <c r="M97" i="16" s="1"/>
  <c r="L97" i="16"/>
  <c r="G98" i="16"/>
  <c r="L98" i="16"/>
  <c r="G99" i="16"/>
  <c r="L99" i="16"/>
  <c r="G100" i="16"/>
  <c r="M100" i="16" s="1"/>
  <c r="L100" i="16"/>
  <c r="G101" i="16"/>
  <c r="L101" i="16"/>
  <c r="M101" i="16"/>
  <c r="G102" i="16"/>
  <c r="L102" i="16"/>
  <c r="G103" i="16"/>
  <c r="M103" i="16"/>
  <c r="L103" i="16"/>
  <c r="G104" i="16"/>
  <c r="L104" i="16"/>
  <c r="G105" i="16"/>
  <c r="L105" i="16"/>
  <c r="G106" i="16"/>
  <c r="L106" i="16"/>
  <c r="M106" i="16" s="1"/>
  <c r="G107" i="16"/>
  <c r="L107" i="16"/>
  <c r="G108" i="16"/>
  <c r="L108" i="16"/>
  <c r="M108" i="16" s="1"/>
  <c r="G109" i="16"/>
  <c r="L109" i="16"/>
  <c r="G110" i="16"/>
  <c r="L110" i="16"/>
  <c r="M110" i="16" s="1"/>
  <c r="G111" i="16"/>
  <c r="L111" i="16"/>
  <c r="M111" i="16" s="1"/>
  <c r="G112" i="16"/>
  <c r="L112" i="16"/>
  <c r="G113" i="16"/>
  <c r="M113" i="16" s="1"/>
  <c r="L113" i="16"/>
  <c r="G114" i="16"/>
  <c r="L114" i="16"/>
  <c r="G115" i="16"/>
  <c r="L115" i="16"/>
  <c r="G116" i="16"/>
  <c r="M116" i="16" s="1"/>
  <c r="L116" i="16"/>
  <c r="G117" i="16"/>
  <c r="L117" i="16"/>
  <c r="M117" i="16"/>
  <c r="G118" i="16"/>
  <c r="L118" i="16"/>
  <c r="G119" i="16"/>
  <c r="M119" i="16"/>
  <c r="L119" i="16"/>
  <c r="G120" i="16"/>
  <c r="L120" i="16"/>
  <c r="M120" i="16"/>
  <c r="G121" i="16"/>
  <c r="L121" i="16"/>
  <c r="M121" i="16" s="1"/>
  <c r="G122" i="16"/>
  <c r="L122" i="16"/>
  <c r="M122" i="16" s="1"/>
  <c r="G123" i="16"/>
  <c r="M123" i="16" s="1"/>
  <c r="L123" i="16"/>
  <c r="G124" i="16"/>
  <c r="L124" i="16"/>
  <c r="G125" i="16"/>
  <c r="M125" i="16"/>
  <c r="L125" i="16"/>
  <c r="G126" i="16"/>
  <c r="L126" i="16"/>
  <c r="G127" i="16"/>
  <c r="L127" i="16"/>
  <c r="M127" i="16"/>
  <c r="G128" i="16"/>
  <c r="L128" i="16"/>
  <c r="G129" i="16"/>
  <c r="L129" i="16"/>
  <c r="G130" i="16"/>
  <c r="L130" i="16"/>
  <c r="M130" i="16" s="1"/>
  <c r="G131" i="16"/>
  <c r="L131" i="16"/>
  <c r="M131" i="16" s="1"/>
  <c r="G132" i="16"/>
  <c r="L132" i="16"/>
  <c r="G133" i="16"/>
  <c r="L133" i="16"/>
  <c r="M133" i="16" s="1"/>
  <c r="G134" i="16"/>
  <c r="L134" i="16"/>
  <c r="G135" i="16"/>
  <c r="L135" i="16"/>
  <c r="M135" i="16"/>
  <c r="G136" i="16"/>
  <c r="L136" i="16"/>
  <c r="M136" i="16" s="1"/>
  <c r="G137" i="16"/>
  <c r="L137" i="16"/>
  <c r="G138" i="16"/>
  <c r="L138" i="16"/>
  <c r="M138" i="16"/>
  <c r="G139" i="16"/>
  <c r="L139" i="16"/>
  <c r="M139" i="16" s="1"/>
  <c r="G140" i="16"/>
  <c r="L140" i="16"/>
  <c r="G141" i="16"/>
  <c r="M141" i="16"/>
  <c r="L141" i="16"/>
  <c r="G142" i="16"/>
  <c r="L142" i="16"/>
  <c r="G143" i="16"/>
  <c r="L143" i="16"/>
  <c r="G144" i="16"/>
  <c r="L144" i="16"/>
  <c r="G145" i="16"/>
  <c r="L145" i="16"/>
  <c r="G146" i="16"/>
  <c r="L146" i="16"/>
  <c r="M146" i="16" s="1"/>
  <c r="G147" i="16"/>
  <c r="L147" i="16"/>
  <c r="G148" i="16"/>
  <c r="L148" i="16"/>
  <c r="M148" i="16" s="1"/>
  <c r="G149" i="16"/>
  <c r="L149" i="16"/>
  <c r="G150" i="16"/>
  <c r="L150" i="16"/>
  <c r="G151" i="16"/>
  <c r="L151" i="16"/>
  <c r="M151" i="16" s="1"/>
  <c r="G152" i="16"/>
  <c r="L152" i="16"/>
  <c r="G153" i="16"/>
  <c r="L153" i="16"/>
  <c r="M153" i="16"/>
  <c r="G154" i="16"/>
  <c r="L154" i="16"/>
  <c r="M154" i="16" s="1"/>
  <c r="G155" i="16"/>
  <c r="L155" i="16"/>
  <c r="M155" i="16" s="1"/>
  <c r="G156" i="16"/>
  <c r="L156" i="16"/>
  <c r="M156" i="16" s="1"/>
  <c r="G157" i="16"/>
  <c r="L157" i="16"/>
  <c r="G158" i="16"/>
  <c r="L158" i="16"/>
  <c r="G159" i="16"/>
  <c r="L159" i="16"/>
  <c r="M159" i="16" s="1"/>
  <c r="G160" i="16"/>
  <c r="L160" i="16"/>
  <c r="G161" i="16"/>
  <c r="M161" i="16" s="1"/>
  <c r="L161" i="16"/>
  <c r="G162" i="16"/>
  <c r="L162" i="16"/>
  <c r="G163" i="16"/>
  <c r="M163" i="16"/>
  <c r="L163" i="16"/>
  <c r="G164" i="16"/>
  <c r="L164" i="16"/>
  <c r="M164" i="16"/>
  <c r="G165" i="16"/>
  <c r="M165" i="16"/>
  <c r="L165" i="16"/>
  <c r="G166" i="16"/>
  <c r="L166" i="16"/>
  <c r="M166" i="16"/>
  <c r="G167" i="16"/>
  <c r="M167" i="16"/>
  <c r="L167" i="16"/>
  <c r="G168" i="16"/>
  <c r="L168" i="16"/>
  <c r="G169" i="16"/>
  <c r="L169" i="16"/>
  <c r="M169" i="16"/>
  <c r="G170" i="16"/>
  <c r="L170" i="16"/>
  <c r="M170" i="16" s="1"/>
  <c r="G171" i="16"/>
  <c r="L171" i="16"/>
  <c r="M171" i="16" s="1"/>
  <c r="G172" i="16"/>
  <c r="M172" i="16" s="1"/>
  <c r="L172" i="16"/>
  <c r="G173" i="16"/>
  <c r="L173" i="16"/>
  <c r="G174" i="16"/>
  <c r="L174" i="16"/>
  <c r="M174" i="16" s="1"/>
  <c r="G175" i="16"/>
  <c r="L175" i="16"/>
  <c r="G176" i="16"/>
  <c r="M176" i="16" s="1"/>
  <c r="L176" i="16"/>
  <c r="G177" i="16"/>
  <c r="L177" i="16"/>
  <c r="G178" i="16"/>
  <c r="L178" i="16"/>
  <c r="G179" i="16"/>
  <c r="M179" i="16" s="1"/>
  <c r="L179" i="16"/>
  <c r="G180" i="16"/>
  <c r="L180" i="16"/>
  <c r="M180" i="16"/>
  <c r="G181" i="16"/>
  <c r="L181" i="16"/>
  <c r="M181" i="16" s="1"/>
  <c r="G182" i="16"/>
  <c r="M182" i="16"/>
  <c r="L182" i="16"/>
  <c r="G183" i="16"/>
  <c r="M183" i="16" s="1"/>
  <c r="L183" i="16"/>
  <c r="G184" i="16"/>
  <c r="M184" i="16" s="1"/>
  <c r="L184" i="16"/>
  <c r="G185" i="16"/>
  <c r="L185" i="16"/>
  <c r="M185" i="16" s="1"/>
  <c r="G186" i="16"/>
  <c r="M186" i="16" s="1"/>
  <c r="L186" i="16"/>
  <c r="G187" i="16"/>
  <c r="L187" i="16"/>
  <c r="M187" i="16" s="1"/>
  <c r="G188" i="16"/>
  <c r="M188" i="16" s="1"/>
  <c r="L188" i="16"/>
  <c r="G189" i="16"/>
  <c r="L189" i="16"/>
  <c r="G190" i="16"/>
  <c r="L190" i="16"/>
  <c r="M190" i="16" s="1"/>
  <c r="G191" i="16"/>
  <c r="M191" i="16" s="1"/>
  <c r="L191" i="16"/>
  <c r="G192" i="16"/>
  <c r="M192" i="16" s="1"/>
  <c r="L192" i="16"/>
  <c r="G193" i="16"/>
  <c r="M193" i="16" s="1"/>
  <c r="L193" i="16"/>
  <c r="G194" i="16"/>
  <c r="M194" i="16" s="1"/>
  <c r="L194" i="16"/>
  <c r="G195" i="16"/>
  <c r="M195" i="16" s="1"/>
  <c r="L195" i="16"/>
  <c r="G196" i="16"/>
  <c r="L196" i="16"/>
  <c r="M196" i="16"/>
  <c r="G197" i="16"/>
  <c r="L197" i="16"/>
  <c r="M197" i="16" s="1"/>
  <c r="G198" i="16"/>
  <c r="M198" i="16"/>
  <c r="L198" i="16"/>
  <c r="G199" i="16"/>
  <c r="M199" i="16" s="1"/>
  <c r="L199" i="16"/>
  <c r="G200" i="16"/>
  <c r="M200" i="16" s="1"/>
  <c r="L200" i="16"/>
  <c r="G201" i="16"/>
  <c r="L201" i="16"/>
  <c r="M201" i="16" s="1"/>
  <c r="G202" i="16"/>
  <c r="M202" i="16" s="1"/>
  <c r="L202" i="16"/>
  <c r="G203" i="16"/>
  <c r="L203" i="16"/>
  <c r="M203" i="16" s="1"/>
  <c r="G204" i="16"/>
  <c r="M204" i="16" s="1"/>
  <c r="L204" i="16"/>
  <c r="G205" i="16"/>
  <c r="L205" i="16"/>
  <c r="G206" i="16"/>
  <c r="L206" i="16"/>
  <c r="M206" i="16" s="1"/>
  <c r="G207" i="16"/>
  <c r="L207" i="16"/>
  <c r="G208" i="16"/>
  <c r="M208" i="16" s="1"/>
  <c r="L208" i="16"/>
  <c r="G209" i="16"/>
  <c r="L209" i="16"/>
  <c r="G210" i="16"/>
  <c r="L210" i="16"/>
  <c r="G211" i="16"/>
  <c r="M211" i="16" s="1"/>
  <c r="L211" i="16"/>
  <c r="G212" i="16"/>
  <c r="L212" i="16"/>
  <c r="M212" i="16"/>
  <c r="G213" i="16"/>
  <c r="L213" i="16"/>
  <c r="M213" i="16" s="1"/>
  <c r="G214" i="16"/>
  <c r="M214" i="16"/>
  <c r="L214" i="16"/>
  <c r="G215" i="16"/>
  <c r="M215" i="16" s="1"/>
  <c r="L215" i="16"/>
  <c r="G216" i="16"/>
  <c r="M216" i="16" s="1"/>
  <c r="L216" i="16"/>
  <c r="G217" i="16"/>
  <c r="L217" i="16"/>
  <c r="M217" i="16" s="1"/>
  <c r="G218" i="16"/>
  <c r="M218" i="16" s="1"/>
  <c r="L218" i="16"/>
  <c r="G219" i="16"/>
  <c r="L219" i="16"/>
  <c r="M219" i="16" s="1"/>
  <c r="G220" i="16"/>
  <c r="M220" i="16" s="1"/>
  <c r="L220" i="16"/>
  <c r="G221" i="16"/>
  <c r="L221" i="16"/>
  <c r="G222" i="16"/>
  <c r="L222" i="16"/>
  <c r="M222" i="16" s="1"/>
  <c r="G223" i="16"/>
  <c r="M223" i="16" s="1"/>
  <c r="L223" i="16"/>
  <c r="G224" i="16"/>
  <c r="M224" i="16" s="1"/>
  <c r="L224" i="16"/>
  <c r="G225" i="16"/>
  <c r="M225" i="16" s="1"/>
  <c r="L225" i="16"/>
  <c r="G226" i="16"/>
  <c r="M226" i="16" s="1"/>
  <c r="L226" i="16"/>
  <c r="G227" i="16"/>
  <c r="M227" i="16" s="1"/>
  <c r="L227" i="16"/>
  <c r="G228" i="16"/>
  <c r="L228" i="16"/>
  <c r="M228" i="16"/>
  <c r="G229" i="16"/>
  <c r="L229" i="16"/>
  <c r="M229" i="16" s="1"/>
  <c r="G230" i="16"/>
  <c r="M230" i="16"/>
  <c r="L230" i="16"/>
  <c r="G231" i="16"/>
  <c r="M231" i="16" s="1"/>
  <c r="L231" i="16"/>
  <c r="G232" i="16"/>
  <c r="M232" i="16" s="1"/>
  <c r="L232" i="16"/>
  <c r="G233" i="16"/>
  <c r="L233" i="16"/>
  <c r="M233" i="16" s="1"/>
  <c r="G234" i="16"/>
  <c r="M234" i="16" s="1"/>
  <c r="L234" i="16"/>
  <c r="G235" i="16"/>
  <c r="L235" i="16"/>
  <c r="M235" i="16" s="1"/>
  <c r="G236" i="16"/>
  <c r="M236" i="16" s="1"/>
  <c r="L236" i="16"/>
  <c r="G237" i="16"/>
  <c r="L237" i="16"/>
  <c r="G238" i="16"/>
  <c r="L238" i="16"/>
  <c r="M238" i="16" s="1"/>
  <c r="G239" i="16"/>
  <c r="L239" i="16"/>
  <c r="G240" i="16"/>
  <c r="M240" i="16" s="1"/>
  <c r="L240" i="16"/>
  <c r="G241" i="16"/>
  <c r="L241" i="16"/>
  <c r="G242" i="16"/>
  <c r="L242" i="16"/>
  <c r="G243" i="16"/>
  <c r="M243" i="16" s="1"/>
  <c r="L243" i="16"/>
  <c r="G244" i="16"/>
  <c r="L244" i="16"/>
  <c r="M244" i="16"/>
  <c r="G245" i="16"/>
  <c r="L245" i="16"/>
  <c r="M245" i="16" s="1"/>
  <c r="G246" i="16"/>
  <c r="M246" i="16"/>
  <c r="L246" i="16"/>
  <c r="G247" i="16"/>
  <c r="M247" i="16" s="1"/>
  <c r="L247" i="16"/>
  <c r="G248" i="16"/>
  <c r="M248" i="16" s="1"/>
  <c r="L248" i="16"/>
  <c r="G249" i="16"/>
  <c r="L249" i="16"/>
  <c r="M249" i="16" s="1"/>
  <c r="G250" i="16"/>
  <c r="M250" i="16" s="1"/>
  <c r="L250" i="16"/>
  <c r="G251" i="16"/>
  <c r="L251" i="16"/>
  <c r="M251" i="16" s="1"/>
  <c r="G252" i="16"/>
  <c r="M252" i="16" s="1"/>
  <c r="L252" i="16"/>
  <c r="G253" i="16"/>
  <c r="L253" i="16"/>
  <c r="G254" i="16"/>
  <c r="L254" i="16"/>
  <c r="M254" i="16" s="1"/>
  <c r="G255" i="16"/>
  <c r="M255" i="16" s="1"/>
  <c r="L255" i="16"/>
  <c r="G256" i="16"/>
  <c r="M256" i="16" s="1"/>
  <c r="L256" i="16"/>
  <c r="G257" i="16"/>
  <c r="M257" i="16" s="1"/>
  <c r="L257" i="16"/>
  <c r="G258" i="16"/>
  <c r="M258" i="16" s="1"/>
  <c r="L258" i="16"/>
  <c r="G259" i="16"/>
  <c r="M259" i="16" s="1"/>
  <c r="L259" i="16"/>
  <c r="G260" i="16"/>
  <c r="L260" i="16"/>
  <c r="M260" i="16"/>
  <c r="G261" i="16"/>
  <c r="L261" i="16"/>
  <c r="M261" i="16" s="1"/>
  <c r="G262" i="16"/>
  <c r="M262" i="16"/>
  <c r="L262" i="16"/>
  <c r="G263" i="16"/>
  <c r="M263" i="16" s="1"/>
  <c r="L263" i="16"/>
  <c r="G264" i="16"/>
  <c r="M264" i="16" s="1"/>
  <c r="L264" i="16"/>
  <c r="G265" i="16"/>
  <c r="L265" i="16"/>
  <c r="M265" i="16" s="1"/>
  <c r="G266" i="16"/>
  <c r="M266" i="16" s="1"/>
  <c r="L266" i="16"/>
  <c r="G267" i="16"/>
  <c r="L267" i="16"/>
  <c r="M267" i="16" s="1"/>
  <c r="G268" i="16"/>
  <c r="M268" i="16" s="1"/>
  <c r="L268" i="16"/>
  <c r="G269" i="16"/>
  <c r="L269" i="16"/>
  <c r="G270" i="16"/>
  <c r="L270" i="16"/>
  <c r="M270" i="16" s="1"/>
  <c r="G271" i="16"/>
  <c r="L271" i="16"/>
  <c r="G272" i="16"/>
  <c r="M272" i="16" s="1"/>
  <c r="L272" i="16"/>
  <c r="G273" i="16"/>
  <c r="L273" i="16"/>
  <c r="G274" i="16"/>
  <c r="L274" i="16"/>
  <c r="G275" i="16"/>
  <c r="M275" i="16" s="1"/>
  <c r="L275" i="16"/>
  <c r="G276" i="16"/>
  <c r="L276" i="16"/>
  <c r="M276" i="16"/>
  <c r="G277" i="16"/>
  <c r="L277" i="16"/>
  <c r="M277" i="16" s="1"/>
  <c r="G278" i="16"/>
  <c r="M278" i="16"/>
  <c r="L278" i="16"/>
  <c r="G279" i="16"/>
  <c r="M279" i="16" s="1"/>
  <c r="L279" i="16"/>
  <c r="G280" i="16"/>
  <c r="M280" i="16" s="1"/>
  <c r="L280" i="16"/>
  <c r="G281" i="16"/>
  <c r="L281" i="16"/>
  <c r="M281" i="16" s="1"/>
  <c r="G282" i="16"/>
  <c r="M282" i="16" s="1"/>
  <c r="L282" i="16"/>
  <c r="G283" i="16"/>
  <c r="L283" i="16"/>
  <c r="M283" i="16" s="1"/>
  <c r="G284" i="16"/>
  <c r="M284" i="16" s="1"/>
  <c r="L284" i="16"/>
  <c r="G285" i="16"/>
  <c r="L285" i="16"/>
  <c r="G286" i="16"/>
  <c r="L286" i="16"/>
  <c r="M286" i="16" s="1"/>
  <c r="G287" i="16"/>
  <c r="M287" i="16" s="1"/>
  <c r="L287" i="16"/>
  <c r="G288" i="16"/>
  <c r="M288" i="16" s="1"/>
  <c r="L288" i="16"/>
  <c r="G289" i="16"/>
  <c r="M289" i="16" s="1"/>
  <c r="L289" i="16"/>
  <c r="G290" i="16"/>
  <c r="M290" i="16" s="1"/>
  <c r="L290" i="16"/>
  <c r="G291" i="16"/>
  <c r="M291" i="16" s="1"/>
  <c r="L291" i="16"/>
  <c r="G292" i="16"/>
  <c r="L292" i="16"/>
  <c r="M292" i="16"/>
  <c r="G293" i="16"/>
  <c r="L293" i="16"/>
  <c r="M293" i="16" s="1"/>
  <c r="G294" i="16"/>
  <c r="M294" i="16"/>
  <c r="L294" i="16"/>
  <c r="G295" i="16"/>
  <c r="M295" i="16" s="1"/>
  <c r="L295" i="16"/>
  <c r="G296" i="16"/>
  <c r="M296" i="16" s="1"/>
  <c r="L296" i="16"/>
  <c r="G297" i="16"/>
  <c r="L297" i="16"/>
  <c r="M297" i="16" s="1"/>
  <c r="G298" i="16"/>
  <c r="M298" i="16" s="1"/>
  <c r="L298" i="16"/>
  <c r="G299" i="16"/>
  <c r="L299" i="16"/>
  <c r="M299" i="16" s="1"/>
  <c r="G300" i="16"/>
  <c r="M300" i="16" s="1"/>
  <c r="L300" i="16"/>
  <c r="G301" i="16"/>
  <c r="L301" i="16"/>
  <c r="G302" i="16"/>
  <c r="L302" i="16"/>
  <c r="M302" i="16" s="1"/>
  <c r="G303" i="16"/>
  <c r="L303" i="16"/>
  <c r="G304" i="16"/>
  <c r="M304" i="16" s="1"/>
  <c r="L304" i="16"/>
  <c r="G305" i="16"/>
  <c r="L305" i="16"/>
  <c r="G306" i="16"/>
  <c r="L306" i="16"/>
  <c r="G307" i="16"/>
  <c r="M307" i="16" s="1"/>
  <c r="L307" i="16"/>
  <c r="G308" i="16"/>
  <c r="L308" i="16"/>
  <c r="M308" i="16"/>
  <c r="G309" i="16"/>
  <c r="L309" i="16"/>
  <c r="M309" i="16" s="1"/>
  <c r="G310" i="16"/>
  <c r="M310" i="16"/>
  <c r="L310" i="16"/>
  <c r="G311" i="16"/>
  <c r="M311" i="16" s="1"/>
  <c r="L311" i="16"/>
  <c r="G312" i="16"/>
  <c r="M312" i="16" s="1"/>
  <c r="L312" i="16"/>
  <c r="G313" i="16"/>
  <c r="L313" i="16"/>
  <c r="M313" i="16" s="1"/>
  <c r="G314" i="16"/>
  <c r="M314" i="16" s="1"/>
  <c r="L314" i="16"/>
  <c r="G315" i="16"/>
  <c r="L315" i="16"/>
  <c r="M315" i="16" s="1"/>
  <c r="G316" i="16"/>
  <c r="M316" i="16" s="1"/>
  <c r="L316" i="16"/>
  <c r="G317" i="16"/>
  <c r="L317" i="16"/>
  <c r="G318" i="16"/>
  <c r="L318" i="16"/>
  <c r="M318" i="16" s="1"/>
  <c r="G319" i="16"/>
  <c r="M319" i="16" s="1"/>
  <c r="L319" i="16"/>
  <c r="G320" i="16"/>
  <c r="M320" i="16" s="1"/>
  <c r="L320" i="16"/>
  <c r="G321" i="16"/>
  <c r="M321" i="16" s="1"/>
  <c r="L321" i="16"/>
  <c r="G322" i="16"/>
  <c r="M322" i="16" s="1"/>
  <c r="L322" i="16"/>
  <c r="G323" i="16"/>
  <c r="M323" i="16" s="1"/>
  <c r="L323" i="16"/>
  <c r="G324" i="16"/>
  <c r="L324" i="16"/>
  <c r="M324" i="16"/>
  <c r="G325" i="16"/>
  <c r="L325" i="16"/>
  <c r="M325" i="16" s="1"/>
  <c r="G326" i="16"/>
  <c r="M326" i="16"/>
  <c r="L326" i="16"/>
  <c r="G327" i="16"/>
  <c r="M327" i="16" s="1"/>
  <c r="L327" i="16"/>
  <c r="G328" i="16"/>
  <c r="M328" i="16" s="1"/>
  <c r="L328" i="16"/>
  <c r="G329" i="16"/>
  <c r="L329" i="16"/>
  <c r="M329" i="16" s="1"/>
  <c r="G330" i="16"/>
  <c r="M330" i="16" s="1"/>
  <c r="L330" i="16"/>
  <c r="G331" i="16"/>
  <c r="L331" i="16"/>
  <c r="M331" i="16" s="1"/>
  <c r="G332" i="16"/>
  <c r="M332" i="16" s="1"/>
  <c r="L332" i="16"/>
  <c r="G333" i="16"/>
  <c r="L333" i="16"/>
  <c r="G334" i="16"/>
  <c r="L334" i="16"/>
  <c r="M334" i="16" s="1"/>
  <c r="G335" i="16"/>
  <c r="L335" i="16"/>
  <c r="G336" i="16"/>
  <c r="M336" i="16" s="1"/>
  <c r="L336" i="16"/>
  <c r="G337" i="16"/>
  <c r="L337" i="16"/>
  <c r="G338" i="16"/>
  <c r="L338" i="16"/>
  <c r="G339" i="16"/>
  <c r="M339" i="16" s="1"/>
  <c r="L339" i="16"/>
  <c r="G340" i="16"/>
  <c r="L340" i="16"/>
  <c r="M340" i="16"/>
  <c r="G341" i="16"/>
  <c r="L341" i="16"/>
  <c r="M341" i="16" s="1"/>
  <c r="G342" i="16"/>
  <c r="M342" i="16"/>
  <c r="L342" i="16"/>
  <c r="G343" i="16"/>
  <c r="M343" i="16" s="1"/>
  <c r="L343" i="16"/>
  <c r="G344" i="16"/>
  <c r="M344" i="16" s="1"/>
  <c r="L344" i="16"/>
  <c r="G345" i="16"/>
  <c r="L345" i="16"/>
  <c r="M345" i="16" s="1"/>
  <c r="G346" i="16"/>
  <c r="M346" i="16" s="1"/>
  <c r="L346" i="16"/>
  <c r="G347" i="16"/>
  <c r="L347" i="16"/>
  <c r="M347" i="16" s="1"/>
  <c r="G348" i="16"/>
  <c r="M348" i="16" s="1"/>
  <c r="L348" i="16"/>
  <c r="G349" i="16"/>
  <c r="L349" i="16"/>
  <c r="G350" i="16"/>
  <c r="L350" i="16"/>
  <c r="M350" i="16" s="1"/>
  <c r="G351" i="16"/>
  <c r="M351" i="16" s="1"/>
  <c r="L351" i="16"/>
  <c r="G352" i="16"/>
  <c r="M352" i="16" s="1"/>
  <c r="L352" i="16"/>
  <c r="G353" i="16"/>
  <c r="M353" i="16" s="1"/>
  <c r="L353" i="16"/>
  <c r="G354" i="16"/>
  <c r="M354" i="16" s="1"/>
  <c r="L354" i="16"/>
  <c r="G355" i="16"/>
  <c r="L355" i="16"/>
  <c r="G356" i="16"/>
  <c r="L356" i="16"/>
  <c r="M356" i="16"/>
  <c r="G357" i="16"/>
  <c r="L357" i="16"/>
  <c r="M357" i="16" s="1"/>
  <c r="G358" i="16"/>
  <c r="M358" i="16"/>
  <c r="L358" i="16"/>
  <c r="G359" i="16"/>
  <c r="L359" i="16"/>
  <c r="M359" i="16"/>
  <c r="G360" i="16"/>
  <c r="M360" i="16"/>
  <c r="L360" i="16"/>
  <c r="G361" i="16"/>
  <c r="L361" i="16"/>
  <c r="M361" i="16"/>
  <c r="G362" i="16"/>
  <c r="M362" i="16"/>
  <c r="L362" i="16"/>
  <c r="G363" i="16"/>
  <c r="M363" i="16" s="1"/>
  <c r="L363" i="16"/>
  <c r="G364" i="16"/>
  <c r="M364" i="16" s="1"/>
  <c r="L364" i="16"/>
  <c r="G365" i="16"/>
  <c r="L365" i="16"/>
  <c r="G366" i="16"/>
  <c r="L366" i="16"/>
  <c r="M366" i="16" s="1"/>
  <c r="G367" i="16"/>
  <c r="M367" i="16" s="1"/>
  <c r="L367" i="16"/>
  <c r="G368" i="16"/>
  <c r="M368" i="16" s="1"/>
  <c r="L368" i="16"/>
  <c r="G369" i="16"/>
  <c r="M369" i="16" s="1"/>
  <c r="L369" i="16"/>
  <c r="G370" i="16"/>
  <c r="L370" i="16"/>
  <c r="G371" i="16"/>
  <c r="M371" i="16" s="1"/>
  <c r="L371" i="16"/>
  <c r="G372" i="16"/>
  <c r="L372" i="16"/>
  <c r="M372" i="16"/>
  <c r="G373" i="16"/>
  <c r="L373" i="16"/>
  <c r="M373" i="16" s="1"/>
  <c r="G374" i="16"/>
  <c r="M374" i="16"/>
  <c r="L374" i="16"/>
  <c r="G375" i="16"/>
  <c r="M375" i="16" s="1"/>
  <c r="L375" i="16"/>
  <c r="G376" i="16"/>
  <c r="M376" i="16" s="1"/>
  <c r="L376" i="16"/>
  <c r="G377" i="16"/>
  <c r="L377" i="16"/>
  <c r="M377" i="16" s="1"/>
  <c r="G378" i="16"/>
  <c r="M378" i="16" s="1"/>
  <c r="L378" i="16"/>
  <c r="G379" i="16"/>
  <c r="L379" i="16"/>
  <c r="M379" i="16" s="1"/>
  <c r="G380" i="16"/>
  <c r="M380" i="16" s="1"/>
  <c r="L380" i="16"/>
  <c r="G381" i="16"/>
  <c r="L381" i="16"/>
  <c r="G382" i="16"/>
  <c r="L382" i="16"/>
  <c r="M382" i="16" s="1"/>
  <c r="G383" i="16"/>
  <c r="L383" i="16"/>
  <c r="G384" i="16"/>
  <c r="M384" i="16" s="1"/>
  <c r="L384" i="16"/>
  <c r="G385" i="16"/>
  <c r="M385" i="16" s="1"/>
  <c r="L385" i="16"/>
  <c r="G386" i="16"/>
  <c r="M386" i="16" s="1"/>
  <c r="L386" i="16"/>
  <c r="G387" i="16"/>
  <c r="L387" i="16"/>
  <c r="G388" i="16"/>
  <c r="L388" i="16"/>
  <c r="M388" i="16"/>
  <c r="G389" i="16"/>
  <c r="L389" i="16"/>
  <c r="M389" i="16" s="1"/>
  <c r="G390" i="16"/>
  <c r="M390" i="16"/>
  <c r="L390" i="16"/>
  <c r="G391" i="16"/>
  <c r="M391" i="16" s="1"/>
  <c r="L391" i="16"/>
  <c r="G392" i="16"/>
  <c r="M392" i="16" s="1"/>
  <c r="L392" i="16"/>
  <c r="G393" i="16"/>
  <c r="L393" i="16"/>
  <c r="M393" i="16" s="1"/>
  <c r="G394" i="16"/>
  <c r="M394" i="16" s="1"/>
  <c r="L394" i="16"/>
  <c r="G395" i="16"/>
  <c r="L395" i="16"/>
  <c r="M395" i="16" s="1"/>
  <c r="G396" i="16"/>
  <c r="M396" i="16" s="1"/>
  <c r="L396" i="16"/>
  <c r="G397" i="16"/>
  <c r="L397" i="16"/>
  <c r="G398" i="16"/>
  <c r="L398" i="16"/>
  <c r="M398" i="16" s="1"/>
  <c r="G399" i="16"/>
  <c r="M399" i="16" s="1"/>
  <c r="L399" i="16"/>
  <c r="G400" i="16"/>
  <c r="M400" i="16" s="1"/>
  <c r="L400" i="16"/>
  <c r="G401" i="16"/>
  <c r="M401" i="16" s="1"/>
  <c r="L401" i="16"/>
  <c r="G402" i="16"/>
  <c r="L402" i="16"/>
  <c r="G403" i="16"/>
  <c r="M403" i="16" s="1"/>
  <c r="L403" i="16"/>
  <c r="G404" i="16"/>
  <c r="L404" i="16"/>
  <c r="M404" i="16"/>
  <c r="G405" i="16"/>
  <c r="L405" i="16"/>
  <c r="M405" i="16" s="1"/>
  <c r="G406" i="16"/>
  <c r="M406" i="16"/>
  <c r="L406" i="16"/>
  <c r="G407" i="16"/>
  <c r="M407" i="16" s="1"/>
  <c r="L407" i="16"/>
  <c r="G408" i="16"/>
  <c r="M408" i="16" s="1"/>
  <c r="L408" i="16"/>
  <c r="G409" i="16"/>
  <c r="L409" i="16"/>
  <c r="M409" i="16" s="1"/>
  <c r="G410" i="16"/>
  <c r="M410" i="16" s="1"/>
  <c r="L410" i="16"/>
  <c r="G411" i="16"/>
  <c r="L411" i="16"/>
  <c r="M411" i="16" s="1"/>
  <c r="G412" i="16"/>
  <c r="M412" i="16" s="1"/>
  <c r="L412" i="16"/>
  <c r="G413" i="16"/>
  <c r="L413" i="16"/>
  <c r="G414" i="16"/>
  <c r="L414" i="16"/>
  <c r="M414" i="16" s="1"/>
  <c r="G415" i="16"/>
  <c r="L415" i="16"/>
  <c r="G416" i="16"/>
  <c r="M416" i="16" s="1"/>
  <c r="L416" i="16"/>
  <c r="G417" i="16"/>
  <c r="M417" i="16" s="1"/>
  <c r="L417" i="16"/>
  <c r="G418" i="16"/>
  <c r="M418" i="16" s="1"/>
  <c r="L418" i="16"/>
  <c r="G419" i="16"/>
  <c r="L419" i="16"/>
  <c r="G420" i="16"/>
  <c r="L420" i="16"/>
  <c r="M420" i="16"/>
  <c r="G421" i="16"/>
  <c r="L421" i="16"/>
  <c r="M421" i="16" s="1"/>
  <c r="G422" i="16"/>
  <c r="M422" i="16"/>
  <c r="L422" i="16"/>
  <c r="G423" i="16"/>
  <c r="L423" i="16"/>
  <c r="M423" i="16"/>
  <c r="G424" i="16"/>
  <c r="M424" i="16"/>
  <c r="L424" i="16"/>
  <c r="G425" i="16"/>
  <c r="L425" i="16"/>
  <c r="M425" i="16"/>
  <c r="G426" i="16"/>
  <c r="M426" i="16"/>
  <c r="L426" i="16"/>
  <c r="G427" i="16"/>
  <c r="L427" i="16"/>
  <c r="G428" i="16"/>
  <c r="M428" i="16" s="1"/>
  <c r="L428" i="16"/>
  <c r="G429" i="16"/>
  <c r="L429" i="16"/>
  <c r="G430" i="16"/>
  <c r="L430" i="16"/>
  <c r="M430" i="16" s="1"/>
  <c r="G431" i="16"/>
  <c r="L431" i="16"/>
  <c r="M431" i="16" s="1"/>
  <c r="G432" i="16"/>
  <c r="M432" i="16"/>
  <c r="L432" i="16"/>
  <c r="G433" i="16"/>
  <c r="M433" i="16" s="1"/>
  <c r="L433" i="16"/>
  <c r="G434" i="16"/>
  <c r="L434" i="16"/>
  <c r="G435" i="16"/>
  <c r="L435" i="16"/>
  <c r="M435" i="16" s="1"/>
  <c r="G436" i="16"/>
  <c r="L436" i="16"/>
  <c r="M436" i="16" s="1"/>
  <c r="G437" i="16"/>
  <c r="L437" i="16"/>
  <c r="G438" i="16"/>
  <c r="L438" i="16"/>
  <c r="M438" i="16"/>
  <c r="G439" i="16"/>
  <c r="L439" i="16"/>
  <c r="G440" i="16"/>
  <c r="L440" i="16"/>
  <c r="G441" i="16"/>
  <c r="L441" i="16"/>
  <c r="M441" i="16" s="1"/>
  <c r="G442" i="16"/>
  <c r="L442" i="16"/>
  <c r="M442" i="16" s="1"/>
  <c r="G443" i="16"/>
  <c r="L443" i="16"/>
  <c r="G444" i="16"/>
  <c r="L444" i="16"/>
  <c r="M444" i="16" s="1"/>
  <c r="G445" i="16"/>
  <c r="L445" i="16"/>
  <c r="G446" i="16"/>
  <c r="M446" i="16" s="1"/>
  <c r="L446" i="16"/>
  <c r="G447" i="16"/>
  <c r="L447" i="16"/>
  <c r="M447" i="16" s="1"/>
  <c r="G448" i="16"/>
  <c r="M448" i="16" s="1"/>
  <c r="L448" i="16"/>
  <c r="G449" i="16"/>
  <c r="L449" i="16"/>
  <c r="M449" i="16" s="1"/>
  <c r="G450" i="16"/>
  <c r="M450" i="16" s="1"/>
  <c r="L450" i="16"/>
  <c r="G451" i="16"/>
  <c r="L451" i="16"/>
  <c r="M451" i="16" s="1"/>
  <c r="G452" i="16"/>
  <c r="M452" i="16" s="1"/>
  <c r="L452" i="16"/>
  <c r="G453" i="16"/>
  <c r="L453" i="16"/>
  <c r="G454" i="16"/>
  <c r="L454" i="16"/>
  <c r="M454" i="16" s="1"/>
  <c r="G455" i="16"/>
  <c r="M455" i="16" s="1"/>
  <c r="L455" i="16"/>
  <c r="G456" i="16"/>
  <c r="M456" i="16" s="1"/>
  <c r="L456" i="16"/>
  <c r="E885" i="16"/>
  <c r="L797" i="16" s="1"/>
  <c r="E961" i="16"/>
  <c r="E847" i="16"/>
  <c r="D847" i="16"/>
  <c r="E851" i="16"/>
  <c r="M803" i="16" s="1"/>
  <c r="M813" i="16" s="1"/>
  <c r="I28" i="24"/>
  <c r="L28" i="24"/>
  <c r="G196" i="18"/>
  <c r="G198" i="18" s="1"/>
  <c r="D196" i="18"/>
  <c r="F196" i="18" s="1"/>
  <c r="F198" i="18" s="1"/>
  <c r="G199" i="18" s="1"/>
  <c r="G19" i="18"/>
  <c r="G112" i="18"/>
  <c r="D19" i="18"/>
  <c r="F19" i="18"/>
  <c r="F112" i="18" s="1"/>
  <c r="G114" i="18" s="1"/>
  <c r="D985" i="34"/>
  <c r="D561" i="34"/>
  <c r="G29" i="13"/>
  <c r="G30" i="13" s="1"/>
  <c r="G53" i="13" s="1"/>
  <c r="G37" i="24"/>
  <c r="I37" i="24" s="1"/>
  <c r="G35" i="24"/>
  <c r="I35" i="24" s="1"/>
  <c r="G36" i="24"/>
  <c r="I36" i="24" s="1"/>
  <c r="O6" i="24"/>
  <c r="N24" i="1"/>
  <c r="P24" i="1" s="1"/>
  <c r="F28" i="24"/>
  <c r="F31" i="24"/>
  <c r="C28" i="24"/>
  <c r="L6" i="24"/>
  <c r="J9" i="24"/>
  <c r="H41" i="20"/>
  <c r="H43" i="20" s="1"/>
  <c r="G41" i="20"/>
  <c r="G21" i="20"/>
  <c r="G3" i="23"/>
  <c r="G18" i="23"/>
  <c r="F3" i="23"/>
  <c r="F18" i="23"/>
  <c r="G20" i="23" s="1"/>
  <c r="G44" i="23" s="1"/>
  <c r="G41" i="23"/>
  <c r="F41" i="23"/>
  <c r="G42" i="23" s="1"/>
  <c r="G32" i="23"/>
  <c r="F32" i="23"/>
  <c r="P952" i="21"/>
  <c r="H21" i="20"/>
  <c r="F25" i="19"/>
  <c r="G27" i="19" s="1"/>
  <c r="G25" i="19"/>
  <c r="F11" i="19"/>
  <c r="G11" i="19"/>
  <c r="G13" i="19"/>
  <c r="F189" i="18"/>
  <c r="G189" i="18"/>
  <c r="G191" i="18" s="1"/>
  <c r="H45" i="17"/>
  <c r="H40" i="17"/>
  <c r="H10" i="17"/>
  <c r="H23" i="17"/>
  <c r="O814" i="16"/>
  <c r="H33" i="17"/>
  <c r="E12" i="16"/>
  <c r="E27" i="16"/>
  <c r="E22" i="16"/>
  <c r="E8" i="16"/>
  <c r="E10" i="16"/>
  <c r="E11" i="16"/>
  <c r="E7" i="16"/>
  <c r="E26" i="16"/>
  <c r="E25" i="16"/>
  <c r="E24" i="16"/>
  <c r="E23" i="16"/>
  <c r="F5" i="15"/>
  <c r="G5" i="15" s="1"/>
  <c r="E6" i="15"/>
  <c r="E7" i="15"/>
  <c r="G7" i="15"/>
  <c r="J19" i="15"/>
  <c r="E23" i="15"/>
  <c r="E24" i="15"/>
  <c r="G24" i="15"/>
  <c r="K26" i="15"/>
  <c r="K28" i="15"/>
  <c r="K46" i="15" s="1"/>
  <c r="K51" i="15" s="1"/>
  <c r="F34" i="15"/>
  <c r="G34" i="15"/>
  <c r="F35" i="15"/>
  <c r="G35" i="15"/>
  <c r="J36" i="15"/>
  <c r="F39" i="15"/>
  <c r="G39" i="15" s="1"/>
  <c r="F40" i="15"/>
  <c r="G40" i="15" s="1"/>
  <c r="K41" i="15"/>
  <c r="K43" i="15" s="1"/>
  <c r="F62" i="15"/>
  <c r="F70" i="15" s="1"/>
  <c r="E68" i="15"/>
  <c r="J205" i="2"/>
  <c r="G202" i="2"/>
  <c r="F202" i="2"/>
  <c r="G203" i="2" s="1"/>
  <c r="G111" i="2"/>
  <c r="F111" i="2"/>
  <c r="G112" i="2" s="1"/>
  <c r="D127" i="6"/>
  <c r="F60" i="3"/>
  <c r="G60" i="3"/>
  <c r="G62" i="3" s="1"/>
  <c r="G102" i="3" s="1"/>
  <c r="F98" i="3"/>
  <c r="G100" i="3" s="1"/>
  <c r="G98" i="3"/>
  <c r="F3" i="4"/>
  <c r="F4" i="4"/>
  <c r="F5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89" i="4"/>
  <c r="R28" i="5"/>
  <c r="K32" i="5" s="1"/>
  <c r="K31" i="5"/>
  <c r="H32" i="5"/>
  <c r="G33" i="5"/>
  <c r="G35" i="5" s="1"/>
  <c r="G38" i="5" s="1"/>
  <c r="G39" i="5" s="1"/>
  <c r="F69" i="6"/>
  <c r="G70" i="6" s="1"/>
  <c r="G69" i="6"/>
  <c r="F127" i="6"/>
  <c r="G128" i="6" s="1"/>
  <c r="G130" i="6" s="1"/>
  <c r="G127" i="6"/>
  <c r="F40" i="7"/>
  <c r="G41" i="7" s="1"/>
  <c r="G40" i="7"/>
  <c r="F72" i="7"/>
  <c r="G73" i="7" s="1"/>
  <c r="G76" i="7" s="1"/>
  <c r="G72" i="7"/>
  <c r="F2" i="8"/>
  <c r="F3" i="8"/>
  <c r="F4" i="8"/>
  <c r="F5" i="8"/>
  <c r="F6" i="8"/>
  <c r="F7" i="8"/>
  <c r="F8" i="8"/>
  <c r="F11" i="8"/>
  <c r="F12" i="8"/>
  <c r="F13" i="8"/>
  <c r="F14" i="8"/>
  <c r="F19" i="8"/>
  <c r="F20" i="8"/>
  <c r="F21" i="8"/>
  <c r="F22" i="9"/>
  <c r="F137" i="9"/>
  <c r="G137" i="9"/>
  <c r="F218" i="9"/>
  <c r="G218" i="9"/>
  <c r="F64" i="10"/>
  <c r="G64" i="10"/>
  <c r="G65" i="10" s="1"/>
  <c r="F106" i="10"/>
  <c r="F107" i="10"/>
  <c r="G108" i="10" s="1"/>
  <c r="G110" i="10" s="1"/>
  <c r="G107" i="10"/>
  <c r="F118" i="11"/>
  <c r="F119" i="11" s="1"/>
  <c r="G120" i="11" s="1"/>
  <c r="G119" i="11"/>
  <c r="F199" i="11"/>
  <c r="G200" i="11" s="1"/>
  <c r="G199" i="11"/>
  <c r="F224" i="11"/>
  <c r="F53" i="12"/>
  <c r="G54" i="12"/>
  <c r="G53" i="12"/>
  <c r="F82" i="12"/>
  <c r="G83" i="12" s="1"/>
  <c r="G82" i="12"/>
  <c r="D29" i="13"/>
  <c r="F29" i="13"/>
  <c r="D50" i="13"/>
  <c r="F50" i="13"/>
  <c r="G50" i="13"/>
  <c r="G51" i="13"/>
  <c r="P951" i="21"/>
  <c r="L31" i="24"/>
  <c r="F15" i="8"/>
  <c r="F33" i="4"/>
  <c r="G205" i="2"/>
  <c r="G30" i="19"/>
  <c r="G34" i="23"/>
  <c r="M443" i="16"/>
  <c r="M419" i="16"/>
  <c r="M387" i="16"/>
  <c r="M355" i="16"/>
  <c r="M337" i="16"/>
  <c r="M305" i="16"/>
  <c r="M273" i="16"/>
  <c r="M241" i="16"/>
  <c r="M209" i="16"/>
  <c r="M177" i="16"/>
  <c r="M143" i="16"/>
  <c r="M129" i="16"/>
  <c r="M114" i="16"/>
  <c r="M98" i="16"/>
  <c r="M132" i="16"/>
  <c r="M128" i="16"/>
  <c r="G194" i="18"/>
  <c r="M61" i="16"/>
  <c r="M57" i="16"/>
  <c r="G219" i="9"/>
  <c r="M440" i="16"/>
  <c r="M402" i="16"/>
  <c r="M370" i="16"/>
  <c r="M338" i="16"/>
  <c r="M306" i="16"/>
  <c r="M274" i="16"/>
  <c r="M242" i="16"/>
  <c r="M210" i="16"/>
  <c r="M178" i="16"/>
  <c r="M157" i="16"/>
  <c r="M115" i="16"/>
  <c r="M99" i="16"/>
  <c r="M83" i="16"/>
  <c r="M74" i="16"/>
  <c r="M782" i="16"/>
  <c r="M752" i="16"/>
  <c r="M748" i="16"/>
  <c r="M734" i="16"/>
  <c r="M704" i="16"/>
  <c r="M688" i="16"/>
  <c r="M684" i="16"/>
  <c r="M664" i="16"/>
  <c r="M637" i="16"/>
  <c r="M511" i="16"/>
  <c r="M485" i="16"/>
  <c r="N940" i="21"/>
  <c r="P950" i="21" s="1"/>
  <c r="N518" i="21"/>
  <c r="N497" i="21"/>
  <c r="N463" i="21"/>
  <c r="N447" i="21"/>
  <c r="N427" i="21"/>
  <c r="N413" i="21"/>
  <c r="N409" i="21"/>
  <c r="N389" i="21"/>
  <c r="N373" i="21"/>
  <c r="N357" i="21"/>
  <c r="M667" i="16"/>
  <c r="M640" i="16"/>
  <c r="M625" i="16"/>
  <c r="M591" i="16"/>
  <c r="M527" i="16"/>
  <c r="N521" i="21"/>
  <c r="N390" i="21"/>
  <c r="M568" i="16"/>
  <c r="M496" i="16"/>
  <c r="N455" i="21"/>
  <c r="N381" i="21"/>
  <c r="M73" i="16"/>
  <c r="M58" i="16"/>
  <c r="M781" i="16"/>
  <c r="M749" i="16"/>
  <c r="M717" i="16"/>
  <c r="M701" i="16"/>
  <c r="M685" i="16"/>
  <c r="M663" i="16"/>
  <c r="M646" i="16"/>
  <c r="M567" i="16"/>
  <c r="M512" i="16"/>
  <c r="M486" i="16"/>
  <c r="N489" i="21"/>
  <c r="N426" i="21"/>
  <c r="N410" i="21"/>
  <c r="N370" i="21"/>
  <c r="N354" i="21"/>
  <c r="N651" i="21"/>
  <c r="N595" i="21"/>
  <c r="N561" i="21"/>
  <c r="N559" i="21"/>
  <c r="H818" i="35"/>
  <c r="N15" i="35"/>
  <c r="P25" i="35" s="1"/>
  <c r="O177" i="35"/>
  <c r="O147" i="35"/>
  <c r="O101" i="35"/>
  <c r="O99" i="35"/>
  <c r="O317" i="35"/>
  <c r="O315" i="35"/>
  <c r="O301" i="35"/>
  <c r="O299" i="35"/>
  <c r="O285" i="35"/>
  <c r="O283" i="35"/>
  <c r="O269" i="35"/>
  <c r="O267" i="35"/>
  <c r="O253" i="35"/>
  <c r="O251" i="35"/>
  <c r="O237" i="35"/>
  <c r="O235" i="35"/>
  <c r="O226" i="35"/>
  <c r="O202" i="35"/>
  <c r="N306" i="21"/>
  <c r="N276" i="21"/>
  <c r="N255" i="21"/>
  <c r="N223" i="21"/>
  <c r="N199" i="21"/>
  <c r="N197" i="21"/>
  <c r="N167" i="21"/>
  <c r="N135" i="21"/>
  <c r="N133" i="21"/>
  <c r="N905" i="21"/>
  <c r="N887" i="21"/>
  <c r="N839" i="21"/>
  <c r="N837" i="21"/>
  <c r="N710" i="21"/>
  <c r="N687" i="21"/>
  <c r="N685" i="21"/>
  <c r="N667" i="21"/>
  <c r="O100" i="35"/>
  <c r="O68" i="35"/>
  <c r="O229" i="35"/>
  <c r="N338" i="21"/>
  <c r="N215" i="21"/>
  <c r="N213" i="21"/>
  <c r="N196" i="21"/>
  <c r="N159" i="21"/>
  <c r="N157" i="21"/>
  <c r="N127" i="21"/>
  <c r="N125" i="21"/>
  <c r="N103" i="21"/>
  <c r="N101" i="21"/>
  <c r="N85" i="21"/>
  <c r="N55" i="21"/>
  <c r="N53" i="21"/>
  <c r="N39" i="21"/>
  <c r="N858" i="21"/>
  <c r="N831" i="21"/>
  <c r="N829" i="21"/>
  <c r="N798" i="21"/>
  <c r="N766" i="21"/>
  <c r="N744" i="21"/>
  <c r="N647" i="21"/>
  <c r="N645" i="21"/>
  <c r="N613" i="21"/>
  <c r="N591" i="21"/>
  <c r="N589" i="21"/>
  <c r="O173" i="35"/>
  <c r="O141" i="35"/>
  <c r="O139" i="35"/>
  <c r="O123" i="35"/>
  <c r="O91" i="35"/>
  <c r="N341" i="21"/>
  <c r="N294" i="21"/>
  <c r="N270" i="21"/>
  <c r="N244" i="21"/>
  <c r="N214" i="21"/>
  <c r="N212" i="21"/>
  <c r="N203" i="21"/>
  <c r="N181" i="21"/>
  <c r="N158" i="21"/>
  <c r="N156" i="21"/>
  <c r="N149" i="21"/>
  <c r="N139" i="21"/>
  <c r="N126" i="21"/>
  <c r="N124" i="21"/>
  <c r="N119" i="21"/>
  <c r="N104" i="21"/>
  <c r="N102" i="21"/>
  <c r="N100" i="21"/>
  <c r="N86" i="21"/>
  <c r="N68" i="21"/>
  <c r="N56" i="21"/>
  <c r="N54" i="21"/>
  <c r="N52" i="21"/>
  <c r="N40" i="21"/>
  <c r="N878" i="21"/>
  <c r="N873" i="21"/>
  <c r="N871" i="21"/>
  <c r="N859" i="21"/>
  <c r="N857" i="21"/>
  <c r="N847" i="21"/>
  <c r="N845" i="21"/>
  <c r="N830" i="21"/>
  <c r="N828" i="21"/>
  <c r="N801" i="21"/>
  <c r="N769" i="21"/>
  <c r="N745" i="21"/>
  <c r="N743" i="21"/>
  <c r="N733" i="21"/>
  <c r="N731" i="21"/>
  <c r="N720" i="21"/>
  <c r="N691" i="21"/>
  <c r="N677" i="21"/>
  <c r="N646" i="21"/>
  <c r="N644" i="21"/>
  <c r="N619" i="21"/>
  <c r="N614" i="21"/>
  <c r="N612" i="21"/>
  <c r="N590" i="21"/>
  <c r="N588" i="21"/>
  <c r="N569" i="21"/>
  <c r="N562" i="21"/>
  <c r="N560" i="21"/>
  <c r="N550" i="21"/>
  <c r="O172" i="35"/>
  <c r="O60" i="35"/>
  <c r="O316" i="35"/>
  <c r="O314" i="35"/>
  <c r="O300" i="35"/>
  <c r="O298" i="35"/>
  <c r="O284" i="35"/>
  <c r="O282" i="35"/>
  <c r="O268" i="35"/>
  <c r="O266" i="35"/>
  <c r="O252" i="35"/>
  <c r="O250" i="35"/>
  <c r="O236" i="35"/>
  <c r="O234" i="35"/>
  <c r="N188" i="22"/>
  <c r="N120" i="22"/>
  <c r="N100" i="22"/>
  <c r="N510" i="22"/>
  <c r="N503" i="22"/>
  <c r="N487" i="22"/>
  <c r="N455" i="22"/>
  <c r="N534" i="35"/>
  <c r="N472" i="35"/>
  <c r="N601" i="35"/>
  <c r="N583" i="35"/>
  <c r="N581" i="35"/>
  <c r="N152" i="22"/>
  <c r="N456" i="22"/>
  <c r="N454" i="22"/>
  <c r="N447" i="22"/>
  <c r="N445" i="22"/>
  <c r="N427" i="22"/>
  <c r="N533" i="35"/>
  <c r="N500" i="35"/>
  <c r="N498" i="35"/>
  <c r="N493" i="35"/>
  <c r="N473" i="35"/>
  <c r="N467" i="35"/>
  <c r="N434" i="35"/>
  <c r="N427" i="35"/>
  <c r="N407" i="35"/>
  <c r="N405" i="35"/>
  <c r="N401" i="35"/>
  <c r="N371" i="35"/>
  <c r="N349" i="35"/>
  <c r="N347" i="35"/>
  <c r="N682" i="35"/>
  <c r="N672" i="35"/>
  <c r="N652" i="35"/>
  <c r="N636" i="35"/>
  <c r="N278" i="22"/>
  <c r="N272" i="22"/>
  <c r="N259" i="22"/>
  <c r="N257" i="22"/>
  <c r="N235" i="22"/>
  <c r="N233" i="22"/>
  <c r="N213" i="22"/>
  <c r="N184" i="22"/>
  <c r="N128" i="22"/>
  <c r="N112" i="22"/>
  <c r="N110" i="22"/>
  <c r="N96" i="22"/>
  <c r="N94" i="22"/>
  <c r="N517" i="22"/>
  <c r="N507" i="22"/>
  <c r="N501" i="22"/>
  <c r="N499" i="22"/>
  <c r="N458" i="22"/>
  <c r="N544" i="35"/>
  <c r="N542" i="35"/>
  <c r="N626" i="35"/>
  <c r="N602" i="35"/>
  <c r="N590" i="35"/>
  <c r="N279" i="22"/>
  <c r="N273" i="22"/>
  <c r="N258" i="22"/>
  <c r="N238" i="22"/>
  <c r="N236" i="22"/>
  <c r="N234" i="22"/>
  <c r="N214" i="22"/>
  <c r="N210" i="22"/>
  <c r="N183" i="22"/>
  <c r="N181" i="22"/>
  <c r="N172" i="22"/>
  <c r="N158" i="22"/>
  <c r="N156" i="22"/>
  <c r="N466" i="22"/>
  <c r="N420" i="22"/>
  <c r="N418" i="22"/>
  <c r="N410" i="22"/>
  <c r="N406" i="22"/>
  <c r="N543" i="35"/>
  <c r="N541" i="35"/>
  <c r="N525" i="35"/>
  <c r="N518" i="35"/>
  <c r="N516" i="35"/>
  <c r="N514" i="35"/>
  <c r="N509" i="35"/>
  <c r="N507" i="35"/>
  <c r="N503" i="35"/>
  <c r="N485" i="35"/>
  <c r="N446" i="35"/>
  <c r="N412" i="35"/>
  <c r="N397" i="35"/>
  <c r="N395" i="35"/>
  <c r="N386" i="35"/>
  <c r="N379" i="35"/>
  <c r="N363" i="35"/>
  <c r="N353" i="35"/>
  <c r="N646" i="35"/>
  <c r="N622" i="35"/>
  <c r="N609" i="35"/>
  <c r="N605" i="35"/>
  <c r="N596" i="35"/>
  <c r="N591" i="35"/>
  <c r="N584" i="35"/>
  <c r="N582" i="35"/>
  <c r="C29" i="24"/>
  <c r="M439" i="16"/>
  <c r="M415" i="16"/>
  <c r="M383" i="16"/>
  <c r="M335" i="16"/>
  <c r="M303" i="16"/>
  <c r="M271" i="16"/>
  <c r="M239" i="16"/>
  <c r="M207" i="16"/>
  <c r="M175" i="16"/>
  <c r="M162" i="16"/>
  <c r="M137" i="16"/>
  <c r="G85" i="12"/>
  <c r="K49" i="15"/>
  <c r="M453" i="16"/>
  <c r="M445" i="16"/>
  <c r="M437" i="16"/>
  <c r="M429" i="16"/>
  <c r="M413" i="16"/>
  <c r="M397" i="16"/>
  <c r="M381" i="16"/>
  <c r="M365" i="16"/>
  <c r="M349" i="16"/>
  <c r="M333" i="16"/>
  <c r="M317" i="16"/>
  <c r="M301" i="16"/>
  <c r="M285" i="16"/>
  <c r="M269" i="16"/>
  <c r="M253" i="16"/>
  <c r="M237" i="16"/>
  <c r="M221" i="16"/>
  <c r="M205" i="16"/>
  <c r="M189" i="16"/>
  <c r="M173" i="16"/>
  <c r="M168" i="16"/>
  <c r="M160" i="16"/>
  <c r="M152" i="16"/>
  <c r="M140" i="16"/>
  <c r="M124" i="16"/>
  <c r="L18" i="16"/>
  <c r="M427" i="16"/>
  <c r="M158" i="16"/>
  <c r="M144" i="16"/>
  <c r="M112" i="16"/>
  <c r="M104" i="16"/>
  <c r="M96" i="16"/>
  <c r="M48" i="16"/>
  <c r="M764" i="16"/>
  <c r="M700" i="16"/>
  <c r="M692" i="16"/>
  <c r="M660" i="16"/>
  <c r="M636" i="16"/>
  <c r="M605" i="16"/>
  <c r="M597" i="16"/>
  <c r="M581" i="16"/>
  <c r="M565" i="16"/>
  <c r="M477" i="16"/>
  <c r="N513" i="21"/>
  <c r="N500" i="21"/>
  <c r="N491" i="21"/>
  <c r="N483" i="21"/>
  <c r="N436" i="21"/>
  <c r="N417" i="21"/>
  <c r="N388" i="21"/>
  <c r="N369" i="21"/>
  <c r="N361" i="21"/>
  <c r="N353" i="21"/>
  <c r="N345" i="21"/>
  <c r="N337" i="21"/>
  <c r="N332" i="21"/>
  <c r="N315" i="21"/>
  <c r="N312" i="21"/>
  <c r="N305" i="21"/>
  <c r="N288" i="21"/>
  <c r="N278" i="21"/>
  <c r="N261" i="21"/>
  <c r="M150" i="16"/>
  <c r="M142" i="16"/>
  <c r="M134" i="16"/>
  <c r="M126" i="16"/>
  <c r="M118" i="16"/>
  <c r="M102" i="16"/>
  <c r="M86" i="16"/>
  <c r="M70" i="16"/>
  <c r="M62" i="16"/>
  <c r="M46" i="16"/>
  <c r="M770" i="16"/>
  <c r="M762" i="16"/>
  <c r="M754" i="16"/>
  <c r="M738" i="16"/>
  <c r="M722" i="16"/>
  <c r="M714" i="16"/>
  <c r="M706" i="16"/>
  <c r="M698" i="16"/>
  <c r="M690" i="16"/>
  <c r="M682" i="16"/>
  <c r="M674" i="16"/>
  <c r="M666" i="16"/>
  <c r="M658" i="16"/>
  <c r="M650" i="16"/>
  <c r="M642" i="16"/>
  <c r="M619" i="16"/>
  <c r="M603" i="16"/>
  <c r="M595" i="16"/>
  <c r="M587" i="16"/>
  <c r="M579" i="16"/>
  <c r="M571" i="16"/>
  <c r="M555" i="16"/>
  <c r="M547" i="16"/>
  <c r="M539" i="16"/>
  <c r="M523" i="16"/>
  <c r="M515" i="16"/>
  <c r="M507" i="16"/>
  <c r="M491" i="16"/>
  <c r="M475" i="16"/>
  <c r="M934" i="21"/>
  <c r="N520" i="21"/>
  <c r="N512" i="21"/>
  <c r="N498" i="21"/>
  <c r="N496" i="21"/>
  <c r="N490" i="21"/>
  <c r="N482" i="21"/>
  <c r="N469" i="21"/>
  <c r="N458" i="21"/>
  <c r="N450" i="21"/>
  <c r="N434" i="21"/>
  <c r="N415" i="21"/>
  <c r="N403" i="21"/>
  <c r="N394" i="21"/>
  <c r="N386" i="21"/>
  <c r="N378" i="21"/>
  <c r="N374" i="21"/>
  <c r="N367" i="21"/>
  <c r="N359" i="21"/>
  <c r="N351" i="21"/>
  <c r="N343" i="21"/>
  <c r="N335" i="21"/>
  <c r="N323" i="21"/>
  <c r="N313" i="21"/>
  <c r="N286" i="21"/>
  <c r="N248" i="21"/>
  <c r="M76" i="16"/>
  <c r="M68" i="16"/>
  <c r="M648" i="16"/>
  <c r="M489" i="16"/>
  <c r="M473" i="16"/>
  <c r="N504" i="21"/>
  <c r="N501" i="21"/>
  <c r="N304" i="21"/>
  <c r="N277" i="21"/>
  <c r="N330" i="21"/>
  <c r="N317" i="21"/>
  <c r="N298" i="21"/>
  <c r="N290" i="21"/>
  <c r="N282" i="21"/>
  <c r="N266" i="21"/>
  <c r="N258" i="21"/>
  <c r="N250" i="21"/>
  <c r="N242" i="21"/>
  <c r="N234" i="21"/>
  <c r="N218" i="21"/>
  <c r="N202" i="21"/>
  <c r="N186" i="21"/>
  <c r="N170" i="21"/>
  <c r="N162" i="21"/>
  <c r="N154" i="21"/>
  <c r="N138" i="21"/>
  <c r="N122" i="21"/>
  <c r="N114" i="21"/>
  <c r="N106" i="21"/>
  <c r="N90" i="21"/>
  <c r="N74" i="21"/>
  <c r="N66" i="21"/>
  <c r="N58" i="21"/>
  <c r="N50" i="21"/>
  <c r="N42" i="21"/>
  <c r="N900" i="21"/>
  <c r="N892" i="21"/>
  <c r="N876" i="21"/>
  <c r="N868" i="21"/>
  <c r="N860" i="21"/>
  <c r="N855" i="21"/>
  <c r="N850" i="21"/>
  <c r="N842" i="21"/>
  <c r="N834" i="21"/>
  <c r="N826" i="21"/>
  <c r="N818" i="21"/>
  <c r="N805" i="21"/>
  <c r="N789" i="21"/>
  <c r="N773" i="21"/>
  <c r="N754" i="21"/>
  <c r="N749" i="21"/>
  <c r="N741" i="21"/>
  <c r="N730" i="21"/>
  <c r="N725" i="21"/>
  <c r="N717" i="21"/>
  <c r="N709" i="21"/>
  <c r="N701" i="21"/>
  <c r="N690" i="21"/>
  <c r="N674" i="21"/>
  <c r="N666" i="21"/>
  <c r="N658" i="21"/>
  <c r="N650" i="21"/>
  <c r="N642" i="21"/>
  <c r="N626" i="21"/>
  <c r="N618" i="21"/>
  <c r="N610" i="21"/>
  <c r="N602" i="21"/>
  <c r="N594" i="21"/>
  <c r="N586" i="21"/>
  <c r="N578" i="21"/>
  <c r="N565" i="21"/>
  <c r="N557" i="21"/>
  <c r="N549" i="21"/>
  <c r="O171" i="35"/>
  <c r="O155" i="35"/>
  <c r="N240" i="21"/>
  <c r="N232" i="21"/>
  <c r="N224" i="21"/>
  <c r="N216" i="21"/>
  <c r="N208" i="21"/>
  <c r="N200" i="21"/>
  <c r="N184" i="21"/>
  <c r="N168" i="21"/>
  <c r="N160" i="21"/>
  <c r="N152" i="21"/>
  <c r="N144" i="21"/>
  <c r="N136" i="21"/>
  <c r="N128" i="21"/>
  <c r="N882" i="21"/>
  <c r="N874" i="21"/>
  <c r="N866" i="21"/>
  <c r="N840" i="21"/>
  <c r="N832" i="21"/>
  <c r="N811" i="21"/>
  <c r="N803" i="21"/>
  <c r="N795" i="21"/>
  <c r="N787" i="21"/>
  <c r="N779" i="21"/>
  <c r="N771" i="21"/>
  <c r="N760" i="21"/>
  <c r="N739" i="21"/>
  <c r="N728" i="21"/>
  <c r="N723" i="21"/>
  <c r="N715" i="21"/>
  <c r="N707" i="21"/>
  <c r="N699" i="21"/>
  <c r="N695" i="21"/>
  <c r="N688" i="21"/>
  <c r="N680" i="21"/>
  <c r="N672" i="21"/>
  <c r="N664" i="21"/>
  <c r="N656" i="21"/>
  <c r="N648" i="21"/>
  <c r="N640" i="21"/>
  <c r="N624" i="21"/>
  <c r="N616" i="21"/>
  <c r="N608" i="21"/>
  <c r="N592" i="21"/>
  <c r="N576" i="21"/>
  <c r="N563" i="21"/>
  <c r="N555" i="21"/>
  <c r="H43" i="29"/>
  <c r="H46" i="29" s="1"/>
  <c r="D11" i="1" s="1"/>
  <c r="F990" i="34"/>
  <c r="O174" i="35"/>
  <c r="N765" i="21"/>
  <c r="O178" i="35"/>
  <c r="O170" i="35"/>
  <c r="O162" i="35"/>
  <c r="O146" i="35"/>
  <c r="O138" i="35"/>
  <c r="O130" i="35"/>
  <c r="O114" i="35"/>
  <c r="O98" i="35"/>
  <c r="O90" i="35"/>
  <c r="O82" i="35"/>
  <c r="O74" i="35"/>
  <c r="O66" i="35"/>
  <c r="O58" i="35"/>
  <c r="O50" i="35"/>
  <c r="O42" i="35"/>
  <c r="O321" i="35"/>
  <c r="O313" i="35"/>
  <c r="O305" i="35"/>
  <c r="O297" i="35"/>
  <c r="O289" i="35"/>
  <c r="O281" i="35"/>
  <c r="O273" i="35"/>
  <c r="O265" i="35"/>
  <c r="O257" i="35"/>
  <c r="O249" i="35"/>
  <c r="O241" i="35"/>
  <c r="O233" i="35"/>
  <c r="O230" i="35"/>
  <c r="O223" i="35"/>
  <c r="O201" i="35"/>
  <c r="N281" i="22"/>
  <c r="N271" i="22"/>
  <c r="N254" i="22"/>
  <c r="N251" i="22"/>
  <c r="N222" i="22"/>
  <c r="N212" i="22"/>
  <c r="N190" i="22"/>
  <c r="N185" i="22"/>
  <c r="N150" i="22"/>
  <c r="N118" i="22"/>
  <c r="F21" i="31"/>
  <c r="F3" i="31" s="1"/>
  <c r="C12" i="1" s="1"/>
  <c r="C17" i="1" s="1"/>
  <c r="O176" i="35"/>
  <c r="O168" i="35"/>
  <c r="O152" i="35"/>
  <c r="O144" i="35"/>
  <c r="O136" i="35"/>
  <c r="O120" i="35"/>
  <c r="O104" i="35"/>
  <c r="O96" i="35"/>
  <c r="O88" i="35"/>
  <c r="O80" i="35"/>
  <c r="O72" i="35"/>
  <c r="O56" i="35"/>
  <c r="O48" i="35"/>
  <c r="O40" i="35"/>
  <c r="O319" i="35"/>
  <c r="O311" i="35"/>
  <c r="O303" i="35"/>
  <c r="O295" i="35"/>
  <c r="O287" i="35"/>
  <c r="O279" i="35"/>
  <c r="O271" i="35"/>
  <c r="O263" i="35"/>
  <c r="O255" i="35"/>
  <c r="O247" i="35"/>
  <c r="O239" i="35"/>
  <c r="O231" i="35"/>
  <c r="N282" i="22"/>
  <c r="N230" i="22"/>
  <c r="N198" i="22"/>
  <c r="N137" i="22"/>
  <c r="N228" i="22"/>
  <c r="O222" i="35"/>
  <c r="N270" i="22"/>
  <c r="N243" i="22"/>
  <c r="N211" i="22"/>
  <c r="N182" i="22"/>
  <c r="O227" i="35"/>
  <c r="O219" i="35"/>
  <c r="O211" i="35"/>
  <c r="N267" i="22"/>
  <c r="N256" i="22"/>
  <c r="N240" i="22"/>
  <c r="N232" i="22"/>
  <c r="N224" i="22"/>
  <c r="N216" i="22"/>
  <c r="N208" i="22"/>
  <c r="N200" i="22"/>
  <c r="N192" i="22"/>
  <c r="N179" i="22"/>
  <c r="N171" i="22"/>
  <c r="N168" i="22"/>
  <c r="N160" i="22"/>
  <c r="N155" i="22"/>
  <c r="N139" i="22"/>
  <c r="N131" i="22"/>
  <c r="N123" i="22"/>
  <c r="N107" i="22"/>
  <c r="N102" i="22"/>
  <c r="N98" i="22"/>
  <c r="N89" i="22"/>
  <c r="N84" i="22"/>
  <c r="N79" i="22"/>
  <c r="N71" i="22"/>
  <c r="N525" i="22"/>
  <c r="N520" i="22"/>
  <c r="N509" i="22"/>
  <c r="N492" i="22"/>
  <c r="N482" i="22"/>
  <c r="N474" i="22"/>
  <c r="N463" i="22"/>
  <c r="N460" i="22"/>
  <c r="N438" i="22"/>
  <c r="N432" i="22"/>
  <c r="N402" i="22"/>
  <c r="N442" i="22"/>
  <c r="N422" i="22"/>
  <c r="N505" i="22"/>
  <c r="N405" i="22"/>
  <c r="N169" i="22"/>
  <c r="N527" i="35"/>
  <c r="N508" i="35"/>
  <c r="N460" i="35"/>
  <c r="N346" i="35"/>
  <c r="N683" i="35"/>
  <c r="N640" i="35"/>
  <c r="N606" i="35"/>
  <c r="N603" i="35"/>
  <c r="M64" i="22"/>
  <c r="N8" i="22"/>
  <c r="N10" i="22" s="1"/>
  <c r="N482" i="35"/>
  <c r="N471" i="35"/>
  <c r="N360" i="35"/>
  <c r="N675" i="35"/>
  <c r="N660" i="35"/>
  <c r="N633" i="35"/>
  <c r="N620" i="35"/>
  <c r="N578" i="35"/>
  <c r="N575" i="35"/>
  <c r="N413" i="22"/>
  <c r="N539" i="35"/>
  <c r="N523" i="35"/>
  <c r="N512" i="35"/>
  <c r="N504" i="35"/>
  <c r="N496" i="35"/>
  <c r="N488" i="35"/>
  <c r="N480" i="35"/>
  <c r="N464" i="35"/>
  <c r="N448" i="35"/>
  <c r="N440" i="35"/>
  <c r="N429" i="35"/>
  <c r="N418" i="35"/>
  <c r="N410" i="35"/>
  <c r="N391" i="35"/>
  <c r="N377" i="35"/>
  <c r="N366" i="35"/>
  <c r="N350" i="35"/>
  <c r="N684" i="35"/>
  <c r="N673" i="35"/>
  <c r="N658" i="35"/>
  <c r="N650" i="35"/>
  <c r="N631" i="35"/>
  <c r="N623" i="35"/>
  <c r="N618" i="35"/>
  <c r="N610" i="35"/>
  <c r="N593" i="35"/>
  <c r="N573" i="35"/>
  <c r="O49" i="28"/>
  <c r="O41" i="28"/>
  <c r="O813" i="16"/>
  <c r="K35" i="5"/>
  <c r="L31" i="16"/>
  <c r="L33" i="16" s="1"/>
  <c r="M796" i="16" s="1"/>
  <c r="M798" i="16" s="1"/>
  <c r="M9" i="22"/>
  <c r="N277" i="22"/>
  <c r="N274" i="22"/>
  <c r="N478" i="22"/>
  <c r="N461" i="22"/>
  <c r="N446" i="22"/>
  <c r="N440" i="22"/>
  <c r="N402" i="35"/>
  <c r="M9" i="35"/>
  <c r="N436" i="22"/>
  <c r="N478" i="35"/>
  <c r="N425" i="35"/>
  <c r="N385" i="35"/>
  <c r="N676" i="35"/>
  <c r="N668" i="35"/>
  <c r="N599" i="35"/>
  <c r="N597" i="35"/>
  <c r="N689" i="35"/>
  <c r="N671" i="35"/>
  <c r="N669" i="35"/>
  <c r="N641" i="35"/>
  <c r="N604" i="35"/>
  <c r="N598" i="35"/>
  <c r="N576" i="35"/>
  <c r="O273" i="28"/>
  <c r="O283" i="28"/>
  <c r="O66" i="28"/>
  <c r="O69" i="28"/>
  <c r="O64" i="28"/>
  <c r="O73" i="28"/>
  <c r="O71" i="28"/>
  <c r="O67" i="28"/>
  <c r="O291" i="28"/>
  <c r="O268" i="28"/>
  <c r="O56" i="28"/>
  <c r="O51" i="28"/>
  <c r="O50" i="28"/>
  <c r="O281" i="28"/>
  <c r="O277" i="28"/>
  <c r="O275" i="28"/>
  <c r="O274" i="28"/>
  <c r="O289" i="28"/>
  <c r="O288" i="28"/>
  <c r="O272" i="28"/>
  <c r="O270" i="28"/>
  <c r="O269" i="28"/>
  <c r="O45" i="28"/>
  <c r="O43" i="28"/>
  <c r="O42" i="28"/>
  <c r="O261" i="28" s="1"/>
  <c r="O62" i="28"/>
  <c r="O61" i="28"/>
  <c r="O286" i="28"/>
  <c r="O284" i="28"/>
  <c r="O282" i="28"/>
  <c r="O290" i="28"/>
  <c r="O74" i="28"/>
  <c r="N9" i="28"/>
  <c r="H591" i="28"/>
  <c r="N15" i="28"/>
  <c r="P25" i="28" s="1"/>
  <c r="O266" i="28"/>
  <c r="O265" i="28"/>
  <c r="O57" i="28"/>
  <c r="O47" i="28"/>
  <c r="O46" i="28"/>
  <c r="O59" i="28"/>
  <c r="O60" i="28"/>
  <c r="O279" i="28"/>
  <c r="O278" i="28"/>
  <c r="O287" i="28"/>
  <c r="O54" i="28"/>
  <c r="O53" i="28"/>
  <c r="O68" i="28"/>
  <c r="O65" i="28"/>
  <c r="O75" i="28"/>
  <c r="O271" i="28"/>
  <c r="O267" i="28"/>
  <c r="O52" i="28"/>
  <c r="O48" i="28"/>
  <c r="O44" i="28"/>
  <c r="O40" i="28"/>
  <c r="O63" i="28"/>
  <c r="O280" i="28"/>
  <c r="O276" i="28"/>
  <c r="O55" i="28"/>
  <c r="O285" i="28"/>
  <c r="O58" i="28"/>
  <c r="O70" i="28"/>
  <c r="O72" i="28"/>
  <c r="I29" i="24" l="1"/>
  <c r="O20" i="24"/>
  <c r="L8" i="24" s="1"/>
  <c r="L11" i="24" s="1"/>
  <c r="F994" i="34"/>
  <c r="N20" i="1" s="1"/>
  <c r="H23" i="20"/>
  <c r="H46" i="20" s="1"/>
  <c r="N727" i="21"/>
  <c r="N189" i="22"/>
  <c r="N485" i="22"/>
  <c r="N476" i="22"/>
  <c r="N522" i="35"/>
  <c r="N470" i="35"/>
  <c r="F638" i="36"/>
  <c r="G16" i="36" s="1"/>
  <c r="J26" i="36" s="1"/>
  <c r="K39" i="5"/>
  <c r="G201" i="11"/>
  <c r="G138" i="9"/>
  <c r="G221" i="9" s="1"/>
  <c r="F9" i="8"/>
  <c r="F17" i="8" s="1"/>
  <c r="F67" i="4"/>
  <c r="F92" i="4" s="1"/>
  <c r="H48" i="17"/>
  <c r="H54" i="17" s="1"/>
  <c r="M434" i="16"/>
  <c r="M149" i="16"/>
  <c r="M147" i="16"/>
  <c r="M145" i="16"/>
  <c r="M109" i="16"/>
  <c r="M107" i="16"/>
  <c r="M105" i="16"/>
  <c r="M93" i="16"/>
  <c r="M91" i="16"/>
  <c r="M89" i="16"/>
  <c r="M87" i="16"/>
  <c r="M67" i="16"/>
  <c r="M65" i="16"/>
  <c r="M63" i="16"/>
  <c r="M41" i="16"/>
  <c r="M39" i="16"/>
  <c r="M777" i="16"/>
  <c r="M775" i="16"/>
  <c r="M773" i="16"/>
  <c r="M745" i="16"/>
  <c r="M743" i="16"/>
  <c r="M741" i="16"/>
  <c r="M739" i="16"/>
  <c r="M651" i="16"/>
  <c r="M620" i="16"/>
  <c r="M604" i="16"/>
  <c r="M586" i="16"/>
  <c r="M576" i="16"/>
  <c r="M574" i="16"/>
  <c r="M572" i="16"/>
  <c r="M554" i="16"/>
  <c r="M544" i="16"/>
  <c r="M540" i="16"/>
  <c r="M526" i="16"/>
  <c r="M522" i="16"/>
  <c r="M520" i="16"/>
  <c r="M518" i="16"/>
  <c r="M516" i="16"/>
  <c r="M474" i="16"/>
  <c r="M789" i="16" s="1"/>
  <c r="N495" i="21"/>
  <c r="N492" i="21"/>
  <c r="N479" i="21"/>
  <c r="N473" i="21"/>
  <c r="N459" i="21"/>
  <c r="N428" i="21"/>
  <c r="N422" i="21"/>
  <c r="N420" i="21"/>
  <c r="N418" i="21"/>
  <c r="N406" i="21"/>
  <c r="N404" i="21"/>
  <c r="N401" i="21"/>
  <c r="N366" i="21"/>
  <c r="N364" i="21"/>
  <c r="N362" i="21"/>
  <c r="N350" i="21"/>
  <c r="N348" i="21"/>
  <c r="N346" i="21"/>
  <c r="N334" i="21"/>
  <c r="N291" i="21"/>
  <c r="H624" i="22"/>
  <c r="N15" i="22" s="1"/>
  <c r="N512" i="22"/>
  <c r="N225" i="21"/>
  <c r="N209" i="21"/>
  <c r="N175" i="21"/>
  <c r="N173" i="21"/>
  <c r="N169" i="21"/>
  <c r="N145" i="21"/>
  <c r="N97" i="21"/>
  <c r="N95" i="21"/>
  <c r="N93" i="21"/>
  <c r="N91" i="21"/>
  <c r="N540" i="21" s="1"/>
  <c r="N843" i="21"/>
  <c r="N823" i="21"/>
  <c r="N821" i="21"/>
  <c r="N819" i="21"/>
  <c r="N804" i="21"/>
  <c r="N788" i="21"/>
  <c r="N772" i="21"/>
  <c r="N753" i="21"/>
  <c r="N738" i="21"/>
  <c r="N736" i="21"/>
  <c r="N575" i="21"/>
  <c r="N573" i="21"/>
  <c r="N928" i="21" s="1"/>
  <c r="N930" i="21" s="1"/>
  <c r="M933" i="21" s="1"/>
  <c r="M935" i="21" s="1"/>
  <c r="N938" i="21" s="1"/>
  <c r="N943" i="21" s="1"/>
  <c r="G84" i="32"/>
  <c r="G285" i="33"/>
  <c r="G480" i="33" s="1"/>
  <c r="O20" i="1" s="1"/>
  <c r="F566" i="34"/>
  <c r="O159" i="35"/>
  <c r="O127" i="35"/>
  <c r="O81" i="35"/>
  <c r="O69" i="35"/>
  <c r="O59" i="35"/>
  <c r="O184" i="35" s="1"/>
  <c r="N12" i="1" s="1"/>
  <c r="O49" i="35"/>
  <c r="O322" i="35"/>
  <c r="O310" i="35"/>
  <c r="O308" i="35"/>
  <c r="O306" i="35"/>
  <c r="O294" i="35"/>
  <c r="O292" i="35"/>
  <c r="O290" i="35"/>
  <c r="O278" i="35"/>
  <c r="O276" i="35"/>
  <c r="O274" i="35"/>
  <c r="O262" i="35"/>
  <c r="O260" i="35"/>
  <c r="O258" i="35"/>
  <c r="O246" i="35"/>
  <c r="O244" i="35"/>
  <c r="O242" i="35"/>
  <c r="O228" i="35"/>
  <c r="O224" i="35"/>
  <c r="O220" i="35"/>
  <c r="O334" i="35" s="1"/>
  <c r="O336" i="35" s="1"/>
  <c r="N8" i="35" s="1"/>
  <c r="N10" i="35" s="1"/>
  <c r="N239" i="22"/>
  <c r="N207" i="22"/>
  <c r="N205" i="22"/>
  <c r="N203" i="22"/>
  <c r="N201" i="22"/>
  <c r="N165" i="22"/>
  <c r="N161" i="22"/>
  <c r="N146" i="22"/>
  <c r="N106" i="22"/>
  <c r="N86" i="22"/>
  <c r="N83" i="22"/>
  <c r="N524" i="22"/>
  <c r="N513" i="22"/>
  <c r="N511" i="22"/>
  <c r="N462" i="22"/>
  <c r="N443" i="22"/>
  <c r="N437" i="22"/>
  <c r="N434" i="22"/>
  <c r="N423" i="22"/>
  <c r="N532" i="22" s="1"/>
  <c r="N530" i="35"/>
  <c r="N528" i="35"/>
  <c r="N517" i="35"/>
  <c r="N505" i="35"/>
  <c r="N501" i="35"/>
  <c r="N479" i="35"/>
  <c r="N476" i="35"/>
  <c r="N474" i="35"/>
  <c r="N435" i="35"/>
  <c r="N433" i="35"/>
  <c r="N428" i="35"/>
  <c r="N398" i="35"/>
  <c r="N568" i="35" s="1"/>
  <c r="N686" i="35"/>
  <c r="N666" i="35"/>
  <c r="N642" i="35"/>
  <c r="N617" i="35"/>
  <c r="N615" i="35"/>
  <c r="N587" i="35"/>
  <c r="N574" i="35"/>
  <c r="N719" i="35" s="1"/>
  <c r="N451" i="28"/>
  <c r="N487" i="28" s="1"/>
  <c r="N5" i="28" s="1"/>
  <c r="M8" i="28" s="1"/>
  <c r="M10" i="28" s="1"/>
  <c r="H13" i="1" s="1"/>
  <c r="O390" i="28"/>
  <c r="O441" i="28" s="1"/>
  <c r="O408" i="28"/>
  <c r="P409" i="36"/>
  <c r="P251" i="36"/>
  <c r="P260" i="36"/>
  <c r="K14" i="1"/>
  <c r="P416" i="36"/>
  <c r="P140" i="36"/>
  <c r="P412" i="36"/>
  <c r="P149" i="36"/>
  <c r="P142" i="36"/>
  <c r="P133" i="36"/>
  <c r="P509" i="36"/>
  <c r="P40" i="36"/>
  <c r="P122" i="36"/>
  <c r="P172" i="36"/>
  <c r="P421" i="36"/>
  <c r="P174" i="36"/>
  <c r="P180" i="36"/>
  <c r="P253" i="36"/>
  <c r="P273" i="36"/>
  <c r="P388" i="36"/>
  <c r="P505" i="36"/>
  <c r="P248" i="36"/>
  <c r="P398" i="36"/>
  <c r="P394" i="36"/>
  <c r="P390" i="36"/>
  <c r="P206" i="36"/>
  <c r="P493" i="36"/>
  <c r="P520" i="36"/>
  <c r="P125" i="36"/>
  <c r="P377" i="36"/>
  <c r="P376" i="36"/>
  <c r="P393" i="36"/>
  <c r="P165" i="36"/>
  <c r="P166" i="36"/>
  <c r="P425" i="36"/>
  <c r="P170" i="36"/>
  <c r="P175" i="36"/>
  <c r="P423" i="36"/>
  <c r="P427" i="36"/>
  <c r="P428" i="36"/>
  <c r="P173" i="36"/>
  <c r="P167" i="36"/>
  <c r="P188" i="36"/>
  <c r="P195" i="36"/>
  <c r="P456" i="36"/>
  <c r="P460" i="36"/>
  <c r="P461" i="36"/>
  <c r="P217" i="36"/>
  <c r="P207" i="36"/>
  <c r="P501" i="36"/>
  <c r="P513" i="36"/>
  <c r="P257" i="36"/>
  <c r="P495" i="36"/>
  <c r="P511" i="36"/>
  <c r="P519" i="36"/>
  <c r="P527" i="36"/>
  <c r="P531" i="36"/>
  <c r="P535" i="36"/>
  <c r="P281" i="36"/>
  <c r="P526" i="36"/>
  <c r="P278" i="36"/>
  <c r="P464" i="36"/>
  <c r="P418" i="36"/>
  <c r="P169" i="36"/>
  <c r="P420" i="36"/>
  <c r="P422" i="36"/>
  <c r="P426" i="36"/>
  <c r="P429" i="36"/>
  <c r="P455" i="36"/>
  <c r="P482" i="36"/>
  <c r="P234" i="36"/>
  <c r="P240" i="36"/>
  <c r="P502" i="36"/>
  <c r="P498" i="36"/>
  <c r="P494" i="36"/>
  <c r="P514" i="36"/>
  <c r="P510" i="36"/>
  <c r="P500" i="36"/>
  <c r="P496" i="36"/>
  <c r="P259" i="36"/>
  <c r="P255" i="36"/>
  <c r="P512" i="36"/>
  <c r="P504" i="36"/>
  <c r="P271" i="36"/>
  <c r="P530" i="36"/>
  <c r="P286" i="36"/>
  <c r="P283" i="36"/>
  <c r="P154" i="36"/>
  <c r="P159" i="36"/>
  <c r="P161" i="36"/>
  <c r="P415" i="36"/>
  <c r="P404" i="36"/>
  <c r="P285" i="36"/>
  <c r="P568" i="36"/>
  <c r="P77" i="36"/>
  <c r="P115" i="36" s="1"/>
  <c r="G9" i="36" s="1"/>
  <c r="P168" i="36"/>
  <c r="P199" i="36"/>
  <c r="P220" i="36"/>
  <c r="P476" i="36"/>
  <c r="P477" i="36"/>
  <c r="P506" i="36"/>
  <c r="P521" i="36"/>
  <c r="P540" i="36"/>
  <c r="P289" i="36"/>
  <c r="P291" i="36"/>
  <c r="P547" i="36"/>
  <c r="P549" i="36"/>
  <c r="P297" i="36"/>
  <c r="P553" i="36"/>
  <c r="P305" i="36"/>
  <c r="P371" i="36"/>
  <c r="P383" i="36"/>
  <c r="P405" i="36"/>
  <c r="P410" i="36"/>
  <c r="P160" i="36"/>
  <c r="P226" i="36"/>
  <c r="P525" i="36"/>
  <c r="P375" i="36"/>
  <c r="P379" i="36"/>
  <c r="P378" i="36"/>
  <c r="P374" i="36"/>
  <c r="P134" i="36"/>
  <c r="P439" i="36"/>
  <c r="P475" i="36"/>
  <c r="P277" i="36"/>
  <c r="P539" i="36"/>
  <c r="P284" i="36"/>
  <c r="P288" i="36"/>
  <c r="P372" i="36"/>
  <c r="P403" i="36"/>
  <c r="P163" i="36"/>
  <c r="P430" i="36"/>
  <c r="P177" i="36"/>
  <c r="P178" i="36"/>
  <c r="P182" i="36"/>
  <c r="P181" i="36"/>
  <c r="P436" i="36"/>
  <c r="P176" i="36"/>
  <c r="P441" i="36"/>
  <c r="P184" i="36"/>
  <c r="P449" i="36"/>
  <c r="P453" i="36"/>
  <c r="P191" i="36"/>
  <c r="P452" i="36"/>
  <c r="P448" i="36"/>
  <c r="P529" i="36"/>
  <c r="P444" i="36"/>
  <c r="P437" i="36"/>
  <c r="P515" i="36"/>
  <c r="P533" i="36"/>
  <c r="P559" i="36"/>
  <c r="P123" i="36"/>
  <c r="P126" i="36"/>
  <c r="P381" i="36"/>
  <c r="P130" i="36"/>
  <c r="P384" i="36"/>
  <c r="P132" i="36"/>
  <c r="P138" i="36"/>
  <c r="P386" i="36"/>
  <c r="P397" i="36"/>
  <c r="P402" i="36"/>
  <c r="P155" i="36"/>
  <c r="P406" i="36"/>
  <c r="P407" i="36"/>
  <c r="P411" i="36"/>
  <c r="P413" i="36"/>
  <c r="P417" i="36"/>
  <c r="P162" i="36"/>
  <c r="P431" i="36"/>
  <c r="P434" i="36"/>
  <c r="P179" i="36"/>
  <c r="P183" i="36"/>
  <c r="P438" i="36"/>
  <c r="P442" i="36"/>
  <c r="P185" i="36"/>
  <c r="P446" i="36"/>
  <c r="P189" i="36"/>
  <c r="P190" i="36"/>
  <c r="P451" i="36"/>
  <c r="P447" i="36"/>
  <c r="P186" i="36"/>
  <c r="P443" i="36"/>
  <c r="P445" i="36"/>
  <c r="P196" i="36"/>
  <c r="P457" i="36"/>
  <c r="P209" i="36"/>
  <c r="P212" i="36"/>
  <c r="P469" i="36"/>
  <c r="P218" i="36"/>
  <c r="P215" i="36"/>
  <c r="P211" i="36"/>
  <c r="P467" i="36"/>
  <c r="P221" i="36"/>
  <c r="P473" i="36"/>
  <c r="P486" i="36"/>
  <c r="P231" i="36"/>
  <c r="P489" i="36"/>
  <c r="P485" i="36"/>
  <c r="P491" i="36"/>
  <c r="P235" i="36"/>
  <c r="P237" i="36"/>
  <c r="P239" i="36"/>
  <c r="P256" i="36"/>
  <c r="P516" i="36"/>
  <c r="P528" i="36"/>
  <c r="P290" i="36"/>
  <c r="P295" i="36"/>
  <c r="P555" i="36"/>
  <c r="P304" i="36"/>
  <c r="P187" i="36"/>
  <c r="P440" i="36"/>
  <c r="P127" i="36"/>
  <c r="P382" i="36"/>
  <c r="P131" i="36"/>
  <c r="P135" i="36"/>
  <c r="P139" i="36"/>
  <c r="P136" i="36"/>
  <c r="P385" i="36"/>
  <c r="P395" i="36"/>
  <c r="P391" i="36"/>
  <c r="P145" i="36"/>
  <c r="P151" i="36"/>
  <c r="P400" i="36"/>
  <c r="P454" i="36"/>
  <c r="P458" i="36"/>
  <c r="P197" i="36"/>
  <c r="P205" i="36"/>
  <c r="P465" i="36"/>
  <c r="P203" i="36"/>
  <c r="P463" i="36"/>
  <c r="P208" i="36"/>
  <c r="P210" i="36"/>
  <c r="P213" i="36"/>
  <c r="P470" i="36"/>
  <c r="P219" i="36"/>
  <c r="P468" i="36"/>
  <c r="P222" i="36"/>
  <c r="P474" i="36"/>
  <c r="P478" i="36"/>
  <c r="P223" i="36"/>
  <c r="P487" i="36"/>
  <c r="P232" i="36"/>
  <c r="P236" i="36"/>
  <c r="P238" i="36"/>
  <c r="P230" i="36"/>
  <c r="P233" i="36"/>
  <c r="P242" i="36"/>
  <c r="P272" i="36"/>
  <c r="P275" i="36"/>
  <c r="P279" i="36"/>
  <c r="P538" i="36"/>
  <c r="P544" i="36"/>
  <c r="P550" i="36"/>
  <c r="P541" i="36"/>
  <c r="P552" i="36"/>
  <c r="G10" i="36"/>
  <c r="P144" i="36"/>
  <c r="P566" i="36"/>
  <c r="P157" i="36"/>
  <c r="P483" i="36"/>
  <c r="P227" i="36"/>
  <c r="P503" i="36"/>
  <c r="P545" i="36"/>
  <c r="P554" i="36"/>
  <c r="P301" i="36"/>
  <c r="P121" i="36"/>
  <c r="P124" i="36"/>
  <c r="P373" i="36"/>
  <c r="P128" i="36"/>
  <c r="P193" i="36"/>
  <c r="P462" i="36"/>
  <c r="P471" i="36"/>
  <c r="P481" i="36"/>
  <c r="P228" i="36"/>
  <c r="P229" i="36"/>
  <c r="P488" i="36"/>
  <c r="P241" i="36"/>
  <c r="P252" i="36"/>
  <c r="P262" i="36"/>
  <c r="P266" i="36"/>
  <c r="P274" i="36"/>
  <c r="P532" i="36"/>
  <c r="P537" i="36"/>
  <c r="P280" i="36"/>
  <c r="P542" i="36"/>
  <c r="P551" i="36"/>
  <c r="P294" i="36"/>
  <c r="P558" i="36"/>
  <c r="P148" i="36"/>
  <c r="P380" i="36"/>
  <c r="P153" i="36"/>
  <c r="P216" i="36"/>
  <c r="P499" i="36"/>
  <c r="P299" i="36"/>
  <c r="P129" i="36"/>
  <c r="P137" i="36"/>
  <c r="P396" i="36"/>
  <c r="P392" i="36"/>
  <c r="P158" i="36"/>
  <c r="P433" i="36"/>
  <c r="P192" i="36"/>
  <c r="P198" i="36"/>
  <c r="P201" i="36"/>
  <c r="P472" i="36"/>
  <c r="P225" i="36"/>
  <c r="P507" i="36"/>
  <c r="P497" i="36"/>
  <c r="P292" i="36"/>
  <c r="P300" i="36"/>
  <c r="P141" i="36"/>
  <c r="P414" i="36"/>
  <c r="P194" i="36"/>
  <c r="P459" i="36"/>
  <c r="P466" i="36"/>
  <c r="P287" i="36"/>
  <c r="P548" i="36"/>
  <c r="P567" i="36"/>
  <c r="P399" i="36"/>
  <c r="P147" i="36"/>
  <c r="P171" i="36"/>
  <c r="P419" i="36"/>
  <c r="P200" i="36"/>
  <c r="P264" i="36"/>
  <c r="P270" i="36"/>
  <c r="P276" i="36"/>
  <c r="P534" i="36"/>
  <c r="P282" i="36"/>
  <c r="P296" i="36"/>
  <c r="P556" i="36"/>
  <c r="P306" i="36"/>
  <c r="P156" i="36"/>
  <c r="P408" i="36"/>
  <c r="P214" i="36"/>
  <c r="P517" i="36"/>
  <c r="P524" i="36"/>
  <c r="P543" i="36"/>
  <c r="P546" i="36"/>
  <c r="P518" i="36"/>
  <c r="P293" i="36"/>
  <c r="P484" i="36"/>
  <c r="P490" i="36"/>
  <c r="P508" i="36"/>
  <c r="P522" i="36"/>
  <c r="P20" i="1" l="1"/>
  <c r="G12" i="1"/>
  <c r="N13" i="35"/>
  <c r="N18" i="35" s="1"/>
  <c r="P953" i="21"/>
  <c r="O443" i="28"/>
  <c r="N8" i="28" s="1"/>
  <c r="N10" i="28" s="1"/>
  <c r="N5" i="35"/>
  <c r="M8" i="35" s="1"/>
  <c r="M10" i="35" s="1"/>
  <c r="H12" i="1" s="1"/>
  <c r="N398" i="22"/>
  <c r="N5" i="22" s="1"/>
  <c r="M8" i="22" s="1"/>
  <c r="M10" i="22" s="1"/>
  <c r="N13" i="22" s="1"/>
  <c r="N18" i="22" s="1"/>
  <c r="G4" i="32"/>
  <c r="D12" i="1" s="1"/>
  <c r="D17" i="1" s="1"/>
  <c r="O12" i="1"/>
  <c r="P25" i="22"/>
  <c r="M467" i="16"/>
  <c r="M791" i="16" s="1"/>
  <c r="L796" i="16" s="1"/>
  <c r="L798" i="16" s="1"/>
  <c r="M801" i="16" s="1"/>
  <c r="M806" i="16" s="1"/>
  <c r="D10" i="24"/>
  <c r="G11" i="36"/>
  <c r="E13" i="1" s="1"/>
  <c r="E17" i="1" s="1"/>
  <c r="N21" i="1" s="1"/>
  <c r="P367" i="36"/>
  <c r="N13" i="1" s="1"/>
  <c r="N17" i="1" s="1"/>
  <c r="G26" i="36"/>
  <c r="P591" i="36"/>
  <c r="O13" i="1" s="1"/>
  <c r="P12" i="1" l="1"/>
  <c r="O17" i="1"/>
  <c r="O816" i="16"/>
  <c r="M816" i="16"/>
  <c r="P28" i="22"/>
  <c r="H11" i="1" s="1"/>
  <c r="H17" i="1" s="1"/>
  <c r="O22" i="1" s="1"/>
  <c r="G13" i="1"/>
  <c r="G17" i="1" s="1"/>
  <c r="N22" i="1" s="1"/>
  <c r="N13" i="28"/>
  <c r="N18" i="28" s="1"/>
  <c r="P28" i="35"/>
  <c r="J7" i="24"/>
  <c r="K12" i="1"/>
  <c r="P593" i="36"/>
  <c r="F9" i="36" s="1"/>
  <c r="F11" i="36" s="1"/>
  <c r="F13" i="1" s="1"/>
  <c r="F17" i="1" s="1"/>
  <c r="O21" i="1" s="1"/>
  <c r="P28" i="28" l="1"/>
  <c r="F22" i="24" s="1"/>
  <c r="C22" i="24"/>
  <c r="O820" i="16"/>
  <c r="N949" i="21"/>
  <c r="N950" i="21" s="1"/>
  <c r="N953" i="21" s="1"/>
  <c r="K13" i="1"/>
  <c r="P22" i="1"/>
  <c r="K11" i="1"/>
  <c r="K17" i="1" s="1"/>
  <c r="G14" i="36"/>
  <c r="G19" i="36" s="1"/>
  <c r="F251" i="38" s="1"/>
  <c r="F292" i="38" s="1"/>
  <c r="G294" i="38" s="1"/>
  <c r="G16" i="38" s="1"/>
  <c r="J26" i="38" s="1"/>
  <c r="P13" i="1"/>
  <c r="P17" i="1" s="1"/>
  <c r="O25" i="1"/>
  <c r="G26" i="38" l="1"/>
  <c r="G19" i="38"/>
  <c r="J29" i="38" s="1"/>
  <c r="N24" i="22"/>
  <c r="N25" i="22" s="1"/>
  <c r="N28" i="22" s="1"/>
  <c r="P957" i="21"/>
  <c r="H29" i="1"/>
  <c r="F458" i="39" l="1"/>
  <c r="F529" i="39" s="1"/>
  <c r="G531" i="39" s="1"/>
  <c r="G29" i="38"/>
  <c r="G25" i="39" s="1"/>
  <c r="P32" i="22"/>
  <c r="N24" i="35"/>
  <c r="N25" i="35" s="1"/>
  <c r="N28" i="35" s="1"/>
  <c r="N25" i="1"/>
  <c r="P21" i="1"/>
  <c r="P25" i="1" s="1"/>
  <c r="G19" i="39" l="1"/>
  <c r="N24" i="28"/>
  <c r="P32" i="35"/>
  <c r="M19" i="39" l="1"/>
  <c r="J6" i="24"/>
  <c r="F21" i="24"/>
  <c r="N25" i="28"/>
  <c r="M24" i="39" l="1"/>
  <c r="C21" i="24"/>
  <c r="N28" i="28"/>
  <c r="P32" i="28" s="1"/>
  <c r="F23" i="24" l="1"/>
  <c r="J8" i="24" s="1"/>
  <c r="J11" i="24" s="1"/>
  <c r="L12" i="24" s="1"/>
  <c r="L16" i="24" l="1"/>
</calcChain>
</file>

<file path=xl/sharedStrings.xml><?xml version="1.0" encoding="utf-8"?>
<sst xmlns="http://schemas.openxmlformats.org/spreadsheetml/2006/main" count="36767" uniqueCount="4921">
  <si>
    <t># 200906011700000986</t>
  </si>
  <si>
    <t># 200906031700000456</t>
  </si>
  <si>
    <t># 200906121700017064</t>
  </si>
  <si>
    <t># 200907021200006645</t>
  </si>
  <si>
    <t># 200907151700004646</t>
  </si>
  <si>
    <t># 200907171700009664</t>
  </si>
  <si>
    <t># 200907241700008871</t>
  </si>
  <si>
    <t># 200910011700002583</t>
  </si>
  <si>
    <t># 200910271100004232</t>
  </si>
  <si>
    <t># 200905111700013148</t>
  </si>
  <si>
    <t># 200905271700007708</t>
  </si>
  <si>
    <t># 200905271700007871</t>
  </si>
  <si>
    <t># 200907061700011723</t>
  </si>
  <si>
    <t># 200907141700014782</t>
  </si>
  <si>
    <t># 200907141700014850</t>
  </si>
  <si>
    <t># 200908251200003822</t>
  </si>
  <si>
    <t># 200904271700014220</t>
  </si>
  <si>
    <t># 200906031700014016</t>
  </si>
  <si>
    <t>22/06/2009 </t>
  </si>
  <si>
    <t>24/06/2009</t>
  </si>
  <si>
    <t>27-09-2012</t>
  </si>
  <si>
    <t>OPTDLY/I71662-2709</t>
  </si>
  <si>
    <t>28-09-2012</t>
  </si>
  <si>
    <t>OF-CR TD:196606 TX:696171 1204720000015095 SET:N2009112</t>
  </si>
  <si>
    <t>24/06/2009 </t>
  </si>
  <si>
    <t>26/06/2009</t>
  </si>
  <si>
    <t>OF-CR TD:414598 TX:232208 1204720000015095 SET:N2009114</t>
  </si>
  <si>
    <t>10/07/2009 </t>
  </si>
  <si>
    <t>22-07-2011</t>
  </si>
  <si>
    <t>Cheque ReceivedBIL/000240384286/i71662/NSP</t>
  </si>
  <si>
    <t>29-07-2011</t>
  </si>
  <si>
    <t>Cheque BIL/000242993317/i71662/NSP</t>
  </si>
  <si>
    <t>OPTDLY/I71662-0508</t>
  </si>
  <si>
    <t>OPTDLY/I71662-1008</t>
  </si>
  <si>
    <t>OPTDLY/I71662-1108</t>
  </si>
  <si>
    <t>02-08-2011</t>
  </si>
  <si>
    <t>11-08-2011</t>
  </si>
  <si>
    <t>05-08-2011</t>
  </si>
  <si>
    <t>10-08-2011</t>
  </si>
  <si>
    <t>MONTHLY MAINTENANCE CHARGES - 11-08-2011 - 10-Sep-11</t>
  </si>
  <si>
    <t>FOMMC-11082011</t>
  </si>
  <si>
    <t>03-12-2012</t>
  </si>
  <si>
    <t>OPTDLY/I71662-0312</t>
  </si>
  <si>
    <t>OPTDLY/I71662-0302</t>
  </si>
  <si>
    <t>03-02-2012</t>
  </si>
  <si>
    <t>OPTDLY/I71662-2009</t>
  </si>
  <si>
    <t>20-09-2012</t>
  </si>
  <si>
    <t>21-09-2012</t>
  </si>
  <si>
    <t>24-09-2012</t>
  </si>
  <si>
    <t>OPTDLY/I71662-2409</t>
  </si>
  <si>
    <t>25-09-2012</t>
  </si>
  <si>
    <t>OPTDLY/I71662-2509</t>
  </si>
  <si>
    <t>26-09-2012</t>
  </si>
  <si>
    <t>OPTSTKBALRAMCHIN23FEB2012</t>
  </si>
  <si>
    <t>07-02-2012</t>
  </si>
  <si>
    <t>OPTDLY/I71662-0702</t>
  </si>
  <si>
    <t>CALL &amp; TRADE CHARGES 03-02-2012-I71662</t>
  </si>
  <si>
    <t>JV3-0702</t>
  </si>
  <si>
    <t>08-02-2012</t>
  </si>
  <si>
    <t>CALL &amp; TRADE CHARGES 07-02-2012-I71662</t>
  </si>
  <si>
    <t>JV7-0802</t>
  </si>
  <si>
    <t>OPTDLY/I71662-0802</t>
  </si>
  <si>
    <t>09-02-2012</t>
  </si>
  <si>
    <t>OPTDLY/I71662-0902</t>
  </si>
  <si>
    <t>OPTSTKRANBAXY23FEB2012</t>
  </si>
  <si>
    <t>13-02-2012</t>
  </si>
  <si>
    <t>OPTDLY/I71662-1302</t>
  </si>
  <si>
    <t>07-09-2011</t>
  </si>
  <si>
    <t>10-02-2012</t>
  </si>
  <si>
    <t>OPTDLY/I71662-1002</t>
  </si>
  <si>
    <t>ATOMPG-ICICI Bank-288351387</t>
  </si>
  <si>
    <t>OPTDLY/I71662-1402</t>
  </si>
  <si>
    <t>14-02-2012</t>
  </si>
  <si>
    <t>Curr. FY Investment :</t>
  </si>
  <si>
    <t>Realized P/L RKG A/C (FY12):</t>
  </si>
  <si>
    <t>OPT-RELPET-26-Jul-2007-120-CA-S</t>
  </si>
  <si>
    <t># 200707031100001978</t>
  </si>
  <si>
    <t># 200707031200001599</t>
  </si>
  <si>
    <t>OPT-RELPET-25-Oct-2007-155-PA-S</t>
  </si>
  <si>
    <t># 200710161100006695</t>
  </si>
  <si>
    <t>OPT-WIPRO -31-May-2007-560-CA-S</t>
  </si>
  <si>
    <t>Payment Receved From Paym</t>
  </si>
  <si>
    <t>01-10-2012</t>
  </si>
  <si>
    <t>OF-CR TD:276699 TX:857869 1204720000015095 SET:N2009149</t>
  </si>
  <si>
    <t>INTDEP-DR 25371061 CTRBO IN510557 NR2009126</t>
  </si>
  <si>
    <t>20/07/2009 </t>
  </si>
  <si>
    <t>20/07/2009</t>
  </si>
  <si>
    <t>INTDEP-DR 26583197 CTRBO IN510557 NR2009132</t>
  </si>
  <si>
    <t>21/07/2009 </t>
  </si>
  <si>
    <t>21/07/2009</t>
  </si>
  <si>
    <t>FOMMC-Monthly-12102012</t>
  </si>
  <si>
    <t>13-10-2012</t>
  </si>
  <si>
    <t>OPTSTKINDHOTEL25OCT2012</t>
  </si>
  <si>
    <t>OPTSTKSBIN25OCT2012</t>
  </si>
  <si>
    <t>OPTDLY/I71662-1510</t>
  </si>
  <si>
    <t>15-10-2012</t>
  </si>
  <si>
    <t>OPTDLY/I71662-1610</t>
  </si>
  <si>
    <t>11-10-2012</t>
  </si>
  <si>
    <t>12-10-2012</t>
  </si>
  <si>
    <t>OPTDLY/I71662-1210</t>
  </si>
  <si>
    <t>30-11-2012</t>
  </si>
  <si>
    <t>CALL &amp; TRADE CHARGES 29-1</t>
  </si>
  <si>
    <t>JV17-3011</t>
  </si>
  <si>
    <t>FUNDS TR TO ICICI BK</t>
  </si>
  <si>
    <t>OPTSTKSBIN29NOV2012</t>
  </si>
  <si>
    <t>OPTIDXNIFTY27DEC2012</t>
  </si>
  <si>
    <t>29-11-2012</t>
  </si>
  <si>
    <t># 200705171200014211</t>
  </si>
  <si>
    <t># 200706141200001489</t>
  </si>
  <si>
    <t># 200706291200002045</t>
  </si>
  <si>
    <t># 200707111300001733</t>
  </si>
  <si>
    <t># 200706061300007064</t>
  </si>
  <si>
    <t># 200706061300007672</t>
  </si>
  <si>
    <t># 200706061300008475</t>
  </si>
  <si>
    <t># 200707061200005708</t>
  </si>
  <si>
    <t>OPTDLY/I71662-0910</t>
  </si>
  <si>
    <t>09-10-2012</t>
  </si>
  <si>
    <t>CALL &amp; TRADE CHARGES 08-1</t>
  </si>
  <si>
    <t>JV6-1010</t>
  </si>
  <si>
    <t>10-10-2012</t>
  </si>
  <si>
    <t># 200707161300005808</t>
  </si>
  <si>
    <t xml:space="preserve"> --Nil--</t>
  </si>
  <si>
    <t>Trade for the FY07 (Buy):</t>
  </si>
  <si>
    <t>20070316N400030827</t>
  </si>
  <si>
    <t>20070302N300016919</t>
  </si>
  <si>
    <t>20070301N500022495</t>
  </si>
  <si>
    <t>20070227N500021796</t>
  </si>
  <si>
    <t>20070223N100014621</t>
  </si>
  <si>
    <t>20070220N500019717</t>
  </si>
  <si>
    <t>15-11-2012</t>
  </si>
  <si>
    <t>21-11-2012</t>
  </si>
  <si>
    <t>Payment Receved ICICI Ban</t>
  </si>
  <si>
    <t>OPTSTKHDFCBANK29NOV2012</t>
  </si>
  <si>
    <t>FOMMC-Monthly-12112012</t>
  </si>
  <si>
    <t>12-11-2012</t>
  </si>
  <si>
    <t>CALL &amp; TRADE CHARGES 15-1</t>
  </si>
  <si>
    <t>JV14-1710</t>
  </si>
  <si>
    <t>20061123N100022616</t>
  </si>
  <si>
    <t>05-11-2012</t>
  </si>
  <si>
    <t>20061120N400011871</t>
  </si>
  <si>
    <t>20061117N400004917</t>
  </si>
  <si>
    <t>20061117N400005174</t>
  </si>
  <si>
    <t>HERHON</t>
  </si>
  <si>
    <t>20061114N100010540</t>
  </si>
  <si>
    <t>20061019N100013349</t>
  </si>
  <si>
    <t>20061012N100024822</t>
  </si>
  <si>
    <t>20060725N100000080</t>
  </si>
  <si>
    <t>20060718N400002467</t>
  </si>
  <si>
    <t>20060707N400001218</t>
  </si>
  <si>
    <t>20060705N400000083</t>
  </si>
  <si>
    <t>NetBuy:</t>
  </si>
  <si>
    <t>Trade for the FY07(Sell):</t>
  </si>
  <si>
    <t>20070328N500018568</t>
  </si>
  <si>
    <t>20070323N500015509</t>
  </si>
  <si>
    <t>20070323N500016863</t>
  </si>
  <si>
    <t>20070323N500041963</t>
  </si>
  <si>
    <t>20070321N100008417</t>
  </si>
  <si>
    <t>20070319N300008123</t>
  </si>
  <si>
    <t>20070308N300013295</t>
  </si>
  <si>
    <t>20070112N100026702</t>
  </si>
  <si>
    <t>20061228N100016625</t>
  </si>
  <si>
    <t>20061226N100020524</t>
  </si>
  <si>
    <t>20061222N100010032</t>
  </si>
  <si>
    <t>20061211N100015641</t>
  </si>
  <si>
    <t>20061122N400007826</t>
  </si>
  <si>
    <t>20061026N100014309</t>
  </si>
  <si>
    <t>20061019N400004865</t>
  </si>
  <si>
    <t>20060908N100026604</t>
  </si>
  <si>
    <t>20060829N300014429</t>
  </si>
  <si>
    <t>20060828N400010280</t>
  </si>
  <si>
    <t>Profit/Loss FY07:</t>
  </si>
  <si>
    <t>Not Traded in FNO Segment for the FY07
FNO Profit / Loss: ---Nil---</t>
  </si>
  <si>
    <t>Financial 
Year</t>
  </si>
  <si>
    <t>Equity - ICICI A/C
Profit / Loss</t>
  </si>
  <si>
    <t>Equity - SBI A/C
Profit / Loss</t>
  </si>
  <si>
    <t>FNO - ICICI A/C 
Profit / Loss</t>
  </si>
  <si>
    <t>Equity - Angel A/C
Profit / Loss</t>
  </si>
  <si>
    <t>Total - 
Profit / Loss</t>
  </si>
  <si>
    <t>FY07</t>
  </si>
  <si>
    <t>FY08</t>
  </si>
  <si>
    <t>FY09</t>
  </si>
  <si>
    <t>FY10</t>
  </si>
  <si>
    <t>FY11</t>
  </si>
  <si>
    <t>Grand Total:</t>
  </si>
  <si>
    <t>Date</t>
  </si>
  <si>
    <t>Stock</t>
  </si>
  <si>
    <t>Action</t>
  </si>
  <si>
    <t>Qty.</t>
  </si>
  <si>
    <t>Price#</t>
  </si>
  <si>
    <t>Trade Value</t>
  </si>
  <si>
    <t>Brokerage incl. taxes</t>
  </si>
  <si>
    <t>Order Ref.</t>
  </si>
  <si>
    <t>Settlement</t>
  </si>
  <si>
    <t>Segment</t>
  </si>
  <si>
    <t>DP Id - Client DP Id</t>
  </si>
  <si>
    <t>Exchange</t>
  </si>
  <si>
    <t>HDFC</t>
  </si>
  <si>
    <t>Buy</t>
  </si>
  <si>
    <t>20110309N900008805</t>
  </si>
  <si>
    <t>Rolling</t>
  </si>
  <si>
    <t>IN303028-51838407</t>
  </si>
  <si>
    <t>NSE</t>
  </si>
  <si>
    <t>INDGAS</t>
  </si>
  <si>
    <t>20110307B300002896</t>
  </si>
  <si>
    <t>BSE</t>
  </si>
  <si>
    <t>RELIND</t>
  </si>
  <si>
    <t>20110307N900006962</t>
  </si>
  <si>
    <t>ASHLEY</t>
  </si>
  <si>
    <t>20110307N900007035</t>
  </si>
  <si>
    <t>20110304N900006726</t>
  </si>
  <si>
    <t>20110304N900006734</t>
  </si>
  <si>
    <t>RANLAB</t>
  </si>
  <si>
    <t>20110303B300003878</t>
  </si>
  <si>
    <t>20110301N900008996</t>
  </si>
  <si>
    <t>20110301N900009036</t>
  </si>
  <si>
    <t>20110228N900009075</t>
  </si>
  <si>
    <t>20110228N900009088</t>
  </si>
  <si>
    <t>PROVOG</t>
  </si>
  <si>
    <t>20110224N900013127</t>
  </si>
  <si>
    <t>IDBI</t>
  </si>
  <si>
    <t>20110223N900008881</t>
  </si>
  <si>
    <t>20110222B300002258</t>
  </si>
  <si>
    <t>BALIND</t>
  </si>
  <si>
    <t>20110222B300002276</t>
  </si>
  <si>
    <t>DCB</t>
  </si>
  <si>
    <t>20110222N900006066</t>
  </si>
  <si>
    <t>20110221N900006533</t>
  </si>
  <si>
    <t>20110218N900007765</t>
  </si>
  <si>
    <t>20110217N900010702</t>
  </si>
  <si>
    <t>20110216N900009993</t>
  </si>
  <si>
    <t>20110216N900010112</t>
  </si>
  <si>
    <t>20110214N900011558</t>
  </si>
  <si>
    <t>20110214N900011599</t>
  </si>
  <si>
    <t>GUJAPO</t>
  </si>
  <si>
    <t>20110210N900007139</t>
  </si>
  <si>
    <t>ALOTEX</t>
  </si>
  <si>
    <t>20110208N900012026</t>
  </si>
  <si>
    <t>20110208N900012050</t>
  </si>
  <si>
    <t>KALPOW</t>
  </si>
  <si>
    <t>20110208N900012248</t>
  </si>
  <si>
    <t>SININD</t>
  </si>
  <si>
    <t>20110202N900015370</t>
  </si>
  <si>
    <t>HINCON</t>
  </si>
  <si>
    <t>20110131N900016182</t>
  </si>
  <si>
    <t>SHAGEA</t>
  </si>
  <si>
    <t>20110128B300004685</t>
  </si>
  <si>
    <t>20110128N900015998</t>
  </si>
  <si>
    <t>20110128N900016222</t>
  </si>
  <si>
    <t>20110128N900016332</t>
  </si>
  <si>
    <t>GTNTE</t>
  </si>
  <si>
    <t>20110112N900013224</t>
  </si>
  <si>
    <t>20110111N900017495</t>
  </si>
  <si>
    <t>20110111N900017680</t>
  </si>
  <si>
    <t>20110110N900011423</t>
  </si>
  <si>
    <t>20101231B300004437</t>
  </si>
  <si>
    <t>BIRVXL</t>
  </si>
  <si>
    <t>20101224N900005007</t>
  </si>
  <si>
    <t>AMAREM</t>
  </si>
  <si>
    <t>20101214N900009785</t>
  </si>
  <si>
    <t>20101206N900009753</t>
  </si>
  <si>
    <t>20101129N900013897</t>
  </si>
  <si>
    <t>20101129N900017170</t>
  </si>
  <si>
    <t>20101126N900024321</t>
  </si>
  <si>
    <t>20101119B300005196</t>
  </si>
  <si>
    <t>MORTEX</t>
  </si>
  <si>
    <t>20101115B300004697</t>
  </si>
  <si>
    <t>AMBCOT</t>
  </si>
  <si>
    <t>20101112N900006184</t>
  </si>
  <si>
    <t>CENEXT</t>
  </si>
  <si>
    <t>20101112N900012259</t>
  </si>
  <si>
    <t>20101112N900019534</t>
  </si>
  <si>
    <t>20101109B300006978</t>
  </si>
  <si>
    <t>20101109N900019236</t>
  </si>
  <si>
    <t>20101108N900022127</t>
  </si>
  <si>
    <t>20101108N900022434</t>
  </si>
  <si>
    <t>20101102B300004080</t>
  </si>
  <si>
    <t>20101028N900010361</t>
  </si>
  <si>
    <t>20101027B300005419</t>
  </si>
  <si>
    <t>14-07-2011</t>
  </si>
  <si>
    <t>OPTDLY/I71662-1407</t>
  </si>
  <si>
    <t>20101027B300005571</t>
  </si>
  <si>
    <t>20101026B300004568</t>
  </si>
  <si>
    <t>MANCHE</t>
  </si>
  <si>
    <t>20101019N900014378</t>
  </si>
  <si>
    <t>COLCHE</t>
  </si>
  <si>
    <t>20101006B300006763</t>
  </si>
  <si>
    <t>20101006N900015477</t>
  </si>
  <si>
    <t>20101006N900015563</t>
  </si>
  <si>
    <t>20101006N900018282</t>
  </si>
  <si>
    <t>20100923B200008440</t>
  </si>
  <si>
    <t>20100921N900015158</t>
  </si>
  <si>
    <t>20100917N900017432</t>
  </si>
  <si>
    <t>SELMAN</t>
  </si>
  <si>
    <t>20100913B300014004</t>
  </si>
  <si>
    <t>CORFER</t>
  </si>
  <si>
    <t>20100913N900016930</t>
  </si>
  <si>
    <t>UNIABE</t>
  </si>
  <si>
    <t>20100903B300005652</t>
  </si>
  <si>
    <t>NORTEC</t>
  </si>
  <si>
    <t>20100827B300008002</t>
  </si>
  <si>
    <t>20100827N900015245</t>
  </si>
  <si>
    <t>20100827N900016506</t>
  </si>
  <si>
    <t>20100826B300007230</t>
  </si>
  <si>
    <t>SPIELE</t>
  </si>
  <si>
    <t>20100824B300009194</t>
  </si>
  <si>
    <t>ABHIND</t>
  </si>
  <si>
    <t>20100823N900008890</t>
  </si>
  <si>
    <t>TT</t>
  </si>
  <si>
    <t>INDLAB</t>
  </si>
  <si>
    <t>20100812B300008624</t>
  </si>
  <si>
    <t>MASTEK</t>
  </si>
  <si>
    <t>20100811N900015775</t>
  </si>
  <si>
    <t>ADVIND</t>
  </si>
  <si>
    <t>20100805N900009892</t>
  </si>
  <si>
    <t>UNILAB</t>
  </si>
  <si>
    <t>20100802N900015547</t>
  </si>
  <si>
    <t>MAHHOL</t>
  </si>
  <si>
    <t>20100728B200004882</t>
  </si>
  <si>
    <t>JINSOU</t>
  </si>
  <si>
    <t>20100726B300009113</t>
  </si>
  <si>
    <t>GATCOR</t>
  </si>
  <si>
    <t>20100721B300005077</t>
  </si>
  <si>
    <t>SAMPIS</t>
  </si>
  <si>
    <t>20100720B200006445</t>
  </si>
  <si>
    <t>CONCF</t>
  </si>
  <si>
    <t>20100719B300008503</t>
  </si>
  <si>
    <t>20100716B400004802</t>
  </si>
  <si>
    <t>CININD</t>
  </si>
  <si>
    <t>20100716B400006085</t>
  </si>
  <si>
    <t>TRAREC</t>
  </si>
  <si>
    <t>20100715B300007214</t>
  </si>
  <si>
    <t>ASSCOM</t>
  </si>
  <si>
    <t>20100714N900013285</t>
  </si>
  <si>
    <t>20100713N900018754</t>
  </si>
  <si>
    <t>SPIISL</t>
  </si>
  <si>
    <t>20100709B300005334</t>
  </si>
  <si>
    <t>SWAMAZ</t>
  </si>
  <si>
    <t>MONTHLY MAINTENANCE CHARGES - 11-09-2011 - 11-Oct-11</t>
  </si>
  <si>
    <t>FOMMC-11092011</t>
  </si>
  <si>
    <t>CALL &amp; TRADE CHARGES 09-09-2011-I71662</t>
  </si>
  <si>
    <t>JV2-1209</t>
  </si>
  <si>
    <t>CALL &amp; TRADE CHARGES 14-09-2011-I71662</t>
  </si>
  <si>
    <t>JV5-1609</t>
  </si>
  <si>
    <t>OPTDLY/I71662-1609</t>
  </si>
  <si>
    <t>CALL &amp; TRADE CHARGES</t>
  </si>
  <si>
    <t>20100707N900007319</t>
  </si>
  <si>
    <t>FIRSOU</t>
  </si>
  <si>
    <t>20100707N900013731</t>
  </si>
  <si>
    <t>ARIAGR</t>
  </si>
  <si>
    <t>20100706B200001867</t>
  </si>
  <si>
    <t>PARDRU</t>
  </si>
  <si>
    <t>20100706B200004488</t>
  </si>
  <si>
    <t>20100706B200005039</t>
  </si>
  <si>
    <t>20100706N900005733</t>
  </si>
  <si>
    <t>SHIBIM</t>
  </si>
  <si>
    <t>20100702B100007348</t>
  </si>
  <si>
    <t>RELMED</t>
  </si>
  <si>
    <t>20100621N900015316</t>
  </si>
  <si>
    <t>20100610N900007383</t>
  </si>
  <si>
    <t>GARSIL</t>
  </si>
  <si>
    <t>20100608N900016036</t>
  </si>
  <si>
    <t>JKCORP</t>
  </si>
  <si>
    <t>20100603N900014854</t>
  </si>
  <si>
    <t>20100504N900017306</t>
  </si>
  <si>
    <t>DCMSHR</t>
  </si>
  <si>
    <t>20100420B300003746</t>
  </si>
  <si>
    <t>20100420N900015673</t>
  </si>
  <si>
    <t>3IINFO</t>
  </si>
  <si>
    <t>20100412N900013366</t>
  </si>
  <si>
    <t>Sell</t>
  </si>
  <si>
    <t>20110331N900006995</t>
  </si>
  <si>
    <t>20110330N900008666</t>
  </si>
  <si>
    <t>20110328N900012078</t>
  </si>
  <si>
    <t>20110328N900012167</t>
  </si>
  <si>
    <t>20110324N900005930</t>
  </si>
  <si>
    <t>20110322N900005499</t>
  </si>
  <si>
    <t>20110318B300003079</t>
  </si>
  <si>
    <t>20110318N900011669</t>
  </si>
  <si>
    <t>01-02-2012</t>
  </si>
  <si>
    <t>OPTDLY/I71662-0102</t>
  </si>
  <si>
    <t>CALL &amp; TRADE CHARGES 31-01-2012-I71662</t>
  </si>
  <si>
    <t>JV16-0102</t>
  </si>
  <si>
    <t>02-02-2012</t>
  </si>
  <si>
    <t>Curr. FY P/L :</t>
  </si>
  <si>
    <t>20110314N900006894</t>
  </si>
  <si>
    <t>20110311N900013416</t>
  </si>
  <si>
    <t>29-03-2012</t>
  </si>
  <si>
    <t>OPTDLY/I71662-2903</t>
  </si>
  <si>
    <t>20110311N900013745</t>
  </si>
  <si>
    <t>20110311N900014336</t>
  </si>
  <si>
    <t>20110311N900014368</t>
  </si>
  <si>
    <t>20110311N900014407</t>
  </si>
  <si>
    <t>20110309N900008775</t>
  </si>
  <si>
    <t>20110309N900008994</t>
  </si>
  <si>
    <t>20110307N900006890</t>
  </si>
  <si>
    <t>20110224N900013074</t>
  </si>
  <si>
    <t>20110221N900006312</t>
  </si>
  <si>
    <t>20110221N900006355</t>
  </si>
  <si>
    <t>20110218N900007706</t>
  </si>
  <si>
    <t>20110217N900010652</t>
  </si>
  <si>
    <t>20110217N900011000</t>
  </si>
  <si>
    <t>20110215N900006527</t>
  </si>
  <si>
    <t>20110214N900011485</t>
  </si>
  <si>
    <t>20110210B300005115</t>
  </si>
  <si>
    <t>20110208N900010393</t>
  </si>
  <si>
    <t>20110201N900018616</t>
  </si>
  <si>
    <t>20110120N900012871</t>
  </si>
  <si>
    <t>20110107N900015126</t>
  </si>
  <si>
    <t>20101228N900007927</t>
  </si>
  <si>
    <t>20101129N900010265</t>
  </si>
  <si>
    <t>20101125B300006123</t>
  </si>
  <si>
    <t>20101123N900018070</t>
  </si>
  <si>
    <t>20101119B300003502</t>
  </si>
  <si>
    <t>20101115B300003906</t>
  </si>
  <si>
    <t>20101112N900005808</t>
  </si>
  <si>
    <t>20101105N900005989</t>
  </si>
  <si>
    <t>20101027B300005337</t>
  </si>
  <si>
    <t>20101026B300004499</t>
  </si>
  <si>
    <t>20101019N900014308</t>
  </si>
  <si>
    <t>20101006B300006108</t>
  </si>
  <si>
    <t>20101006B300006389</t>
  </si>
  <si>
    <t>20101006B300006416</t>
  </si>
  <si>
    <t>20101006B300006690</t>
  </si>
  <si>
    <t>20101006N900014249</t>
  </si>
  <si>
    <t>20100923B200006631</t>
  </si>
  <si>
    <t>20100921N900014903</t>
  </si>
  <si>
    <t>20100921N900015091</t>
  </si>
  <si>
    <t>20100913N900024150</t>
  </si>
  <si>
    <t>20100909B300008095</t>
  </si>
  <si>
    <t>20100827B300006424</t>
  </si>
  <si>
    <t>20100827N900016238</t>
  </si>
  <si>
    <t>20100826B300005138</t>
  </si>
  <si>
    <t>20100823N900008236</t>
  </si>
  <si>
    <t>20100818B300006189</t>
  </si>
  <si>
    <t>20100817B300006916</t>
  </si>
  <si>
    <t>20100812B300008512</t>
  </si>
  <si>
    <t>20100811N900015705</t>
  </si>
  <si>
    <t>20100805N900008499</t>
  </si>
  <si>
    <t>(Ref FY11-Equity)</t>
  </si>
  <si>
    <t>20100726B300007545</t>
  </si>
  <si>
    <t>20100726B300009146</t>
  </si>
  <si>
    <t>20100726B300009187</t>
  </si>
  <si>
    <t>20100726B600000135</t>
  </si>
  <si>
    <t>20100723B300008852</t>
  </si>
  <si>
    <t>20100721B300003890</t>
  </si>
  <si>
    <t>20100719B300006732</t>
  </si>
  <si>
    <t>20100719B300008450</t>
  </si>
  <si>
    <t>20100716B400004891</t>
  </si>
  <si>
    <t>20100714B200004095</t>
  </si>
  <si>
    <t>20100714B200004239</t>
  </si>
  <si>
    <t>20100713B300008453</t>
  </si>
  <si>
    <t>20100713B300008459</t>
  </si>
  <si>
    <t>20100713N900017381</t>
  </si>
  <si>
    <t>20100709B300002539</t>
  </si>
  <si>
    <t>20100702N900005612</t>
  </si>
  <si>
    <t>20100625N900007682</t>
  </si>
  <si>
    <t>OPTDLY/I71662-0507</t>
  </si>
  <si>
    <t>05-07-2011</t>
  </si>
  <si>
    <t>Updated on:</t>
  </si>
  <si>
    <t>20100624B300004903</t>
  </si>
  <si>
    <t>20100607B300007922</t>
  </si>
  <si>
    <t>20100506B300005468</t>
  </si>
  <si>
    <t>20100430N900017183</t>
  </si>
  <si>
    <t>20100426B300008792</t>
  </si>
  <si>
    <t>20100420B300003638</t>
  </si>
  <si>
    <t>SYBSPI</t>
  </si>
  <si>
    <t>20100416B300001254</t>
  </si>
  <si>
    <t>Trade Date</t>
  </si>
  <si>
    <t>Contract Descriptor</t>
  </si>
  <si>
    <t>Qty</t>
  </si>
  <si>
    <t>Value</t>
  </si>
  <si>
    <t>Brokerage</t>
  </si>
  <si>
    <t>OPT-HDIL -27-Jan-2011-160-CE-S</t>
  </si>
  <si>
    <t xml:space="preserve">201101241700007951 </t>
  </si>
  <si>
    <t>OPT-TELCO -27-Jan-2011-1100-PE-S</t>
  </si>
  <si>
    <t xml:space="preserve">201101181700006684 </t>
  </si>
  <si>
    <t>OPT-TELCO -27-Jan-2011-1200-PE-S</t>
  </si>
  <si>
    <t xml:space="preserve">201012311500000553 </t>
  </si>
  <si>
    <t>OPT-NIFTY -30-Dec-2010-6000-PE-I</t>
  </si>
  <si>
    <t xml:space="preserve">201012291700005929 </t>
  </si>
  <si>
    <t xml:space="preserve">201012291700005894 </t>
  </si>
  <si>
    <t>OPT-NIFTY -30-Dec-2010-6100-CE-I</t>
  </si>
  <si>
    <t xml:space="preserve">201012271700005727 </t>
  </si>
  <si>
    <t xml:space="preserve">201012271700005700 </t>
  </si>
  <si>
    <t>OPT-NIFTY -30-Dec-2010-5900-PE-I</t>
  </si>
  <si>
    <t xml:space="preserve">201012241700006738 </t>
  </si>
  <si>
    <t xml:space="preserve">201012241700006720 </t>
  </si>
  <si>
    <t xml:space="preserve">201012021700004329 </t>
  </si>
  <si>
    <t xml:space="preserve">201011301700009695 </t>
  </si>
  <si>
    <t>OPT-NIFTY -25-Nov-2010-5900-CE-I</t>
  </si>
  <si>
    <t xml:space="preserve">201011251700010353 </t>
  </si>
  <si>
    <t>OPT-HUGTEL-25-Nov-2010-25-CA-S</t>
  </si>
  <si>
    <t xml:space="preserve">201010251700003598 </t>
  </si>
  <si>
    <t>OPT-HUGTEL-28-Oct-2010-25-CA-S</t>
  </si>
  <si>
    <t xml:space="preserve">201010251700002491 </t>
  </si>
  <si>
    <t>OPT-NIFTY -28-Oct-2010-6300-CE-I</t>
  </si>
  <si>
    <t xml:space="preserve">201010191700009856 </t>
  </si>
  <si>
    <t xml:space="preserve">201010151700010636 </t>
  </si>
  <si>
    <t>OPT-HUGTEL-28-Oct-2010-27.5-CA-S</t>
  </si>
  <si>
    <t xml:space="preserve">201010151700009690 </t>
  </si>
  <si>
    <t xml:space="preserve">201010151700009541 </t>
  </si>
  <si>
    <t>OPT-NIFTY -28-Oct-2010-6400-CE-I</t>
  </si>
  <si>
    <t xml:space="preserve">201010111700007342 </t>
  </si>
  <si>
    <t xml:space="preserve">201010111700004030 </t>
  </si>
  <si>
    <t xml:space="preserve">201010111700002214 </t>
  </si>
  <si>
    <t>OPT-PUNLLO-28-Oct-2010-150-CA-S</t>
  </si>
  <si>
    <t xml:space="preserve">201010011700011210 </t>
  </si>
  <si>
    <t>OPT-NIFTY -30-Sep-2010-6000-PE-I</t>
  </si>
  <si>
    <t xml:space="preserve">201009281700008410 </t>
  </si>
  <si>
    <t>OPT-NTPC -30-Sep-2010-210-CA-S</t>
  </si>
  <si>
    <t xml:space="preserve">201009201700008799 </t>
  </si>
  <si>
    <t>OPT-MARUTI-26-Aug-2010-1250-CA-S</t>
  </si>
  <si>
    <t xml:space="preserve">201008201700001809 </t>
  </si>
  <si>
    <t xml:space="preserve">201008191700008017 </t>
  </si>
  <si>
    <t xml:space="preserve">201008191700007931 </t>
  </si>
  <si>
    <t>OPT-JINVIJ-26-Aug-2010-1150-CA-S</t>
  </si>
  <si>
    <t xml:space="preserve">201008191700004441 </t>
  </si>
  <si>
    <t xml:space="preserve">201008191700003020 </t>
  </si>
  <si>
    <t xml:space="preserve">201008171700005583 </t>
  </si>
  <si>
    <t>OPT-TISCO -26-Aug-2010-540-CA-S</t>
  </si>
  <si>
    <t xml:space="preserve">201008111700006925 </t>
  </si>
  <si>
    <t>30-09-2011</t>
  </si>
  <si>
    <t>OPTDLY/I71662-3009</t>
  </si>
  <si>
    <t xml:space="preserve">201008111700006751 </t>
  </si>
  <si>
    <t>OPT-NIFTY -26-Aug-2010-5700-CE-I</t>
  </si>
  <si>
    <t xml:space="preserve">201008031700005590 </t>
  </si>
  <si>
    <t>OPT-NIFTY -26-Aug-2010-5500-CE-I</t>
  </si>
  <si>
    <t>28-03-2012</t>
  </si>
  <si>
    <t xml:space="preserve">201008021700006585 </t>
  </si>
  <si>
    <t>OPT-ISPIND-29-Jul-2010-20-CA-S</t>
  </si>
  <si>
    <t xml:space="preserve">201007151700008058 </t>
  </si>
  <si>
    <t xml:space="preserve">201007151700004180 </t>
  </si>
  <si>
    <t>OPT-DECAVI-29-Jul-2010-55-CA-S</t>
  </si>
  <si>
    <t xml:space="preserve">201007131700001634 </t>
  </si>
  <si>
    <t>FY12</t>
  </si>
  <si>
    <t>FNO Charges:</t>
  </si>
  <si>
    <t>Equity Charges:</t>
  </si>
  <si>
    <t>Equity</t>
  </si>
  <si>
    <t>FNO</t>
  </si>
  <si>
    <t>----------------------------------------------</t>
  </si>
  <si>
    <t>OPT-JAIASS-29-Jul-2010-130-CA-S</t>
  </si>
  <si>
    <t xml:space="preserve">201007121700003607 </t>
  </si>
  <si>
    <t>OPT-NIFTY -29-Jul-2010-5300-CE-I</t>
  </si>
  <si>
    <t xml:space="preserve">201007071700007880 </t>
  </si>
  <si>
    <t>OPT-IFCI -29-Jul-2010-50-PA-S</t>
  </si>
  <si>
    <t xml:space="preserve">201007061700007131 </t>
  </si>
  <si>
    <t xml:space="preserve">201007021700007107 </t>
  </si>
  <si>
    <t xml:space="preserve">201007021700003545 </t>
  </si>
  <si>
    <t>OPT-NIFTY -29-Jul-2010-4800-PE-I</t>
  </si>
  <si>
    <t xml:space="preserve">201007021700001999 </t>
  </si>
  <si>
    <t>02-01-2012</t>
  </si>
  <si>
    <t>OPTDLY/I71662-0201</t>
  </si>
  <si>
    <t>OPTSTKSESAGOA25JAN2012</t>
  </si>
  <si>
    <t>OPTDLY/I71662-0301</t>
  </si>
  <si>
    <t>03-01-2012</t>
  </si>
  <si>
    <t>06-01-2012</t>
  </si>
  <si>
    <t>OPTDLY/I71662-0601</t>
  </si>
  <si>
    <t>07-01-2012</t>
  </si>
  <si>
    <t>OPTDLY/I71662-0701</t>
  </si>
  <si>
    <t>OPTDLY/I71662-0901</t>
  </si>
  <si>
    <t>09-01-2012</t>
  </si>
  <si>
    <t>16-02-2012</t>
  </si>
  <si>
    <t>OPTDLY/I71662-1602</t>
  </si>
  <si>
    <t>17-02-2012</t>
  </si>
  <si>
    <t>OPTDLY/I71662-1702</t>
  </si>
  <si>
    <t>OPTDLY/I71662-2102</t>
  </si>
  <si>
    <t>22-02-2012</t>
  </si>
  <si>
    <t>OPTDLY/I71662-2202</t>
  </si>
  <si>
    <t>21-02-2012</t>
  </si>
  <si>
    <t>OPTIDXNIFTY29MAR2012</t>
  </si>
  <si>
    <t>23-02-2012</t>
  </si>
  <si>
    <t>OPTDLY/I71662-2302</t>
  </si>
  <si>
    <t>24-02-2012</t>
  </si>
  <si>
    <t>OPTDLY/I71662-2402</t>
  </si>
  <si>
    <t>02-06-2011</t>
  </si>
  <si>
    <t>06-05-2011</t>
  </si>
  <si>
    <t>04-05-2011</t>
  </si>
  <si>
    <t>OPTDLY/I71662-2702</t>
  </si>
  <si>
    <t>27-02-2012</t>
  </si>
  <si>
    <t>CALL &amp; TRADE CHARGES 23-02-2012-I71662</t>
  </si>
  <si>
    <t>JV1-2702</t>
  </si>
  <si>
    <t>ATOMPG-ICICI Bank-295452363</t>
  </si>
  <si>
    <t>OPTIDXNIFTY23FEB2012</t>
  </si>
  <si>
    <t>10-01-2012</t>
  </si>
  <si>
    <t>OPTDLY/I71662-1001</t>
  </si>
  <si>
    <t>11-01-2012</t>
  </si>
  <si>
    <t>OPTDLY/I71662-1101</t>
  </si>
  <si>
    <t>MONTHLY MAINTENANCE CHARGES - 11-01-2012 - 10-02-2012</t>
  </si>
  <si>
    <t>FOMMC-Monthly-11012012</t>
  </si>
  <si>
    <t>12-01-2012</t>
  </si>
  <si>
    <t>OPTDLY/I71662-1201</t>
  </si>
  <si>
    <t>CALL &amp; TRADE CHARGES 11-01-2012-I71662</t>
  </si>
  <si>
    <t>JV37-1201</t>
  </si>
  <si>
    <t>OPTDLY/I71662-1301</t>
  </si>
  <si>
    <t>13-01-2012</t>
  </si>
  <si>
    <t>16-01-2012</t>
  </si>
  <si>
    <t>OPTDLY/I71662-1601</t>
  </si>
  <si>
    <t>17-01-2012</t>
  </si>
  <si>
    <t>OPTDLY/I71662-1701</t>
  </si>
  <si>
    <t>OPT-NIFTY -29-Jul-2010-5000-PE-I</t>
  </si>
  <si>
    <t xml:space="preserve">201006291700008756 </t>
  </si>
  <si>
    <t xml:space="preserve">201006281700005998 </t>
  </si>
  <si>
    <t>OPT-NIFTY -29-Jul-2010-5100-PE-I</t>
  </si>
  <si>
    <t xml:space="preserve">201006241700008501 </t>
  </si>
  <si>
    <t>OPT-NIFTY -29-Jul-2010-5200-PE-I</t>
  </si>
  <si>
    <t xml:space="preserve">201006221700017196 </t>
  </si>
  <si>
    <t xml:space="preserve">201006211700007915 </t>
  </si>
  <si>
    <t>OPT-NIFTY -24-Jun-2010-5200-PE-I</t>
  </si>
  <si>
    <t xml:space="preserve">201006171700007428 </t>
  </si>
  <si>
    <t>OPT-RELCOM-24-Jun-2010-180-PA-S</t>
  </si>
  <si>
    <t xml:space="preserve">201006171700006469 </t>
  </si>
  <si>
    <t>OPT-BHATE -24-Jun-2010-280-CA-S</t>
  </si>
  <si>
    <t xml:space="preserve">201006081700006683 </t>
  </si>
  <si>
    <t>OPT-DLFLIM-24-Jun-2010-280-CA-S</t>
  </si>
  <si>
    <t xml:space="preserve">201006081700006389 </t>
  </si>
  <si>
    <t>OPT-RELCOM-27-May-2010-150-CA-S</t>
  </si>
  <si>
    <t xml:space="preserve">201005171700010544 </t>
  </si>
  <si>
    <t xml:space="preserve">201005171700003939 </t>
  </si>
  <si>
    <t>OPT-RELCOM-27-May-2010-170-CA-S</t>
  </si>
  <si>
    <t xml:space="preserve">201005061700009653 </t>
  </si>
  <si>
    <t xml:space="preserve">201005041700007698 </t>
  </si>
  <si>
    <t xml:space="preserve">201005041700001288 </t>
  </si>
  <si>
    <t>OPT-RELCOM-27-May-2010-180-CA-S</t>
  </si>
  <si>
    <t xml:space="preserve">201004271700001975 </t>
  </si>
  <si>
    <t>Net Buy:</t>
  </si>
  <si>
    <t xml:space="preserve">201101251700005295 </t>
  </si>
  <si>
    <t xml:space="preserve">201012311500002902 </t>
  </si>
  <si>
    <t xml:space="preserve">201012271700005658 </t>
  </si>
  <si>
    <t xml:space="preserve">201010261700001756 </t>
  </si>
  <si>
    <t xml:space="preserve">201010251700003550 </t>
  </si>
  <si>
    <t xml:space="preserve">201010201700007609 </t>
  </si>
  <si>
    <t xml:space="preserve">201010201700003353 </t>
  </si>
  <si>
    <t xml:space="preserve">201010151700010516 </t>
  </si>
  <si>
    <t xml:space="preserve">201010131700003353 </t>
  </si>
  <si>
    <t xml:space="preserve">201010051700003569 </t>
  </si>
  <si>
    <t xml:space="preserve">201009291700007654 </t>
  </si>
  <si>
    <t xml:space="preserve">201009241700003328 </t>
  </si>
  <si>
    <t xml:space="preserve">201008241700007625 </t>
  </si>
  <si>
    <t xml:space="preserve">201008201700008275 </t>
  </si>
  <si>
    <t xml:space="preserve">201008191700007878 </t>
  </si>
  <si>
    <t xml:space="preserve">201008121700009648 </t>
  </si>
  <si>
    <t xml:space="preserve">201008031700005483 </t>
  </si>
  <si>
    <t xml:space="preserve">201007271700001217 </t>
  </si>
  <si>
    <t xml:space="preserve">201007091700003057 </t>
  </si>
  <si>
    <t xml:space="preserve">201007071700006465 </t>
  </si>
  <si>
    <t xml:space="preserve">201007061700003892 </t>
  </si>
  <si>
    <t xml:space="preserve">201007021700006969 </t>
  </si>
  <si>
    <t xml:space="preserve">201007021700003485 </t>
  </si>
  <si>
    <t xml:space="preserve">201007011700003089 </t>
  </si>
  <si>
    <t xml:space="preserve">201006241700007539 </t>
  </si>
  <si>
    <t xml:space="preserve">201006221700016697 </t>
  </si>
  <si>
    <t xml:space="preserve">201006171700007406 </t>
  </si>
  <si>
    <t xml:space="preserve">201006171700006304 </t>
  </si>
  <si>
    <t xml:space="preserve">201006091700006503 </t>
  </si>
  <si>
    <t xml:space="preserve">201005171700003807 </t>
  </si>
  <si>
    <t xml:space="preserve">201005031700006562 </t>
  </si>
  <si>
    <t>OPT-NIFTY -30-Dec-2010-6100-CE</t>
  </si>
  <si>
    <t>Exercise</t>
  </si>
  <si>
    <t>30-Dec-2010</t>
  </si>
  <si>
    <t>Net Sell:</t>
  </si>
  <si>
    <t>Net Profit / Loss:</t>
  </si>
  <si>
    <t>Transaction Date</t>
  </si>
  <si>
    <t>Scrip Name</t>
  </si>
  <si>
    <t>Buy/Sell</t>
  </si>
  <si>
    <t>Price</t>
  </si>
  <si>
    <t>Busn. Date</t>
  </si>
  <si>
    <t>Description-ISIN</t>
  </si>
  <si>
    <t>Credit</t>
  </si>
  <si>
    <t>Debit</t>
  </si>
  <si>
    <t>Balance</t>
  </si>
  <si>
    <t>Opening Blance:</t>
  </si>
  <si>
    <t>28/01/2010</t>
  </si>
  <si>
    <t>N T P C LIMITED </t>
  </si>
  <si>
    <r>
      <t xml:space="preserve">BUY </t>
    </r>
    <r>
      <rPr>
        <sz val="10"/>
        <rFont val="Arial"/>
        <family val="2"/>
      </rPr>
      <t> </t>
    </r>
  </si>
  <si>
    <t>ON-CR TD:776872 TX:964672 1204720000100419 SET:N2010018</t>
  </si>
  <si>
    <t>MANGALORE CHEMI </t>
  </si>
  <si>
    <t>OF-CR TD:595238 TX:596319 1204720000015095 SET:N2009165</t>
  </si>
  <si>
    <t>26/02/2010</t>
  </si>
  <si>
    <t>RELIANCE POWER </t>
  </si>
  <si>
    <t>ON-CR TD:651624 TX:715374 1204720000100419 SET:N2010038</t>
  </si>
  <si>
    <t>Buy:</t>
  </si>
  <si>
    <t>16/04/2010</t>
  </si>
  <si>
    <t>BHARTI AIRTEL </t>
  </si>
  <si>
    <t>N/A-Intraday</t>
  </si>
  <si>
    <t>REL COM VEN </t>
  </si>
  <si>
    <t>BUY  </t>
  </si>
  <si>
    <t>20/04/2010</t>
  </si>
  <si>
    <t>ON-CR TD:987750 TX:490551 1204720000100419 SET:N2010069</t>
  </si>
  <si>
    <t>16-08-2011</t>
  </si>
  <si>
    <t>OPTDLY/I71662-1608</t>
  </si>
  <si>
    <t>17-08-2011</t>
  </si>
  <si>
    <t>OPTDLY/I71662-1708</t>
  </si>
  <si>
    <t>18-08-2011</t>
  </si>
  <si>
    <t>OPTDLY/I71662-1808</t>
  </si>
  <si>
    <t>Cheque ReceivedBIL/000246889069/i71662/NSP</t>
  </si>
  <si>
    <t>19-08-2011</t>
  </si>
  <si>
    <t>OPTDLY/I71662-1908</t>
  </si>
  <si>
    <t>22-08-2011</t>
  </si>
  <si>
    <t>Cheque Received\BIL/000247512001/i71662/NSP</t>
  </si>
  <si>
    <t>OPTDLY/I71662-2208</t>
  </si>
  <si>
    <t>ON-CR TD:230090 TX:776122 1204720000100419 SET:N2010084</t>
  </si>
  <si>
    <t>21/5/2010</t>
  </si>
  <si>
    <t>25/05/2010</t>
  </si>
  <si>
    <t>OPTDLY/I71662-1612</t>
  </si>
  <si>
    <t>16-12-2011</t>
  </si>
  <si>
    <t>Cheque ReceivedBIL/000276325529/for i71662/NSP</t>
  </si>
  <si>
    <t>OPTDLY/I71662-2212</t>
  </si>
  <si>
    <t>22-12-2011</t>
  </si>
  <si>
    <t>OPTIDXBANKNIFTY29DEC2011</t>
  </si>
  <si>
    <t>OPTDLY/I71662-2312</t>
  </si>
  <si>
    <t>23-12-2011</t>
  </si>
  <si>
    <t>26-12-2011</t>
  </si>
  <si>
    <t>P/L till FY11 :</t>
  </si>
  <si>
    <t>ON-CR TD:602427 TX:621242 1204720000100419 SET:N2010094</t>
  </si>
  <si>
    <t>13/05/2010</t>
  </si>
  <si>
    <t>CALL &amp; TRADE CHARGES 18-10-2011-I71662</t>
  </si>
  <si>
    <t>JV17-1910</t>
  </si>
  <si>
    <t>19-10-2011</t>
  </si>
  <si>
    <t>20-10-2011</t>
  </si>
  <si>
    <t>OPTDLY/I71662-2010</t>
  </si>
  <si>
    <t>STT &amp; Other Chrg.</t>
  </si>
  <si>
    <t>21-10-2011</t>
  </si>
  <si>
    <t>OPTDLY/I71662-2110</t>
  </si>
  <si>
    <t>24-10-2011</t>
  </si>
  <si>
    <t>OPTDLY/I71662-2410</t>
  </si>
  <si>
    <t>27-10-2011</t>
  </si>
  <si>
    <t>CALL &amp; TRADE CHARGES 24-10-2011-I71662</t>
  </si>
  <si>
    <t>JV1-2710</t>
  </si>
  <si>
    <t>25-10-2011</t>
  </si>
  <si>
    <t>OPTDLY/I71662-2510</t>
  </si>
  <si>
    <t>26-10-2011</t>
  </si>
  <si>
    <t>28-10-2011</t>
  </si>
  <si>
    <t>CALL &amp; TRADE CHARGES 25-10-2011-I71662</t>
  </si>
  <si>
    <t>JV1-2810</t>
  </si>
  <si>
    <t>OPTDLY/I71662-2810</t>
  </si>
  <si>
    <t>OPTSTKTATAMOTORS24NOV2011</t>
  </si>
  <si>
    <t>31-10-2011</t>
  </si>
  <si>
    <t>OPTDLY/I71662-3110</t>
  </si>
  <si>
    <t>01-11-2011</t>
  </si>
  <si>
    <t>OPTDLY/I71662-0111</t>
  </si>
  <si>
    <t>02-11-2011</t>
  </si>
  <si>
    <t>OPTDLY/I71662-0211</t>
  </si>
  <si>
    <t>OPTSTKASHOKLEY24NOV2011</t>
  </si>
  <si>
    <t>03-11-2011</t>
  </si>
  <si>
    <t>OPTDLY/I71662-0311</t>
  </si>
  <si>
    <t>CALL &amp; TRADE CHARGES 03-11-2011-I71662</t>
  </si>
  <si>
    <t>JV11-0411</t>
  </si>
  <si>
    <t>04-11-2011</t>
  </si>
  <si>
    <t>ON-CR TD:469170 TX:354366 1204720000100419 SET:N2010086</t>
  </si>
  <si>
    <t>J K PAPERS LTD</t>
  </si>
  <si>
    <t>ON-CR TD:497813 TX:412308 1204720000100419 SET:N2010101</t>
  </si>
  <si>
    <t xml:space="preserve">DLF LIMITED </t>
  </si>
  <si>
    <t>ON-CR TD:133148 TX:583338 1204720000100419 SET:N2010106</t>
  </si>
  <si>
    <t>17/06/2010 </t>
  </si>
  <si>
    <t>21/06/2010</t>
  </si>
  <si>
    <t>ON-CR TD:913224 TX:343849 1204720000100419 SET:N2010113</t>
  </si>
  <si>
    <t>UNITED PHOSPHOR </t>
  </si>
  <si>
    <t>25-11-2011</t>
  </si>
  <si>
    <t>CALL &amp; TRADE CHARGES 23-11-2011-I71662</t>
  </si>
  <si>
    <t>JV1-2511</t>
  </si>
  <si>
    <t>26-11-2011</t>
  </si>
  <si>
    <t>CALL &amp; TRADE CHARGES 24-11-2011-I71662</t>
  </si>
  <si>
    <t>JV1-2611</t>
  </si>
  <si>
    <t>OPTDLY/I71662-2511</t>
  </si>
  <si>
    <t>OPTDLY/I71662-2911</t>
  </si>
  <si>
    <t>29-11-2011</t>
  </si>
  <si>
    <t>30-11-2011</t>
  </si>
  <si>
    <t>OPTDLY/I71662-3011</t>
  </si>
  <si>
    <t>CALL &amp; TRADE CHARGES 30-11-2011-I71662</t>
  </si>
  <si>
    <t>JV1-0212</t>
  </si>
  <si>
    <t>02-12-2011</t>
  </si>
  <si>
    <t>OPTIDXNIFTY25JAN2012</t>
  </si>
  <si>
    <t>OPTDLY/I71662-0212</t>
  </si>
  <si>
    <t>05-12-2011</t>
  </si>
  <si>
    <t>OPTDLY/I71662-0512</t>
  </si>
  <si>
    <t>CALL &amp; TRADE CHARGES 05-12-2011-I71662</t>
  </si>
  <si>
    <t>JV1-0712</t>
  </si>
  <si>
    <t>07-12-2011</t>
  </si>
  <si>
    <t>ON-CR TD:851301 TX:221055 1204720000100419 SET:N2010128</t>
  </si>
  <si>
    <t>12/07/2010 </t>
  </si>
  <si>
    <t>SHIRPUR GOLD RE </t>
  </si>
  <si>
    <t>16/07/2010</t>
  </si>
  <si>
    <t>OF-CR TD:420417 TX:259586 1204720000015095 SET:1110001011073</t>
  </si>
  <si>
    <t>16/07/2010 </t>
  </si>
  <si>
    <t>20/07/2010</t>
  </si>
  <si>
    <t>ON-CR TD:690691 TX:800262 1204720000100398 SET:1110001011077</t>
  </si>
  <si>
    <t>23/07/2010</t>
  </si>
  <si>
    <t>ASSAM COMPANY I </t>
  </si>
  <si>
    <t>27/07/2010</t>
  </si>
  <si>
    <t>ON-CR TD:385754 TX:190801 1204720000100419 SET:N2010139</t>
  </si>
  <si>
    <t>09/08/2010 </t>
  </si>
  <si>
    <t>PUNJ LLOYD LTD </t>
  </si>
  <si>
    <t xml:space="preserve">BUY  </t>
  </si>
  <si>
    <t>ON-CR TD:868655 TX:257176 1204720000100398 SET:1110001011093</t>
  </si>
  <si>
    <t>SUZLON ENERGY L </t>
  </si>
  <si>
    <t>BUY </t>
  </si>
  <si>
    <t>ON-CR TD:871356 TX:262578 1204720000100398 SET:1110001011093</t>
  </si>
  <si>
    <t>17/08/2010 </t>
  </si>
  <si>
    <t>20/08/2010</t>
  </si>
  <si>
    <t>ON-CR TD:843688 TX:207745 1204720000100398 SET:1110001011099</t>
  </si>
  <si>
    <t>19/08/2010 </t>
  </si>
  <si>
    <t>J K LAKSHMI CEM </t>
  </si>
  <si>
    <t>23/08/2010</t>
  </si>
  <si>
    <t>ON-CR TD:185101 TX:690659 1204720000100419 SET:N2010158</t>
  </si>
  <si>
    <t>26/08/2010 </t>
  </si>
  <si>
    <t>30/08/2010</t>
  </si>
  <si>
    <t>ON-CR TD:971567 TX:463905 1204720000100398 SET:1110001011106</t>
  </si>
  <si>
    <t>01/09/2010 </t>
  </si>
  <si>
    <t>ON-CR TD:565056 TX:551148 1204720000100398 SET:1110001011110</t>
  </si>
  <si>
    <t>14/09/2010</t>
  </si>
  <si>
    <t>OPT-NIFTY -31-May-2012-5000-CE-I</t>
  </si>
  <si>
    <t>16/09/2010</t>
  </si>
  <si>
    <t>ON-CR TD:961266 TX:444184 1204720000100419 SET:N2010175</t>
  </si>
  <si>
    <t>15/09/2010</t>
  </si>
  <si>
    <t>EP-DR Txn:797156 CtBo:1100001100014437 N2010191 ExId:12</t>
  </si>
  <si>
    <t>06/10/2010 </t>
  </si>
  <si>
    <t>CLARIANT CHEMIC </t>
  </si>
  <si>
    <t>ON-CR TD:212246 TX:747436 1204720000100419 SET:N2010191</t>
  </si>
  <si>
    <t>18/10/2010 </t>
  </si>
  <si>
    <t>20/10/2010</t>
  </si>
  <si>
    <t>ON-CR TD:472012 TX:367425 1204720000100398 SET:1110001011142</t>
  </si>
  <si>
    <t>27/10/2010</t>
  </si>
  <si>
    <t>OF-CR TD:252493 TX:828747 1204720000015095 SET:N2010199</t>
  </si>
  <si>
    <t>28/10/2010 </t>
  </si>
  <si>
    <t>ON-CR TD:702540 TX:829058 1204720000100419 SET:N2010207</t>
  </si>
  <si>
    <t>12/11/2010 </t>
  </si>
  <si>
    <t>16/11/2010</t>
  </si>
  <si>
    <t>ON-CR TD:491887 TX:408460 1204720000100419 SET:N2010218</t>
  </si>
  <si>
    <t>Sell:</t>
  </si>
  <si>
    <t>SELL</t>
  </si>
  <si>
    <t>EP-DR Txn:869133 CtBo:1100001100014437 N2010069 ExId:12</t>
  </si>
  <si>
    <t>EP-DR Txn:375877 CtBo:1100001100014437 N2010101 ExId:12</t>
  </si>
  <si>
    <t>REL COM VEN</t>
  </si>
  <si>
    <t>EP-DR Txn:981502 CtBo:1100001100014437 N2010106 ExId:12</t>
  </si>
  <si>
    <t>16/06/2010 </t>
  </si>
  <si>
    <t>J K PAPERS LTD </t>
  </si>
  <si>
    <t>16/06/2010</t>
  </si>
  <si>
    <t>EP-DR Txn:796948 CtBo:1100001100014437 N2010112 ExId:12</t>
  </si>
  <si>
    <t>18/06/2010</t>
  </si>
  <si>
    <t>DLF LIMITED </t>
  </si>
  <si>
    <t>EP-DR Txn:116671 CtBo:1100001100014437 N2010114 ExId:12</t>
  </si>
  <si>
    <t>22/06/2010</t>
  </si>
  <si>
    <t>EP-DR Txn:452085 CtBo:1100001100014437 N2010116 ExId:12</t>
  </si>
  <si>
    <t>24/06/2010</t>
  </si>
  <si>
    <t>EP-DR Txn:751116 CtBo:1100001100014437 N2010118 ExId:12</t>
  </si>
  <si>
    <t>EP-DR Txn:294337 CtBo:1100001100014437 N2010134 ExId:12</t>
  </si>
  <si>
    <t>22/07/2010 </t>
  </si>
  <si>
    <t>22/07/2010</t>
  </si>
  <si>
    <t>EP-DR Txn:954626 CtBo:1100001100014437 N2010138 ExId:12</t>
  </si>
  <si>
    <t>06/08/2010 </t>
  </si>
  <si>
    <t>SELL </t>
  </si>
  <si>
    <t>EP-DR Txn:755226 CtBo:1100001100014437 N2010149 ExId:12</t>
  </si>
  <si>
    <t>17/08/2010</t>
  </si>
  <si>
    <t>EP-DR Txn:025105 CtBo:1100001100014437 N2010156 ExId:12</t>
  </si>
  <si>
    <t>19/08/2010</t>
  </si>
  <si>
    <t>EP-DR Txn:325417 CtBo:1100001100014437 N2010158 ExId:12</t>
  </si>
  <si>
    <t>EP-DR Txn:325638 CtBo:1100001000017938 1110001011101 ExId:11</t>
  </si>
  <si>
    <r>
      <t>SELL</t>
    </r>
    <r>
      <rPr>
        <sz val="10"/>
        <rFont val="Arial"/>
        <family val="2"/>
      </rPr>
      <t> </t>
    </r>
  </si>
  <si>
    <t>26/08/2010</t>
  </si>
  <si>
    <t>EP-DR Txn:283371 CtBo:1100001000017938 1110001011106 ExId:11</t>
  </si>
  <si>
    <t>15/09/2010 </t>
  </si>
  <si>
    <t>EP-DR Txn:737260 CtBo:1100001000017938 1110001011119 ExId:11</t>
  </si>
  <si>
    <t>EP-DR Txn:799447 CtBo:1100001000017938 1110001011134 ExId:11</t>
  </si>
  <si>
    <t>EP-DR Txn:796560 CtBo:1100001000017938 1110001011134 ExId:11</t>
  </si>
  <si>
    <t>27/10/2010 </t>
  </si>
  <si>
    <t>EP-DR Txn:661617 CtBo:1100001100014437 N2010206 ExId:12</t>
  </si>
  <si>
    <t>05/11/2010 </t>
  </si>
  <si>
    <t>EP-DR Txn:895845 CtBo:1100001100014437 N2010213 ExId:12</t>
  </si>
  <si>
    <t>08/11/2010 </t>
  </si>
  <si>
    <t>EP-DR Txn:177813 CtBo:1100001000017938 1110001011157 ExId:11</t>
  </si>
  <si>
    <t>29/11/2010 </t>
  </si>
  <si>
    <t>29/11/2010</t>
  </si>
  <si>
    <t>EP-DR Txn:604612 CtBo:1100001000017938 1110001011171 ExId:11</t>
  </si>
  <si>
    <t>22/11/2010 </t>
  </si>
  <si>
    <t>22/11/2010</t>
  </si>
  <si>
    <t>EP-DR Txn:833729 CtBo:1100001100014437 N2010223 ExId:12</t>
  </si>
  <si>
    <t>Current Holdings:</t>
  </si>
  <si>
    <t>Net Holding;</t>
  </si>
  <si>
    <t>P/L realised in FY11:</t>
  </si>
  <si>
    <t>TRADE ON</t>
  </si>
  <si>
    <t>ORDER NO</t>
  </si>
  <si>
    <t>ORD TIME</t>
  </si>
  <si>
    <t>TRADE NO</t>
  </si>
  <si>
    <t>TRD TIME</t>
  </si>
  <si>
    <t>SCRIPNAME</t>
  </si>
  <si>
    <t>BROKERAGE</t>
  </si>
  <si>
    <t>PUR QTY</t>
  </si>
  <si>
    <t>NET RATE</t>
  </si>
  <si>
    <t>SELL QTY</t>
  </si>
  <si>
    <t>RATE</t>
  </si>
  <si>
    <t>TOTAL</t>
  </si>
  <si>
    <t>TOT BROK</t>
  </si>
  <si>
    <t>SER TAX</t>
  </si>
  <si>
    <t>STT</t>
  </si>
  <si>
    <t>NET TOTAL</t>
  </si>
  <si>
    <t>Other Charges</t>
  </si>
  <si>
    <t>30/07/2010</t>
  </si>
  <si>
    <t>BOMBAY DYEI</t>
  </si>
  <si>
    <t>OPTDLY/I71662-1307</t>
  </si>
  <si>
    <t>15 D</t>
  </si>
  <si>
    <t>5 D</t>
  </si>
  <si>
    <t>OMNITECH</t>
  </si>
  <si>
    <t>50 D</t>
  </si>
  <si>
    <t>PUNJLLOYD EQ</t>
  </si>
  <si>
    <t>30 D</t>
  </si>
  <si>
    <t>INDUS IND BK</t>
  </si>
  <si>
    <t>80 D</t>
  </si>
  <si>
    <t>HCL TECHNO</t>
  </si>
  <si>
    <t>EMCO EQ</t>
  </si>
  <si>
    <t>150 D</t>
  </si>
  <si>
    <t>MIC EQ</t>
  </si>
  <si>
    <t>250 D</t>
  </si>
  <si>
    <t>18/08/2010</t>
  </si>
  <si>
    <t>138 D</t>
  </si>
  <si>
    <t>12 D</t>
  </si>
  <si>
    <t>25/08/2010</t>
  </si>
  <si>
    <t>IAG COMPANY</t>
  </si>
  <si>
    <t>54 D</t>
  </si>
  <si>
    <t xml:space="preserve">  M311135 </t>
  </si>
  <si>
    <t xml:space="preserve">          </t>
  </si>
  <si>
    <t xml:space="preserve">BY CASH ANBUMARAN C - PORUR                                                     </t>
  </si>
  <si>
    <t xml:space="preserve">Cr   </t>
  </si>
  <si>
    <t xml:space="preserve">SB5215166 </t>
  </si>
  <si>
    <t xml:space="preserve">INF/000013469822/Make IT 500K/0                                                 </t>
  </si>
  <si>
    <t xml:space="preserve">SB5164761 </t>
  </si>
  <si>
    <t xml:space="preserve">INF/000013694678/Make IT 550K/0                                                 </t>
  </si>
  <si>
    <t xml:space="preserve">SB1273186 </t>
  </si>
  <si>
    <t>***Opening Balance</t>
  </si>
  <si>
    <t>PENALITY FOR F&amp;O SHORTFAL</t>
  </si>
  <si>
    <t>PEN/I71662-2303</t>
  </si>
  <si>
    <t>F</t>
  </si>
  <si>
    <t>FOMMC-Monthly-12042012</t>
  </si>
  <si>
    <t>N</t>
  </si>
  <si>
    <t>FOMMC-Monthly-12052012</t>
  </si>
  <si>
    <t>Cheque Received BIL/00032</t>
  </si>
  <si>
    <t>Cheque ReceivedBIL/000324</t>
  </si>
  <si>
    <t>FOMMC-Monthly-12062012</t>
  </si>
  <si>
    <t>Payment Receved ICICI Ba</t>
  </si>
  <si>
    <t>Bank Charges</t>
  </si>
  <si>
    <t>01-04-2012</t>
  </si>
  <si>
    <t>Sett.No</t>
  </si>
  <si>
    <t>SOFTWARE MAINTENANCE CHARGES</t>
  </si>
  <si>
    <t>02-04-2012</t>
  </si>
  <si>
    <t>12-04-2012</t>
  </si>
  <si>
    <t>12-05-2012</t>
  </si>
  <si>
    <t>12-06-2012</t>
  </si>
  <si>
    <t>Call &amp; Trade Charges:</t>
  </si>
  <si>
    <t>(Actual Value Ref.: 962.51)</t>
  </si>
  <si>
    <t>Till date P/L :</t>
  </si>
  <si>
    <t>30-Mar-2012</t>
  </si>
  <si>
    <t xml:space="preserve">DCARDFEE5076383NOV11-OCT12ST10                                                  </t>
  </si>
  <si>
    <t xml:space="preserve">Dr   </t>
  </si>
  <si>
    <t xml:space="preserve">SB9193681 </t>
  </si>
  <si>
    <t xml:space="preserve">INF/000013496819/FT to Anbu/0                                                   </t>
  </si>
  <si>
    <t xml:space="preserve">SB3113078 </t>
  </si>
  <si>
    <t xml:space="preserve">INF/000013577060/Make IT 540K/0                                                 </t>
  </si>
  <si>
    <t xml:space="preserve">SB5762675 </t>
  </si>
  <si>
    <t xml:space="preserve">INF/000013697779/For Trade/0                                                    </t>
  </si>
  <si>
    <t xml:space="preserve">SB4637552 </t>
  </si>
  <si>
    <t xml:space="preserve">BIL/271700249/sample ganesh/NSP                                                 </t>
  </si>
  <si>
    <t xml:space="preserve">SB7818316 </t>
  </si>
  <si>
    <t xml:space="preserve">BIL/272584760/all the best/NSP                                                  </t>
  </si>
  <si>
    <t xml:space="preserve">SB6247350 </t>
  </si>
  <si>
    <t xml:space="preserve">BIL/274725028/ganesh anbu/NSP                                                   </t>
  </si>
  <si>
    <t xml:space="preserve">SB4353483 </t>
  </si>
  <si>
    <t xml:space="preserve">BIL/276444058/excluding today/NSP                                               </t>
  </si>
  <si>
    <t xml:space="preserve">SB1830555 </t>
  </si>
  <si>
    <t xml:space="preserve">BIL/278004880/excl friday/NSP                                                   </t>
  </si>
  <si>
    <t xml:space="preserve">SB3009401 </t>
  </si>
  <si>
    <t xml:space="preserve">SB2816134 </t>
  </si>
  <si>
    <t xml:space="preserve">INF/000013277653/Test/0                                                         </t>
  </si>
  <si>
    <t xml:space="preserve">SB2928357 </t>
  </si>
  <si>
    <t xml:space="preserve">027501529333:Int.Pd:01-09-2011 to 29-02-2012                                    </t>
  </si>
  <si>
    <t xml:space="preserve">SB2818985 </t>
  </si>
  <si>
    <t xml:space="preserve">INF/000013277675/MakeIT 500K/0                                                  </t>
  </si>
  <si>
    <t xml:space="preserve">SB5108309 </t>
  </si>
  <si>
    <t xml:space="preserve">INF/000013760818/For Tips/0                                                     </t>
  </si>
  <si>
    <t xml:space="preserve">SB9280871 </t>
  </si>
  <si>
    <t xml:space="preserve">INF/000013892808/For Trade MakeIT 550K/0                                        </t>
  </si>
  <si>
    <t xml:space="preserve">SB2607828 </t>
  </si>
  <si>
    <t xml:space="preserve">INF/000014025340/Make IT 550K/0                                                 </t>
  </si>
  <si>
    <t xml:space="preserve">SB1085183 </t>
  </si>
  <si>
    <t xml:space="preserve">BIL/291763826/anbu ganesh/NSP                                                   </t>
  </si>
  <si>
    <t>Return on Investment</t>
  </si>
  <si>
    <t>Sub Total:</t>
  </si>
  <si>
    <t xml:space="preserve">BIL/280705667/ganesh anbu/NSP                                                   </t>
  </si>
  <si>
    <t xml:space="preserve">SB2937590 </t>
  </si>
  <si>
    <t xml:space="preserve">BIL/283064757/last week/NSP                                                     </t>
  </si>
  <si>
    <t xml:space="preserve">SB3585105 </t>
  </si>
  <si>
    <t xml:space="preserve">BIL/285345960/last week/NSP                                                     </t>
  </si>
  <si>
    <t xml:space="preserve">SB4370902 </t>
  </si>
  <si>
    <t xml:space="preserve">BIL/285516106/balance/NSP                                                       </t>
  </si>
  <si>
    <t xml:space="preserve"> M3106896 </t>
  </si>
  <si>
    <t xml:space="preserve">BY CASH  - SELAIYUR 6037                                                        </t>
  </si>
  <si>
    <t xml:space="preserve"> M3370267 </t>
  </si>
  <si>
    <t>Description</t>
  </si>
  <si>
    <t>Cr/Dr</t>
  </si>
  <si>
    <t>No</t>
  </si>
  <si>
    <t>Tran ID</t>
  </si>
  <si>
    <t>Value Date</t>
  </si>
  <si>
    <t>Txn Date</t>
  </si>
  <si>
    <t>Cheque No.</t>
  </si>
  <si>
    <t>Amount</t>
  </si>
  <si>
    <t>Income from PC</t>
  </si>
  <si>
    <t>Dec-2011</t>
  </si>
  <si>
    <t>Jan-2012</t>
  </si>
  <si>
    <t>116 D</t>
  </si>
  <si>
    <t>500 D</t>
  </si>
  <si>
    <t>IBREALEST EQ</t>
  </si>
  <si>
    <t>100 D</t>
  </si>
  <si>
    <t>13/9/2010</t>
  </si>
  <si>
    <t>EMCO Divident</t>
  </si>
  <si>
    <t>Charges for settlement/margin transaction</t>
  </si>
  <si>
    <t>Investment:</t>
  </si>
  <si>
    <t>OPTIDXNIFTY26JUL2012</t>
  </si>
  <si>
    <t>27-06-2012</t>
  </si>
  <si>
    <t>OPTDLY/I71662-2706</t>
  </si>
  <si>
    <t>OPTDLY/I71662-2707</t>
  </si>
  <si>
    <t>02-07-2012</t>
  </si>
  <si>
    <t>OPTDLY/I71662-0207</t>
  </si>
  <si>
    <t>03-07-2012</t>
  </si>
  <si>
    <t>OPTDLY/I71662-0307</t>
  </si>
  <si>
    <t>FOMMC-Monthly-12072012</t>
  </si>
  <si>
    <t>19-07-2012</t>
  </si>
  <si>
    <t>12-07-2012</t>
  </si>
  <si>
    <t>25-07-2012</t>
  </si>
  <si>
    <t>CALL &amp; TRADE CHARGES 23-0</t>
  </si>
  <si>
    <t>JV2-2507</t>
  </si>
  <si>
    <t>NTRF</t>
  </si>
  <si>
    <t>27-07-2012</t>
  </si>
  <si>
    <t>OPTDLY/I71662-1907</t>
  </si>
  <si>
    <t>23-07-2012</t>
  </si>
  <si>
    <t>OPTDLY/I71662-2307</t>
  </si>
  <si>
    <t>OPTDLY/I71662-2507</t>
  </si>
  <si>
    <t>OPTIDXNIFTY30AUG2012</t>
  </si>
  <si>
    <t>26-07-2012</t>
  </si>
  <si>
    <t>OPTDLY/I71662-2607</t>
  </si>
  <si>
    <t>OPTDLY/I71662-3007</t>
  </si>
  <si>
    <t>Trade P/L:</t>
  </si>
  <si>
    <t>Stock Holding Value:</t>
  </si>
  <si>
    <t>Other Charges:</t>
  </si>
  <si>
    <t>Balance Cash:</t>
  </si>
  <si>
    <t>Small Adjustment:</t>
  </si>
  <si>
    <t>-------------------</t>
  </si>
  <si>
    <t>Curr Value:</t>
  </si>
  <si>
    <t>Profit/Loss Realised:</t>
  </si>
  <si>
    <t>Net Profit:</t>
  </si>
  <si>
    <t>Profit %:</t>
  </si>
  <si>
    <t>Tally:</t>
  </si>
  <si>
    <t>Opending Balance - Long Term Stock Holding (NOT sold in FY10):</t>
  </si>
  <si>
    <t>20081008N700032030</t>
  </si>
  <si>
    <t xml:space="preserve">IN303028-51838407 </t>
  </si>
  <si>
    <t>20081007N900012055</t>
  </si>
  <si>
    <t>20081007N900016537</t>
  </si>
  <si>
    <t>Opening Balance:</t>
  </si>
  <si>
    <t>BALTEL</t>
  </si>
  <si>
    <t>20090331N100014943</t>
  </si>
  <si>
    <t>Trade for the FY10 (Sell):</t>
  </si>
  <si>
    <t>RELPOW</t>
  </si>
  <si>
    <t>20100226N900004184</t>
  </si>
  <si>
    <t>20100217N900011339</t>
  </si>
  <si>
    <t>20100128B200004664</t>
  </si>
  <si>
    <t>20100127B200011357</t>
  </si>
  <si>
    <t>Taxable Profit:</t>
  </si>
  <si>
    <t>20100122N900013845</t>
  </si>
  <si>
    <t>20100122N900015816</t>
  </si>
  <si>
    <t>20100114N900019775</t>
  </si>
  <si>
    <t>20100108B100017131</t>
  </si>
  <si>
    <t>20091223B300014335</t>
  </si>
  <si>
    <t>MTNL</t>
  </si>
  <si>
    <t>20091211N900008252</t>
  </si>
  <si>
    <t>APOTYR</t>
  </si>
  <si>
    <t>20091127N900020153</t>
  </si>
  <si>
    <t>20091112N900012308</t>
  </si>
  <si>
    <t>IBSECU</t>
  </si>
  <si>
    <t>20091104N900016501</t>
  </si>
  <si>
    <t>JKCEME</t>
  </si>
  <si>
    <t>20091016N900023342</t>
  </si>
  <si>
    <t>PEESHI</t>
  </si>
  <si>
    <t>20091012N900010996</t>
  </si>
  <si>
    <t>HOTLEE</t>
  </si>
  <si>
    <t>20091009N900025492</t>
  </si>
  <si>
    <t>20091009N900025806</t>
  </si>
  <si>
    <t>20091008N900028307</t>
  </si>
  <si>
    <t>XLTELE</t>
  </si>
  <si>
    <t>20091005N900023527</t>
  </si>
  <si>
    <t>JAIHYD</t>
  </si>
  <si>
    <t>20091005N900023608</t>
  </si>
  <si>
    <t>20090924N900010969</t>
  </si>
  <si>
    <t>POWGRI</t>
  </si>
  <si>
    <t>20090923N900022090</t>
  </si>
  <si>
    <t>20090923N900022315</t>
  </si>
  <si>
    <t>ARVMIL</t>
  </si>
  <si>
    <t>20090911N900026018</t>
  </si>
  <si>
    <t>JETAIR</t>
  </si>
  <si>
    <t>20090911N900027361</t>
  </si>
  <si>
    <t>SAIL</t>
  </si>
  <si>
    <t>20090908N900019134</t>
  </si>
  <si>
    <t>MarginPLUS</t>
  </si>
  <si>
    <t>20090908N900019512</t>
  </si>
  <si>
    <t>20090907N900020818</t>
  </si>
  <si>
    <t>WIPRO</t>
  </si>
  <si>
    <t>20090904N900026301</t>
  </si>
  <si>
    <t>TISCO</t>
  </si>
  <si>
    <t>20090903N900009377</t>
  </si>
  <si>
    <t>GVKPOW</t>
  </si>
  <si>
    <t>20090901N900012851</t>
  </si>
  <si>
    <t>IDECEL</t>
  </si>
  <si>
    <t>20090901N900013893</t>
  </si>
  <si>
    <t>PRAIN</t>
  </si>
  <si>
    <t>20090901N900033629</t>
  </si>
  <si>
    <t>KSOIL</t>
  </si>
  <si>
    <t>20090831B300026085</t>
  </si>
  <si>
    <t>NTPC</t>
  </si>
  <si>
    <t>20090814N900027736</t>
  </si>
  <si>
    <t>CHAFER</t>
  </si>
  <si>
    <t>20090716N900016965</t>
  </si>
  <si>
    <t>20090716N900017993</t>
  </si>
  <si>
    <t>20090625B200007393</t>
  </si>
  <si>
    <t>20090619N900023085</t>
  </si>
  <si>
    <t>BALIN</t>
  </si>
  <si>
    <t>13-09-2011</t>
  </si>
  <si>
    <t>OPTDLY/I71662-1209</t>
  </si>
  <si>
    <t>CALL &amp; TRADE CHARGES 12-09-2011-I71662</t>
  </si>
  <si>
    <t>JV9-1309</t>
  </si>
  <si>
    <t>14-09-2011</t>
  </si>
  <si>
    <t>OPTDLY/I71662-1309</t>
  </si>
  <si>
    <t>CALL &amp; TRADE CHARGES 13-09-2011-I71662</t>
  </si>
  <si>
    <t>JV22-1409</t>
  </si>
  <si>
    <t>15-09-2011</t>
  </si>
  <si>
    <t>OPTDLY/I71662-1409</t>
  </si>
  <si>
    <t>16-09-2011</t>
  </si>
  <si>
    <t>OPTDLY/I71662-1509</t>
  </si>
  <si>
    <t>12-09-2011</t>
  </si>
  <si>
    <t>16-08-2012</t>
  </si>
  <si>
    <t>17-08-2012</t>
  </si>
  <si>
    <t>OPTDLY/I71662-2408</t>
  </si>
  <si>
    <t>24-08-2012</t>
  </si>
  <si>
    <t>29-08-2012</t>
  </si>
  <si>
    <t>OPTDLY/I71662-2908</t>
  </si>
  <si>
    <t>Charges:</t>
  </si>
  <si>
    <t>20090616N900028982</t>
  </si>
  <si>
    <t>STETEA</t>
  </si>
  <si>
    <t>20090612N900014153</t>
  </si>
  <si>
    <t>20090611N900032570</t>
  </si>
  <si>
    <t>BPL</t>
  </si>
  <si>
    <t>20090609N900021968</t>
  </si>
  <si>
    <t>DECAVI</t>
  </si>
  <si>
    <t>20090608N900036475</t>
  </si>
  <si>
    <t>ESSOIL</t>
  </si>
  <si>
    <t>20090608N900036713</t>
  </si>
  <si>
    <t>20090605N100019972</t>
  </si>
  <si>
    <t>20090605N900036204</t>
  </si>
  <si>
    <t>MORGOK</t>
  </si>
  <si>
    <t>20090603N900033609</t>
  </si>
  <si>
    <t>20090603N900037566</t>
  </si>
  <si>
    <t>RENSUG</t>
  </si>
  <si>
    <t>20090602N900034152</t>
  </si>
  <si>
    <t>KEWKIR</t>
  </si>
  <si>
    <t>20090529B200001195</t>
  </si>
  <si>
    <t>SKUMAR</t>
  </si>
  <si>
    <t>20090529N300002462</t>
  </si>
  <si>
    <t>20090529N900020816</t>
  </si>
  <si>
    <t>GREOFF</t>
  </si>
  <si>
    <t>20090529N900024636</t>
  </si>
  <si>
    <t>20090506B300018567</t>
  </si>
  <si>
    <t>ABB</t>
  </si>
  <si>
    <t>20090504N900023073</t>
  </si>
  <si>
    <t>SHIGRA</t>
  </si>
  <si>
    <t>20090429B300011841</t>
  </si>
  <si>
    <t>GTLINF</t>
  </si>
  <si>
    <t>20090406N100026305</t>
  </si>
  <si>
    <t>20090401N100019008</t>
  </si>
  <si>
    <t>20100330N900011892</t>
  </si>
  <si>
    <t>20100316B400002861</t>
  </si>
  <si>
    <t>20100316N900009157</t>
  </si>
  <si>
    <t>20100315N900014720</t>
  </si>
  <si>
    <t>20100315N900015191</t>
  </si>
  <si>
    <t>20100127B200004181</t>
  </si>
  <si>
    <t>20100112N300040282</t>
  </si>
  <si>
    <t>20091112N900010263</t>
  </si>
  <si>
    <t>20091109B100001338</t>
  </si>
  <si>
    <t>20091016B200002214</t>
  </si>
  <si>
    <t>20091016N900021858</t>
  </si>
  <si>
    <t>20091014N900028121</t>
  </si>
  <si>
    <t>BTST</t>
  </si>
  <si>
    <t>20091014N900028342</t>
  </si>
  <si>
    <t>20091012N900010159</t>
  </si>
  <si>
    <t>20091012N900019251</t>
  </si>
  <si>
    <t>20091007N900021927</t>
  </si>
  <si>
    <t>20090930N900011296</t>
  </si>
  <si>
    <t>20090929N900009413</t>
  </si>
  <si>
    <t>20090917B200004321</t>
  </si>
  <si>
    <t>20090917N900025254</t>
  </si>
  <si>
    <t>20090911N900025655</t>
  </si>
  <si>
    <t>20090911N900025747</t>
  </si>
  <si>
    <t>20090908N900019135</t>
  </si>
  <si>
    <t>20090908N900019359</t>
  </si>
  <si>
    <t>20090907N900020203</t>
  </si>
  <si>
    <t>20090907N900030470</t>
  </si>
  <si>
    <t>20090903N900024671</t>
  </si>
  <si>
    <t>20090902N900017263</t>
  </si>
  <si>
    <t>20090828N900010996</t>
  </si>
  <si>
    <t>20090716N900016966</t>
  </si>
  <si>
    <t>20090716N900017994</t>
  </si>
  <si>
    <t>20090706B200009638</t>
  </si>
  <si>
    <t>20090702N900022163</t>
  </si>
  <si>
    <t>20090630N900022466</t>
  </si>
  <si>
    <t>20090630N900023433</t>
  </si>
  <si>
    <t>20090625B200007132</t>
  </si>
  <si>
    <t>20090619N900022802</t>
  </si>
  <si>
    <t>20090616N900028735</t>
  </si>
  <si>
    <t>Bill No</t>
  </si>
  <si>
    <t>IDEA</t>
  </si>
  <si>
    <t>FORTIS</t>
  </si>
  <si>
    <t>GODREJ INDUSTRIES LTD</t>
  </si>
  <si>
    <t>Total Chrgs</t>
  </si>
  <si>
    <t>DLV602-1305</t>
  </si>
  <si>
    <t>13-05-2011</t>
  </si>
  <si>
    <t>DLV1622-0206</t>
  </si>
  <si>
    <t>31-05-2011</t>
  </si>
  <si>
    <t>DLV615-0806</t>
  </si>
  <si>
    <t>DLV677-0606</t>
  </si>
  <si>
    <t>DLV684-0605</t>
  </si>
  <si>
    <t>DLV775-0305</t>
  </si>
  <si>
    <t>DLV718-2904</t>
  </si>
  <si>
    <t>27-04-2011</t>
  </si>
  <si>
    <t>Financial Ledger    Date From : 01-APR-2011 To : 31-MAR-2012</t>
  </si>
  <si>
    <t>UFLEX</t>
  </si>
  <si>
    <t>ALOKTEXT</t>
  </si>
  <si>
    <t>DLV734-2206</t>
  </si>
  <si>
    <t>--</t>
  </si>
  <si>
    <t>MONTHLY MAINTENANCE CHARG</t>
  </si>
  <si>
    <t>FOMMC-11052011</t>
  </si>
  <si>
    <t>SOFTWARE MAINTENANCE CHAR</t>
  </si>
  <si>
    <t>TC-11052011</t>
  </si>
  <si>
    <t>DP Charges -10145558/I716</t>
  </si>
  <si>
    <t>DP/BALTRF/DR-I71662</t>
  </si>
  <si>
    <t>TC-11042011</t>
  </si>
  <si>
    <t>TC-11062011</t>
  </si>
  <si>
    <t>FOMMC-11062011</t>
  </si>
  <si>
    <t xml:space="preserve">OPTIDXNIFTY26MAY2011 </t>
  </si>
  <si>
    <t xml:space="preserve">PE </t>
  </si>
  <si>
    <t>16-05-2011</t>
  </si>
  <si>
    <t>OPTSTKTATASTEEL26MAY2011</t>
  </si>
  <si>
    <t>PE</t>
  </si>
  <si>
    <t>18-05-2011</t>
  </si>
  <si>
    <t xml:space="preserve">OPTSTKTATASTEEL26MAY2011 </t>
  </si>
  <si>
    <t>OPTSTKDLF26MAY2011</t>
  </si>
  <si>
    <t>CE</t>
  </si>
  <si>
    <t>11-05-2011</t>
  </si>
  <si>
    <t>Trxn. Charges</t>
  </si>
  <si>
    <t>OPTDLY/I71662-1605</t>
  </si>
  <si>
    <t>OPTDLY/I71662-1105</t>
  </si>
  <si>
    <t>OPTDLY/I71662-1805</t>
  </si>
  <si>
    <t>EQUITY</t>
  </si>
  <si>
    <t>F &amp; O</t>
  </si>
  <si>
    <t>Stk.Price</t>
  </si>
  <si>
    <t>Option</t>
  </si>
  <si>
    <t>Cheque Received /00022935</t>
  </si>
  <si>
    <t>Cheque ReceivedBIL/000228</t>
  </si>
  <si>
    <t>Cheque Received L/0002215</t>
  </si>
  <si>
    <t>Total:</t>
  </si>
  <si>
    <t>Error Adjustment:</t>
  </si>
  <si>
    <t>20090612N900012217</t>
  </si>
  <si>
    <t>20090611N900030458</t>
  </si>
  <si>
    <t>20090608N900036064</t>
  </si>
  <si>
    <t>20090608N900036192</t>
  </si>
  <si>
    <t>20090605N900035374</t>
  </si>
  <si>
    <t>20090603N900033390</t>
  </si>
  <si>
    <t>20090602N900031082</t>
  </si>
  <si>
    <t>20090529B300023444</t>
  </si>
  <si>
    <t>20090529N900021001</t>
  </si>
  <si>
    <t>20090519N900024201</t>
  </si>
  <si>
    <t>20090511N900020389</t>
  </si>
  <si>
    <t>20090507B200006563</t>
  </si>
  <si>
    <t>20090506B300018384</t>
  </si>
  <si>
    <t>20090429B300011823</t>
  </si>
  <si>
    <t>20090402N100027403</t>
  </si>
  <si>
    <t>20090402N100027516</t>
  </si>
  <si>
    <t>Profit/Loss FY10:</t>
  </si>
  <si>
    <t>Closing Balance:</t>
  </si>
  <si>
    <t>20091127N900020871</t>
  </si>
  <si>
    <t>20091016N900012651</t>
  </si>
  <si>
    <t>20091016N900023021</t>
  </si>
  <si>
    <t>20091030B200003858</t>
  </si>
  <si>
    <t>20091029N900008133</t>
  </si>
  <si>
    <t>20091012N900011246</t>
  </si>
  <si>
    <t>20100330N900012122</t>
  </si>
  <si>
    <t>20100315N900014778</t>
  </si>
  <si>
    <t>20100315N900015248</t>
  </si>
  <si>
    <t>20100331B300001719</t>
  </si>
  <si>
    <t>Long Term Investments:</t>
  </si>
  <si>
    <t>OPT-DLFLIM-30-Jul-2009-400-CA-S</t>
  </si>
  <si>
    <t># 200907151700014128</t>
  </si>
  <si>
    <t>OPT-NIFTY -30-Apr-2009-3300-PE-I</t>
  </si>
  <si>
    <t># 200904081700020378</t>
  </si>
  <si>
    <t># 200904091700013213</t>
  </si>
  <si>
    <t># 200904131700011737</t>
  </si>
  <si>
    <t>OPT-NIFTY -30-Apr-2009-3500-CE-I</t>
  </si>
  <si>
    <t># 200904131700014655</t>
  </si>
  <si>
    <t>OPT-NIFTY -30-Apr-2009-3400-PE-I</t>
  </si>
  <si>
    <t># 200904151700017267</t>
  </si>
  <si>
    <t>OPT-NIFTY -30-Apr-2009-3400-CE-I</t>
  </si>
  <si>
    <t># 200904201700018452</t>
  </si>
  <si>
    <t># 200904231700004784</t>
  </si>
  <si>
    <t># 200904241700013677</t>
  </si>
  <si>
    <t>OPT-NIFTY -30-Apr-2009-3500-PE-I</t>
  </si>
  <si>
    <t># 200904241700013763</t>
  </si>
  <si>
    <t># 200904291700010550</t>
  </si>
  <si>
    <t># 200904291700010791</t>
  </si>
  <si>
    <t>20-01-2012</t>
  </si>
  <si>
    <t>OPTDLY/I71662-2001</t>
  </si>
  <si>
    <t>21-01-2012</t>
  </si>
  <si>
    <t>CALL &amp; TRADE CHARGES 19-01-2012-I71662</t>
  </si>
  <si>
    <t>JV8-2101</t>
  </si>
  <si>
    <t>23-01-2012</t>
  </si>
  <si>
    <t>OPTDLY/I71662-2301</t>
  </si>
  <si>
    <t>24-01-2012</t>
  </si>
  <si>
    <t>OPTDLY/I71662-2401</t>
  </si>
  <si>
    <t>27-01-2012</t>
  </si>
  <si>
    <t>OPTDLY/I71662-2701</t>
  </si>
  <si>
    <t>30-01-2012</t>
  </si>
  <si>
    <t>OPTDLY/I71662-3001</t>
  </si>
  <si>
    <t>31-01-2012</t>
  </si>
  <si>
    <t>ATOMPG-ICICI Bank-287853300</t>
  </si>
  <si>
    <t>OPTSTKJPASSOCIAT23FEB2012</t>
  </si>
  <si>
    <t>OPTDLY/I71662-3101</t>
  </si>
  <si>
    <t># 200904291700010807</t>
  </si>
  <si>
    <t>OPT-NIFTY -28-May-2009-3400-PE-I</t>
  </si>
  <si>
    <t># 200904291700014012</t>
  </si>
  <si>
    <t>OPT-NIFTY -25-Jun-2009-4000-PE-I</t>
  </si>
  <si>
    <t># 200905291700015697</t>
  </si>
  <si>
    <t>OPT-NIFTY -25-Jun-2009-5100-CE-I</t>
  </si>
  <si>
    <t># 200906021700012528</t>
  </si>
  <si>
    <t>OPT-NIFTY -25-Jun-2009-5000-CE-I</t>
  </si>
  <si>
    <t># 200906111700016476</t>
  </si>
  <si>
    <t>OPT-NIFTY -30-Jul-2009-4800-CE-I</t>
  </si>
  <si>
    <t># 200906301700011772</t>
  </si>
  <si>
    <t>14-09-2012</t>
  </si>
  <si>
    <t>17-09-2012</t>
  </si>
  <si>
    <t>CALL &amp; TRADE CHARGES 13-0</t>
  </si>
  <si>
    <t>JV11-1709</t>
  </si>
  <si>
    <t>OPTDLY/I71662-1709</t>
  </si>
  <si>
    <t>OPT-NIFTY -30-Jul-2009-4200-CE-I</t>
  </si>
  <si>
    <t># 200907141700015745</t>
  </si>
  <si>
    <t>OPT-NIFTY -30-Jul-2009-4200-PE-I</t>
  </si>
  <si>
    <t># 200907171700009526</t>
  </si>
  <si>
    <t>OPT-NIFTY -30-Jul-2009-4300-PE-I</t>
  </si>
  <si>
    <t># 200907171700009771</t>
  </si>
  <si>
    <t>OPT-NIFTY -29-Oct-2009-4900-PE-I</t>
  </si>
  <si>
    <t># 200909301700007548</t>
  </si>
  <si>
    <t># 200910141500006554</t>
  </si>
  <si>
    <t># 200910161700007609</t>
  </si>
  <si>
    <t>OPT-NIFTY -26-Nov-2009-5000-PE-I</t>
  </si>
  <si>
    <t># 200911181700002109</t>
  </si>
  <si>
    <t>OPT-NIFTY -28-Jan-2010-5100-CE-I</t>
  </si>
  <si>
    <t># 201001251700004687</t>
  </si>
  <si>
    <t>OPT-NTPC -28-May-2009-210-CA-S</t>
  </si>
  <si>
    <t># 200905081700011705</t>
  </si>
  <si>
    <t>OPT-NTPC -28-May-2009-200-CA-S</t>
  </si>
  <si>
    <t># 200905111700013336</t>
  </si>
  <si>
    <t># 200905141700020490</t>
  </si>
  <si>
    <t>OPT-NTPC -28-May-2009-190-PA-S</t>
  </si>
  <si>
    <t># 200905201700014644</t>
  </si>
  <si>
    <t>28-09-2011</t>
  </si>
  <si>
    <t>OPTDLY/I71662-2809</t>
  </si>
  <si>
    <t>29-09-2011</t>
  </si>
  <si>
    <t>OPTDLY/I71662-2909</t>
  </si>
  <si>
    <t>OPT-NTPC -28-May-2009-200-PA-S</t>
  </si>
  <si>
    <t># 200905261700011405</t>
  </si>
  <si>
    <t>OPT-NTPC -30-Jul-2009-220-CA-S</t>
  </si>
  <si>
    <t># 200907031700011944</t>
  </si>
  <si>
    <t>OPT-NTPC -30-Jul-2009-205-CA-S</t>
  </si>
  <si>
    <t># 200907061700011846</t>
  </si>
  <si>
    <t># 200907101700012293</t>
  </si>
  <si>
    <t>OPT-NTPC -27-Aug-2009-210-CA-S</t>
  </si>
  <si>
    <t># 200908211600011752</t>
  </si>
  <si>
    <t>OPT-RANLAB-30-Apr-2009-210-CA-S</t>
  </si>
  <si>
    <t># 200904211700014026</t>
  </si>
  <si>
    <t>OPT-RANLAB-30-Apr-2009-190-CA-S</t>
  </si>
  <si>
    <t># 200904231700004462</t>
  </si>
  <si>
    <t>OPT-RELCOM-25-Jun-2009-250-PA-S</t>
  </si>
  <si>
    <t># 200906031700002375</t>
  </si>
  <si>
    <t># 200907161700017424</t>
  </si>
  <si>
    <t># 200904091700011171</t>
  </si>
  <si>
    <t># 200904131700010831</t>
  </si>
  <si>
    <t># 200904131700014369</t>
  </si>
  <si>
    <t># 200904151700014362</t>
  </si>
  <si>
    <t># 200904171700020822</t>
  </si>
  <si>
    <t># 200904201700018960</t>
  </si>
  <si>
    <t># 200904231700007167</t>
  </si>
  <si>
    <t># 200904281700003896</t>
  </si>
  <si>
    <t># 200904281700010480</t>
  </si>
  <si>
    <t># 200905041700006540</t>
  </si>
  <si>
    <t>OPTDLY/I71662-0110</t>
  </si>
  <si>
    <t># 200705141300005265</t>
  </si>
  <si>
    <t># 200705161200007161</t>
  </si>
  <si>
    <t># 200707051200018159</t>
  </si>
  <si>
    <t># 200707061200001213</t>
  </si>
  <si>
    <t># 200707181200002612</t>
  </si>
  <si>
    <t># 200707191100005023</t>
  </si>
  <si>
    <t># 200707191100006207</t>
  </si>
  <si>
    <t># 200707201200007882</t>
  </si>
  <si>
    <t># 200707201200008323</t>
  </si>
  <si>
    <t># 200707251300010461</t>
  </si>
  <si>
    <t># 200707251300010721</t>
  </si>
  <si>
    <t># 200707251300010942</t>
  </si>
  <si>
    <t># 200707311100006419</t>
  </si>
  <si>
    <t># 200708241200000040</t>
  </si>
  <si>
    <t># 200708241200000084</t>
  </si>
  <si>
    <t># 200710191300000872</t>
  </si>
  <si>
    <t># 200707031200001226</t>
  </si>
  <si>
    <t># 200707101200006789</t>
  </si>
  <si>
    <t># 200707121200003340</t>
  </si>
  <si>
    <t>OPT-HDIL  -29-Nov-2012-115-CE-S</t>
  </si>
  <si>
    <t># 201211121700006821</t>
  </si>
  <si>
    <t>OPT-HDFBAN-29-Nov-2012-660-CE-S</t>
  </si>
  <si>
    <t># 201211121700006755</t>
  </si>
  <si>
    <t>OPT-IFCI  -29-Nov-2012-27.5-CE-S</t>
  </si>
  <si>
    <t># 201210311700005359</t>
  </si>
  <si>
    <t>OPT-NIFTY -25-Oct-2012-5600-CE-I</t>
  </si>
  <si>
    <t># 201210191700006807</t>
  </si>
  <si>
    <t>OPT-NIFTY -27-Sep-2012-5400-CE-I</t>
  </si>
  <si>
    <t># 201209111700006466</t>
  </si>
  <si>
    <t># 201205171700003419</t>
  </si>
  <si>
    <t># 201204131700009147</t>
  </si>
  <si>
    <t># 201204091700006546</t>
  </si>
  <si>
    <t># 201204091700003394</t>
  </si>
  <si>
    <t># 201211271700005899</t>
  </si>
  <si>
    <t># 201211151700002342</t>
  </si>
  <si>
    <t># 201211121700006544</t>
  </si>
  <si>
    <t># 201210231700002316</t>
  </si>
  <si>
    <t># 201209121700007015</t>
  </si>
  <si>
    <t># 201205181700008849</t>
  </si>
  <si>
    <t>SOFTWARE MAINTENANCE CHARGES - 11-08-2011 - 10-Sep-11</t>
  </si>
  <si>
    <t>TC-11082011</t>
  </si>
  <si>
    <t>OPTDLY/I71662-1208</t>
  </si>
  <si>
    <t>12-08-2011</t>
  </si>
  <si>
    <t>14/07/2009</t>
  </si>
  <si>
    <t>OF-CR TD:148264 TX:600140 1204720000015095 SET:N2009126</t>
  </si>
  <si>
    <t>14/07/2009 </t>
  </si>
  <si>
    <t>16/07/2009</t>
  </si>
  <si>
    <t>04-10-2012</t>
  </si>
  <si>
    <t>OPTSTKSINTEX25OCT2012</t>
  </si>
  <si>
    <t>OPTSTKIFCI25OCT2012</t>
  </si>
  <si>
    <t>08-10-2012</t>
  </si>
  <si>
    <t>OPTDLY/I71662-0810</t>
  </si>
  <si>
    <t>OF-CR TD:364399 TX:132456 1204720000015095 SET:N2009128</t>
  </si>
  <si>
    <t>31/07/2009 </t>
  </si>
  <si>
    <t>HIND.CONSTRUCT </t>
  </si>
  <si>
    <t>OF-CR TD:174040 TX:652221 1204720000015095 SET:N2009141</t>
  </si>
  <si>
    <t>04/08/2009 </t>
  </si>
  <si>
    <t>OF-CR TD:399003 TX:202214 1204720000015095 SET:N2009143</t>
  </si>
  <si>
    <t>12/08/2009 </t>
  </si>
  <si>
    <t>14/08/2009</t>
  </si>
  <si>
    <t>20070213N100018971</t>
  </si>
  <si>
    <t>20070102N100038011</t>
  </si>
  <si>
    <t>20061219N100011189</t>
  </si>
  <si>
    <t>20061219N100027094</t>
  </si>
  <si>
    <t>20061213N100028055</t>
  </si>
  <si>
    <t>20061212N300014376</t>
  </si>
  <si>
    <t>20061205N400021608</t>
  </si>
  <si>
    <t>ITC</t>
  </si>
  <si>
    <t>18-10-2012</t>
  </si>
  <si>
    <t>19-10-2012</t>
  </si>
  <si>
    <t>OPTDLY/I71662-1910</t>
  </si>
  <si>
    <t>16-10-2012</t>
  </si>
  <si>
    <t>17-10-2012</t>
  </si>
  <si>
    <t>23-11-2012</t>
  </si>
  <si>
    <t>26-11-2012</t>
  </si>
  <si>
    <t>CALL &amp; TRADE CHARGES 23-1</t>
  </si>
  <si>
    <t>JV25-2611</t>
  </si>
  <si>
    <t>27-11-2012</t>
  </si>
  <si>
    <t>OPTDLY/I71662-2711</t>
  </si>
  <si>
    <t>INTDEP-DR 26804109 CTRBO IN510557 NR2009133</t>
  </si>
  <si>
    <t>18/09/2009 </t>
  </si>
  <si>
    <t>18/09/2009</t>
  </si>
  <si>
    <t>27-12-2011</t>
  </si>
  <si>
    <t>CALL &amp; TRADE CHARGES 26-12-2011-I71662</t>
  </si>
  <si>
    <t>JV20-2712</t>
  </si>
  <si>
    <t>OPTDLY/I71662-2712</t>
  </si>
  <si>
    <t>28-12-2011</t>
  </si>
  <si>
    <t>OPTDLY/I71662-2812</t>
  </si>
  <si>
    <t>29-12-2011</t>
  </si>
  <si>
    <t>OPTDLY/I71662-2912</t>
  </si>
  <si>
    <t>OPTDLY/I71662-0511</t>
  </si>
  <si>
    <t>OPTDLY/I71662-0611</t>
  </si>
  <si>
    <t>06-11-2012</t>
  </si>
  <si>
    <t>07-11-2012</t>
  </si>
  <si>
    <t>OPTDLY/I71662-0711</t>
  </si>
  <si>
    <t>08-11-2012</t>
  </si>
  <si>
    <t>31-10-2012</t>
  </si>
  <si>
    <t>20-10-2012</t>
  </si>
  <si>
    <t>CALL &amp; TRADE CHARGES 18-1</t>
  </si>
  <si>
    <t>JV5-2010</t>
  </si>
  <si>
    <t>OPTIDXNIFTY29NOV2012</t>
  </si>
  <si>
    <t>OPTDLY/I71662-2310</t>
  </si>
  <si>
    <t>23-10-2012</t>
  </si>
  <si>
    <t>26-10-2012</t>
  </si>
  <si>
    <t>25-10-2012</t>
  </si>
  <si>
    <t>30-12-2011</t>
  </si>
  <si>
    <t>OPEXP/I71662-2912</t>
  </si>
  <si>
    <t>Gross Investment :</t>
  </si>
  <si>
    <t>Holding Value :</t>
  </si>
  <si>
    <t>Till date Peak Profit:</t>
  </si>
  <si>
    <t>EP-DR Txn:812529 CtBo:1100001100014437 N2009176 ExId:12</t>
  </si>
  <si>
    <t>28/01/2010 </t>
  </si>
  <si>
    <t>03/09/2009 </t>
  </si>
  <si>
    <t>26/02/2010 </t>
  </si>
  <si>
    <t>BHABIJ</t>
  </si>
  <si>
    <t>20080325B200004026</t>
  </si>
  <si>
    <t>JAICOR</t>
  </si>
  <si>
    <t>20080125N900016937</t>
  </si>
  <si>
    <t>20080122N900027262</t>
  </si>
  <si>
    <t>20071210N900017559</t>
  </si>
  <si>
    <t>20071123B200004704</t>
  </si>
  <si>
    <t>20080326B200000251</t>
  </si>
  <si>
    <t>20080208B200005862</t>
  </si>
  <si>
    <t>20080207B200000725</t>
  </si>
  <si>
    <t>20080109N900006721</t>
  </si>
  <si>
    <t>20080102N600000775</t>
  </si>
  <si>
    <t>20071224N600000498</t>
  </si>
  <si>
    <t>20071218B200003974</t>
  </si>
  <si>
    <t>20071214B200004996</t>
  </si>
  <si>
    <t>20071213B200000744</t>
  </si>
  <si>
    <t>JAIASS</t>
  </si>
  <si>
    <t>20080313B200010178</t>
  </si>
  <si>
    <t>20080304N700014525</t>
  </si>
  <si>
    <t>20080221B200003735</t>
  </si>
  <si>
    <t>20080219N900025871</t>
  </si>
  <si>
    <t>20080215N600001955</t>
  </si>
  <si>
    <t>DLFLIM</t>
  </si>
  <si>
    <t>ID: 3376605 / App. No. 96015007</t>
  </si>
  <si>
    <t>IPO</t>
  </si>
  <si>
    <t>KERMIC</t>
  </si>
  <si>
    <t>20080327N900016023</t>
  </si>
  <si>
    <t>20080327N900016824</t>
  </si>
  <si>
    <t>Trade for the FY09 (Buy):</t>
  </si>
  <si>
    <t>BALCHI</t>
  </si>
  <si>
    <t>20090324N100018216</t>
  </si>
  <si>
    <t>ORBCOR</t>
  </si>
  <si>
    <t>20090324N100018924</t>
  </si>
  <si>
    <t>BASF</t>
  </si>
  <si>
    <t>20090114N900005896</t>
  </si>
  <si>
    <t>SATCOM</t>
  </si>
  <si>
    <t>20090107N900019028</t>
  </si>
  <si>
    <t>GREAVE</t>
  </si>
  <si>
    <t>20090101N900011528</t>
  </si>
  <si>
    <t>LARTOU</t>
  </si>
  <si>
    <t>20081229N900011410</t>
  </si>
  <si>
    <t>INFTEC</t>
  </si>
  <si>
    <t>20081219N900026037</t>
  </si>
  <si>
    <t>RAYMON</t>
  </si>
  <si>
    <t>20081204B200002063</t>
  </si>
  <si>
    <t>WALIND</t>
  </si>
  <si>
    <t>20081203N900011831</t>
  </si>
  <si>
    <t>20081203N900012592</t>
  </si>
  <si>
    <t>20081203N900013090</t>
  </si>
  <si>
    <t>STABAN</t>
  </si>
  <si>
    <t>20081203N900017432</t>
  </si>
  <si>
    <t>INDIBA</t>
  </si>
  <si>
    <t>20081201N900012128</t>
  </si>
  <si>
    <t>HAVIND</t>
  </si>
  <si>
    <t>20081128N900016109</t>
  </si>
  <si>
    <t>MONTHLY MAINTENANCE CHARGES - 11-10-2011 - 10-Nov-11</t>
  </si>
  <si>
    <t>FOMMC-11102011</t>
  </si>
  <si>
    <t>11-10-2011</t>
  </si>
  <si>
    <t>Current Cash Value:</t>
  </si>
  <si>
    <t>OPTDLY/I71662-1110</t>
  </si>
  <si>
    <t>CALL &amp; TRADE CHARGES 10-10-2011-I71662</t>
  </si>
  <si>
    <t>JV1-1210</t>
  </si>
  <si>
    <t>OPTIDXNIFTY24NOV2011</t>
  </si>
  <si>
    <t>13-10-2011</t>
  </si>
  <si>
    <t>12-10-2011</t>
  </si>
  <si>
    <t>OPTDLY/I71662-1310</t>
  </si>
  <si>
    <t>14-10-2011</t>
  </si>
  <si>
    <t>15-10-2011</t>
  </si>
  <si>
    <t>CALL &amp; TRADE CHARGES 14-10-2011-I71662</t>
  </si>
  <si>
    <t>JV14-1510</t>
  </si>
  <si>
    <t>OPTDLY/I71662-1710</t>
  </si>
  <si>
    <t>OPTDLY/I71662-1410</t>
  </si>
  <si>
    <t>17-10-2011</t>
  </si>
  <si>
    <t>18-10-2011</t>
  </si>
  <si>
    <t>OPTDLY/I71662-1810</t>
  </si>
  <si>
    <t>PUNLLO</t>
  </si>
  <si>
    <t>20081125N900006365</t>
  </si>
  <si>
    <t>20081013N900010343</t>
  </si>
  <si>
    <t>TORPOW</t>
  </si>
  <si>
    <t>20080929B200001772</t>
  </si>
  <si>
    <t>20080929N900009356</t>
  </si>
  <si>
    <t>20080929N900016818</t>
  </si>
  <si>
    <t>20080929N900016996</t>
  </si>
  <si>
    <t>20080929N900019891</t>
  </si>
  <si>
    <t>20080917N900016855</t>
  </si>
  <si>
    <t>20080917N900018149</t>
  </si>
  <si>
    <t>20080917N900018828</t>
  </si>
  <si>
    <t>20080915B200001240</t>
  </si>
  <si>
    <t>20080912B200004819</t>
  </si>
  <si>
    <t>20080912N500021309</t>
  </si>
  <si>
    <t>20080909N900012702</t>
  </si>
  <si>
    <t>INDHOT</t>
  </si>
  <si>
    <t>20080821N900013160</t>
  </si>
  <si>
    <t>20080820N900010580</t>
  </si>
  <si>
    <t>20080819N900012931</t>
  </si>
  <si>
    <t>ABALLO</t>
  </si>
  <si>
    <t>20080808N900018444</t>
  </si>
  <si>
    <t>20080807N900009449</t>
  </si>
  <si>
    <t>BAJAUT</t>
  </si>
  <si>
    <t>20080731N900015145</t>
  </si>
  <si>
    <t>20080730N900025945</t>
  </si>
  <si>
    <t>20080729N900013901</t>
  </si>
  <si>
    <t>20080729N900025005</t>
  </si>
  <si>
    <t>20080725N900010521</t>
  </si>
  <si>
    <t>OPTDLY/I71662-0812</t>
  </si>
  <si>
    <t>08-12-2011</t>
  </si>
  <si>
    <t>CALL &amp; TRADE CHARGES 08-12-2011-I71662</t>
  </si>
  <si>
    <t>JV1-1012</t>
  </si>
  <si>
    <t>MONTHLY MAINTENANCE CHARGES - 11-12-2011 - 10-01-2012</t>
  </si>
  <si>
    <t>FOMMC-11122011</t>
  </si>
  <si>
    <t>10-12-2011</t>
  </si>
  <si>
    <t>09-12-2011</t>
  </si>
  <si>
    <t>OPTDLY/I71662-0912</t>
  </si>
  <si>
    <t>OPTDLY/I71662-1212</t>
  </si>
  <si>
    <t>12-12-2011</t>
  </si>
  <si>
    <t>13-12-2011</t>
  </si>
  <si>
    <t>OPTDLY/I71662-1312</t>
  </si>
  <si>
    <t>14-12-2011</t>
  </si>
  <si>
    <t>ATOMPG-ICICI Bank-275789799</t>
  </si>
  <si>
    <t>OPTDLY/I71662-1412</t>
  </si>
  <si>
    <t>20080722N900018293</t>
  </si>
  <si>
    <t>20080722N900021749</t>
  </si>
  <si>
    <t>20080716B200004175</t>
  </si>
  <si>
    <t>20080716N900014194</t>
  </si>
  <si>
    <t>24-03-2012</t>
  </si>
  <si>
    <t>CALL &amp; TRADE CHARGES 22-03-2012-I71662</t>
  </si>
  <si>
    <t>JV1-2403</t>
  </si>
  <si>
    <t>23-03-2012</t>
  </si>
  <si>
    <t>OPTDLY/I71662-2303</t>
  </si>
  <si>
    <t>OPTDLY/I71662-2603</t>
  </si>
  <si>
    <t>26-03-2012</t>
  </si>
  <si>
    <t>CALL &amp; TRADE CHARGES 23-03-2012-I71662</t>
  </si>
  <si>
    <t>JV1-2603</t>
  </si>
  <si>
    <t>OPTDLY/I71662-2803</t>
  </si>
  <si>
    <t xml:space="preserve">20120328B300006143 </t>
  </si>
  <si>
    <t>Net Value:</t>
  </si>
  <si>
    <t>20080716N900014231</t>
  </si>
  <si>
    <t>20080716N900015541</t>
  </si>
  <si>
    <t>20080716N900018150</t>
  </si>
  <si>
    <t>20080716N900022556</t>
  </si>
  <si>
    <t>20080715N900008998</t>
  </si>
  <si>
    <t>20080707N900016322</t>
  </si>
  <si>
    <t>20080630N900010367</t>
  </si>
  <si>
    <t>NOITOL</t>
  </si>
  <si>
    <t>20080627B200006539</t>
  </si>
  <si>
    <t>HINMOT</t>
  </si>
  <si>
    <t>20080627B200006589</t>
  </si>
  <si>
    <t>GMRINF</t>
  </si>
  <si>
    <t>20080627N900015706</t>
  </si>
  <si>
    <t>20080624N900011719</t>
  </si>
  <si>
    <t>SUNHIT</t>
  </si>
  <si>
    <t>20080624N900015719</t>
  </si>
  <si>
    <t>20080624N900016691</t>
  </si>
  <si>
    <t>RAMPHO</t>
  </si>
  <si>
    <t>20080623B200008910</t>
  </si>
  <si>
    <t>20080623N300018316</t>
  </si>
  <si>
    <t>20080623N300018492</t>
  </si>
  <si>
    <t>20080619B200006752</t>
  </si>
  <si>
    <t>20080619B200006924</t>
  </si>
  <si>
    <t>20080617N600006954</t>
  </si>
  <si>
    <t>20080617N600010363</t>
  </si>
  <si>
    <t>20080617N600010743</t>
  </si>
  <si>
    <t>20080616N600007538</t>
  </si>
  <si>
    <t>20080616N600007698</t>
  </si>
  <si>
    <t>20080613B200003814</t>
  </si>
  <si>
    <t>DHAMOR</t>
  </si>
  <si>
    <t>20080613B200006993</t>
  </si>
  <si>
    <t>DHASUG</t>
  </si>
  <si>
    <t>20080613B200007189</t>
  </si>
  <si>
    <t>20080613N600002372</t>
  </si>
  <si>
    <t>20080613N600003098</t>
  </si>
  <si>
    <t>UPPGAN</t>
  </si>
  <si>
    <t>20080613N600010352</t>
  </si>
  <si>
    <t>IECSOF</t>
  </si>
  <si>
    <t>20080604B300011192</t>
  </si>
  <si>
    <t>20080604N900018388</t>
  </si>
  <si>
    <t>GEOSOF</t>
  </si>
  <si>
    <t>20080603N900015179</t>
  </si>
  <si>
    <t>20080529N900022182</t>
  </si>
  <si>
    <t>OPTIDXNIFTY29DEC2011</t>
  </si>
  <si>
    <t>23-11-2011</t>
  </si>
  <si>
    <t>24-11-2011</t>
  </si>
  <si>
    <t>OPTDLY/I71662-2311</t>
  </si>
  <si>
    <t>OPTDLY/I71662-2411</t>
  </si>
  <si>
    <t>CALL &amp; TRADE CHARGES 22-11-2011-I71662</t>
  </si>
  <si>
    <t>JV2-2411</t>
  </si>
  <si>
    <t>20080528B200004523</t>
  </si>
  <si>
    <t>BHATE</t>
  </si>
  <si>
    <t>20080520N900009929</t>
  </si>
  <si>
    <t>20080520N900013416</t>
  </si>
  <si>
    <t>20080520N900013558</t>
  </si>
  <si>
    <t>20080520N900015176</t>
  </si>
  <si>
    <t>STRARC</t>
  </si>
  <si>
    <t>20080513N600001133</t>
  </si>
  <si>
    <t>20080513N900002614</t>
  </si>
  <si>
    <t>20080512N900007844</t>
  </si>
  <si>
    <t>20080512N900013872</t>
  </si>
  <si>
    <t>20080512N900015114</t>
  </si>
  <si>
    <t>MALPAP</t>
  </si>
  <si>
    <t>20080512N900018131</t>
  </si>
  <si>
    <t>20080509B200004750</t>
  </si>
  <si>
    <t>20080509N900012836</t>
  </si>
  <si>
    <t>SOBDEV</t>
  </si>
  <si>
    <t>20080506N900015882</t>
  </si>
  <si>
    <t>OPTDLY/I71662-1107</t>
  </si>
  <si>
    <t>Cheque ReceivedBIL/000238028402/i71662/NSP</t>
  </si>
  <si>
    <t>MONTHLY MAINTENANCE CHARGES - 11-07-2011 - 10-Aug-11</t>
  </si>
  <si>
    <t>FOMMC-11072011</t>
  </si>
  <si>
    <t>SOFTWARE MAINTENANCE CHARGES - 11-07-2011 - 10-Aug-11</t>
  </si>
  <si>
    <t>TC-11072011</t>
  </si>
  <si>
    <t>OPTDLY/I71662-1207</t>
  </si>
  <si>
    <t>13-07-2011</t>
  </si>
  <si>
    <t>11-07-2011</t>
  </si>
  <si>
    <t>12-07-2011</t>
  </si>
  <si>
    <t>20080505B200005423</t>
  </si>
  <si>
    <t>20080425B300010986</t>
  </si>
  <si>
    <t>20080425N900001831</t>
  </si>
  <si>
    <t>20080425N900001915</t>
  </si>
  <si>
    <t>20080422N900009577</t>
  </si>
  <si>
    <t>20080416B200000267</t>
  </si>
  <si>
    <t>20080416B300014568</t>
  </si>
  <si>
    <t>SUBSYS</t>
  </si>
  <si>
    <t>20080415B200002627</t>
  </si>
  <si>
    <t>20080415N900009213</t>
  </si>
  <si>
    <t>BHEL</t>
  </si>
  <si>
    <t>20080411N900009146</t>
  </si>
  <si>
    <t>20080411N900013272</t>
  </si>
  <si>
    <t>20080411N900014120</t>
  </si>
  <si>
    <t>20080411N900014908</t>
  </si>
  <si>
    <t>20080411N900016096</t>
  </si>
  <si>
    <t>20080408N600005854</t>
  </si>
  <si>
    <t>20080407N900013893</t>
  </si>
  <si>
    <t>20080407N900018950</t>
  </si>
  <si>
    <t>FACSTE</t>
  </si>
  <si>
    <t>20080404B200001286</t>
  </si>
  <si>
    <t>20080404N900020058</t>
  </si>
  <si>
    <t>20080403N900009679</t>
  </si>
  <si>
    <t>20080403N900012607</t>
  </si>
  <si>
    <t>20080403N900016872</t>
  </si>
  <si>
    <t>Trade for the FY09 (Sell):</t>
  </si>
  <si>
    <t>20090327N100025646</t>
  </si>
  <si>
    <t>20090325N900004981</t>
  </si>
  <si>
    <t>20090313N100014496</t>
  </si>
  <si>
    <t>20090113N900020303</t>
  </si>
  <si>
    <t>20090113N900020471</t>
  </si>
  <si>
    <t>20090113N900020539</t>
  </si>
  <si>
    <t>20090109N600005113</t>
  </si>
  <si>
    <t>20090107N900012250</t>
  </si>
  <si>
    <t>20090101N900011325</t>
  </si>
  <si>
    <t>20081224N900007306</t>
  </si>
  <si>
    <t>20081210N900024500</t>
  </si>
  <si>
    <t>20081202N900014139</t>
  </si>
  <si>
    <t>20081201B200002745</t>
  </si>
  <si>
    <t>20081201N700012218</t>
  </si>
  <si>
    <t>20081126N900011063</t>
  </si>
  <si>
    <t>20081124N900012421</t>
  </si>
  <si>
    <t>20081027N900034556</t>
  </si>
  <si>
    <t>20081027N900045267</t>
  </si>
  <si>
    <t>20081007N900011394</t>
  </si>
  <si>
    <t>20081007N900012894</t>
  </si>
  <si>
    <t>20080919N900019650</t>
  </si>
  <si>
    <t>20080919N900019953</t>
  </si>
  <si>
    <t>20080919N900020089</t>
  </si>
  <si>
    <t>20080919N900020130</t>
  </si>
  <si>
    <t>20080912B200002490</t>
  </si>
  <si>
    <t>20080912B200002498</t>
  </si>
  <si>
    <t>20080909N900012995</t>
  </si>
  <si>
    <t>20080829N900015204</t>
  </si>
  <si>
    <t>20080821N900012394</t>
  </si>
  <si>
    <t>20080820N900010552</t>
  </si>
  <si>
    <t>20080819N900011749</t>
  </si>
  <si>
    <t>20080813B200002777</t>
  </si>
  <si>
    <t>20080805N900006392</t>
  </si>
  <si>
    <t>20080805N900006554</t>
  </si>
  <si>
    <t>20080805N900006961</t>
  </si>
  <si>
    <t>20080804N900020335</t>
  </si>
  <si>
    <t>20080725N900010250</t>
  </si>
  <si>
    <t>20080717N900012109</t>
  </si>
  <si>
    <t>20080717N900012227</t>
  </si>
  <si>
    <t>20080717N900012871</t>
  </si>
  <si>
    <t>20080704N900019564</t>
  </si>
  <si>
    <t>20080704N900019632</t>
  </si>
  <si>
    <t>20080704N900023246</t>
  </si>
  <si>
    <t>20080703N900015085</t>
  </si>
  <si>
    <t>20080703N900015363</t>
  </si>
  <si>
    <t>20080630N900010366</t>
  </si>
  <si>
    <t>20080630N900012292</t>
  </si>
  <si>
    <t>20080630N900013267</t>
  </si>
  <si>
    <t>20080627B200000335</t>
  </si>
  <si>
    <t>20080627N600001468</t>
  </si>
  <si>
    <t>20080623N300016743</t>
  </si>
  <si>
    <t>20080623N300016895</t>
  </si>
  <si>
    <t>20080609B200009720</t>
  </si>
  <si>
    <t>20080606B300011116</t>
  </si>
  <si>
    <t>20080606B300011148</t>
  </si>
  <si>
    <t>20080606N900014923</t>
  </si>
  <si>
    <t>20080606N900015055</t>
  </si>
  <si>
    <t>20080606N900015370</t>
  </si>
  <si>
    <t>20080606N900015797</t>
  </si>
  <si>
    <t>20080604B300011086</t>
  </si>
  <si>
    <t>20080603N900011114</t>
  </si>
  <si>
    <t>20080512B300010316</t>
  </si>
  <si>
    <t>20080512N900013441</t>
  </si>
  <si>
    <t>20080512N900015382</t>
  </si>
  <si>
    <t>20080506B200000271</t>
  </si>
  <si>
    <t>20080430N900009939</t>
  </si>
  <si>
    <t>20080425N900011773</t>
  </si>
  <si>
    <t>20080424B300010321</t>
  </si>
  <si>
    <t>20080421B200000676</t>
  </si>
  <si>
    <t>20080411B300008300</t>
  </si>
  <si>
    <t>20080411N600003552</t>
  </si>
  <si>
    <t>20080411N900009145</t>
  </si>
  <si>
    <t>20080411N900013271</t>
  </si>
  <si>
    <t>20080411N900014119</t>
  </si>
  <si>
    <t>20080411N900014907</t>
  </si>
  <si>
    <t>20080411N900016095</t>
  </si>
  <si>
    <t>20080404B200000891</t>
  </si>
  <si>
    <t>20080403N900008649</t>
  </si>
  <si>
    <t>Profit/Loss FY09:</t>
  </si>
  <si>
    <t>OPT-ARVMIL-29-Jan-2009-17.5-CA-S</t>
  </si>
  <si>
    <t># 200812241300001106</t>
  </si>
  <si>
    <t>OPT-ARVMIL-26-Feb-2009-15-CA-S</t>
  </si>
  <si>
    <t># 200902171300007135</t>
  </si>
  <si>
    <t>OPT-BALCHI-29-Jan-2009-50-CA-S</t>
  </si>
  <si>
    <t># 200812261300002506</t>
  </si>
  <si>
    <t>OPT-BALCHI-29-Jan-2009-50-PA-S</t>
  </si>
  <si>
    <t># 200901161400006233</t>
  </si>
  <si>
    <t>OPT-DLFLIM-24-Apr-2008-700-CA-S</t>
  </si>
  <si>
    <t># 200804101300002452</t>
  </si>
  <si>
    <t>Brok</t>
  </si>
  <si>
    <t>Stax</t>
  </si>
  <si>
    <t>Nse Tax</t>
  </si>
  <si>
    <t>Other Chrg.</t>
  </si>
  <si>
    <t>OPT-DLFLIM-27-Nov-2008-240-PA-S</t>
  </si>
  <si>
    <t># 200811031500008174</t>
  </si>
  <si>
    <t>06-09-2011</t>
  </si>
  <si>
    <t>OPTDLY/I71662-0609</t>
  </si>
  <si>
    <t>09-09-2011</t>
  </si>
  <si>
    <t>OPTDLY/I71662-0909</t>
  </si>
  <si>
    <t>CALL &amp; TRADE CHARGES 05-09-2011</t>
  </si>
  <si>
    <t>JV1-0709</t>
  </si>
  <si>
    <t>OPT-DLFLIM-29-Jan-2009-200-CA-S</t>
  </si>
  <si>
    <t># 200901161400003156</t>
  </si>
  <si>
    <t>OPT-HUGTEL-27-Nov-2008-22.5-CA-S</t>
  </si>
  <si>
    <t># 200811141500010021</t>
  </si>
  <si>
    <t>OPT-HUGTEL-27-Nov-2008-17.5-PA-S</t>
  </si>
  <si>
    <t># 200811171400006254</t>
  </si>
  <si>
    <t>OPT-INDHOT-28-Aug-2008-90-CA-S</t>
  </si>
  <si>
    <t># 200808081200007409</t>
  </si>
  <si>
    <t>OPT-INDHOT-28-Aug-2008-80-CA-S</t>
  </si>
  <si>
    <t># 200808211300009208</t>
  </si>
  <si>
    <t># 200808211300009562</t>
  </si>
  <si>
    <t># 200808251300005914</t>
  </si>
  <si>
    <t>OPT-NIFTY -29-Oct-2008-2500-PE-I</t>
  </si>
  <si>
    <t># 200810291500003953</t>
  </si>
  <si>
    <t># 200810291500004081</t>
  </si>
  <si>
    <t>OPT-NIFTY -27-Nov-2008-2600-PE-I</t>
  </si>
  <si>
    <t># 200810311200007098</t>
  </si>
  <si>
    <t>OPT-NIFTY -27-Nov-2008-3400-CE-I</t>
  </si>
  <si>
    <t># 200811051100002825</t>
  </si>
  <si>
    <t>OPT-NIFTY -27-Nov-2008-3250-CE-I</t>
  </si>
  <si>
    <t># 200811051100003387</t>
  </si>
  <si>
    <t># 200811071400003406</t>
  </si>
  <si>
    <t>OPT-NIFTY -25-Dec-2008-2400-PE-I</t>
  </si>
  <si>
    <t># 200812021400010809</t>
  </si>
  <si>
    <t>OPT-NIFTY -25-Dec-2008-2600-PE-I</t>
  </si>
  <si>
    <t># 200812041300009192</t>
  </si>
  <si>
    <t>OPT-NIFTY -25-Dec-2008-2700-PE-I</t>
  </si>
  <si>
    <t># 200812081100008587</t>
  </si>
  <si>
    <t>OPT-NIFTY -25-Dec-2008-2800-PE-I</t>
  </si>
  <si>
    <t># 200812101500012840</t>
  </si>
  <si>
    <t>OPT-NIFTY -25-Dec-2008-3100-CE-I</t>
  </si>
  <si>
    <t># 200812111200015765</t>
  </si>
  <si>
    <t>OPT-NIFTY -29-Jan-2009-3300-CE-I</t>
  </si>
  <si>
    <t># 200812261300002423</t>
  </si>
  <si>
    <t>OPT-NIFTY -29-Jan-2009-3200-CE-I</t>
  </si>
  <si>
    <t># 200901091300013960</t>
  </si>
  <si>
    <t>OPT-NIFTY -29-Jan-2009-3100-CE-I</t>
  </si>
  <si>
    <t># 200901121300004413</t>
  </si>
  <si>
    <t>OPT-NIFTY -29-Jan-2009-2800-CE-I</t>
  </si>
  <si>
    <t># 200901141300000478</t>
  </si>
  <si>
    <t>OPT-NIFTY -29-Jan-2009-2700-CE-I</t>
  </si>
  <si>
    <t># 200901151400003473</t>
  </si>
  <si>
    <t># 200901151500005288</t>
  </si>
  <si>
    <t># 200901151500005905</t>
  </si>
  <si>
    <t>OPT-NIFTY -29-Jan-2009-2800-PE-I</t>
  </si>
  <si>
    <t># 200901161300015727</t>
  </si>
  <si>
    <t># 200901201400003052</t>
  </si>
  <si>
    <t># 200901201400004346</t>
  </si>
  <si>
    <t># 200901211100004665</t>
  </si>
  <si>
    <t># 200901231400012068</t>
  </si>
  <si>
    <t>OPT-NIFTY -26-Mar-2009-2900-PE-I</t>
  </si>
  <si>
    <t># 200902061600011178</t>
  </si>
  <si>
    <t>OPT-NIFTY -26-Feb-2009-2800-CE-I</t>
  </si>
  <si>
    <t># 200902171100008095</t>
  </si>
  <si>
    <t>OPT-NIFTY -26-Feb-2009-2600-PE-I</t>
  </si>
  <si>
    <t># 200902181600011117</t>
  </si>
  <si>
    <t># 200902181600011891</t>
  </si>
  <si>
    <t># 200902201200008390</t>
  </si>
  <si>
    <t>OPT-NIFTY -26-Mar-2009-2500-PE-I</t>
  </si>
  <si>
    <t># 200903021700002965</t>
  </si>
  <si>
    <t># 200903021700010512</t>
  </si>
  <si>
    <t># 200903041600011734</t>
  </si>
  <si>
    <t>OPT-NIFTY -26-Mar-2009-2700-CE-I</t>
  </si>
  <si>
    <t># 200903051400002058</t>
  </si>
  <si>
    <t>OPT-NIFTY -26-Mar-2009-2600-CE-I</t>
  </si>
  <si>
    <t># 200903051400006259</t>
  </si>
  <si>
    <t># 200903061500002658</t>
  </si>
  <si>
    <t>OPT-NIFTY -26-Mar-2009-2300-PE-I</t>
  </si>
  <si>
    <t># 200903061500002745</t>
  </si>
  <si>
    <t># 200903061500002999</t>
  </si>
  <si>
    <t># 200903121700008205</t>
  </si>
  <si>
    <t># 200903121700008648</t>
  </si>
  <si>
    <t># 200903131700009609</t>
  </si>
  <si>
    <t>OPT-NIFTY -26-Mar-2009-2600-PE-I</t>
  </si>
  <si>
    <t># 200903131700013371</t>
  </si>
  <si>
    <t>OPT-NIFTY -30-Apr-2009-3000-PE-I</t>
  </si>
  <si>
    <t># 200903231700015012</t>
  </si>
  <si>
    <t>OPT-SATCOM-26-Mar-2009-35-CA-S</t>
  </si>
  <si>
    <t># 200901201400004129</t>
  </si>
  <si>
    <t>OPT-SUZENE-27-Nov-2008-70-CA-S</t>
  </si>
  <si>
    <t># 200811051200004456</t>
  </si>
  <si>
    <t># 200811121400003899</t>
  </si>
  <si>
    <t>OPT-SUZENE-25-Dec-2008-45-CA-S</t>
  </si>
  <si>
    <t># 200812081100001587</t>
  </si>
  <si>
    <t>OPT-NIFTY -26-Apr-2012-5400-CE-I</t>
  </si>
  <si>
    <t>FY13</t>
  </si>
  <si>
    <t>OPT-SUZENE-25-Dec-2008-50-CA-S</t>
  </si>
  <si>
    <t># 200812081100009269</t>
  </si>
  <si>
    <t># 200812101500005929</t>
  </si>
  <si>
    <t># 200812101500011695</t>
  </si>
  <si>
    <t># 200812121300003690</t>
  </si>
  <si>
    <t># 200901131400012788</t>
  </si>
  <si>
    <t># 200902181600009759</t>
  </si>
  <si>
    <t># 200901131400012767</t>
  </si>
  <si>
    <t># 200804111200001846</t>
  </si>
  <si>
    <t># 200811051200004505</t>
  </si>
  <si>
    <t># 200901161400006176</t>
  </si>
  <si>
    <t># 200811031200003127</t>
  </si>
  <si>
    <t># 200811051100003119</t>
  </si>
  <si>
    <t># 200811071400009468</t>
  </si>
  <si>
    <t># 200811121400005035</t>
  </si>
  <si>
    <t># 200812031400007401</t>
  </si>
  <si>
    <t># 200812041300012089</t>
  </si>
  <si>
    <t># 200812101500005766</t>
  </si>
  <si>
    <t># 200812121300002826</t>
  </si>
  <si>
    <t># 200812121300003384</t>
  </si>
  <si>
    <t># 200901121300002709</t>
  </si>
  <si>
    <t># 200901121300003323</t>
  </si>
  <si>
    <t># 200901131400012811</t>
  </si>
  <si>
    <t># 200901141300002439</t>
  </si>
  <si>
    <t># 200901151500005107</t>
  </si>
  <si>
    <t># 200901151500006190</t>
  </si>
  <si>
    <t># 200901191400001725</t>
  </si>
  <si>
    <t># 200901271400004351</t>
  </si>
  <si>
    <t># 200902161200014452</t>
  </si>
  <si>
    <t># 200902181600008366</t>
  </si>
  <si>
    <t># 200903021700002262</t>
  </si>
  <si>
    <t># 200903041600001216</t>
  </si>
  <si>
    <t># 200903051400001873</t>
  </si>
  <si>
    <t># 200903061500002632</t>
  </si>
  <si>
    <t># 200903061700002444</t>
  </si>
  <si>
    <t># 200903231700021064</t>
  </si>
  <si>
    <t># 200901221100001447</t>
  </si>
  <si>
    <t># 200811071400001860</t>
  </si>
  <si>
    <t># 200811171400005985</t>
  </si>
  <si>
    <t># 200812081100003897</t>
  </si>
  <si>
    <t># 200812081100013602</t>
  </si>
  <si>
    <t># 200812101500007599</t>
  </si>
  <si>
    <t># 200812101500012757</t>
  </si>
  <si>
    <t># 200812181300005941</t>
  </si>
  <si>
    <t xml:space="preserve">OPT-NTPC-28-May-2009-200-CA </t>
  </si>
  <si>
    <t>20070319N300010248</t>
  </si>
  <si>
    <t>TECMAH</t>
  </si>
  <si>
    <t>20061222N100011463</t>
  </si>
  <si>
    <t>20061222N100014881</t>
  </si>
  <si>
    <t>20061219N100030150</t>
  </si>
  <si>
    <t>20070301N500011493</t>
  </si>
  <si>
    <t>20061229N400014086</t>
  </si>
  <si>
    <t>Trade for the FY08 (Buy):</t>
  </si>
  <si>
    <t>20080310B200007595</t>
  </si>
  <si>
    <t>20080307N900027931</t>
  </si>
  <si>
    <t>SUZENE</t>
  </si>
  <si>
    <t>20080228N600001236</t>
  </si>
  <si>
    <t>20080228N600001799</t>
  </si>
  <si>
    <t>20080221B200005319</t>
  </si>
  <si>
    <t>20080220N900014693</t>
  </si>
  <si>
    <t>20080206N100006346</t>
  </si>
  <si>
    <t>IFCI</t>
  </si>
  <si>
    <t>20080206N900006040</t>
  </si>
  <si>
    <t>20080206N900006471</t>
  </si>
  <si>
    <t>20080206N900010684</t>
  </si>
  <si>
    <t>GARCON</t>
  </si>
  <si>
    <t>20080201B200004955</t>
  </si>
  <si>
    <t>20080201B200005154</t>
  </si>
  <si>
    <t>20080129N900008764</t>
  </si>
  <si>
    <t>20080129N900010166</t>
  </si>
  <si>
    <t>20080129N900015538</t>
  </si>
  <si>
    <t>20080128B200006157</t>
  </si>
  <si>
    <t>ADLFIL</t>
  </si>
  <si>
    <t>20080123N900020669</t>
  </si>
  <si>
    <t>20080122B200006590</t>
  </si>
  <si>
    <t>20080122B200006968</t>
  </si>
  <si>
    <t>20080122N900009768</t>
  </si>
  <si>
    <t>HDIL</t>
  </si>
  <si>
    <t>20080122N900012863</t>
  </si>
  <si>
    <t>20080122N900017773</t>
  </si>
  <si>
    <t>20080118B200000474</t>
  </si>
  <si>
    <t>20080118N900003657</t>
  </si>
  <si>
    <t>ALPLAB</t>
  </si>
  <si>
    <t>20080108N200032676</t>
  </si>
  <si>
    <t>20080108N900028218</t>
  </si>
  <si>
    <t>20071228B200021457</t>
  </si>
  <si>
    <t>20071227B200006684</t>
  </si>
  <si>
    <t>20071227B200009917</t>
  </si>
  <si>
    <t>PRAIND</t>
  </si>
  <si>
    <t>20071218N600002133</t>
  </si>
  <si>
    <t>Initial Investment:</t>
  </si>
  <si>
    <t>PC P/L :</t>
  </si>
  <si>
    <t>20071218N900014513</t>
  </si>
  <si>
    <t>20071210B200019445</t>
  </si>
  <si>
    <t>20071210B200020051</t>
  </si>
  <si>
    <t>MARCON</t>
  </si>
  <si>
    <t>20071207B200015102</t>
  </si>
  <si>
    <t>AEGCHE</t>
  </si>
  <si>
    <t>20071207B200016413</t>
  </si>
  <si>
    <t>20071205B200001144</t>
  </si>
  <si>
    <t>20071205B200007956</t>
  </si>
  <si>
    <t>20071204N900024308</t>
  </si>
  <si>
    <t>20071203B100004247</t>
  </si>
  <si>
    <t>20071203B100010397</t>
  </si>
  <si>
    <t>20071203N900017705</t>
  </si>
  <si>
    <t>20071130B200011216</t>
  </si>
  <si>
    <t>20071121N600006673</t>
  </si>
  <si>
    <t>20071121N600009247</t>
  </si>
  <si>
    <t>20071121N900019242</t>
  </si>
  <si>
    <t>20071120N600001199</t>
  </si>
  <si>
    <t>GUJGAS</t>
  </si>
  <si>
    <t>20071114N500019763</t>
  </si>
  <si>
    <t>RELII</t>
  </si>
  <si>
    <t>20071114N500025693</t>
  </si>
  <si>
    <t>20071113N900003016</t>
  </si>
  <si>
    <t>20071113N900016240</t>
  </si>
  <si>
    <t>Trade for the FY10 (Buy):</t>
  </si>
  <si>
    <t>19-09-2011</t>
  </si>
  <si>
    <t>CALL &amp; TRADE CHARGES 16-09-2011-I71662</t>
  </si>
  <si>
    <t>JV2-1909</t>
  </si>
  <si>
    <t>OPTDLY/I71662-1909</t>
  </si>
  <si>
    <t>22-09-2011</t>
  </si>
  <si>
    <t>21-09-2011</t>
  </si>
  <si>
    <t>OPTDLY/I71662-2109</t>
  </si>
  <si>
    <t>23-09-2011</t>
  </si>
  <si>
    <t>OPTDLY/I71662-2209</t>
  </si>
  <si>
    <t>26-09-2011</t>
  </si>
  <si>
    <t>OPTDLY/I71662-2309</t>
  </si>
  <si>
    <t>CALL &amp; TRADE CHARGES 23-09-2011-I71662</t>
  </si>
  <si>
    <t>JV12-2609</t>
  </si>
  <si>
    <t>OPTDLY/I71662-2609</t>
  </si>
  <si>
    <t>OPTIDXNIFTY25OCT2011</t>
  </si>
  <si>
    <t>OPTDLY/I71662-2610</t>
  </si>
  <si>
    <t>OPTDLY/I71662-2611</t>
  </si>
  <si>
    <t>OPTDLY/I71662-2612</t>
  </si>
  <si>
    <t>Trade for the FY11 (Buy):</t>
  </si>
  <si>
    <t>Trade for the FY11 (Sell):</t>
  </si>
  <si>
    <t>Adjusted for 1:1 Split</t>
  </si>
  <si>
    <t>Long Term Sell (Tax Exempt):</t>
  </si>
  <si>
    <t xml:space="preserve">Tax Exempt Profit (MANCHE):  </t>
  </si>
  <si>
    <t>Financial Ledger    Date From : 01-APR-2010 To : 31-MAR-2011</t>
  </si>
  <si>
    <t>Client Name : I71662 ANBUMARAN C</t>
  </si>
  <si>
    <t>Particulars</t>
  </si>
  <si>
    <t>Financial Ledger    Date From : 01-APR-2012 To : 31-MAR-2013</t>
  </si>
  <si>
    <t>P/L till FY12 :</t>
  </si>
  <si>
    <t>BillNo/Chq.No</t>
  </si>
  <si>
    <t xml:space="preserve">16-07-2011 </t>
  </si>
  <si>
    <t>Trx.Dt/Chq#</t>
  </si>
  <si>
    <t>28-01-2011</t>
  </si>
  <si>
    <t>BASML</t>
  </si>
  <si>
    <t>DLV921-0102</t>
  </si>
  <si>
    <t/>
  </si>
  <si>
    <t>01-02-2011</t>
  </si>
  <si>
    <t>DLV847-0302</t>
  </si>
  <si>
    <t>GTNTEX</t>
  </si>
  <si>
    <t>09-03-2011</t>
  </si>
  <si>
    <t>Debit Trf. From DP A/c-10145558</t>
  </si>
  <si>
    <t>DPDEBIT-NSDL-NSE</t>
  </si>
  <si>
    <t>23-03-2011</t>
  </si>
  <si>
    <t>STAM DUTY</t>
  </si>
  <si>
    <t>NSE/FO/280973</t>
  </si>
  <si>
    <t>24-03-2011</t>
  </si>
  <si>
    <t>NSE/FO/282117</t>
  </si>
  <si>
    <t>25-03-2011</t>
  </si>
  <si>
    <t>NSE/FO/283273</t>
  </si>
  <si>
    <t>28-03-2011</t>
  </si>
  <si>
    <t>NSE/FO/284510</t>
  </si>
  <si>
    <t>27-12-2010</t>
  </si>
  <si>
    <t xml:space="preserve">FOR FRANKING CHARGES </t>
  </si>
  <si>
    <t>JV25-2712</t>
  </si>
  <si>
    <t>30-12-2010</t>
  </si>
  <si>
    <t>MONTHLY MAINTENANCE CHARGES - FO - 30-12-2010 - 29-01-2011</t>
  </si>
  <si>
    <t>FOMMC-30122010</t>
  </si>
  <si>
    <t>SOFTWARE MAINTENANCE CHARGES - 30-12-2010 - 29-01-2011</t>
  </si>
  <si>
    <t>TC-30122010</t>
  </si>
  <si>
    <t>31-01-2011</t>
  </si>
  <si>
    <t>SOFTWARE MAINTENANCE CHARGES - 30-01-2011 - 27-02-2011</t>
  </si>
  <si>
    <t>TC-30012011</t>
  </si>
  <si>
    <t>28-02-2011</t>
  </si>
  <si>
    <t>SOFTWARE MAINTENANCE CHARGES - 28-02-2011 - 30/03/2011</t>
  </si>
  <si>
    <t>TC-28022011</t>
  </si>
  <si>
    <t>21-03-2011</t>
  </si>
  <si>
    <t>MONTHLY MAINTENANCE CHARGES - 21-03-2011 - 20/04/2011</t>
  </si>
  <si>
    <t>FOMMC-21032011</t>
  </si>
  <si>
    <t>Total Buy:</t>
  </si>
  <si>
    <t>17-02-2011</t>
  </si>
  <si>
    <t>DLV885-1702</t>
  </si>
  <si>
    <t>05-01-2011</t>
  </si>
  <si>
    <t>SOFTWARE CHARGES REVERSED FOR F&amp;O Segment</t>
  </si>
  <si>
    <t>JV19-0501</t>
  </si>
  <si>
    <t>Total Sell:</t>
  </si>
  <si>
    <t>Net Equity Profit:</t>
  </si>
  <si>
    <t>Nifty-Options-5400-PE</t>
  </si>
  <si>
    <t>OPTDLY-389894</t>
  </si>
  <si>
    <t>23-MAR-2011</t>
  </si>
  <si>
    <t>Nifty-Options-5500-PE</t>
  </si>
  <si>
    <t>OPTDLY-390702</t>
  </si>
  <si>
    <t>24-MAR-2011</t>
  </si>
  <si>
    <t>OPTDLY-391633</t>
  </si>
  <si>
    <t>25-MAR-2011</t>
  </si>
  <si>
    <t>OPTDLY-392531</t>
  </si>
  <si>
    <t>28-MAR-2011</t>
  </si>
  <si>
    <t>Net FNO Profit:</t>
  </si>
  <si>
    <t>Net Profit(Equity+FNO):</t>
  </si>
  <si>
    <t>Invest Amount:</t>
  </si>
  <si>
    <t>Current Value:</t>
  </si>
  <si>
    <t>Pay In &amp; Pay Out Details</t>
  </si>
  <si>
    <t>Pay In</t>
  </si>
  <si>
    <t>CHEQUE RECEIVED</t>
  </si>
  <si>
    <t>BRV106-3012</t>
  </si>
  <si>
    <t>04-01-2011</t>
  </si>
  <si>
    <t>BRV133-0401</t>
  </si>
  <si>
    <t>14-01-2011</t>
  </si>
  <si>
    <t xml:space="preserve">CHEQUE RECEIVEDBIL/000200673298/I71662/NSP </t>
  </si>
  <si>
    <t>BRV81-1401</t>
  </si>
  <si>
    <t xml:space="preserve">Cheque ReceivedBIL/000214815216/for i71662/NSP </t>
  </si>
  <si>
    <t>BRV66-2403</t>
  </si>
  <si>
    <t>Pay Out</t>
  </si>
  <si>
    <t>FUND TRF TO ICICI</t>
  </si>
  <si>
    <t>BPV5-2801</t>
  </si>
  <si>
    <t>OPTSTKSBIN25JAN2012</t>
  </si>
  <si>
    <t>18-01-2012</t>
  </si>
  <si>
    <t>OPTDLY/I71662-1801</t>
  </si>
  <si>
    <t>19-01-2012</t>
  </si>
  <si>
    <t>CALL &amp; TRADE CHARGES 18-01-2012-I71662</t>
  </si>
  <si>
    <t>JV21-1901</t>
  </si>
  <si>
    <t>OPTSTKINFY25JAN2012</t>
  </si>
  <si>
    <t>OPTSTKBHEL25JAN2012</t>
  </si>
  <si>
    <t>OPTSTKTATAMOTORS25JAN2012</t>
  </si>
  <si>
    <t>OPTSTKRENUKA25JAN2012</t>
  </si>
  <si>
    <t>OPTSTKBHARTIARTL25JAN2012</t>
  </si>
  <si>
    <t>OPTDLY/I71662-1901</t>
  </si>
  <si>
    <t>Lost Value:</t>
  </si>
  <si>
    <t>FUND TRF TO ICICI BANK</t>
  </si>
  <si>
    <t>BPV3-1702</t>
  </si>
  <si>
    <t>31-03-2011</t>
  </si>
  <si>
    <t>BPV8-3103</t>
  </si>
  <si>
    <r>
      <t>R K GLOBAL SHARES &amp; SECURITIES LIMITED</t>
    </r>
    <r>
      <rPr>
        <sz val="8"/>
        <rFont val="Arial"/>
        <family val="2"/>
      </rPr>
      <t/>
    </r>
  </si>
  <si>
    <t>20071112N600000585</t>
  </si>
  <si>
    <t>20071112N600007357</t>
  </si>
  <si>
    <t>RELCOM</t>
  </si>
  <si>
    <t>20071112N600015657</t>
  </si>
  <si>
    <t>20071107N900007287</t>
  </si>
  <si>
    <t>SANIND</t>
  </si>
  <si>
    <t>20071106N900014897</t>
  </si>
  <si>
    <t>20071106N900015337</t>
  </si>
  <si>
    <t>20071105N900018913</t>
  </si>
  <si>
    <t>20071102B200016544</t>
  </si>
  <si>
    <t>20071102B200016816</t>
  </si>
  <si>
    <t>20071030B200018230</t>
  </si>
  <si>
    <t>20071030N900025849</t>
  </si>
  <si>
    <t>20071029B200007015</t>
  </si>
  <si>
    <t>20071029N900014855</t>
  </si>
  <si>
    <t>20071029N900015549</t>
  </si>
  <si>
    <t>20071029N900018764</t>
  </si>
  <si>
    <t>20071017N900018074</t>
  </si>
  <si>
    <t>20071017N900028331</t>
  </si>
  <si>
    <t>20071016N900015680</t>
  </si>
  <si>
    <t>PARDE</t>
  </si>
  <si>
    <t>20071012N900013750</t>
  </si>
  <si>
    <t>CENTEX</t>
  </si>
  <si>
    <t>20071011N200019931</t>
  </si>
  <si>
    <t>20071011N600024252</t>
  </si>
  <si>
    <t>KGKHOS</t>
  </si>
  <si>
    <t>20071005B200007990</t>
  </si>
  <si>
    <t>20071005N600014820</t>
  </si>
  <si>
    <t>20071004N900028537</t>
  </si>
  <si>
    <t>AMEDRY</t>
  </si>
  <si>
    <t>20071001B200012878</t>
  </si>
  <si>
    <t>HINDAL</t>
  </si>
  <si>
    <t>20071001N900029444</t>
  </si>
  <si>
    <t>20071001N900029567</t>
  </si>
  <si>
    <t>DECCHR</t>
  </si>
  <si>
    <t>20071001N900030689</t>
  </si>
  <si>
    <t>GUJSID</t>
  </si>
  <si>
    <t>20071001N900030819</t>
  </si>
  <si>
    <t>GUJIP</t>
  </si>
  <si>
    <t>20071001N900031206</t>
  </si>
  <si>
    <t>HUGTEL</t>
  </si>
  <si>
    <t>20071001N900031537</t>
  </si>
  <si>
    <t>VAKRAN</t>
  </si>
  <si>
    <t>20070928N900029850</t>
  </si>
  <si>
    <t>AKRNIR</t>
  </si>
  <si>
    <t>20070928N900031295</t>
  </si>
  <si>
    <t>20070927N900037208</t>
  </si>
  <si>
    <t>RELPET</t>
  </si>
  <si>
    <t>20070918N900021929</t>
  </si>
  <si>
    <t>20070914N900026226</t>
  </si>
  <si>
    <t>20070802N900020733</t>
  </si>
  <si>
    <t>20070802N900020994</t>
  </si>
  <si>
    <t>20070802N900021753</t>
  </si>
  <si>
    <t>20070802N900022440</t>
  </si>
  <si>
    <t>20070724N900026426</t>
  </si>
  <si>
    <t>MINCON</t>
  </si>
  <si>
    <t>20070717N600014364</t>
  </si>
  <si>
    <t>20070530N900029738</t>
  </si>
  <si>
    <t>20070523N600023227</t>
  </si>
  <si>
    <t>20070523N900025738</t>
  </si>
  <si>
    <t>20070522N900009376</t>
  </si>
  <si>
    <t>20070516N900010943</t>
  </si>
  <si>
    <t>20070509N900011583</t>
  </si>
  <si>
    <t>20070508N900020326</t>
  </si>
  <si>
    <t>20070430N900011107</t>
  </si>
  <si>
    <t>20070430N900011621</t>
  </si>
  <si>
    <t>20070430N900017853</t>
  </si>
  <si>
    <t>20070427N900030116</t>
  </si>
  <si>
    <t>OPTIDXNIFTY31MAY2012</t>
  </si>
  <si>
    <t>OPTDLY/I71662-2905</t>
  </si>
  <si>
    <t>29-05-2012</t>
  </si>
  <si>
    <t>OPTIDXNIFTY27SEP2012</t>
  </si>
  <si>
    <t>Stamp Duty</t>
  </si>
  <si>
    <t>OPTDLY/I71662-1806</t>
  </si>
  <si>
    <t>18-06-2012</t>
  </si>
  <si>
    <t>OPTDLY/I71662-1506</t>
  </si>
  <si>
    <t>15-06-2012</t>
  </si>
  <si>
    <t>OPTDLY/I71662-1306</t>
  </si>
  <si>
    <t>13-06-2012</t>
  </si>
  <si>
    <t>STT &amp; Stamp Duty</t>
  </si>
  <si>
    <t>08-06-2012</t>
  </si>
  <si>
    <t>07-06-2012</t>
  </si>
  <si>
    <t>OPTDLY/I71662-0706</t>
  </si>
  <si>
    <t>OPTDLY/I71662-0806</t>
  </si>
  <si>
    <t>20070427N900030687</t>
  </si>
  <si>
    <t>20070425N900025332</t>
  </si>
  <si>
    <t>TCS</t>
  </si>
  <si>
    <t>20070403N500005215</t>
  </si>
  <si>
    <t>20070403N500010231</t>
  </si>
  <si>
    <t>20070403N500010807</t>
  </si>
  <si>
    <t>ID: 4963101 / App. No. 11303677</t>
  </si>
  <si>
    <t>Trade for the FY08(Sell):</t>
  </si>
  <si>
    <t>20080327N900014957</t>
  </si>
  <si>
    <t>20080327N900016793</t>
  </si>
  <si>
    <t>20080325B200003310</t>
  </si>
  <si>
    <t>20080325B200003437</t>
  </si>
  <si>
    <t>20080325B200003772</t>
  </si>
  <si>
    <t>20080325B200003849</t>
  </si>
  <si>
    <t>20080313B200010081</t>
  </si>
  <si>
    <t>CALL &amp; TRADE CHARGES 04-10-2011-I71662</t>
  </si>
  <si>
    <t>JV15-0510</t>
  </si>
  <si>
    <t>BANK CHARGE</t>
  </si>
  <si>
    <t>ATOM ICICI BANK-0847</t>
  </si>
  <si>
    <t>05-10-2011</t>
  </si>
  <si>
    <t>04-10-2011</t>
  </si>
  <si>
    <t>OPTDLY/I71662-0410</t>
  </si>
  <si>
    <t>OPTDLY/I71662-0510</t>
  </si>
  <si>
    <t>07-10-2011</t>
  </si>
  <si>
    <t>OPTDLY/I71662-0710</t>
  </si>
  <si>
    <t>10-10-2011</t>
  </si>
  <si>
    <t>OPTDLY/I71662-1010</t>
  </si>
  <si>
    <t>20080307N900026464</t>
  </si>
  <si>
    <t>20080226B200003206</t>
  </si>
  <si>
    <t>20080221B200003384</t>
  </si>
  <si>
    <t>20080215B100010311</t>
  </si>
  <si>
    <t>20080206N100006345</t>
  </si>
  <si>
    <t>20080206N900006039</t>
  </si>
  <si>
    <t>20080206N900006470</t>
  </si>
  <si>
    <t>20080206N900010683</t>
  </si>
  <si>
    <t>20080201B200004892</t>
  </si>
  <si>
    <t>DP Charges -10145558/I71662</t>
  </si>
  <si>
    <t>OPTDLY/I71662-0807</t>
  </si>
  <si>
    <t>Cheque Received L/000237443676/i71662/NSP</t>
  </si>
  <si>
    <t>08-07-2011</t>
  </si>
  <si>
    <t>02-07-2011</t>
  </si>
  <si>
    <t>20080129N900008765</t>
  </si>
  <si>
    <t>20080129N900010165</t>
  </si>
  <si>
    <t>20080129N900015539</t>
  </si>
  <si>
    <t>20080125B200007628</t>
  </si>
  <si>
    <t>20080125N900014647</t>
  </si>
  <si>
    <t>20080111B200004348</t>
  </si>
  <si>
    <t>20080108N900017873</t>
  </si>
  <si>
    <t>20071227B200003418</t>
  </si>
  <si>
    <t>20071227B200007714</t>
  </si>
  <si>
    <t>20071227B200018254</t>
  </si>
  <si>
    <t>20071220B200015951</t>
  </si>
  <si>
    <t>20071220N900028206</t>
  </si>
  <si>
    <t>20071217B200012691</t>
  </si>
  <si>
    <t>20071213B200003013</t>
  </si>
  <si>
    <t>20071207B200006628</t>
  </si>
  <si>
    <t>20071205B200000449</t>
  </si>
  <si>
    <t>20071203N900019924</t>
  </si>
  <si>
    <t>20071203N900021874</t>
  </si>
  <si>
    <t>20071130B200014886</t>
  </si>
  <si>
    <t>20071130N900030515</t>
  </si>
  <si>
    <t>20071128N900005924</t>
  </si>
  <si>
    <t>20071126N900016199</t>
  </si>
  <si>
    <t>20071121N600006674</t>
  </si>
  <si>
    <t>20071121N600009248</t>
  </si>
  <si>
    <t>20071121N900019243</t>
  </si>
  <si>
    <t>20071114B200007252</t>
  </si>
  <si>
    <t>20071113N900015690</t>
  </si>
  <si>
    <t>20071112N600002208</t>
  </si>
  <si>
    <t>20071106N600003583</t>
  </si>
  <si>
    <t>20071105N900018440</t>
  </si>
  <si>
    <t>20071031N900032474</t>
  </si>
  <si>
    <t>20071030N900039626</t>
  </si>
  <si>
    <t>20071026B200008192</t>
  </si>
  <si>
    <t>20071025N900016299</t>
  </si>
  <si>
    <t>20071016B200006487</t>
  </si>
  <si>
    <t>20071016B200011417</t>
  </si>
  <si>
    <t>20071016N800019454</t>
  </si>
  <si>
    <t>20071016N800022556</t>
  </si>
  <si>
    <t>20071016N900017720</t>
  </si>
  <si>
    <t>20071011B200008292</t>
  </si>
  <si>
    <t>20071009N900030047</t>
  </si>
  <si>
    <t>20071005N600027067</t>
  </si>
  <si>
    <t>20070926N900016787</t>
  </si>
  <si>
    <t>20070926N900017534</t>
  </si>
  <si>
    <t>20070926N900049406</t>
  </si>
  <si>
    <t>20070802N900020364</t>
  </si>
  <si>
    <t>20070802N900020589</t>
  </si>
  <si>
    <t>20070706N900020756</t>
  </si>
  <si>
    <t>20070608N900011404</t>
  </si>
  <si>
    <t>20070605N900019995</t>
  </si>
  <si>
    <t>20070517N900021986</t>
  </si>
  <si>
    <t>20070516N900010822</t>
  </si>
  <si>
    <t>20070430N900011108</t>
  </si>
  <si>
    <t>20070430N900011622</t>
  </si>
  <si>
    <t>20070417N300012182</t>
  </si>
  <si>
    <t>20070417N300012921</t>
  </si>
  <si>
    <t>20070417N300014443</t>
  </si>
  <si>
    <t>20070412N800007695</t>
  </si>
  <si>
    <t>20070412N800008289</t>
  </si>
  <si>
    <t>20070402N500006283</t>
  </si>
  <si>
    <t>20080215B200006050</t>
  </si>
  <si>
    <t>Profit/Loss FY08:</t>
  </si>
  <si>
    <t>Profit/Loss:</t>
  </si>
  <si>
    <t>IPO Details (Which are already included in the above transcation details &amp; Adjusted for actual allocation):</t>
  </si>
  <si>
    <t>Transaction ID</t>
  </si>
  <si>
    <t>Transaction Type</t>
  </si>
  <si>
    <t>Name</t>
  </si>
  <si>
    <t>Issue Code</t>
  </si>
  <si>
    <t>Application No.</t>
  </si>
  <si>
    <t>Amt payable / receivable</t>
  </si>
  <si>
    <t>Status</t>
  </si>
  <si>
    <t>Match Account</t>
  </si>
  <si>
    <t>DP ID</t>
  </si>
  <si>
    <t>DP Account</t>
  </si>
  <si>
    <t>Original</t>
  </si>
  <si>
    <t>RELIANCE POWER LIMITED : RELPOW</t>
  </si>
  <si>
    <t>NEWIPO</t>
  </si>
  <si>
    <t>Executed</t>
  </si>
  <si>
    <t>IN303028</t>
  </si>
  <si>
    <t>DLF LIMITED : DLFLIM</t>
  </si>
  <si>
    <t>OPT-DLFLIM-26-Jul-2007-540-CA-S</t>
  </si>
  <si>
    <t># 200707051200002618</t>
  </si>
  <si>
    <t># 200707051200016687</t>
  </si>
  <si>
    <t>OPT-DLFLIM-26-Jul-2007-580-PA-S</t>
  </si>
  <si>
    <t># 200707121200002979</t>
  </si>
  <si>
    <t>OPT-DLFLIM-26-Jul-2007-580-CA-S</t>
  </si>
  <si>
    <t># 200707121200009358</t>
  </si>
  <si>
    <t># 200707131100003966</t>
  </si>
  <si>
    <t># 200707131200010746</t>
  </si>
  <si>
    <t>OPT-DLFLIM-26-Jul-2007-600-CA-S</t>
  </si>
  <si>
    <t># 200707181100006243</t>
  </si>
  <si>
    <t>23-06-2011</t>
  </si>
  <si>
    <t>24-06-2011</t>
  </si>
  <si>
    <t>OPTDLY/I71662-2406</t>
  </si>
  <si>
    <t>Cheque ReceivedBIL/000233985036/i71662/NSP</t>
  </si>
  <si>
    <t>29-06-2011</t>
  </si>
  <si>
    <t>OPTDLY/I71662-2906</t>
  </si>
  <si>
    <t>08-11-2011</t>
  </si>
  <si>
    <t>OPTDLY/I71662-0811</t>
  </si>
  <si>
    <t>CALL &amp; TRADE CHARGES 08-11-2011-I71662</t>
  </si>
  <si>
    <t>JV11-0911</t>
  </si>
  <si>
    <t>09-11-2011</t>
  </si>
  <si>
    <t>OPTDLY/I71662-0911</t>
  </si>
  <si>
    <t>MONTHLY MAINTENANCE CHARGES - 11-11-2011 - 11-Dec-11</t>
  </si>
  <si>
    <t>FOMMC-11112011</t>
  </si>
  <si>
    <t>11-11-2011</t>
  </si>
  <si>
    <t>OPTDLY/I71662-1111</t>
  </si>
  <si>
    <t>OPTDLY/I71662-1411</t>
  </si>
  <si>
    <t>14-11-2011</t>
  </si>
  <si>
    <t>15-11-2011</t>
  </si>
  <si>
    <t>OPTDLY/I71662-1511</t>
  </si>
  <si>
    <t>OPTDLY/I71662-1611</t>
  </si>
  <si>
    <t>16-11-2011</t>
  </si>
  <si>
    <t>OPTSTKINFY24NOV2011</t>
  </si>
  <si>
    <t>17-11-2011</t>
  </si>
  <si>
    <t>OPTDLY/I71662-1711</t>
  </si>
  <si>
    <t>18-11-2011</t>
  </si>
  <si>
    <t>CALL &amp; TRADE CHARGES 17-11-2011-I71662</t>
  </si>
  <si>
    <t>JV19-1811</t>
  </si>
  <si>
    <t>21-11-2011</t>
  </si>
  <si>
    <t>OPTDLY/I71662-2111</t>
  </si>
  <si>
    <t>OPTDLY/I71662-2211</t>
  </si>
  <si>
    <t>22-11-2011</t>
  </si>
  <si>
    <t>Cheque ReceivedBIL/000234858250/i71662/NSP</t>
  </si>
  <si>
    <t>30-06-2011</t>
  </si>
  <si>
    <t>Cheque ReceivedBIL/000235009023/i71662/NSP</t>
  </si>
  <si>
    <t>OPTDLY/I71662-0107</t>
  </si>
  <si>
    <t>Cheque ReceivedBIL/000236295862/i71662/NSP</t>
  </si>
  <si>
    <t>OPTIDXNIFTY28JUL2011</t>
  </si>
  <si>
    <t>OPTDLY/I71662-0407</t>
  </si>
  <si>
    <t>OPTIDXNIFTY29SEP2011</t>
  </si>
  <si>
    <t>OPTIDXNIFTY25AUG2011</t>
  </si>
  <si>
    <t>04-07-2011</t>
  </si>
  <si>
    <t xml:space="preserve">01-07-2011 </t>
  </si>
  <si>
    <t xml:space="preserve">29-06-2011 </t>
  </si>
  <si>
    <t>OPT-DLFLIM-26-Jul-2007-620-CA-S</t>
  </si>
  <si>
    <t># 200707191100004478</t>
  </si>
  <si>
    <t>OPT-DLFLIM-26-Jul-2007-640-PA-S</t>
  </si>
  <si>
    <t># 200707191100008017</t>
  </si>
  <si>
    <t># 200707191200004829</t>
  </si>
  <si>
    <t># 200707201200005001</t>
  </si>
  <si>
    <t># 200707201200007836</t>
  </si>
  <si>
    <t>OPT-DLFLIM-30-Aug-2007-600-CA-S</t>
  </si>
  <si>
    <t># 200707271200009757</t>
  </si>
  <si>
    <t>OPT-DLFLIM-30-Aug-2007-580-CA-S</t>
  </si>
  <si>
    <t># 200708011300003269</t>
  </si>
  <si>
    <t># 200708011300003819</t>
  </si>
  <si>
    <t>OPT-DLFLIM-30-Aug-2007-620-CA-S</t>
  </si>
  <si>
    <t># 200708091400017680</t>
  </si>
  <si>
    <t>OPT-DLFLIM-25-Oct-2007-780-PA-S</t>
  </si>
  <si>
    <t># 200710161200006288</t>
  </si>
  <si>
    <t>OPT-DLFLIM-28-Feb-2008-840-CA-S</t>
  </si>
  <si>
    <t># 200802281300002233</t>
  </si>
  <si>
    <t>OPT-IDECEL-26-Jul-2007-120-PA-S</t>
  </si>
  <si>
    <t># 200707021100006548</t>
  </si>
  <si>
    <t># 200707091100006717</t>
  </si>
  <si>
    <t>OPT-IDECEL-26-Jul-2007-120-CA-S</t>
  </si>
  <si>
    <t># 200707101200009671</t>
  </si>
  <si>
    <t># 200707111300001840</t>
  </si>
  <si>
    <t>OPT-INFTEC-31-May-2007-2010-CA-S</t>
  </si>
  <si>
    <t># 200705151200009841</t>
  </si>
  <si>
    <t>OPT-NIFTY -28-Jun-2007-4150-CE-I</t>
  </si>
  <si>
    <t># 200706081200004032</t>
  </si>
  <si>
    <t>OPT-NIFTY -28-Jun-2007-4150-PE-I</t>
  </si>
  <si>
    <t># 200706141100003550</t>
  </si>
  <si>
    <t># 200706141100003808</t>
  </si>
  <si>
    <t># 200706141100007020</t>
  </si>
  <si>
    <t># 200706141200005569</t>
  </si>
  <si>
    <t># 200706151200001027</t>
  </si>
  <si>
    <t>25-08-2011</t>
  </si>
  <si>
    <t>OPTDLY/I71662-2508</t>
  </si>
  <si>
    <t>Cheque ReceivedBIL/000248156826/i71662/NSP</t>
  </si>
  <si>
    <t>26-08-2011</t>
  </si>
  <si>
    <t>OPTDLY/I71662-2608</t>
  </si>
  <si>
    <t>30-08-2011</t>
  </si>
  <si>
    <t>BANK CHARGES</t>
  </si>
  <si>
    <t>ATOMPG-ICICI Bank-249367536</t>
  </si>
  <si>
    <t>OPTDLY/I71662-3008</t>
  </si>
  <si>
    <t>OPTDLY/I71662-0209</t>
  </si>
  <si>
    <t>30-07-2012</t>
  </si>
  <si>
    <t>OPTIDXNIFTY25OCT2012</t>
  </si>
  <si>
    <t>31-07-2012</t>
  </si>
  <si>
    <t>OPTDLY/I71662-3107</t>
  </si>
  <si>
    <t>01-08-2012</t>
  </si>
  <si>
    <t>OPTDLY/I71662-0108</t>
  </si>
  <si>
    <t>03-08-2012</t>
  </si>
  <si>
    <t>OPTDLY/I71662-0308</t>
  </si>
  <si>
    <t>07-08-2012</t>
  </si>
  <si>
    <t>OPTDLY/I71662-0708</t>
  </si>
  <si>
    <t>OPTDLY/I71662-0709</t>
  </si>
  <si>
    <t>08-08-2012</t>
  </si>
  <si>
    <t>OPTSTKSBIN30AUG2012</t>
  </si>
  <si>
    <t>OPTDLY/I71662-0808</t>
  </si>
  <si>
    <t>09-08-2012</t>
  </si>
  <si>
    <t>OPTDLY/I71662-0908</t>
  </si>
  <si>
    <t>10-08-2012</t>
  </si>
  <si>
    <t>Payment Receved From ICI</t>
  </si>
  <si>
    <t>FOMMC-Monthly-12082012</t>
  </si>
  <si>
    <t>12-08-2012</t>
  </si>
  <si>
    <t>01-03-2012</t>
  </si>
  <si>
    <t>OPTDLY/I71662-0103</t>
  </si>
  <si>
    <t>CALL &amp; TRADE CHARGES 01-03-2012-I71662</t>
  </si>
  <si>
    <t>JV9-0203</t>
  </si>
  <si>
    <t>02-03-2012</t>
  </si>
  <si>
    <t>05-03-2012</t>
  </si>
  <si>
    <t>MONTHLY MAINTENANCE CHARGES - 11-03-2012 - 10-04-2012</t>
  </si>
  <si>
    <t>FOMMC-Monthly-11032012</t>
  </si>
  <si>
    <t>OPTDLY/I71662-0503</t>
  </si>
  <si>
    <t>06-03-2012</t>
  </si>
  <si>
    <t>OPTDLY/I71662-0603</t>
  </si>
  <si>
    <t>07-03-2012</t>
  </si>
  <si>
    <t>OPTDLY/I71662-0703</t>
  </si>
  <si>
    <t>09-03-2012</t>
  </si>
  <si>
    <t>OPTDLY/I71662-0903</t>
  </si>
  <si>
    <t>CALL &amp; TRADE CHARGES 07-03-2012-I71662</t>
  </si>
  <si>
    <t>JV9-0903</t>
  </si>
  <si>
    <t>15-03-2012</t>
  </si>
  <si>
    <t>FUND REC-ATOM</t>
  </si>
  <si>
    <t>BANK CHG</t>
  </si>
  <si>
    <t>OPTDLY/I71662-2003</t>
  </si>
  <si>
    <t>OPTDLY/I71662-2203</t>
  </si>
  <si>
    <t>22-03-2012</t>
  </si>
  <si>
    <t>20-03-2012</t>
  </si>
  <si>
    <t xml:space="preserve">20120322N900014964 </t>
  </si>
  <si>
    <t xml:space="preserve">20120228N900004008 </t>
  </si>
  <si>
    <t>JYOSTR</t>
  </si>
  <si>
    <t xml:space="preserve">20120223N900006631 </t>
  </si>
  <si>
    <t xml:space="preserve">20120216N900015958 </t>
  </si>
  <si>
    <t xml:space="preserve">20120216N900016426 </t>
  </si>
  <si>
    <t xml:space="preserve">20120210B300008142 </t>
  </si>
  <si>
    <t>WIMPLA</t>
  </si>
  <si>
    <t xml:space="preserve">20120202B300006834 </t>
  </si>
  <si>
    <t>LANINF</t>
  </si>
  <si>
    <t xml:space="preserve">20120202N900010527 </t>
  </si>
  <si>
    <t>MCLRUS</t>
  </si>
  <si>
    <t xml:space="preserve">20120130N900013408 </t>
  </si>
  <si>
    <t xml:space="preserve">20120130N900015158 </t>
  </si>
  <si>
    <t xml:space="preserve">20120130N900015299 </t>
  </si>
  <si>
    <t>TILIND</t>
  </si>
  <si>
    <t xml:space="preserve">20120124N900013547 </t>
  </si>
  <si>
    <t xml:space="preserve">20120124N900013942 </t>
  </si>
  <si>
    <t xml:space="preserve">20120110N900009481 </t>
  </si>
  <si>
    <t xml:space="preserve">20120110N900009510 </t>
  </si>
  <si>
    <t>PFIZER</t>
  </si>
  <si>
    <t xml:space="preserve">20111121N900011995 </t>
  </si>
  <si>
    <t xml:space="preserve">20111114B300007547 </t>
  </si>
  <si>
    <t>VIPIND</t>
  </si>
  <si>
    <t xml:space="preserve">20111114N900016125 </t>
  </si>
  <si>
    <t xml:space="preserve">20111109B300005472 </t>
  </si>
  <si>
    <t xml:space="preserve">20111109N900004766 </t>
  </si>
  <si>
    <t xml:space="preserve">20111109N900009267 </t>
  </si>
  <si>
    <t xml:space="preserve">20111109N900011038 </t>
  </si>
  <si>
    <t xml:space="preserve">20111108B300007542 </t>
  </si>
  <si>
    <t xml:space="preserve">20111102B300006824 </t>
  </si>
  <si>
    <t>VINORG</t>
  </si>
  <si>
    <t xml:space="preserve">20111102N900011641 </t>
  </si>
  <si>
    <t>NEWSTA</t>
  </si>
  <si>
    <t xml:space="preserve">20111102N900011682 </t>
  </si>
  <si>
    <t xml:space="preserve">20111102N900012980 </t>
  </si>
  <si>
    <t xml:space="preserve">20111031N900014944 </t>
  </si>
  <si>
    <t>CROGRE</t>
  </si>
  <si>
    <t xml:space="preserve">20111025N900004623 </t>
  </si>
  <si>
    <t xml:space="preserve">20111025N900005137 </t>
  </si>
  <si>
    <t xml:space="preserve">20111020B800009482 </t>
  </si>
  <si>
    <t>UNIINF</t>
  </si>
  <si>
    <t xml:space="preserve">20111019N900007855 </t>
  </si>
  <si>
    <t xml:space="preserve">20111019N900008044 </t>
  </si>
  <si>
    <t xml:space="preserve">20111005N900006967 </t>
  </si>
  <si>
    <t xml:space="preserve">20110928N900005299 </t>
  </si>
  <si>
    <t>ELECAS</t>
  </si>
  <si>
    <t xml:space="preserve">20110919N900008624 </t>
  </si>
  <si>
    <t>30-08-2012</t>
  </si>
  <si>
    <t xml:space="preserve">20110913B300006803 </t>
  </si>
  <si>
    <t xml:space="preserve">20110912B300007288 </t>
  </si>
  <si>
    <t xml:space="preserve">20110909N900014904 </t>
  </si>
  <si>
    <t>ORICAR</t>
  </si>
  <si>
    <t xml:space="preserve">20110907B300005834 </t>
  </si>
  <si>
    <t xml:space="preserve">20110907N900015636 </t>
  </si>
  <si>
    <t xml:space="preserve">20110906B300006772 </t>
  </si>
  <si>
    <t>WESHAT</t>
  </si>
  <si>
    <t xml:space="preserve">20110906N900013638 </t>
  </si>
  <si>
    <t>GODPRO</t>
  </si>
  <si>
    <t xml:space="preserve">20110906N900013655 </t>
  </si>
  <si>
    <t xml:space="preserve">20110906N900014473 </t>
  </si>
  <si>
    <t xml:space="preserve">20110906N900014585 </t>
  </si>
  <si>
    <t>ATUL</t>
  </si>
  <si>
    <t xml:space="preserve">20110905N900007770 </t>
  </si>
  <si>
    <t>TELCO</t>
  </si>
  <si>
    <t xml:space="preserve">20110905N900007858 </t>
  </si>
  <si>
    <t xml:space="preserve">20110826N900007636 </t>
  </si>
  <si>
    <t xml:space="preserve">20110824B300005928 </t>
  </si>
  <si>
    <t xml:space="preserve">20110824N900010031 </t>
  </si>
  <si>
    <t xml:space="preserve">20110824N900011494 </t>
  </si>
  <si>
    <t xml:space="preserve">20110824N900011534 </t>
  </si>
  <si>
    <t xml:space="preserve">20110824N900011602 </t>
  </si>
  <si>
    <t xml:space="preserve">20110824N900011662 </t>
  </si>
  <si>
    <t xml:space="preserve">20110824N900011726 </t>
  </si>
  <si>
    <t xml:space="preserve">20110819B300005398 </t>
  </si>
  <si>
    <t xml:space="preserve">20110819B300005576 </t>
  </si>
  <si>
    <t xml:space="preserve">20110819B300005703 </t>
  </si>
  <si>
    <t xml:space="preserve">20110819N900006684 </t>
  </si>
  <si>
    <t xml:space="preserve">20110819N900018651 </t>
  </si>
  <si>
    <t xml:space="preserve">20110819N900018689 </t>
  </si>
  <si>
    <t xml:space="preserve">20110818B300004854 </t>
  </si>
  <si>
    <t xml:space="preserve">20110818B300004877 </t>
  </si>
  <si>
    <t xml:space="preserve">20110818B300004907 </t>
  </si>
  <si>
    <t xml:space="preserve">20110818N900004864 </t>
  </si>
  <si>
    <t xml:space="preserve">20110818N900005492 </t>
  </si>
  <si>
    <t xml:space="preserve">20110818N900005778 </t>
  </si>
  <si>
    <t xml:space="preserve">20110818N900006232 </t>
  </si>
  <si>
    <t xml:space="preserve">20110818N900006394 </t>
  </si>
  <si>
    <t xml:space="preserve">20110816B300007533 </t>
  </si>
  <si>
    <t>JMCPRO</t>
  </si>
  <si>
    <t xml:space="preserve">20110816N900013038 </t>
  </si>
  <si>
    <t>MAHSPI</t>
  </si>
  <si>
    <t xml:space="preserve">20110811B300005805 </t>
  </si>
  <si>
    <t xml:space="preserve">20110811N900007145 </t>
  </si>
  <si>
    <t xml:space="preserve">20110811N900007735 </t>
  </si>
  <si>
    <t xml:space="preserve">20110810B300008016 </t>
  </si>
  <si>
    <t xml:space="preserve">20110726B300008936 </t>
  </si>
  <si>
    <t xml:space="preserve">20110725B300011675 </t>
  </si>
  <si>
    <t xml:space="preserve">20110725B300011758 </t>
  </si>
  <si>
    <t>FIRLEA</t>
  </si>
  <si>
    <t xml:space="preserve">20110725N900005029 </t>
  </si>
  <si>
    <t xml:space="preserve">20110725N900011758 </t>
  </si>
  <si>
    <t xml:space="preserve">20110725N900012761 </t>
  </si>
  <si>
    <t xml:space="preserve">20110725N900012776 </t>
  </si>
  <si>
    <t xml:space="preserve">20110725N900012836 </t>
  </si>
  <si>
    <t xml:space="preserve">20110725N900012942 </t>
  </si>
  <si>
    <t xml:space="preserve">20110725N900013001 </t>
  </si>
  <si>
    <t xml:space="preserve">20110725N900013062 </t>
  </si>
  <si>
    <t xml:space="preserve">20110721N900005670 </t>
  </si>
  <si>
    <t xml:space="preserve">20110708B300006677 </t>
  </si>
  <si>
    <t xml:space="preserve">20110708N900006802 </t>
  </si>
  <si>
    <t xml:space="preserve">20110704B300006428 </t>
  </si>
  <si>
    <t>OPT-NIFTY -27-Sep-2012-5500-PE-I</t>
  </si>
  <si>
    <t>OPT-NIFTY -30-Aug-2012-5500-PE-I</t>
  </si>
  <si>
    <t># 201208301700007951</t>
  </si>
  <si>
    <t># 201208291700006291</t>
  </si>
  <si>
    <t># 201208291700001540</t>
  </si>
  <si>
    <t># 201208241700005858</t>
  </si>
  <si>
    <t xml:space="preserve">20110628B300003846 </t>
  </si>
  <si>
    <t>EMPDIS</t>
  </si>
  <si>
    <t xml:space="preserve">20110624N900013090 </t>
  </si>
  <si>
    <t xml:space="preserve">20110622N900009608 </t>
  </si>
  <si>
    <t xml:space="preserve">20110621N900006130 </t>
  </si>
  <si>
    <t xml:space="preserve">20110621N900006513 </t>
  </si>
  <si>
    <t xml:space="preserve">20110616N900009654 </t>
  </si>
  <si>
    <t>BGRENE</t>
  </si>
  <si>
    <t xml:space="preserve">20110615N900008847 </t>
  </si>
  <si>
    <t xml:space="preserve">20110615N900008894 </t>
  </si>
  <si>
    <t xml:space="preserve">20110609N900009177 </t>
  </si>
  <si>
    <t xml:space="preserve">20110603B300002750 </t>
  </si>
  <si>
    <t xml:space="preserve">20110603N900005791 </t>
  </si>
  <si>
    <t xml:space="preserve">20110531N900007256 </t>
  </si>
  <si>
    <t xml:space="preserve">20110531N900007285 </t>
  </si>
  <si>
    <t xml:space="preserve">20110527B300002847 </t>
  </si>
  <si>
    <t xml:space="preserve">20110527B300003030 </t>
  </si>
  <si>
    <t xml:space="preserve">20110527N900011572 </t>
  </si>
  <si>
    <t xml:space="preserve">20110527N900012217 </t>
  </si>
  <si>
    <t xml:space="preserve">20110527N900012256 </t>
  </si>
  <si>
    <t xml:space="preserve">20110527N900012303 </t>
  </si>
  <si>
    <t>VADIND</t>
  </si>
  <si>
    <t xml:space="preserve">20110524B300003169 </t>
  </si>
  <si>
    <t xml:space="preserve">20110524N900010249 </t>
  </si>
  <si>
    <t>BAJELE</t>
  </si>
  <si>
    <t xml:space="preserve">20110523B300003376 </t>
  </si>
  <si>
    <t xml:space="preserve">20110523B300003401 </t>
  </si>
  <si>
    <t xml:space="preserve">20110523N900011071 </t>
  </si>
  <si>
    <t xml:space="preserve">20110523N900011146 </t>
  </si>
  <si>
    <t xml:space="preserve">20110518B300002750 </t>
  </si>
  <si>
    <t xml:space="preserve">20110518N900010856 </t>
  </si>
  <si>
    <t xml:space="preserve">20110518N900010961 </t>
  </si>
  <si>
    <t xml:space="preserve">20110518N900010983 </t>
  </si>
  <si>
    <t xml:space="preserve">20110518N900011057 </t>
  </si>
  <si>
    <t xml:space="preserve">20110518N900011788 </t>
  </si>
  <si>
    <t xml:space="preserve">20110511N900003227 </t>
  </si>
  <si>
    <t xml:space="preserve">20110511N900003251 </t>
  </si>
  <si>
    <t xml:space="preserve">20110510N900004121 </t>
  </si>
  <si>
    <t>MAHMAH</t>
  </si>
  <si>
    <t xml:space="preserve">20110510N900004155 </t>
  </si>
  <si>
    <t xml:space="preserve">20110509N900004404 </t>
  </si>
  <si>
    <t xml:space="preserve">20110509N900004541 </t>
  </si>
  <si>
    <t xml:space="preserve">20110509N900004588 </t>
  </si>
  <si>
    <t xml:space="preserve">20110506N900011038 </t>
  </si>
  <si>
    <t xml:space="preserve">20110505B300002669 </t>
  </si>
  <si>
    <t xml:space="preserve">20110505N900009680 </t>
  </si>
  <si>
    <t>ABBALS</t>
  </si>
  <si>
    <t xml:space="preserve">20110504B300002002 </t>
  </si>
  <si>
    <t xml:space="preserve">20110504B300002244 </t>
  </si>
  <si>
    <t xml:space="preserve">20110504B300002266 </t>
  </si>
  <si>
    <t xml:space="preserve">20110504B300002286 </t>
  </si>
  <si>
    <t xml:space="preserve">20110504B300002293 </t>
  </si>
  <si>
    <t xml:space="preserve">20110504B300002302 </t>
  </si>
  <si>
    <t xml:space="preserve">20110504B300002307 </t>
  </si>
  <si>
    <t xml:space="preserve">20110504B300003167 </t>
  </si>
  <si>
    <t xml:space="preserve">20110504B300003172 </t>
  </si>
  <si>
    <t xml:space="preserve">20110504B300003177 </t>
  </si>
  <si>
    <t>31-08-2012</t>
  </si>
  <si>
    <t>OPTDLY/I71662-3108</t>
  </si>
  <si>
    <t>03-09-2012</t>
  </si>
  <si>
    <t>OPTDLY/I71662-0309</t>
  </si>
  <si>
    <t>06-09-2012</t>
  </si>
  <si>
    <t>07-09-2012</t>
  </si>
  <si>
    <t>10-09-2012</t>
  </si>
  <si>
    <t>OPTDLY/I71662-1009</t>
  </si>
  <si>
    <t>11-09-2012</t>
  </si>
  <si>
    <t>OPTDLY/I71662-1109</t>
  </si>
  <si>
    <t>13-09-2012</t>
  </si>
  <si>
    <t>FOMMC-Monthly-12092012</t>
  </si>
  <si>
    <t>12-09-2012</t>
  </si>
  <si>
    <t xml:space="preserve">20110504B300003185 </t>
  </si>
  <si>
    <t xml:space="preserve">20110504N900007710 </t>
  </si>
  <si>
    <t xml:space="preserve">20110502B300003819 </t>
  </si>
  <si>
    <t xml:space="preserve">20110429B300003499 </t>
  </si>
  <si>
    <t xml:space="preserve">20110428B300003575 </t>
  </si>
  <si>
    <t xml:space="preserve">20110428N900010968 </t>
  </si>
  <si>
    <t xml:space="preserve">20110419N900010854 </t>
  </si>
  <si>
    <t xml:space="preserve">20110418N900007170 </t>
  </si>
  <si>
    <t xml:space="preserve">20110415B300004952 </t>
  </si>
  <si>
    <t xml:space="preserve">20110415N900009549 </t>
  </si>
  <si>
    <t xml:space="preserve">20110411N900010928 </t>
  </si>
  <si>
    <t>JAYTEA</t>
  </si>
  <si>
    <t xml:space="preserve">20110408N900012855 </t>
  </si>
  <si>
    <t>STEIND</t>
  </si>
  <si>
    <t xml:space="preserve">20110408N900012981 </t>
  </si>
  <si>
    <t xml:space="preserve">20110408N900013081 </t>
  </si>
  <si>
    <t xml:space="preserve">20110408N900013577 </t>
  </si>
  <si>
    <t xml:space="preserve">20110407B300004521 </t>
  </si>
  <si>
    <t xml:space="preserve">20110407N900005889 </t>
  </si>
  <si>
    <t xml:space="preserve">20110407N900009836 </t>
  </si>
  <si>
    <t>OPTCIR</t>
  </si>
  <si>
    <t xml:space="preserve">20110406N900011547 </t>
  </si>
  <si>
    <t xml:space="preserve">20110406N900011776 </t>
  </si>
  <si>
    <t xml:space="preserve">20110405N900011809 </t>
  </si>
  <si>
    <t xml:space="preserve">20110405N900012372 </t>
  </si>
  <si>
    <t xml:space="preserve">20110404N900009235 </t>
  </si>
  <si>
    <t>Trade for the FY12 (Buy):</t>
  </si>
  <si>
    <t>Trade for the FY12 (Sell):</t>
  </si>
  <si>
    <t>OPT-NIFTY -29-Mar-2012-5400-PE-I</t>
  </si>
  <si>
    <t>OPT-HINLEV-29-Mar-2012-380-CE-S</t>
  </si>
  <si>
    <t>OPT-INFTEC-29-Mar-2012-2900-CE-S</t>
  </si>
  <si>
    <t>OPT-PETLNG-29-Mar-2012-170-CE-S</t>
  </si>
  <si>
    <t>OPT-HDFBAN-29-Mar-2012-560-CE-S</t>
  </si>
  <si>
    <t>OPT-ESSOIL-29-Mar-2012-75-CE-S</t>
  </si>
  <si>
    <t>OPT-RELCOM-23-Feb-2012-105-CE-S</t>
  </si>
  <si>
    <t>OPT-RELCOM-23-Feb-2012-95-CE-S</t>
  </si>
  <si>
    <t xml:space="preserve">201203211700008352 </t>
  </si>
  <si>
    <t xml:space="preserve">201203161700003250 </t>
  </si>
  <si>
    <t xml:space="preserve">201203091700008671 </t>
  </si>
  <si>
    <t xml:space="preserve">201203091700007876 </t>
  </si>
  <si>
    <t xml:space="preserve">201203071700007353 </t>
  </si>
  <si>
    <t xml:space="preserve">201203061700002674 </t>
  </si>
  <si>
    <t xml:space="preserve">201202281700008480 </t>
  </si>
  <si>
    <t xml:space="preserve">201202271300003903 </t>
  </si>
  <si>
    <t xml:space="preserve">201202241700007929 </t>
  </si>
  <si>
    <t xml:space="preserve">201202231700003564 </t>
  </si>
  <si>
    <t xml:space="preserve">201202231700002044 </t>
  </si>
  <si>
    <t xml:space="preserve">201202231700001814 </t>
  </si>
  <si>
    <t xml:space="preserve">201202221700006007 </t>
  </si>
  <si>
    <t xml:space="preserve">201202221100005164 </t>
  </si>
  <si>
    <t xml:space="preserve">201202211700004210 </t>
  </si>
  <si>
    <t xml:space="preserve">201202161700002925 </t>
  </si>
  <si>
    <t xml:space="preserve">201202161700002194 </t>
  </si>
  <si>
    <t xml:space="preserve">201202141700006735 </t>
  </si>
  <si>
    <t>OPTDLY/I71662-0509</t>
  </si>
  <si>
    <t>02-09-2011</t>
  </si>
  <si>
    <t>05-09-2011</t>
  </si>
  <si>
    <t># 200706151200009287</t>
  </si>
  <si>
    <t># 200706191300009377</t>
  </si>
  <si>
    <t># 200706201200009383</t>
  </si>
  <si>
    <t>OPT-NIFTY -26-Jul-2007-4200-PE-I</t>
  </si>
  <si>
    <t># 200706261100005677</t>
  </si>
  <si>
    <t>OPT-NIFTY -26-Jul-2007-4400-PE-I</t>
  </si>
  <si>
    <t># 200707091100005130</t>
  </si>
  <si>
    <t>OPT-RELIND-31-May-2007-1650-PA-S</t>
  </si>
  <si>
    <t># 200705171200014000</t>
  </si>
  <si>
    <t># 200705171200014340</t>
  </si>
  <si>
    <t># 200705181200003235</t>
  </si>
  <si>
    <t># 200705211200003792</t>
  </si>
  <si>
    <t># 200705211200008258</t>
  </si>
  <si>
    <t># 200705211300004214</t>
  </si>
  <si>
    <t># 200705291200018335</t>
  </si>
  <si>
    <t>OPT-RELIND-28-Jun-2007-1710-PA-S</t>
  </si>
  <si>
    <t># 200705291200019393</t>
  </si>
  <si>
    <t># 200705291200019919</t>
  </si>
  <si>
    <t>OPT-RELPET-28-Jun-2007-90-PA-S</t>
  </si>
  <si>
    <t># 200705311100002718</t>
  </si>
  <si>
    <t># 200706011200008178</t>
  </si>
  <si>
    <t>OPT-RELPET-26-Jul-2007-100-PA-S</t>
  </si>
  <si>
    <t># 200706281200004445</t>
  </si>
  <si>
    <t>OPTSTKPUNJLLOYD23FEB2012</t>
  </si>
  <si>
    <t>OPTDLY/I71662-0202</t>
  </si>
  <si>
    <t>CALL &amp; TRADE CHARGES 03-1</t>
  </si>
  <si>
    <t>JV4-0512</t>
  </si>
  <si>
    <t>05-12-2012</t>
  </si>
  <si>
    <t>PTIDXNIFTY27DEC2012</t>
  </si>
  <si>
    <t>06-12-2012</t>
  </si>
  <si>
    <t>OPTDLY/I71662-0612</t>
  </si>
  <si>
    <t>CALL &amp; TRADE CHARGES 06-1</t>
  </si>
  <si>
    <t>JV11-0712</t>
  </si>
  <si>
    <t>07-12-2012</t>
  </si>
  <si>
    <t>CALL &amp; TRADE CHARGES 07-1</t>
  </si>
  <si>
    <t>JV5-1012</t>
  </si>
  <si>
    <t>10-12-2012</t>
  </si>
  <si>
    <t>FOMMC-Monthly-12122012</t>
  </si>
  <si>
    <t>12-12-2012</t>
  </si>
  <si>
    <t>OPTDLY/I71662-0712</t>
  </si>
  <si>
    <t>OPTDLY/I71662-1112</t>
  </si>
  <si>
    <t>11-12-2012</t>
  </si>
  <si>
    <t>OPTDLY/I71662-1812</t>
  </si>
  <si>
    <t>18-12-2012</t>
  </si>
  <si>
    <t>14-12-2012</t>
  </si>
  <si>
    <t>19-12-2012</t>
  </si>
  <si>
    <t>20-12-2012</t>
  </si>
  <si>
    <t>OPTSTKIDBI31JAN2013</t>
  </si>
  <si>
    <t>OPTDLY/I71662-1912</t>
  </si>
  <si>
    <t>OPTDLY/I71662-2012</t>
  </si>
  <si>
    <t>OPTIDXNIFTY31JAN2013</t>
  </si>
  <si>
    <t>26-12-2012</t>
  </si>
  <si>
    <t>Holding Value 2 :</t>
  </si>
  <si>
    <t>Holding Value 1 :</t>
  </si>
  <si>
    <t>OPTDLY/I71662-0401</t>
  </si>
  <si>
    <t>01-01-2013</t>
  </si>
  <si>
    <t>07-01-2013</t>
  </si>
  <si>
    <t>03-01-2013</t>
  </si>
  <si>
    <t>04-01-2013</t>
  </si>
  <si>
    <t>02-01-2013</t>
  </si>
  <si>
    <t>OPTDLY/I71662-0801</t>
  </si>
  <si>
    <t>CALL &amp; TRADE CHARGES 04-0</t>
  </si>
  <si>
    <t>JV3-0901</t>
  </si>
  <si>
    <t>08-01-2013</t>
  </si>
  <si>
    <t>09-01-2013</t>
  </si>
  <si>
    <t>10-01-2013</t>
  </si>
  <si>
    <t>FOMMC-Monthly-12012013</t>
  </si>
  <si>
    <t>25-01-2013</t>
  </si>
  <si>
    <t>12-01-2013</t>
  </si>
  <si>
    <t>OPTDLY/I71662-2501</t>
  </si>
  <si>
    <t>30-01-2013</t>
  </si>
  <si>
    <t>31-01-2013</t>
  </si>
  <si>
    <t>OPTSTKIDBI28FEB2013</t>
  </si>
  <si>
    <t>OPTIDXNIFTY28FEB2013</t>
  </si>
  <si>
    <t>01-02-2013</t>
  </si>
  <si>
    <t>OPTSTKAXISBANK31JAN2013</t>
  </si>
  <si>
    <t>31-01-2014</t>
  </si>
  <si>
    <t>31-01-2015</t>
  </si>
  <si>
    <t>31-01-2016</t>
  </si>
  <si>
    <t>31-01-2017</t>
  </si>
  <si>
    <t>31-01-2018</t>
  </si>
  <si>
    <t>31-01-2019</t>
  </si>
  <si>
    <t>31-01-2020</t>
  </si>
  <si>
    <t>31-01-2021</t>
  </si>
  <si>
    <t>31-01-2022</t>
  </si>
  <si>
    <t>31-01-2023</t>
  </si>
  <si>
    <t>CALL &amp; TRADE CHARGES 01-0</t>
  </si>
  <si>
    <t>JV6-0402</t>
  </si>
  <si>
    <t>04-02-2013</t>
  </si>
  <si>
    <t>OPTDLY/I71662-0502</t>
  </si>
  <si>
    <t>05-02-2013</t>
  </si>
  <si>
    <t>06-02-2013</t>
  </si>
  <si>
    <t>07-02-2013</t>
  </si>
  <si>
    <t>11-02-2013</t>
  </si>
  <si>
    <t>FOMMC-Monthly-12022013</t>
  </si>
  <si>
    <t>14-02-2013</t>
  </si>
  <si>
    <t>12-02-2013</t>
  </si>
  <si>
    <t>OPTDLY/I71662-1102</t>
  </si>
  <si>
    <t>15-02-2013</t>
  </si>
  <si>
    <t>18-02-2013</t>
  </si>
  <si>
    <t>OPTDLY/I71662-1502</t>
  </si>
  <si>
    <t>20-02-2013</t>
  </si>
  <si>
    <t>OPTDLY/I71662-1802</t>
  </si>
  <si>
    <t>19-02-2013</t>
  </si>
  <si>
    <t>OPTDLY/I71662-1902</t>
  </si>
  <si>
    <t>CALL &amp; TRADE CHARGES 19-0</t>
  </si>
  <si>
    <t>JV21-2002</t>
  </si>
  <si>
    <t>4-02-2013</t>
  </si>
  <si>
    <t>OPTSTKRELIANCE28FEB2013</t>
  </si>
  <si>
    <t>OPTSTKYESBANK28FEB2013</t>
  </si>
  <si>
    <t>OPTSTKJSWSTEEL28FEB2013</t>
  </si>
  <si>
    <t>OPTDLY/I71662-2002</t>
  </si>
  <si>
    <t>21-02-2013</t>
  </si>
  <si>
    <t>22-02-2013</t>
  </si>
  <si>
    <t>OPTDLY/I71662-2502</t>
  </si>
  <si>
    <t>25-02-2013</t>
  </si>
  <si>
    <t>OPTIDXNIFTY28MAR2013</t>
  </si>
  <si>
    <t xml:space="preserve"> OPTDLY/I71662-2602</t>
  </si>
  <si>
    <t>26-02-2013</t>
  </si>
  <si>
    <t>27-02-2013</t>
  </si>
  <si>
    <t>BEING PENALTY FOR SHORT R</t>
  </si>
  <si>
    <t>OPTSTKRELIANCE28MAR2013</t>
  </si>
  <si>
    <t>01-03-2013</t>
  </si>
  <si>
    <t>04-03-2013</t>
  </si>
  <si>
    <t>OPTDLY/I71662-0403</t>
  </si>
  <si>
    <t>05-03-2013</t>
  </si>
  <si>
    <t>OPTSTKJPASSOCIAT28MAR2013</t>
  </si>
  <si>
    <t>OPTSTKIVRCLINFRA28MAR2013</t>
  </si>
  <si>
    <t>07-03-2013</t>
  </si>
  <si>
    <t>OPTSTKKTKBANK28MAR2013</t>
  </si>
  <si>
    <t>08-03-2013</t>
  </si>
  <si>
    <t>OPTDLY/I71662-0803</t>
  </si>
  <si>
    <t>OPTDLY/I71662-1103</t>
  </si>
  <si>
    <t>11-03-2013</t>
  </si>
  <si>
    <t>OPTDLY/I71662-1203</t>
  </si>
  <si>
    <t>12-03-2013</t>
  </si>
  <si>
    <t>13-03-2013</t>
  </si>
  <si>
    <t>OPTIDXBANKNIFTY28MAR2013</t>
  </si>
  <si>
    <t>OPTDLY/I71662-1303</t>
  </si>
  <si>
    <t>OPTDLY/I71662-1503</t>
  </si>
  <si>
    <t>15-03-2013</t>
  </si>
  <si>
    <t>FOMMC-Monthly-12032013</t>
  </si>
  <si>
    <t>OPTDLY/I71662-1903</t>
  </si>
  <si>
    <t>19-03-2013</t>
  </si>
  <si>
    <t>OPTDLY/I71662-2103</t>
  </si>
  <si>
    <t>21-03-2013</t>
  </si>
  <si>
    <t>25-03-2013</t>
  </si>
  <si>
    <t>OPTDLY/I71662-2503</t>
  </si>
  <si>
    <t>28-03-2013</t>
  </si>
  <si>
    <t>FUNDS TR TO ICICI BANK</t>
  </si>
  <si>
    <t>29-03-2013</t>
  </si>
  <si>
    <t>CALL &amp; TRADE CHARGES 28-0</t>
  </si>
  <si>
    <t>JV15-2903</t>
  </si>
  <si>
    <t>(Actual Value Ref.: 320.12 )</t>
  </si>
  <si>
    <t>31-Mar-2013</t>
  </si>
  <si>
    <t>03-04-2013</t>
  </si>
  <si>
    <t>OPTIDXNIFTY25APR2013</t>
  </si>
  <si>
    <t>OPTDLY/I71662-0304</t>
  </si>
  <si>
    <t>04-04-2013</t>
  </si>
  <si>
    <t>OPTDLY/I71662-0404</t>
  </si>
  <si>
    <t>OPTSTKHINDALCO25APR2013</t>
  </si>
  <si>
    <t>05-04-2013</t>
  </si>
  <si>
    <t>OPTDLY/I71662-0504</t>
  </si>
  <si>
    <t>OPTIDXBANKNIFTY25APR2013</t>
  </si>
  <si>
    <t>OPTSTKBHEL25APR2013</t>
  </si>
  <si>
    <t>08-04-2013</t>
  </si>
  <si>
    <t>OPTDLY/I71662-0804</t>
  </si>
  <si>
    <t>09-04-2013</t>
  </si>
  <si>
    <t>OPTDLY/I71662-0904</t>
  </si>
  <si>
    <t>CALL &amp; TRADE CHARGES 08-0</t>
  </si>
  <si>
    <t>JV27-0904</t>
  </si>
  <si>
    <t>CALL &amp; TRADE CHARGES 09-0</t>
  </si>
  <si>
    <t>JV4-1104</t>
  </si>
  <si>
    <t>CALL &amp; TRADE CHARGES 10-0</t>
  </si>
  <si>
    <t>JV8-1104</t>
  </si>
  <si>
    <t>11-04-2013</t>
  </si>
  <si>
    <t>OPTSTKPANTALOONR25APR2013</t>
  </si>
  <si>
    <t>OPTDLY/I71662-1004</t>
  </si>
  <si>
    <t>10-04-2013</t>
  </si>
  <si>
    <t>OPTSTKFRL25APR2013</t>
  </si>
  <si>
    <t>OPTDLY/I71662-1104</t>
  </si>
  <si>
    <t>FOMMC-Monthly-12042013</t>
  </si>
  <si>
    <t>12-04-2013</t>
  </si>
  <si>
    <t>15-04-2013</t>
  </si>
  <si>
    <t>OPTDLY/I71662-1204</t>
  </si>
  <si>
    <t>OPTDLY/I71662-1504</t>
  </si>
  <si>
    <t>OPTDLY/I71662-1804</t>
  </si>
  <si>
    <t>18-04-2013</t>
  </si>
  <si>
    <t>20121031N800002974</t>
  </si>
  <si>
    <t>20121029N800009752</t>
  </si>
  <si>
    <t>20121025B300007629</t>
  </si>
  <si>
    <t>20121025N800001503</t>
  </si>
  <si>
    <t>20121023N800006718</t>
  </si>
  <si>
    <t>BALAMI</t>
  </si>
  <si>
    <t>20121010B300009365</t>
  </si>
  <si>
    <t>20120816T100012988</t>
  </si>
  <si>
    <t>20120607B300005071</t>
  </si>
  <si>
    <t>20120403B300006182</t>
  </si>
  <si>
    <t>20120403N900006257</t>
  </si>
  <si>
    <t>Trade for the FY13 (Buy):</t>
  </si>
  <si>
    <t>20121119N800009711</t>
  </si>
  <si>
    <t>20121031N800002663</t>
  </si>
  <si>
    <t>20121029N800002153</t>
  </si>
  <si>
    <t>20121029N800008161</t>
  </si>
  <si>
    <t>20121029N800008175</t>
  </si>
  <si>
    <t>20121010B300008321</t>
  </si>
  <si>
    <t>20120829N800001993</t>
  </si>
  <si>
    <t>20120606B300005521</t>
  </si>
  <si>
    <t>20120606N900008711</t>
  </si>
  <si>
    <t>OPT-PANRET-28-Mar-2013-210-CE-S</t>
  </si>
  <si>
    <t># 201303081700000426</t>
  </si>
  <si>
    <t>OPT-RELIND-28-Feb-2013-880-CE-S</t>
  </si>
  <si>
    <t># 201301311700006619</t>
  </si>
  <si>
    <t>OPT-MARUTI-31-Jan-2013-1600-CE-S</t>
  </si>
  <si>
    <t># 201301021700006481</t>
  </si>
  <si>
    <t>OPT-HINDAL-31-Jan-2013-140-CE-S</t>
  </si>
  <si>
    <t># 201212191700006369</t>
  </si>
  <si>
    <t>OPT-NIFTY -27-Dec-2012-6000-PE-I</t>
  </si>
  <si>
    <t># 201212111700009020</t>
  </si>
  <si>
    <t># 201212101700001727</t>
  </si>
  <si>
    <t>OPT-NIFTY -27-Dec-2012-5900-CE-I</t>
  </si>
  <si>
    <t># 201212101700001694</t>
  </si>
  <si>
    <t># 201303081700005809</t>
  </si>
  <si>
    <t># 201302191700006502</t>
  </si>
  <si>
    <t># 201301071700002343</t>
  </si>
  <si>
    <t># 201301021700006353</t>
  </si>
  <si>
    <t># 201212181700007320</t>
  </si>
  <si>
    <t># 201212101700001714</t>
  </si>
  <si>
    <t>Tax Exempt Long term Profit:</t>
  </si>
  <si>
    <t>20-04-2013</t>
  </si>
  <si>
    <t>24-04-2013</t>
  </si>
  <si>
    <t>FUND TRF BY NEFT</t>
  </si>
  <si>
    <t>23-04-2013</t>
  </si>
  <si>
    <t>OPTDLY/I71662-2304</t>
  </si>
  <si>
    <t>P/L till FY13 :</t>
  </si>
  <si>
    <t>Realized P/L RKG A/C (FY14):</t>
  </si>
  <si>
    <t>MONTHLY MAINTENANCE CHARGES - 12-05-2013</t>
  </si>
  <si>
    <t>FOMMC-Monthly-12052013</t>
  </si>
  <si>
    <t>12-05-2013</t>
  </si>
  <si>
    <t>13-05-2013</t>
  </si>
  <si>
    <t>Payment Receved ICICI Bank 0438816584</t>
  </si>
  <si>
    <t>OPTIDXBANKNIFTY30MAY2013</t>
  </si>
  <si>
    <t>OPTDLY/I71662-1305</t>
  </si>
  <si>
    <t>OPTDLY/I71662-1505</t>
  </si>
  <si>
    <t>18-05-2013</t>
  </si>
  <si>
    <t>28-05-2013</t>
  </si>
  <si>
    <t>Payment Receved ICICI Bank 0443886989</t>
  </si>
  <si>
    <t>OPTIDXNIFTY30MAY2013</t>
  </si>
  <si>
    <t>OPTDLY/I71662-2805</t>
  </si>
  <si>
    <t>15-05-2013</t>
  </si>
  <si>
    <t>OPTDLY/I71662-3005</t>
  </si>
  <si>
    <t>30-05-2013</t>
  </si>
  <si>
    <t>Payment Receved ICICI Bank 0447265315</t>
  </si>
  <si>
    <t>05-06-2013</t>
  </si>
  <si>
    <t>OPTIDXNIFTY27JUN2013</t>
  </si>
  <si>
    <t>OPTDLY/I71662-0506</t>
  </si>
  <si>
    <t>12-06-2013</t>
  </si>
  <si>
    <t>MONTHLY MAINTENANCE CHARGES - 12-06-2013</t>
  </si>
  <si>
    <t>FOMMC-Monthly-12062013</t>
  </si>
  <si>
    <t>14-06-2013</t>
  </si>
  <si>
    <t>CALL &amp; TRADE CHARGES 13-06-2013-I71662</t>
  </si>
  <si>
    <t>JV14-1406</t>
  </si>
  <si>
    <t>13-06-2013</t>
  </si>
  <si>
    <t>FOMMC-Monthly-12072013</t>
  </si>
  <si>
    <t>Payment Receved ICICI Bank 0469515306</t>
  </si>
  <si>
    <t>12-07-2013</t>
  </si>
  <si>
    <t>01-08-2013</t>
  </si>
  <si>
    <t>OPTIDXNIFTY29AUG2013</t>
  </si>
  <si>
    <t>OPTDLY/I71662-0208</t>
  </si>
  <si>
    <t>02-08-2013</t>
  </si>
  <si>
    <t>Payment Receved ICICI Bank 0471906311</t>
  </si>
  <si>
    <t>07-08-2013</t>
  </si>
  <si>
    <t>12-08-2013</t>
  </si>
  <si>
    <t>FOMMC-Monthly-12082013</t>
  </si>
  <si>
    <t>MONTHLY MAINTENANCE CHARGES - 12-07-2013 - 11-08-2013</t>
  </si>
  <si>
    <t xml:space="preserve">MONTHLY MAINTENANCE CHARGES 
- 12-08-2013 - 11-09-2013 </t>
  </si>
  <si>
    <t>20-08-2013</t>
  </si>
  <si>
    <t>Payment Receved ICICI Bank 0476617179</t>
  </si>
  <si>
    <t>OPTSTKHEROMOTOCO29AUG2013</t>
  </si>
  <si>
    <t>OPTDLY/I71662-2008</t>
  </si>
  <si>
    <t>16-08-2013</t>
  </si>
  <si>
    <t>26-08-2013</t>
  </si>
  <si>
    <t>Payment Receved ICICI Bank 0478605682</t>
  </si>
  <si>
    <t>27-08-2013</t>
  </si>
  <si>
    <t>Payment Receved ICICI Bank 0485710222</t>
  </si>
  <si>
    <t>FOMMC-Monthly-12092013</t>
  </si>
  <si>
    <t>18-09-2013</t>
  </si>
  <si>
    <t>Payment Receved ICICI Bank 0488741109</t>
  </si>
  <si>
    <t>Payment Receved ICICI Bank 0488532088</t>
  </si>
  <si>
    <t>10-09-2013</t>
  </si>
  <si>
    <t>12-09-2013</t>
  </si>
  <si>
    <t>MONTHLY MAINTENANCE CHARGES - 12-09-2013 ~ 12-10-2013</t>
  </si>
  <si>
    <t>OPTIDXNIFTY26SEP2013</t>
  </si>
  <si>
    <t>OPTDLY/I71662-1809</t>
  </si>
  <si>
    <t>19-09-2013</t>
  </si>
  <si>
    <t>20-09-2013</t>
  </si>
  <si>
    <t>FY14</t>
  </si>
  <si>
    <t>22-09-2013</t>
  </si>
  <si>
    <t>CALL &amp; TRADE CHARGES 20-09-2013-I71662</t>
  </si>
  <si>
    <t>JV3-2209</t>
  </si>
  <si>
    <t>24-09-2013</t>
  </si>
  <si>
    <t>Payment Receved ICICI Bank 0490705612</t>
  </si>
  <si>
    <t>25-09-2013</t>
  </si>
  <si>
    <t>26-09-2013</t>
  </si>
  <si>
    <t>27-09-2013</t>
  </si>
  <si>
    <t>CALL &amp; TRADE CHARGES 26-09-2013-I71662</t>
  </si>
  <si>
    <t>JV26-2709</t>
  </si>
  <si>
    <t>OPTIDXNIFTY31OCT2013</t>
  </si>
  <si>
    <t>03-10-2013</t>
  </si>
  <si>
    <t>OPTDLY/I71662-0310</t>
  </si>
  <si>
    <t>04-10-2013</t>
  </si>
  <si>
    <t>Payment Receved ICICI Bank 0495250432</t>
  </si>
  <si>
    <t>08-10-2013</t>
  </si>
  <si>
    <t>09-10-2013</t>
  </si>
  <si>
    <t>10-10-2013</t>
  </si>
  <si>
    <t>12-10-2013</t>
  </si>
  <si>
    <t>MONTHLY MAINTENANCE CHARGES - 12-10-2013</t>
  </si>
  <si>
    <t>FOMMC-Monthly-12102013</t>
  </si>
  <si>
    <t>15-10-2013</t>
  </si>
  <si>
    <t>17-10-2013</t>
  </si>
  <si>
    <t>Payment Receved ICICI Bank 0500614709</t>
  </si>
  <si>
    <t>Payment Receved ICICI Bank 0500488277</t>
  </si>
  <si>
    <t>18-10-2013</t>
  </si>
  <si>
    <t>CALL &amp; TRADE CHARGES 17-10-2013-I71662</t>
  </si>
  <si>
    <t>JV12-1810</t>
  </si>
  <si>
    <t>21-10-2013</t>
  </si>
  <si>
    <t>OPTDLY/I71662-2210</t>
  </si>
  <si>
    <t>22-10-2013</t>
  </si>
  <si>
    <t>23-10-2013</t>
  </si>
  <si>
    <t>25-10-2013</t>
  </si>
  <si>
    <t>OPTIDXBANKNIFTY31OCT2013</t>
  </si>
  <si>
    <t>28-10-2013</t>
  </si>
  <si>
    <t>29-10-2013</t>
  </si>
  <si>
    <t>OPTDLY/I71662-2910</t>
  </si>
  <si>
    <t>Payment Receved ICICI Bank 0504960810</t>
  </si>
  <si>
    <t>30-10-2013</t>
  </si>
  <si>
    <t>OPTDLY/I71662-3010</t>
  </si>
  <si>
    <t>01-11-2013</t>
  </si>
  <si>
    <t>Payment Receved ICICI Bank 0506215951</t>
  </si>
  <si>
    <t>OPTSTKBHEL28NOV2013</t>
  </si>
  <si>
    <t>OPTIDXNIFTY28NOV2013</t>
  </si>
  <si>
    <t>OPTSTKTATAMOTORS28NOV2013</t>
  </si>
  <si>
    <t>03-11-2013</t>
  </si>
  <si>
    <t>OPTSTKUNITECH28NOV2013</t>
  </si>
  <si>
    <t>05-11-2013</t>
  </si>
  <si>
    <t>06-11-2013</t>
  </si>
  <si>
    <t>OPTSTKHDIL28NOV2013</t>
  </si>
  <si>
    <t>07-11-2013</t>
  </si>
  <si>
    <t>Payment Receved ICICI Bank 0509705406</t>
  </si>
  <si>
    <t>08-11-2013</t>
  </si>
  <si>
    <t>Payment Receved ICICI Bank 0510560709</t>
  </si>
  <si>
    <t>Payment Receved ICICI Bank 0510821812</t>
  </si>
  <si>
    <t>11-11-2013</t>
  </si>
  <si>
    <t>12-11-2013</t>
  </si>
  <si>
    <t>OPTDLY/I71662-1211</t>
  </si>
  <si>
    <t>FOMMC-Monthly-12112013</t>
  </si>
  <si>
    <t>Payment Receved ICICI Bank 0511296942</t>
  </si>
  <si>
    <t xml:space="preserve">MONTHLY MAINTENANCE CHARGES - 12-11-2013
- 12-12-2013 </t>
  </si>
  <si>
    <t>14-11-2013</t>
  </si>
  <si>
    <t>CALL &amp; TRADE CHARGES 12-11-2013-I71662</t>
  </si>
  <si>
    <t>JV13-1411</t>
  </si>
  <si>
    <t>Payment Receved ICICI Bank 0512202324</t>
  </si>
  <si>
    <t>Payment Receved ICICI Bank 0512116633</t>
  </si>
  <si>
    <t>Payment Receved ICICI Bank 0512088610</t>
  </si>
  <si>
    <t>18-11-2013</t>
  </si>
  <si>
    <t>OPTDLY/I71662-1811</t>
  </si>
  <si>
    <t>Payment Receved ICICI Bank 0513215259</t>
  </si>
  <si>
    <t>OPTDLY/I71662-1911</t>
  </si>
  <si>
    <t>19-11-2013</t>
  </si>
  <si>
    <t>CALL &amp; TRADE CHARGES 14-11-2013-I71662</t>
  </si>
  <si>
    <t>JV2-1911</t>
  </si>
  <si>
    <t>OPTDLY/I71662-2011</t>
  </si>
  <si>
    <t>20-11-2013</t>
  </si>
  <si>
    <t>21-11-2013</t>
  </si>
  <si>
    <t>22-11-2013</t>
  </si>
  <si>
    <t>25-11-2013</t>
  </si>
  <si>
    <t>26-11-2013</t>
  </si>
  <si>
    <t>Payment Receved ICICI Bank 0516213884</t>
  </si>
  <si>
    <t>Payment Receved ICICI Bank 0516194928</t>
  </si>
  <si>
    <t>27-11-2013</t>
  </si>
  <si>
    <t>28-11-2013</t>
  </si>
  <si>
    <t>OPTDLY/I71662-2811</t>
  </si>
  <si>
    <t>29-11-2013</t>
  </si>
  <si>
    <t>Payment Receved ICICI Bank 0517526726</t>
  </si>
  <si>
    <t>30-11-2013</t>
  </si>
  <si>
    <t>CALL &amp; TRADE CHARGES 28-11-2013-I71662</t>
  </si>
  <si>
    <t>JV1-3011</t>
  </si>
  <si>
    <t>Payment Receved ICICI Bank 0520588591</t>
  </si>
  <si>
    <t>FUNDS TR BY NEFT</t>
  </si>
  <si>
    <t>Payment Receved ICICI Bank 0522584564</t>
  </si>
  <si>
    <t>05-12-2013</t>
  </si>
  <si>
    <t>09-12-2013</t>
  </si>
  <si>
    <t>10-12-2013</t>
  </si>
  <si>
    <t>OPTIDXNIFTY26DEC2013</t>
  </si>
  <si>
    <t>OPTDLY/I71662-1012</t>
  </si>
  <si>
    <t>13-12-2013</t>
  </si>
  <si>
    <t>FOMMC-Monthly-12122013</t>
  </si>
  <si>
    <t>12-12-2013</t>
  </si>
  <si>
    <t xml:space="preserve">MONTHLY MAINTENANCE CHARGES - 12-12-2013
- 11-01-2014 </t>
  </si>
  <si>
    <t>16-12-2013</t>
  </si>
  <si>
    <t>18-12-2013</t>
  </si>
  <si>
    <t>CALL &amp; TRADE CHARGES 16-12-2013-I71662</t>
  </si>
  <si>
    <t>JV14-1812</t>
  </si>
  <si>
    <t>23-12-2013</t>
  </si>
  <si>
    <t>CALL &amp; TRADE CHARGES 20-12-2013-I71662</t>
  </si>
  <si>
    <t>JV16-2312</t>
  </si>
  <si>
    <t>20-12-2013</t>
  </si>
  <si>
    <t>26-12-2013</t>
  </si>
  <si>
    <t>24-12-2013</t>
  </si>
  <si>
    <t>31-12-2013</t>
  </si>
  <si>
    <t>Payment Receved ICICI Bank 0530529527</t>
  </si>
  <si>
    <t>OPTIDXNIFTY30JAN2014</t>
  </si>
  <si>
    <t>OPTDLY/I71662-3112</t>
  </si>
  <si>
    <t>06-01-2014</t>
  </si>
  <si>
    <t>Payment Receved ICICI Bank 0534373645</t>
  </si>
  <si>
    <t>07-01-2014</t>
  </si>
  <si>
    <t>10-01-2014</t>
  </si>
  <si>
    <t>Payment Receved ICICI Bank 0535762943</t>
  </si>
  <si>
    <t>11-01-2014</t>
  </si>
  <si>
    <t>12-01-2014</t>
  </si>
  <si>
    <t>FOMMC-Monthly-12012014</t>
  </si>
  <si>
    <t xml:space="preserve">MONTHLY MAINTENANCE CHARGES - 12-01-2014 - 11-02-2014 </t>
  </si>
  <si>
    <t>20-01-2014</t>
  </si>
  <si>
    <t>Payment Receved ICICI Bank 0539330193</t>
  </si>
  <si>
    <t>21-01-2014</t>
  </si>
  <si>
    <t>CALL &amp; TRADE CHARGES 20-01-2014-I71662</t>
  </si>
  <si>
    <t>JV17-2101</t>
  </si>
  <si>
    <t>29-01-2014</t>
  </si>
  <si>
    <t>OPTDLY/I71662-2901</t>
  </si>
  <si>
    <t>03-02-2014</t>
  </si>
  <si>
    <t>Payment Receved ICICI Bank 0545087459</t>
  </si>
  <si>
    <t>OPTIDXNIFTY26FEB2014</t>
  </si>
  <si>
    <t>OPTDLY/I71662-0402</t>
  </si>
  <si>
    <t>05-02-2014</t>
  </si>
  <si>
    <t>CALL &amp; TRADE CHARGES 03-02-2014-I71662</t>
  </si>
  <si>
    <t>JV26-0502</t>
  </si>
  <si>
    <t>04-02-2014</t>
  </si>
  <si>
    <t>OPTSTKSBIN26FEB2014</t>
  </si>
  <si>
    <t>07-02-2014</t>
  </si>
  <si>
    <t>FOMMC-Monthly-12022014</t>
  </si>
  <si>
    <t>13-02-2014</t>
  </si>
  <si>
    <t>Payment Receved ICICI Bank 0550328747</t>
  </si>
  <si>
    <t>Payment Receved ICICI Bank 0550326498</t>
  </si>
  <si>
    <t>12-02-2014</t>
  </si>
  <si>
    <t xml:space="preserve">MONTHLY MAINTENANCE CHARGES - 12-02-2014 - 14-03-2014 </t>
  </si>
  <si>
    <t>14-02-2014</t>
  </si>
  <si>
    <t>Payment Receved ICICI Bank 0550754830</t>
  </si>
  <si>
    <t>17-02-2014</t>
  </si>
  <si>
    <t>Payment Receved ICICI Bank 0551718433</t>
  </si>
  <si>
    <t>Payment Receved ICICI Bank 0551642303</t>
  </si>
  <si>
    <t>Payment Receved ICICI Bank 0551544692</t>
  </si>
  <si>
    <t>18-02-2014</t>
  </si>
  <si>
    <t>CALL &amp; TRADE CHARGES 17-02-2014-I71662</t>
  </si>
  <si>
    <t>JV20-1802</t>
  </si>
  <si>
    <t>20-02-2014</t>
  </si>
  <si>
    <t>25-02-2014</t>
  </si>
  <si>
    <t>TRADING - INFO</t>
  </si>
  <si>
    <t>Start Date:</t>
  </si>
  <si>
    <t>Stocks</t>
  </si>
  <si>
    <t>Cost</t>
  </si>
  <si>
    <t>Updated-on:</t>
  </si>
  <si>
    <t>ULIP:</t>
  </si>
  <si>
    <t>Tips:</t>
  </si>
  <si>
    <t>PC Ganesh:</t>
  </si>
  <si>
    <t>Unrealized Profit:</t>
  </si>
  <si>
    <t>SBI A/C</t>
  </si>
  <si>
    <t>RKG A/C</t>
  </si>
  <si>
    <t>CMP</t>
  </si>
  <si>
    <t>Profit / Loss</t>
  </si>
  <si>
    <t>Invest Value:</t>
  </si>
  <si>
    <t>Holding Cost:</t>
  </si>
  <si>
    <t>Curr. Value:</t>
  </si>
  <si>
    <t>P/L till FY11:</t>
  </si>
  <si>
    <t>A/C Invest Value:</t>
  </si>
  <si>
    <t>Cash:</t>
  </si>
  <si>
    <t>Net Profit</t>
  </si>
  <si>
    <t>28-02-2014</t>
  </si>
  <si>
    <t>Payment Receved ICICI Bank 0556050120</t>
  </si>
  <si>
    <t>01-03-2014</t>
  </si>
  <si>
    <t>CALL &amp; TRADE CHARGES 28-02-2014-I71662</t>
  </si>
  <si>
    <t>JV6-0103</t>
  </si>
  <si>
    <t>03-03-2014</t>
  </si>
  <si>
    <t>Payment Receved ICICI Bank 0557515310</t>
  </si>
  <si>
    <t>Payment Receved ICICI Bank 0557526526</t>
  </si>
  <si>
    <t>OPTIDXNIFTY27MAR2014</t>
  </si>
  <si>
    <t>OPTDLY/I71662-2802</t>
  </si>
  <si>
    <t>OPTDLY/I71662-0303</t>
  </si>
  <si>
    <t>04-03-2014</t>
  </si>
  <si>
    <t>Payment Receved ICICI Bank 0558440946</t>
  </si>
  <si>
    <t>Payment Receved ICICI Bank 0558313618</t>
  </si>
  <si>
    <t>05-03-2014</t>
  </si>
  <si>
    <t>Payment Receved ICICI Bank 0559220077</t>
  </si>
  <si>
    <t>CALL &amp; TRADE CHARGES 04-03-2014-I71662</t>
  </si>
  <si>
    <t>JV11-0503</t>
  </si>
  <si>
    <t>Payment Receved ICICI Bank 0559225655</t>
  </si>
  <si>
    <t>06-03-2014</t>
  </si>
  <si>
    <t>10-03-2014</t>
  </si>
  <si>
    <t>08-03-2014</t>
  </si>
  <si>
    <t>OPTDLY/I71662-1003</t>
  </si>
  <si>
    <t>Payment Receved ICICI Bank 0561629078</t>
  </si>
  <si>
    <t>Payment Receved ICICI Bank 0561576099</t>
  </si>
  <si>
    <t>CALL &amp; TRADE CHARGES 06-03-2014-I71662</t>
  </si>
  <si>
    <t>JV75-1003</t>
  </si>
  <si>
    <t>CALL &amp; TRADE CHARGES 10-03-2014-I71662</t>
  </si>
  <si>
    <t>JV14-1203</t>
  </si>
  <si>
    <t>12-03-2014</t>
  </si>
  <si>
    <t>13-03-2014</t>
  </si>
  <si>
    <t>Payment Receved ICICI Bank 0562603672</t>
  </si>
  <si>
    <t>FOMMC-Monthly-12032014</t>
  </si>
  <si>
    <t>Payment Receved ICICI Bank 0562923924</t>
  </si>
  <si>
    <t>19-03-2014</t>
  </si>
  <si>
    <t>Payment Receved ICICI Bank 0565326649</t>
  </si>
  <si>
    <t>MONTHLY MAINTENANCE CHARGES - 12-03-2014 ~ 11-4-2014</t>
  </si>
  <si>
    <t>21-03-2014</t>
  </si>
  <si>
    <t>Payment Receved ICICI Bank 0566267746</t>
  </si>
  <si>
    <t>24-03-2014</t>
  </si>
  <si>
    <t>OPTDLY/I71662-2403</t>
  </si>
  <si>
    <t>26-03-2014</t>
  </si>
  <si>
    <t>CALL &amp; TRADE CHARGES 24-03-2014-I71662</t>
  </si>
  <si>
    <t>JV17-2603</t>
  </si>
  <si>
    <t>27-03-2014</t>
  </si>
  <si>
    <t>OPTDLY/I71662-2703</t>
  </si>
  <si>
    <t>29-03-2014</t>
  </si>
  <si>
    <t>31-03-2014</t>
  </si>
  <si>
    <t>Payment Receved ICICI Bank 0570516496</t>
  </si>
  <si>
    <t>Payment Receved ICICI Bank 0570503930</t>
  </si>
  <si>
    <t>01-04-2014</t>
  </si>
  <si>
    <t>CALL &amp; TRADE CHARGES 31-03-2014-I71662</t>
  </si>
  <si>
    <t>JV11-0104</t>
  </si>
  <si>
    <t>OPTIDXNIFTY24APR2014</t>
  </si>
  <si>
    <t>OPTDLY/I71662-3103</t>
  </si>
  <si>
    <t>OPTDLY/I71662-0104</t>
  </si>
  <si>
    <t>Payment Receved ICICI Bank 0570872574</t>
  </si>
  <si>
    <t>Payment Receved ICICI Bank 0571007913</t>
  </si>
  <si>
    <t>02-04-2014</t>
  </si>
  <si>
    <t>OPTDLY/I71662-0204</t>
  </si>
  <si>
    <t>Payment Receved ICICI Bank 0571678489</t>
  </si>
  <si>
    <t>OPTDLY/I71662-0704</t>
  </si>
  <si>
    <t>07-04-2014</t>
  </si>
  <si>
    <t>Payment Receved ICICI Bank 0573954704</t>
  </si>
  <si>
    <t>(Actual Value Ref.: 15134.52 )</t>
  </si>
  <si>
    <t>31-Mar-2014</t>
  </si>
  <si>
    <t>FY15</t>
  </si>
  <si>
    <t>09-04-2014</t>
  </si>
  <si>
    <t>Payment Receved ICICI Bank 0575090765</t>
  </si>
  <si>
    <t>OPTSTKRELIANCE24APR2014</t>
  </si>
  <si>
    <t>OPTSTKNTPC24APR2014</t>
  </si>
  <si>
    <t>10-04-2014</t>
  </si>
  <si>
    <t>OPT-NIFTY -30-Jan-2014-6300-CE-I</t>
  </si>
  <si>
    <t># 201401091300008187</t>
  </si>
  <si>
    <t># 201401091300003842</t>
  </si>
  <si>
    <t># 201401061700006338</t>
  </si>
  <si>
    <t># 201401061700003733</t>
  </si>
  <si>
    <t>OPT-UTIBAN-30-Jan-2014-1200-PE-S</t>
  </si>
  <si>
    <t># 201401061700003670</t>
  </si>
  <si>
    <t>OPT-HDFBAN-30-Jan-2014-640-PE-S</t>
  </si>
  <si>
    <t># 201401031700002463</t>
  </si>
  <si>
    <t>OPT-CNXBAN-26-Dec-2013-11900-CE-I</t>
  </si>
  <si>
    <t># 201312181500007913</t>
  </si>
  <si>
    <t>OPT-NIFTY -29-Aug-2013-5900-CE-I</t>
  </si>
  <si>
    <t># 201308051700005773</t>
  </si>
  <si>
    <t># 201308011700009769</t>
  </si>
  <si>
    <t>OPT-NIFTY -30-May-2013-6100-CE-I</t>
  </si>
  <si>
    <t># 201305061700005306</t>
  </si>
  <si>
    <t># 201305031700003746</t>
  </si>
  <si>
    <t># 201305031700001814</t>
  </si>
  <si>
    <t># 201305021700004100</t>
  </si>
  <si>
    <t># 201401091300002524</t>
  </si>
  <si>
    <t># 201401061700005877</t>
  </si>
  <si>
    <t># 201308161700009906</t>
  </si>
  <si>
    <t># 201305091700006553</t>
  </si>
  <si>
    <t>P/L till FY14:</t>
  </si>
  <si>
    <t>12-04-2014</t>
  </si>
  <si>
    <t>FOMMC-Monthly-12042014</t>
  </si>
  <si>
    <t>16-04-2014</t>
  </si>
  <si>
    <t>Payment Receved ICICI Bank 0577915836</t>
  </si>
  <si>
    <t>MONTHLY MAINTENANCE CHARGES - 12-04-2014 ~ 12-05-2014</t>
  </si>
  <si>
    <t>OPTSTKNTPC23APR2014</t>
  </si>
  <si>
    <t>OPTSTKTATASTEEL23APR2014</t>
  </si>
  <si>
    <t>OPTSTKRELIANCE23APR2014</t>
  </si>
  <si>
    <t>15-04-2014</t>
  </si>
  <si>
    <t>Payment Receved ICICI Bank 0577913090</t>
  </si>
  <si>
    <t>OPTDLY/I71662-1604</t>
  </si>
  <si>
    <t>17-04-2014</t>
  </si>
  <si>
    <t>Payment Receved ICICI Bank 0578436534</t>
  </si>
  <si>
    <t>OPTDLY/I71662-1704</t>
  </si>
  <si>
    <t>21-04-2014</t>
  </si>
  <si>
    <t>Payment Receved ICICI Bank 0579557711</t>
  </si>
  <si>
    <t>OPTDLY/I71662-2104</t>
  </si>
  <si>
    <t>OPTDLY/I71662-2204</t>
  </si>
  <si>
    <t>22-04-2014</t>
  </si>
  <si>
    <t>25-04-2014</t>
  </si>
  <si>
    <t>Payment Receved ICICI Bank 0581546098</t>
  </si>
  <si>
    <t>05-05-2014</t>
  </si>
  <si>
    <t>TC-Monthly-05052014</t>
  </si>
  <si>
    <t xml:space="preserve">SOFTWARE MAINTENANCE CHARGES - 05-05-2014 - 04-06-2014 </t>
  </si>
  <si>
    <t>DLF</t>
  </si>
  <si>
    <t>UNITECH</t>
  </si>
  <si>
    <t>09-05-2014</t>
  </si>
  <si>
    <t>Trans Charges</t>
  </si>
  <si>
    <t>Service Tax</t>
  </si>
  <si>
    <t>DLV175-0905</t>
  </si>
  <si>
    <t>SEBI Charges</t>
  </si>
  <si>
    <t>Total Charges</t>
  </si>
  <si>
    <t>Total</t>
  </si>
  <si>
    <t>12-05-2014</t>
  </si>
  <si>
    <t>DLV144-1205</t>
  </si>
  <si>
    <t>FOMMC-Monthly-12052014</t>
  </si>
  <si>
    <t>MONTHLY MAINTENANCE CHARGES - 12-05-2014 ~ 12-06-2014</t>
  </si>
  <si>
    <t>OPTSTKBANKINDIA29MAY2014</t>
  </si>
  <si>
    <t>OPTDLY/I71662-1205</t>
  </si>
  <si>
    <t>OPTSTKHDFC29MAY2014</t>
  </si>
  <si>
    <t>OPTSTKUNITECH29MAY2014</t>
  </si>
  <si>
    <t>14-05-2014</t>
  </si>
  <si>
    <t>OPTDLY/I71662-1405</t>
  </si>
  <si>
    <t>13-05-2014</t>
  </si>
  <si>
    <t>16-05-2014</t>
  </si>
  <si>
    <t>Payment Receved ICICI Bank 0591276535</t>
  </si>
  <si>
    <t>17-05-2014</t>
  </si>
  <si>
    <t>CALL &amp; TRADE CHARGES 14-05-2014-I71662</t>
  </si>
  <si>
    <t>JV9-1705</t>
  </si>
  <si>
    <t>06-05-2014</t>
  </si>
  <si>
    <t>Payment Receved ICICI Bank 0586893594</t>
  </si>
  <si>
    <t>OPTIDXNIFTY29MAY2014</t>
  </si>
  <si>
    <t>OPTSTKBPCL29MAY2014</t>
  </si>
  <si>
    <t>15-05-2014</t>
  </si>
  <si>
    <t>Payment Receved ICICI Bank 0590972691</t>
  </si>
  <si>
    <t>OPTSTKJPPOWER29MAY2014</t>
  </si>
  <si>
    <t>20-05-2014</t>
  </si>
  <si>
    <t>CALL &amp; TRADE CHARGES 19-05-2014-I71662</t>
  </si>
  <si>
    <t>JV26-2005</t>
  </si>
  <si>
    <t>19-05-2014</t>
  </si>
  <si>
    <t>OPTDLY/I71662-1905</t>
  </si>
  <si>
    <t>21-05-2014</t>
  </si>
  <si>
    <t>CALL &amp; TRADE CHARGES 20-05-2014-I71662</t>
  </si>
  <si>
    <t>JV13-2105</t>
  </si>
  <si>
    <t>23-05-2014</t>
  </si>
  <si>
    <t>Payment Receved ICICI Bank 0594034020</t>
  </si>
  <si>
    <t>OPTDLY/I71662-2305</t>
  </si>
  <si>
    <t>OPTDLY/I71662-2605</t>
  </si>
  <si>
    <t>26-05-2014</t>
  </si>
  <si>
    <t>27-05-2014</t>
  </si>
  <si>
    <t>CALL &amp; TRADE CHARGES 23-05-2014-I71662</t>
  </si>
  <si>
    <t>JV3-2705</t>
  </si>
  <si>
    <t>Payment Receved ICICI Bank 0595368851</t>
  </si>
  <si>
    <t>Payment Receved ICICI Bank 0595042271</t>
  </si>
  <si>
    <t>OPTDLY/I71662-2705</t>
  </si>
  <si>
    <t>02-06-2014</t>
  </si>
  <si>
    <t>Payment Receved ICICI Bank 0598479519</t>
  </si>
  <si>
    <t>05-06-2014</t>
  </si>
  <si>
    <t>TC-Monthly-05062014</t>
  </si>
  <si>
    <t>06-06-2014</t>
  </si>
  <si>
    <t>Payment Receved ICICI Bank 0600640849</t>
  </si>
  <si>
    <t>Payment Receved ICICI Bank 0600639704</t>
  </si>
  <si>
    <t>09-06-2014</t>
  </si>
  <si>
    <t>OPTDLY/I71662-0606</t>
  </si>
  <si>
    <t>Payment Receved ICICI Bank 0601835310</t>
  </si>
  <si>
    <t>10-06-2014</t>
  </si>
  <si>
    <t>OPTDLY/I71662-0906</t>
  </si>
  <si>
    <t xml:space="preserve">SOFTWARE MAINTENANCE CHARGES - 05-06-201
4 - 05-07-2014 </t>
  </si>
  <si>
    <t>OPTSTKBAJAJ-AUTO26JUN2014</t>
  </si>
  <si>
    <t>OPTSTKHINDUNILVR26JUN2014</t>
  </si>
  <si>
    <t>OPTSTKHDFC26JUN2014</t>
  </si>
  <si>
    <t>OPTSTKRCOM26JUN2014</t>
  </si>
  <si>
    <t>12-06-2014</t>
  </si>
  <si>
    <t>FOMMC-Monthly-12062014</t>
  </si>
  <si>
    <t>Payment Receved ICICI Bank 0603514371</t>
  </si>
  <si>
    <t xml:space="preserve">MONTHLY MAINTENANCE CHARGES - 
12-06-2014 ~ 12-07-2014 </t>
  </si>
  <si>
    <t>OPTSTKHDFCBANK26JUN2014</t>
  </si>
  <si>
    <t>OPTDLY/I71662-1206</t>
  </si>
  <si>
    <t>13-06-2014</t>
  </si>
  <si>
    <t>Payment Receved ICICI Bank 0603965812</t>
  </si>
  <si>
    <t>OPTSTKLT26JUN2014</t>
  </si>
  <si>
    <t>17-06-2014</t>
  </si>
  <si>
    <t>OPTDLY/I71662-1706</t>
  </si>
  <si>
    <t>18-06-2014</t>
  </si>
  <si>
    <t>Payment Receved ICICI Bank 0605347038</t>
  </si>
  <si>
    <t>Payment Receved ICICI Bank 0605353311</t>
  </si>
  <si>
    <t>OPTSTKPOWERGRID26JUN2014</t>
  </si>
  <si>
    <t>OPTDLY/I71662-1906</t>
  </si>
  <si>
    <t>19-06-2014</t>
  </si>
  <si>
    <t>Trade Date</t>
  </si>
  <si>
    <t>Exch</t>
  </si>
  <si>
    <t>Transaction Charges</t>
  </si>
  <si>
    <t>SEBI Turnover Charges</t>
  </si>
  <si>
    <t>Service Tax On Brokerage</t>
  </si>
  <si>
    <t>OPT-HDFC  -26-Jun-2014-1000-CE-S</t>
  </si>
  <si>
    <t># 201406131700003277</t>
  </si>
  <si>
    <t># 201406101700005277</t>
  </si>
  <si>
    <t xml:space="preserve">Order Ref. </t>
  </si>
  <si>
    <t>Transaction and SEBI Turnover charges</t>
  </si>
  <si>
    <t>Brokerage + Service Tax</t>
  </si>
  <si>
    <t>SUNTV</t>
  </si>
  <si>
    <t>20140609N900011493</t>
  </si>
  <si>
    <t>20140606N900011888</t>
  </si>
  <si>
    <t>20140605N900011178</t>
  </si>
  <si>
    <t>20140605N900011461</t>
  </si>
  <si>
    <t>20140603N900010031</t>
  </si>
  <si>
    <t>OPTSTKJISLJALEQS26JUN2014</t>
  </si>
  <si>
    <t>OPTDLY/I71662-2006</t>
  </si>
  <si>
    <t>20-06-2014</t>
  </si>
  <si>
    <t>Payment Receved ICICI Bank 0606715326</t>
  </si>
  <si>
    <t>21-06-2014</t>
  </si>
  <si>
    <t>CALL &amp; TRADE CHARGES 19-06-2014-I71662</t>
  </si>
  <si>
    <t>JV5-2106</t>
  </si>
  <si>
    <t>23-06-2014</t>
  </si>
  <si>
    <t>Payment Receved ICICI Bank 0607780239</t>
  </si>
  <si>
    <t>OPTIDXNIFTY26JUN2014</t>
  </si>
  <si>
    <t>OPTDLY/I71662-2306</t>
  </si>
  <si>
    <t>24-06-2014</t>
  </si>
  <si>
    <t>OPTSTKSBIN26JUN2014</t>
  </si>
  <si>
    <t>Payment Receved From Payment Gateway ICICI Bank 0608371709</t>
  </si>
  <si>
    <t>OPTDLY/I71662-2506</t>
  </si>
  <si>
    <t>27-06-2014</t>
  </si>
  <si>
    <t>CALL &amp; TRADE CHARGES 23-06-2014-I71662</t>
  </si>
  <si>
    <t>JV12-2706</t>
  </si>
  <si>
    <t>28-06-2014</t>
  </si>
  <si>
    <t>CALL &amp; TRADE CHARGES 25-06-2014-I71662</t>
  </si>
  <si>
    <t>JV2-2806</t>
  </si>
  <si>
    <t>30-06-2014</t>
  </si>
  <si>
    <t>Payment Receved ICICI Bank 0610488304</t>
  </si>
  <si>
    <t>Payment Receved ICICI Bank 0610422710</t>
  </si>
  <si>
    <t>OPTSTKGMRINFRA31JUL2014</t>
  </si>
  <si>
    <t>OPTSTKHDFC31JUL2014</t>
  </si>
  <si>
    <t>OPTSTKIDEA31JUL2014</t>
  </si>
  <si>
    <t>OPTDLY/I71662-3006</t>
  </si>
  <si>
    <t>OPTSTKONGC31JUL2014</t>
  </si>
  <si>
    <t>01-07-2014</t>
  </si>
  <si>
    <t>03-07-2014</t>
  </si>
  <si>
    <t>Payment Receved ICICI Bank 0612868777</t>
  </si>
  <si>
    <t>04-07-2014</t>
  </si>
  <si>
    <t>CALL &amp; TRADE CHARGES 01-07-2014-I71662</t>
  </si>
  <si>
    <t>JV15-0407</t>
  </si>
  <si>
    <t>OPTSTKHDFCBANK31JUL2014</t>
  </si>
  <si>
    <t>OPTSTKRELIANCE31JUL2014</t>
  </si>
  <si>
    <t>02-07-2014</t>
  </si>
  <si>
    <t>Payment Receved ICICI Bank 0613332993</t>
  </si>
  <si>
    <t>Payment Receved ICICI Bank 0613340691</t>
  </si>
  <si>
    <t>05-07-2014</t>
  </si>
  <si>
    <t>TC-Monthly-05072014</t>
  </si>
  <si>
    <t xml:space="preserve"> SOFTWARE MAINTENANCE CHARGES - 05-07-201 ~ - 04-08-2014 </t>
  </si>
  <si>
    <t>OPTSTKBHEL31JUL2014</t>
  </si>
  <si>
    <t>OPTSTKIFCI31JUL2014</t>
  </si>
  <si>
    <t>OPTSTKLT31JUL2014</t>
  </si>
  <si>
    <t>OPTSTKRPOWER31JUL2014</t>
  </si>
  <si>
    <t>OPTSTKSBIN31JUL2014</t>
  </si>
  <si>
    <t>08-07-2014</t>
  </si>
  <si>
    <t>OPTSTKRCOM31JUL2014</t>
  </si>
  <si>
    <t>OPTSTKTATASTEEL31JUL2014</t>
  </si>
  <si>
    <t>OPTDLY/I71662-0907</t>
  </si>
  <si>
    <t>09-07-2014</t>
  </si>
  <si>
    <t>Payment Receved ICICI Bank 0616254313</t>
  </si>
  <si>
    <t>10-07-2014</t>
  </si>
  <si>
    <t>OPTSTKBHARTIARTL31JUL2014</t>
  </si>
  <si>
    <t>OPTSTKYESBANK31JUL2014</t>
  </si>
  <si>
    <t>OPTDLY/I71662-1007</t>
  </si>
  <si>
    <t>Payment Receved ICICI Bank 0616590535</t>
  </si>
  <si>
    <t>Payment Receved ICICI Bank 0616696974</t>
  </si>
  <si>
    <t>Payment Receved ICICI Bank 0616695978</t>
  </si>
  <si>
    <t>OPTSTKCANBK31JUL2014</t>
  </si>
  <si>
    <t>OPTSTKCOALINDIA31JUL2014</t>
  </si>
  <si>
    <t>OPTSTKDLF31JUL2014</t>
  </si>
  <si>
    <t>11-07-2014</t>
  </si>
  <si>
    <t>Payment Receved ICICI Bank 0617025031</t>
  </si>
  <si>
    <t>Payment Receved ICICI Bank 0617140612</t>
  </si>
  <si>
    <t>FOMMC-Monthly-12072014</t>
  </si>
  <si>
    <t>14-07-2014</t>
  </si>
  <si>
    <t>CALL &amp; TRADE CHARGES 09-07-2014-I71662</t>
  </si>
  <si>
    <t>JV7-1407</t>
  </si>
  <si>
    <t>CALL &amp; TRADE CHARGES 11-07-2014-I71662</t>
  </si>
  <si>
    <t>JV18-1407</t>
  </si>
  <si>
    <t>12-07-2014</t>
  </si>
  <si>
    <t>MONTHLY MAINTENANCE CHARGES - 12-07-2014 ~  11-8-2014</t>
  </si>
  <si>
    <t>15-07-2014</t>
  </si>
  <si>
    <t>Payment Receved ICICI Bank 0618793802</t>
  </si>
  <si>
    <t>Payment Receved ICICI Bank 0618481466</t>
  </si>
  <si>
    <t>OPTDLY/I71662-1507</t>
  </si>
  <si>
    <t>OPTDLY/I71662-1607</t>
  </si>
  <si>
    <t>16-07-2014</t>
  </si>
  <si>
    <t>Payment Receved ICICI Bank 0619018498</t>
  </si>
  <si>
    <t>Payment Receved ICICI Bank 0619184687</t>
  </si>
  <si>
    <t>17-07-2014</t>
  </si>
  <si>
    <t>CALL &amp; TRADE CHARGES 15-07-2014-I71662</t>
  </si>
  <si>
    <t>JV14-1707</t>
  </si>
  <si>
    <t>OPTDLY/I71662-1707</t>
  </si>
  <si>
    <t>19-07-2014</t>
  </si>
  <si>
    <t>CALL &amp; TRADE CHARGES 16-07-2014-I71662</t>
  </si>
  <si>
    <t>JV2-1907</t>
  </si>
  <si>
    <t>21-07-2014</t>
  </si>
  <si>
    <t>Payment Receved ICICI Bank 0620929106</t>
  </si>
  <si>
    <t>OPTDLY/I71662-2107</t>
  </si>
  <si>
    <t>30-07-2014</t>
  </si>
  <si>
    <t>Payment Receved ICICI Bank 0624714192</t>
  </si>
  <si>
    <t>31-07-2014</t>
  </si>
  <si>
    <t>Payment Receved ICICI Bank 0625511820</t>
  </si>
  <si>
    <t>OPTSTKSSLT28AUG2014</t>
  </si>
  <si>
    <t>OPTSTKDLF28AUG2014</t>
  </si>
  <si>
    <t>OPTSTKHINDALCO28AUG2014</t>
  </si>
  <si>
    <t>OPTSTKICICIBANK28AUG2014</t>
  </si>
  <si>
    <t>OPTSTKTATASTEEL28AUG2014</t>
  </si>
  <si>
    <t>01-08-2014</t>
  </si>
  <si>
    <t>ICICI Direct:</t>
  </si>
  <si>
    <t>SBI Capsec:</t>
  </si>
  <si>
    <t>RK Global:</t>
  </si>
  <si>
    <t>BMA:</t>
  </si>
  <si>
    <t>Trade A/C:</t>
  </si>
  <si>
    <t>Total Value:</t>
  </si>
  <si>
    <t>Others:</t>
  </si>
  <si>
    <t>Angel Broking:</t>
  </si>
  <si>
    <t>Prakash</t>
  </si>
  <si>
    <t>Captialvia</t>
  </si>
  <si>
    <t>DS-PAS</t>
  </si>
  <si>
    <t>Dalastreet</t>
  </si>
  <si>
    <t>DS-Others</t>
  </si>
  <si>
    <t>PYT</t>
  </si>
  <si>
    <t>Arulraj</t>
  </si>
  <si>
    <t>Tips Sub-Total:</t>
  </si>
  <si>
    <t>Payment Receved ICICI Bank 0625990751</t>
  </si>
  <si>
    <t>Payment Receved ICICI Bank 0626331734</t>
  </si>
  <si>
    <t>02-08-2014</t>
  </si>
  <si>
    <t>CALL &amp; TRADE CHARGES 31-07-2014-I71662</t>
  </si>
  <si>
    <t>JV9-0208</t>
  </si>
  <si>
    <t>04-08-2014</t>
  </si>
  <si>
    <t>OPTDLY/I71662-0408</t>
  </si>
  <si>
    <t>05-08-2014</t>
  </si>
  <si>
    <t>Payment Receved ICICI Bank 0627734296</t>
  </si>
  <si>
    <t>06-08-2014</t>
  </si>
  <si>
    <t>Payment Receved ICICI Bank 0629117392</t>
  </si>
  <si>
    <t>Payment Receved ICICI Bank 0629085875</t>
  </si>
  <si>
    <t>Payment Receved ICICI Bank 0629074816</t>
  </si>
  <si>
    <t>Payment Receved ICICI Bank 0629067461</t>
  </si>
  <si>
    <t>OPTDLY/I71662-0608</t>
  </si>
  <si>
    <t>Payment Receved ICICI Bank 0628462569</t>
  </si>
  <si>
    <t>12-08-2014</t>
  </si>
  <si>
    <t>FOMMC-Monthly-12082014</t>
  </si>
  <si>
    <t>Payment Receved ICICI Bank 0632065680</t>
  </si>
  <si>
    <t xml:space="preserve">MONTHLY MAINTENANCE CHARGES - 12-08-2014 ~ 11-09-2014 </t>
  </si>
  <si>
    <t>FNO - RKGlobal A/C Profit / Loss</t>
  </si>
  <si>
    <t>Equity RKGlobal A/C Profit / Loss</t>
  </si>
  <si>
    <t>Financial
Year</t>
  </si>
  <si>
    <t>OPTIDXNIFTY28AUG2014</t>
  </si>
  <si>
    <t>OPTDLY/I71662-2808</t>
  </si>
  <si>
    <t>28-08-2014</t>
  </si>
  <si>
    <t>OPTSTKNHPC25SEP2014</t>
  </si>
  <si>
    <t>OPTSTKTATAMOTORS25SEP2014</t>
  </si>
  <si>
    <t>OPTSTKUNITECH25SEP2014</t>
  </si>
  <si>
    <t>01-09-2014</t>
  </si>
  <si>
    <t>OPTDLY/I71662-0109</t>
  </si>
  <si>
    <t>OPTSTKJPASSOCIAT25SEP2014</t>
  </si>
  <si>
    <t>OPTSTKRPOWER25SEP2014</t>
  </si>
  <si>
    <t>02-09-2014</t>
  </si>
  <si>
    <t>03-09-2014</t>
  </si>
  <si>
    <t>Payment Receved ICICI Bank 0642460146</t>
  </si>
  <si>
    <t>Payment Receved ICICI Bank 0642264694</t>
  </si>
  <si>
    <t>04-09-2014</t>
  </si>
  <si>
    <t>CALL &amp; TRADE CHARGES 28-08-2014-I71662</t>
  </si>
  <si>
    <t>JV3-0409</t>
  </si>
  <si>
    <t>CALL &amp; TRADE CHARGES 01-09-2014-I71662</t>
  </si>
  <si>
    <t>JV4-0409</t>
  </si>
  <si>
    <t>05-09-2014</t>
  </si>
  <si>
    <t>OPTDLY/I71662-0409</t>
  </si>
  <si>
    <t>Payment Receved ICICI Bank 0643223380</t>
  </si>
  <si>
    <t>Payment Receved ICICI Bank 0643389592</t>
  </si>
  <si>
    <t>12-09-2014</t>
  </si>
  <si>
    <t> OPTSTKNHPC25SEP2014</t>
  </si>
  <si>
    <t> OPTSTKRPOWER25SEP2014</t>
  </si>
  <si>
    <t>FOMMC-Monthly-12092014</t>
  </si>
  <si>
    <t>Payment Receved ICICI Bank 0646784185</t>
  </si>
  <si>
    <t>MONTHLY MAINTENANCE CHARGES - 12-09-2014 ~ 12-10-2014</t>
  </si>
  <si>
    <t>15-09-2014</t>
  </si>
  <si>
    <t>Payment Receved ICICI Bank 0647959749</t>
  </si>
  <si>
    <t>OPTSTKIFCI25SEP2014</t>
  </si>
  <si>
    <t>18-09-2014</t>
  </si>
  <si>
    <t>19-09-2014</t>
  </si>
  <si>
    <t>Payment Receved ICICI Bank 0649827844</t>
  </si>
  <si>
    <t>24-09-2014</t>
  </si>
  <si>
    <t>25-09-2014</t>
  </si>
  <si>
    <t>OPTIDXNIFTY30OCT2014</t>
  </si>
  <si>
    <t>30-09-2014</t>
  </si>
  <si>
    <t>01-10-2014</t>
  </si>
  <si>
    <t>Payment Receved ICICI Bank 0654724295</t>
  </si>
  <si>
    <t>Payment Receved ICICI Bank 0654697670</t>
  </si>
  <si>
    <t>Payment Receved ICICI Bank 0654649752</t>
  </si>
  <si>
    <t>04-10-2014</t>
  </si>
  <si>
    <t>OPTSTKBHEL30OCT2014</t>
  </si>
  <si>
    <t>OPTSTKHDFCBANK30OCT2014</t>
  </si>
  <si>
    <t>OPTSTKIFCI30OCT2014</t>
  </si>
  <si>
    <t>07-10-2014</t>
  </si>
  <si>
    <t>08-10-2014</t>
  </si>
  <si>
    <t>CALL &amp; TRADE CHARGES 07-10-2014-I71662</t>
  </si>
  <si>
    <t>JV22-0810</t>
  </si>
  <si>
    <t>09-10-2014</t>
  </si>
  <si>
    <t>Payment Receved ICICI Bank 0659719100</t>
  </si>
  <si>
    <t>Payment Receved ICICI Bank 0659865027</t>
  </si>
  <si>
    <t>Payment Receved ICICI Bank 0659191907</t>
  </si>
  <si>
    <t>OPTSTKAXISBANK30OCT2014</t>
  </si>
  <si>
    <t>17-10-2014</t>
  </si>
  <si>
    <t>12-10-2014</t>
  </si>
  <si>
    <t>FOMMC-Monthly-12102014</t>
  </si>
  <si>
    <t>MONTHLY MAINTENANCE CHARGES - 12-10-2014 ~ 11-11-2014</t>
  </si>
  <si>
    <t>20-10-2014</t>
  </si>
  <si>
    <t>Payment Receved ICICI Bank 0663678106</t>
  </si>
  <si>
    <t>Payment Receved ICICI Bank 0663686550</t>
  </si>
  <si>
    <t>Payment Receved ICICI Bank 0664888493</t>
  </si>
  <si>
    <t>21-10-2014</t>
  </si>
  <si>
    <t>Payment Receved ICICI Bank 0665288309</t>
  </si>
  <si>
    <t>Payment Receved ICICI Bank 0665281003</t>
  </si>
  <si>
    <t>27-10-2014</t>
  </si>
  <si>
    <t>CALL &amp; TRADE CHARGES 20-10-2014-I71662</t>
  </si>
  <si>
    <t>JV5-2710</t>
  </si>
  <si>
    <t>Payment Receved ICICI Bank 0667380380</t>
  </si>
  <si>
    <t>28-10-2014</t>
  </si>
  <si>
    <t>CALL &amp; TRADE CHARGES 27-10-2014-I71662</t>
  </si>
  <si>
    <t>JV8-2810</t>
  </si>
  <si>
    <t>OPTDLY/I71662-2710</t>
  </si>
  <si>
    <t>07-11-2014</t>
  </si>
  <si>
    <t>TC-Monthly-07112014</t>
  </si>
  <si>
    <t>07-12-2014</t>
  </si>
  <si>
    <t>TC-Monthly-07122014</t>
  </si>
  <si>
    <t xml:space="preserve">SOFTWARE MAINTENANCE CHARGES - 07-11-2014 - 07-12-2014 </t>
  </si>
  <si>
    <t>SOFTWARE MAINTENANCE CHARGES - 07-12-2014 - 06-01-2015</t>
  </si>
  <si>
    <t>04-11-2014</t>
  </si>
  <si>
    <t>Payment Receved ICICI Bank 0672125457</t>
  </si>
  <si>
    <t>20141204B300004596</t>
  </si>
  <si>
    <t>20141203B300006101</t>
  </si>
  <si>
    <t>20141128N900013068</t>
  </si>
  <si>
    <t>OPT-IFCI  -24-Dec-2014-35-PE-S</t>
  </si>
  <si>
    <t># 201412181700005497</t>
  </si>
  <si>
    <t># 201412171700010991</t>
  </si>
  <si>
    <t>OPT-KARBAN-24-Dec-2014-155-CE-S</t>
  </si>
  <si>
    <t># 201412121700004451</t>
  </si>
  <si>
    <t># 201412111700010328</t>
  </si>
  <si>
    <t># 201412111700004748</t>
  </si>
  <si>
    <t># 201412111700004641</t>
  </si>
  <si>
    <t>OPT-KARBAN-24-Dec-2014-160-CE-S</t>
  </si>
  <si>
    <t># 201412111700003969</t>
  </si>
  <si>
    <t>OPT-RELPOW-24-Dec-2014-70-CE-S</t>
  </si>
  <si>
    <t># 201412101700003358</t>
  </si>
  <si>
    <t># 201412091700007384</t>
  </si>
  <si>
    <t># 201412081700007286</t>
  </si>
  <si>
    <t># 201412041700005255</t>
  </si>
  <si>
    <t># 201412041700001259</t>
  </si>
  <si>
    <t># 201412041700001062</t>
  </si>
  <si>
    <t>OPT-KARBAN-24-Dec-2014-165-CE-S</t>
  </si>
  <si>
    <t># 201412031700008673</t>
  </si>
  <si>
    <t># 201412031700008203</t>
  </si>
  <si>
    <t># 201412021700001296</t>
  </si>
  <si>
    <t>OPT-AXIBAN-27-Nov-2014-470-PE-S</t>
  </si>
  <si>
    <t># 201411241700004824</t>
  </si>
  <si>
    <t># 201411211700010767</t>
  </si>
  <si>
    <t>OPT-AXIBAN-27-Nov-2014-450-PE-S</t>
  </si>
  <si>
    <t># 201411191700003932</t>
  </si>
  <si>
    <t># 201411191700003327</t>
  </si>
  <si>
    <t># 201411131700001091</t>
  </si>
  <si>
    <t># 201411121700009789</t>
  </si>
  <si>
    <t># 201412161700011712</t>
  </si>
  <si>
    <t># 201412161700011587</t>
  </si>
  <si>
    <t># 201412111700004614</t>
  </si>
  <si>
    <t># 201412111700002492</t>
  </si>
  <si>
    <t># 201412081700003281</t>
  </si>
  <si>
    <t># 201412041700000911</t>
  </si>
  <si>
    <t># 201412031700008658</t>
  </si>
  <si>
    <t># 201411211700007153</t>
  </si>
  <si>
    <t>Securities Transaction Tax-STT</t>
  </si>
  <si>
    <t>Net Cash Profit:</t>
  </si>
  <si>
    <t>OPT-AXIBAN-27-Nov-2014-470-PE</t>
  </si>
  <si>
    <t>Exercised Qty</t>
  </si>
  <si>
    <t>Net Value</t>
  </si>
  <si>
    <t>Type</t>
  </si>
  <si>
    <t>Price Difference</t>
  </si>
  <si>
    <t># 201412191700008804</t>
  </si>
  <si>
    <t># 201412191700003781</t>
  </si>
  <si>
    <t>OPT-AXIBAN-30-Jan-2014-1200-PE-S</t>
  </si>
  <si>
    <t># 201203211700008352</t>
  </si>
  <si>
    <t># 201203161700003250</t>
  </si>
  <si>
    <t># 201203091700008671</t>
  </si>
  <si>
    <t># 201203091700007876</t>
  </si>
  <si>
    <t># 201203071700007353</t>
  </si>
  <si>
    <t># 201203061700002674</t>
  </si>
  <si>
    <t># 201202281700008480</t>
  </si>
  <si>
    <t># 201202271300003903</t>
  </si>
  <si>
    <t># 201202241700007929</t>
  </si>
  <si>
    <t># 201202231700003564</t>
  </si>
  <si>
    <t># 201202231700002044</t>
  </si>
  <si>
    <t># 201202231700001814</t>
  </si>
  <si>
    <t># 201202221700006007</t>
  </si>
  <si>
    <t># 201202221100005164</t>
  </si>
  <si>
    <t># 201202211700004210</t>
  </si>
  <si>
    <t># 201202161700002925</t>
  </si>
  <si>
    <t># 201202161700002194</t>
  </si>
  <si>
    <t># 201202141700006735</t>
  </si>
  <si>
    <t>OPT-HDIL  -27-Jan-2011-160-CE-S</t>
  </si>
  <si>
    <t># 201101251700005295</t>
  </si>
  <si>
    <t># 201101241700007951</t>
  </si>
  <si>
    <t># 201101181700006684</t>
  </si>
  <si>
    <t># 201012311500002902</t>
  </si>
  <si>
    <t># 201012311500000553</t>
  </si>
  <si>
    <t># 201012291700005929</t>
  </si>
  <si>
    <t># 201012291700005894</t>
  </si>
  <si>
    <t># 201012271700005727</t>
  </si>
  <si>
    <t># 201012271700005700</t>
  </si>
  <si>
    <t># 201012271700005658</t>
  </si>
  <si>
    <t># 201012241700006738</t>
  </si>
  <si>
    <t># 201012241700006720</t>
  </si>
  <si>
    <t># 201012021700004329</t>
  </si>
  <si>
    <t># 201011301700009695</t>
  </si>
  <si>
    <t># 201011251700010353</t>
  </si>
  <si>
    <t># 201010261700001756</t>
  </si>
  <si>
    <t># 201010251700003598</t>
  </si>
  <si>
    <t># 201010251700003550</t>
  </si>
  <si>
    <t># 201010251700002491</t>
  </si>
  <si>
    <t># 201010201700007609</t>
  </si>
  <si>
    <t># 201010201700003353</t>
  </si>
  <si>
    <t># 201010191700009856</t>
  </si>
  <si>
    <t># 201010151700010636</t>
  </si>
  <si>
    <t># 201010151700010516</t>
  </si>
  <si>
    <t># 201010151700009690</t>
  </si>
  <si>
    <t># 201010151700009541</t>
  </si>
  <si>
    <t># 201010131700003353</t>
  </si>
  <si>
    <t># 201010111700007342</t>
  </si>
  <si>
    <t># 201010111700004030</t>
  </si>
  <si>
    <t># 201010111700002214</t>
  </si>
  <si>
    <t># 201010051700003569</t>
  </si>
  <si>
    <t># 201010011700011210</t>
  </si>
  <si>
    <t># 201009291700007654</t>
  </si>
  <si>
    <t># 201009281700008410</t>
  </si>
  <si>
    <t>OPT-NTPC  -30-Sep-2010-210-CA-S</t>
  </si>
  <si>
    <t># 201009241700003328</t>
  </si>
  <si>
    <t># 201009201700008799</t>
  </si>
  <si>
    <t># 201008241700007625</t>
  </si>
  <si>
    <t># 201008201700008275</t>
  </si>
  <si>
    <t># 201008201700001809</t>
  </si>
  <si>
    <t># 201008191700008017</t>
  </si>
  <si>
    <t># 201008191700007931</t>
  </si>
  <si>
    <t># 201008191700007878</t>
  </si>
  <si>
    <t># 201008191700004441</t>
  </si>
  <si>
    <t># 201008191700003020</t>
  </si>
  <si>
    <t># 201008171700005583</t>
  </si>
  <si>
    <t># 201008121700009648</t>
  </si>
  <si>
    <t># 201008111700006925</t>
  </si>
  <si>
    <t># 201008111700006751</t>
  </si>
  <si>
    <t># 201008031700005590</t>
  </si>
  <si>
    <t># 201008031700005483</t>
  </si>
  <si>
    <t># 201008021700006585</t>
  </si>
  <si>
    <t># 201007271700001217</t>
  </si>
  <si>
    <t># 201007151700008058</t>
  </si>
  <si>
    <t># 201007151700004180</t>
  </si>
  <si>
    <t># 201007131700001634</t>
  </si>
  <si>
    <t># 201007121700003607</t>
  </si>
  <si>
    <t># 201007091700003057</t>
  </si>
  <si>
    <t># 201007071700007880</t>
  </si>
  <si>
    <t>OPT-IFCI  -29-Jul-2010-50-PA-S</t>
  </si>
  <si>
    <t># 201007071700006465</t>
  </si>
  <si>
    <t># 201007061700007131</t>
  </si>
  <si>
    <t># 201007061700003892</t>
  </si>
  <si>
    <t># 201007021700007107</t>
  </si>
  <si>
    <t># 201007021700006969</t>
  </si>
  <si>
    <t># 201007021700003545</t>
  </si>
  <si>
    <t># 201007021700003485</t>
  </si>
  <si>
    <t># 201007021700001999</t>
  </si>
  <si>
    <t># 201007011700003089</t>
  </si>
  <si>
    <t># 201006291700008756</t>
  </si>
  <si>
    <t># 201006281700005998</t>
  </si>
  <si>
    <t># 201006241700008501</t>
  </si>
  <si>
    <t># 201006241700007539</t>
  </si>
  <si>
    <t># 201006221700017196</t>
  </si>
  <si>
    <t># 201006221700016697</t>
  </si>
  <si>
    <t># 201006211700007915</t>
  </si>
  <si>
    <t># 201006171700007428</t>
  </si>
  <si>
    <t># 201006171700007406</t>
  </si>
  <si>
    <t># 201006171700006469</t>
  </si>
  <si>
    <t># 201006171700006304</t>
  </si>
  <si>
    <t># 201006091700006503</t>
  </si>
  <si>
    <t># 201006081700006683</t>
  </si>
  <si>
    <t># 201006081700006389</t>
  </si>
  <si>
    <t># 201005171700010544</t>
  </si>
  <si>
    <t># 201005171700003939</t>
  </si>
  <si>
    <t># 201005171700003807</t>
  </si>
  <si>
    <t># 201005061700009653</t>
  </si>
  <si>
    <t># 201005041700007698</t>
  </si>
  <si>
    <t># 201005041700001288</t>
  </si>
  <si>
    <t># 201005031700006562</t>
  </si>
  <si>
    <t># 201004271700001975</t>
  </si>
  <si>
    <t>OPT-NTPC  -27-Aug-2009-210-CA-S</t>
  </si>
  <si>
    <t>OPT-NTPC  -30-Jul-2009-220-CA-S</t>
  </si>
  <si>
    <t>OPT-NTPC  -30-Jul-2009-205-CA-S</t>
  </si>
  <si>
    <t>OPT-NTPC  -28-May-2009-190-PA-S</t>
  </si>
  <si>
    <t>OPT-NTPC  -28-May-2009-200-PA-S</t>
  </si>
  <si>
    <t>OPT-NTPC  -28-May-2009-210-CA-S</t>
  </si>
  <si>
    <t>OPT-NTPC  -28-May-2009-200-CA-S</t>
  </si>
  <si>
    <t>20120328B300006143</t>
  </si>
  <si>
    <t>20120322N900014964</t>
  </si>
  <si>
    <t>20120228N900004008</t>
  </si>
  <si>
    <t>20120223N900006631</t>
  </si>
  <si>
    <t>20120216N900015958</t>
  </si>
  <si>
    <t>20120216N900016426</t>
  </si>
  <si>
    <t>20120210B300008142</t>
  </si>
  <si>
    <t>20120202B300006834</t>
  </si>
  <si>
    <t>20120202N900010527</t>
  </si>
  <si>
    <t>20120130N900013408</t>
  </si>
  <si>
    <t>20120130N900015158</t>
  </si>
  <si>
    <t>20120130N900015299</t>
  </si>
  <si>
    <t>20120124N900013547</t>
  </si>
  <si>
    <t>20120124N900013942</t>
  </si>
  <si>
    <t>20120110N900009481</t>
  </si>
  <si>
    <t>20120110N900009510</t>
  </si>
  <si>
    <t>20111121N900011995</t>
  </si>
  <si>
    <t>20111114B300007547</t>
  </si>
  <si>
    <t xml:space="preserve">        -        </t>
  </si>
  <si>
    <t>20111114N900016125</t>
  </si>
  <si>
    <t>20111109B300005472</t>
  </si>
  <si>
    <t>20111109N900004766</t>
  </si>
  <si>
    <t>20111109N900009267</t>
  </si>
  <si>
    <t>20111109N900011038</t>
  </si>
  <si>
    <t>20111108B300007542</t>
  </si>
  <si>
    <t>20111102B300006824</t>
  </si>
  <si>
    <t>20111102N900011641</t>
  </si>
  <si>
    <t>20111102N900011682</t>
  </si>
  <si>
    <t>20111102N900012980</t>
  </si>
  <si>
    <t>20111031N900014944</t>
  </si>
  <si>
    <t>20111025N900004623</t>
  </si>
  <si>
    <t>20111025N900005137</t>
  </si>
  <si>
    <t>20111020B800009482</t>
  </si>
  <si>
    <t>20111019N900007855</t>
  </si>
  <si>
    <t>20111019N900008044</t>
  </si>
  <si>
    <t>20111005N900006967</t>
  </si>
  <si>
    <t>20110928N900005299</t>
  </si>
  <si>
    <t>20110919N900008624</t>
  </si>
  <si>
    <t>20110913B300006803</t>
  </si>
  <si>
    <t>20110912B300007288</t>
  </si>
  <si>
    <t>20110909N900014904</t>
  </si>
  <si>
    <t>20110907B300005834</t>
  </si>
  <si>
    <t>20110907N900015636</t>
  </si>
  <si>
    <t>20110906B300006772</t>
  </si>
  <si>
    <t>20110906N900013638</t>
  </si>
  <si>
    <t>20110906N900013655</t>
  </si>
  <si>
    <t>20110906N900014473</t>
  </si>
  <si>
    <t>20110906N900014585</t>
  </si>
  <si>
    <t>20110905N900007770</t>
  </si>
  <si>
    <t>20110905N900007858</t>
  </si>
  <si>
    <t>20110826N900007636</t>
  </si>
  <si>
    <t>20110824B300005928</t>
  </si>
  <si>
    <t>20110824N900010031</t>
  </si>
  <si>
    <t>20110824N900011494</t>
  </si>
  <si>
    <t>20110824N900011534</t>
  </si>
  <si>
    <t>20110824N900011602</t>
  </si>
  <si>
    <t>20110824N900011662</t>
  </si>
  <si>
    <t>20110824N900011726</t>
  </si>
  <si>
    <t>20110819B300005398</t>
  </si>
  <si>
    <t>20110819B300005576</t>
  </si>
  <si>
    <t>20110819B300005703</t>
  </si>
  <si>
    <t>20110819N900006684</t>
  </si>
  <si>
    <t>20110819N900018651</t>
  </si>
  <si>
    <t>20110819N900018689</t>
  </si>
  <si>
    <t>20110818B300004854</t>
  </si>
  <si>
    <t>20110818B300004877</t>
  </si>
  <si>
    <t>20110818B300004907</t>
  </si>
  <si>
    <t>20110818N900004864</t>
  </si>
  <si>
    <t>20110818N900005492</t>
  </si>
  <si>
    <t>20110818N900005778</t>
  </si>
  <si>
    <t>20110818N900006232</t>
  </si>
  <si>
    <t>20110818N900006394</t>
  </si>
  <si>
    <t>20110816B300007533</t>
  </si>
  <si>
    <t>20110816N900013038</t>
  </si>
  <si>
    <t>20110811B300005805</t>
  </si>
  <si>
    <t>20110811N900007145</t>
  </si>
  <si>
    <t>20110811N900007735</t>
  </si>
  <si>
    <t>20110810B300008016</t>
  </si>
  <si>
    <t>20110726B300008936</t>
  </si>
  <si>
    <t>20110725B300011675</t>
  </si>
  <si>
    <t>20110725B300011758</t>
  </si>
  <si>
    <t>20110725N900005029</t>
  </si>
  <si>
    <t>20110725N900011758</t>
  </si>
  <si>
    <t>20110725N900012761</t>
  </si>
  <si>
    <t>20110725N900012776</t>
  </si>
  <si>
    <t>20110725N900012836</t>
  </si>
  <si>
    <t>20110725N900012942</t>
  </si>
  <si>
    <t>20110725N900013001</t>
  </si>
  <si>
    <t>20110725N900013062</t>
  </si>
  <si>
    <t>20110721N900005670</t>
  </si>
  <si>
    <t>20110708B300006677</t>
  </si>
  <si>
    <t>20110708N900006802</t>
  </si>
  <si>
    <t>20110704B300006428</t>
  </si>
  <si>
    <t>20110628B300003846</t>
  </si>
  <si>
    <t>20110624N900013090</t>
  </si>
  <si>
    <t>20110622N900009608</t>
  </si>
  <si>
    <t>20110621N900006130</t>
  </si>
  <si>
    <t>20110621N900006513</t>
  </si>
  <si>
    <t>20110616N900009654</t>
  </si>
  <si>
    <t>20110615N900008847</t>
  </si>
  <si>
    <t>20110615N900008894</t>
  </si>
  <si>
    <t>20110609N900009177</t>
  </si>
  <si>
    <t>20110603B300002750</t>
  </si>
  <si>
    <t>20110603N900005791</t>
  </si>
  <si>
    <t>20110531N900007256</t>
  </si>
  <si>
    <t>20110531N900007285</t>
  </si>
  <si>
    <t>20110527B300002847</t>
  </si>
  <si>
    <t>20110527B300003030</t>
  </si>
  <si>
    <t>20110527N900011572</t>
  </si>
  <si>
    <t>20110527N900012217</t>
  </si>
  <si>
    <t>20110527N900012256</t>
  </si>
  <si>
    <t>20110527N900012303</t>
  </si>
  <si>
    <t>20110524B300003169</t>
  </si>
  <si>
    <t>20110524N900010249</t>
  </si>
  <si>
    <t>20110523B300003376</t>
  </si>
  <si>
    <t>20110523B300003401</t>
  </si>
  <si>
    <t>20110523N900011071</t>
  </si>
  <si>
    <t>20110523N900011146</t>
  </si>
  <si>
    <t>20110518B300002750</t>
  </si>
  <si>
    <t>20110518N900010856</t>
  </si>
  <si>
    <t>20110518N900010961</t>
  </si>
  <si>
    <t>20110518N900010983</t>
  </si>
  <si>
    <t>20110518N900011057</t>
  </si>
  <si>
    <t>20110518N900011788</t>
  </si>
  <si>
    <t>20110511N900003227</t>
  </si>
  <si>
    <t>20110511N900003251</t>
  </si>
  <si>
    <t>20110510N900004121</t>
  </si>
  <si>
    <t>20110510N900004155</t>
  </si>
  <si>
    <t>20110509N900004404</t>
  </si>
  <si>
    <t>20110509N900004541</t>
  </si>
  <si>
    <t>20110509N900004588</t>
  </si>
  <si>
    <t>20110506N900011038</t>
  </si>
  <si>
    <t>20110505B300002669</t>
  </si>
  <si>
    <t>20110505N900009680</t>
  </si>
  <si>
    <t>20110504B300002002</t>
  </si>
  <si>
    <t>20110504B300002244</t>
  </si>
  <si>
    <t>20110504B300002266</t>
  </si>
  <si>
    <t>20110504B300002286</t>
  </si>
  <si>
    <t>20110504B300002293</t>
  </si>
  <si>
    <t>20110504B300002302</t>
  </si>
  <si>
    <t>20110504B300002307</t>
  </si>
  <si>
    <t>20110504B300003167</t>
  </si>
  <si>
    <t>20110504B300003172</t>
  </si>
  <si>
    <t>20110504B300003177</t>
  </si>
  <si>
    <t>20110504B300003185</t>
  </si>
  <si>
    <t>20110504N900007710</t>
  </si>
  <si>
    <t>20110502B300003819</t>
  </si>
  <si>
    <t>20110429B300003499</t>
  </si>
  <si>
    <t>20110428B300003575</t>
  </si>
  <si>
    <t>20110428N900010968</t>
  </si>
  <si>
    <t>20110419N900010854</t>
  </si>
  <si>
    <t>20110418N900007170</t>
  </si>
  <si>
    <t>20110415B300004952</t>
  </si>
  <si>
    <t>20110415N900009549</t>
  </si>
  <si>
    <t>20110411N900010928</t>
  </si>
  <si>
    <t>20110408N900012855</t>
  </si>
  <si>
    <t>20110408N900012981</t>
  </si>
  <si>
    <t>20110408N900013081</t>
  </si>
  <si>
    <t>20110408N900013577</t>
  </si>
  <si>
    <t>20110407B300004521</t>
  </si>
  <si>
    <t>20110407N900005889</t>
  </si>
  <si>
    <t>20110407N900009836</t>
  </si>
  <si>
    <t>20110406N900011547</t>
  </si>
  <si>
    <t>20110406N900011776</t>
  </si>
  <si>
    <t>20110405N900011809</t>
  </si>
  <si>
    <t>20110405N900012372</t>
  </si>
  <si>
    <t>20110404N900009235</t>
  </si>
  <si>
    <t>Net ICICI Cash Profit / Loss:</t>
  </si>
  <si>
    <t>Net FNO Profit / Loss:</t>
  </si>
  <si>
    <t>Exercise Date</t>
  </si>
  <si>
    <t>Exercise Ref.</t>
  </si>
  <si>
    <t>Settlement Price</t>
  </si>
  <si>
    <t>Strike Price</t>
  </si>
  <si>
    <t>Settlement Price - Strike Price</t>
  </si>
  <si>
    <t>Exchange Initiated</t>
  </si>
  <si>
    <t>Exercised</t>
  </si>
  <si>
    <t>OPT-NTPC -28-May-2009-200-CA</t>
  </si>
  <si>
    <t>ICICI Direct A/C</t>
  </si>
  <si>
    <t>P/L realized in FY12:</t>
  </si>
  <si>
    <t>Value nifty</t>
  </si>
  <si>
    <t>Wealth bulls</t>
  </si>
  <si>
    <t>R.Curr FY P/L:</t>
  </si>
  <si>
    <t>ICICI BANK LIMITED
Trade login ID : ANBUMARA
DP-ID (NSDL): IN303028 - 51838407
ICICI Direct Acc No.: 8500900247 
Linked ICICI Saving A/C: 027501000847</t>
  </si>
  <si>
    <t>ANGEL BROKING LTD
Login ID    : CHEN1176
DP-ID (CDSL): 12033200-05777788
Linked ICICI Saving A/C: 027501000847</t>
  </si>
  <si>
    <t>R.K. GLOBAL SHARES AND SECURITIES LTD.
Login ID   : i71662
DP-ID (NSDL): IN302453-10145558
Linked ICICI Saving A/C: 027501000847</t>
  </si>
  <si>
    <t>Trading Account Information</t>
  </si>
  <si>
    <t>Sbicap Securities
Login ID    : ESI12442
DP-ID (CDSL): 13019300-00744087
Linked SBI Saving A/C: 00000010040253278</t>
  </si>
  <si>
    <t>ANBUMARAN C - Profit / Loss Statement</t>
  </si>
  <si>
    <t>05-01-2015</t>
  </si>
  <si>
    <t>Payment Receved ICICI Bank 0702258281</t>
  </si>
  <si>
    <t>BANCOINDIA</t>
  </si>
  <si>
    <t>DHFL</t>
  </si>
  <si>
    <t>07-01-2015</t>
  </si>
  <si>
    <t>DLV134-0701</t>
  </si>
  <si>
    <t>DLV127-0901</t>
  </si>
  <si>
    <t>TC-Monthly-07012015</t>
  </si>
  <si>
    <t>SOFTWARE MAINTENANCE CHARGES - 07-01-2015 - 06-02-2015</t>
  </si>
  <si>
    <t>CAREERP</t>
  </si>
  <si>
    <t>NILKAMAL</t>
  </si>
  <si>
    <t>DLV213-1901</t>
  </si>
  <si>
    <t>20-01-2015</t>
  </si>
  <si>
    <t>Payment Receved ICICI Bank 0709679918</t>
  </si>
  <si>
    <t>GLENMARK PHARMACEUTICALS</t>
  </si>
  <si>
    <t>PVP</t>
  </si>
  <si>
    <t>DLV203-2001</t>
  </si>
  <si>
    <t>22-01-2015</t>
  </si>
  <si>
    <t>JSWENERGY</t>
  </si>
  <si>
    <t>KITEX</t>
  </si>
  <si>
    <t>DLV219-2201</t>
  </si>
  <si>
    <t>21-01-2015</t>
  </si>
  <si>
    <t>CALL &amp; TRADE CHARGES 20-01-2015-I71662</t>
  </si>
  <si>
    <t>JV21-2101</t>
  </si>
  <si>
    <t>23-01-2015</t>
  </si>
  <si>
    <t>Payment Receved ICICI Bank 0711107479</t>
  </si>
  <si>
    <t>27-01-2015</t>
  </si>
  <si>
    <t>JPPOWER</t>
  </si>
  <si>
    <t>DLV162-2701</t>
  </si>
  <si>
    <t>28-01-2015</t>
  </si>
  <si>
    <t>DLV191-2801</t>
  </si>
  <si>
    <t>29-01-2015</t>
  </si>
  <si>
    <t>SKSMICRO</t>
  </si>
  <si>
    <t>DLV208-2901</t>
  </si>
  <si>
    <t>15-01-2015</t>
  </si>
  <si>
    <t>16-01-2015</t>
  </si>
  <si>
    <t>FSL</t>
  </si>
  <si>
    <t>GMRINFRA</t>
  </si>
  <si>
    <t>DLV178-3001</t>
  </si>
  <si>
    <t>30-01-2015</t>
  </si>
  <si>
    <t>CALL &amp; TRADE CHARGES 29-01-2015-I71662</t>
  </si>
  <si>
    <t>JV17-3001</t>
  </si>
  <si>
    <t>AMARAJABAT</t>
  </si>
  <si>
    <t>DLV146-0202</t>
  </si>
  <si>
    <t>ASTRAMICRO</t>
  </si>
  <si>
    <t>M&amp;MFIN</t>
  </si>
  <si>
    <t>DLV166-0302</t>
  </si>
  <si>
    <t>02-02-2015</t>
  </si>
  <si>
    <t>CENTRALBK</t>
  </si>
  <si>
    <t>DLV218-0402</t>
  </si>
  <si>
    <t>05-02-2015</t>
  </si>
  <si>
    <t>Payment Receved ICICI Bank 0717982826</t>
  </si>
  <si>
    <t>Payment Receved ICICI Bank 0714065017</t>
  </si>
  <si>
    <t>06-02-2015</t>
  </si>
  <si>
    <t>CALL &amp; TRADE CHARGES 05-02-2015-I71662</t>
  </si>
  <si>
    <t>JV35-0602</t>
  </si>
  <si>
    <t>04-02-2015</t>
  </si>
  <si>
    <t>IDFC</t>
  </si>
  <si>
    <t xml:space="preserve">SYNDICATE BANK </t>
  </si>
  <si>
    <t>DLV184-0902</t>
  </si>
  <si>
    <t>DLV1235-0602</t>
  </si>
  <si>
    <t>DISHMAN PHARMA &amp; CHEM LTD</t>
  </si>
  <si>
    <t>DLV135-1002</t>
  </si>
  <si>
    <t>Total Holding Value :</t>
  </si>
  <si>
    <t>Total Holding Value:</t>
  </si>
  <si>
    <t>07-02-2015</t>
  </si>
  <si>
    <t>TC-Monthly-07022015</t>
  </si>
  <si>
    <t>SOFTWARE MAINTENANCE CHARGES - 07-02-201 ~ 09-03-2015</t>
  </si>
  <si>
    <t>09-02-2015</t>
  </si>
  <si>
    <t>DLV121-1102</t>
  </si>
  <si>
    <t>11-02-2015</t>
  </si>
  <si>
    <t>CALL &amp; TRADE CHARGES 10-02-2015-I71662</t>
  </si>
  <si>
    <t>JV14-1102</t>
  </si>
  <si>
    <t>12-02-2015</t>
  </si>
  <si>
    <t>10-02-2015</t>
  </si>
  <si>
    <t>DLV123-1202</t>
  </si>
  <si>
    <t>13-02-2015</t>
  </si>
  <si>
    <t>DLV208-1802</t>
  </si>
  <si>
    <t>16-02-2015</t>
  </si>
  <si>
    <t>DLV170-2002</t>
  </si>
  <si>
    <t>20-02-2015</t>
  </si>
  <si>
    <t>ASHOKLEY</t>
  </si>
  <si>
    <t>JAIN IRRIGATION SYSTEMS</t>
  </si>
  <si>
    <t>NECLIFE</t>
  </si>
  <si>
    <t>DLV163-2402</t>
  </si>
  <si>
    <t>24-02-2015</t>
  </si>
  <si>
    <t>23-02-2015</t>
  </si>
  <si>
    <t>DLV191-2502</t>
  </si>
  <si>
    <t>RELCAPITAL</t>
  </si>
  <si>
    <t>DLV196-2602</t>
  </si>
  <si>
    <t>DLV196-2603</t>
  </si>
  <si>
    <t>DLV196-2604</t>
  </si>
  <si>
    <t>DLV196-2605</t>
  </si>
  <si>
    <t>DLV196-2606</t>
  </si>
  <si>
    <t>DLV196-2607</t>
  </si>
  <si>
    <t>25-02-2015</t>
  </si>
  <si>
    <t>CALL &amp; TRADE CHARGES 23-02-2015-I71662</t>
  </si>
  <si>
    <t>JV6-2502</t>
  </si>
  <si>
    <t>Payment Receved ICICI Bank 0727259803</t>
  </si>
  <si>
    <t>DLV189-2702</t>
  </si>
  <si>
    <t>26-02-2015</t>
  </si>
  <si>
    <t>CENTURYTEX</t>
  </si>
  <si>
    <t>DLV200-0203</t>
  </si>
  <si>
    <t>27-02-2015</t>
  </si>
  <si>
    <t>Payment Receved ICICI Bank 0728269934</t>
  </si>
  <si>
    <t>DLV221-0303</t>
  </si>
  <si>
    <t>28-02-2015</t>
  </si>
  <si>
    <t>HTMEDIA</t>
  </si>
  <si>
    <t>DLV1187-0303</t>
  </si>
  <si>
    <t>02-03-2015</t>
  </si>
  <si>
    <t>ICICIBANK</t>
  </si>
  <si>
    <t>DLV211-0403</t>
  </si>
  <si>
    <t>07-03-2015</t>
  </si>
  <si>
    <t>TC-Monthly-07032015</t>
  </si>
  <si>
    <t>SOFTWARE MAINTENANCE CHARGES - 07-03-2015 ~ 06-04-2015</t>
  </si>
  <si>
    <t>04-03-2015</t>
  </si>
  <si>
    <t>PROWER</t>
  </si>
  <si>
    <t>DLV221-0903</t>
  </si>
  <si>
    <t>05-03-2015</t>
  </si>
  <si>
    <t>ABIRLANUVO</t>
  </si>
  <si>
    <t>COX&amp;KINGS</t>
  </si>
  <si>
    <t>GRANULES</t>
  </si>
  <si>
    <t>DLV132-1003</t>
  </si>
  <si>
    <t>09-03-2015</t>
  </si>
  <si>
    <t>CALL &amp; TRADE CHARGES 05-03-2015-I71662</t>
  </si>
  <si>
    <t>JV5-0903</t>
  </si>
  <si>
    <t>CALL &amp; TRADE CHARGES 04-03-2015-I71662</t>
  </si>
  <si>
    <t>JV4-0903</t>
  </si>
  <si>
    <t>STRIDES ARCOLAB LIMITED</t>
  </si>
  <si>
    <t>DLV218-1103</t>
  </si>
  <si>
    <t>10-03-2015</t>
  </si>
  <si>
    <t>RPOWER</t>
  </si>
  <si>
    <t>VENKY'S (INDIA) LIMITED</t>
  </si>
  <si>
    <t>WALCHANNAG</t>
  </si>
  <si>
    <t>DLV201-1203</t>
  </si>
  <si>
    <t>Payment Receved ICICI Bank 0734969137</t>
  </si>
  <si>
    <t>CALL &amp; TRADE CHARGES 10-03-2015-I71662</t>
  </si>
  <si>
    <t>JV11-1103</t>
  </si>
  <si>
    <t>11-03-2015</t>
  </si>
  <si>
    <t>ADANIPOWER</t>
  </si>
  <si>
    <t>DLV212-1303</t>
  </si>
  <si>
    <t>RSWM</t>
  </si>
  <si>
    <t>12-03-2015</t>
  </si>
  <si>
    <t>DLV194-1603</t>
  </si>
  <si>
    <t>13-03-2015</t>
  </si>
  <si>
    <t>DLV211-1703</t>
  </si>
  <si>
    <t>DLV211-1704</t>
  </si>
  <si>
    <t>DLV211-1705</t>
  </si>
  <si>
    <t>DLV211-1706</t>
  </si>
  <si>
    <t>DLV211-1707</t>
  </si>
  <si>
    <t>DLV211-1708</t>
  </si>
  <si>
    <t>DLV211-1709</t>
  </si>
  <si>
    <t>DLV211-1710</t>
  </si>
  <si>
    <t>DLV211-1711</t>
  </si>
  <si>
    <t>DLV211-1712</t>
  </si>
  <si>
    <t>DLV211-1713</t>
  </si>
  <si>
    <t>DLV211-1714</t>
  </si>
  <si>
    <t>DLV211-1715</t>
  </si>
  <si>
    <t>DLV211-1716</t>
  </si>
  <si>
    <t>DLV211-1717</t>
  </si>
  <si>
    <t>DLV211-1718</t>
  </si>
  <si>
    <t>DLV211-1719</t>
  </si>
  <si>
    <t>DLV211-1720</t>
  </si>
  <si>
    <t>DLV211-1721</t>
  </si>
  <si>
    <t>DLV211-1722</t>
  </si>
  <si>
    <t>17-03-2015</t>
  </si>
  <si>
    <t>CALL &amp; TRADE CHARGES 16-03-2015-I71662</t>
  </si>
  <si>
    <t>JV11-1703</t>
  </si>
  <si>
    <t>16-03-2015</t>
  </si>
  <si>
    <t>DLV185-1803</t>
  </si>
  <si>
    <t>TATASTEEL</t>
  </si>
  <si>
    <t>DLV212-1903</t>
  </si>
  <si>
    <t>18-03-2015</t>
  </si>
  <si>
    <t>GATI</t>
  </si>
  <si>
    <t>DLV194-2003</t>
  </si>
  <si>
    <t>19-03-2015</t>
  </si>
  <si>
    <t>CALL &amp; TRADE CHARGES 18-03-2015-I71662</t>
  </si>
  <si>
    <t>JV18-1903</t>
  </si>
  <si>
    <t>NBCC</t>
  </si>
  <si>
    <t>DLV204-2303</t>
  </si>
  <si>
    <t>20-03-2015</t>
  </si>
  <si>
    <t>CALL &amp; TRADE CHARGES 19-03-2015-I71662</t>
  </si>
  <si>
    <t>JV9-2003</t>
  </si>
  <si>
    <t>SOFTWARE MAINTENANCE CHARGES - 19-03-2015 ~ 18-04-2015</t>
  </si>
  <si>
    <t>DLV191-2403</t>
  </si>
  <si>
    <t>24-03-2015</t>
  </si>
  <si>
    <t>IBREALEST</t>
  </si>
  <si>
    <t>DLV162-2603</t>
  </si>
  <si>
    <t>Payment Receved ICICI Bank 0741208270</t>
  </si>
  <si>
    <t>26-03-2015</t>
  </si>
  <si>
    <t>ESCORTS</t>
  </si>
  <si>
    <t>DLV160-3003</t>
  </si>
  <si>
    <t>27-03-2015</t>
  </si>
  <si>
    <t>DLV186-3103</t>
  </si>
  <si>
    <t>30-03-2015</t>
  </si>
  <si>
    <t>DLV183-0604</t>
  </si>
  <si>
    <t>31-03-2015</t>
  </si>
  <si>
    <t>CALL &amp; TRADE CHARGES 27-03-2015</t>
  </si>
  <si>
    <t>JV34-3103</t>
  </si>
  <si>
    <t>DLV184-0704</t>
  </si>
  <si>
    <t>FY16</t>
  </si>
  <si>
    <t>(Actual Value Ref.: 122254.57 )</t>
  </si>
  <si>
    <t>31-Mar-2015</t>
  </si>
  <si>
    <t>P/L till FY14 :</t>
  </si>
  <si>
    <t>Financial Ledger    Date From : 01-APR-2014 To : 31-MAR-2015</t>
  </si>
  <si>
    <t>Financial Ledger    Date From : 01-APR-2013 To : 31-MAR-2014</t>
  </si>
  <si>
    <t>Payment Receved ICICI Bank 0744722374</t>
  </si>
  <si>
    <t>P/L till FY15 :</t>
  </si>
  <si>
    <t>01-04-2015</t>
  </si>
  <si>
    <t>P/L till FY15:</t>
  </si>
  <si>
    <t>Payment Receved ICICI Bank 0745474911</t>
  </si>
  <si>
    <t>Payment Receved ICICI Bank 0745459549</t>
  </si>
  <si>
    <t>Realized P/L RKG A/C (FY16):</t>
  </si>
  <si>
    <t>Realized P/L RKG A/C (FY15):</t>
  </si>
  <si>
    <t>07-04-2015</t>
  </si>
  <si>
    <t>TC-Monthly-07042015</t>
  </si>
  <si>
    <t>SOFTWARE MAINTENANCE CHARGES - 07-04-2015 - 07-05-2015</t>
  </si>
  <si>
    <t>HAVELLS INDIA LIMITED</t>
  </si>
  <si>
    <t>TORNTPHARM</t>
  </si>
  <si>
    <t>DLV198-0904</t>
  </si>
  <si>
    <t>IPCALAB</t>
  </si>
  <si>
    <t>08-04-2015</t>
  </si>
  <si>
    <t>DLV225-1004</t>
  </si>
  <si>
    <t>ASIANPAINT</t>
  </si>
  <si>
    <t>09-04-2015</t>
  </si>
  <si>
    <t>BIOCON LIMITED</t>
  </si>
  <si>
    <t>DLV230-1304</t>
  </si>
  <si>
    <t>10-04-2015</t>
  </si>
  <si>
    <t>DLV217-1504</t>
  </si>
  <si>
    <t>11-04-2015</t>
  </si>
  <si>
    <t>15-04-2015</t>
  </si>
  <si>
    <t>DEEPAKFERT</t>
  </si>
  <si>
    <t>LAOPALA</t>
  </si>
  <si>
    <t>DLV204-1704</t>
  </si>
  <si>
    <t>17-04-2015</t>
  </si>
  <si>
    <t>MCLEODRUSS</t>
  </si>
  <si>
    <t>TATACOMM</t>
  </si>
  <si>
    <t>DLV194-2104</t>
  </si>
  <si>
    <t>20-04-2015</t>
  </si>
  <si>
    <t>TV18BRDCST</t>
  </si>
  <si>
    <t>DLV188-2204</t>
  </si>
  <si>
    <t>19-04-2015</t>
  </si>
  <si>
    <t>SOFTWARE MAINTENANCE CHARGES - 
19-04-2015 - 19-05-2015</t>
  </si>
  <si>
    <t>DLV184-2304</t>
  </si>
  <si>
    <t>21-04-2015</t>
  </si>
  <si>
    <t>23-04-2015</t>
  </si>
  <si>
    <t>DLV187-2704</t>
  </si>
  <si>
    <t>Payment Receved ICICI Bank 0755763476</t>
  </si>
  <si>
    <t>Payment Receved ICICI Bank 0755771142</t>
  </si>
  <si>
    <t>24-04-2015</t>
  </si>
  <si>
    <t>DLV178-2804</t>
  </si>
  <si>
    <t>29-04-2015</t>
  </si>
  <si>
    <t>DLV173-2904</t>
  </si>
  <si>
    <t>RICOH INDI L</t>
  </si>
  <si>
    <t>30-04-2015</t>
  </si>
  <si>
    <t>28-04-2015</t>
  </si>
  <si>
    <t>27-04-2015</t>
  </si>
  <si>
    <t>DLV758-3004</t>
  </si>
  <si>
    <t>CALL &amp; TRADE CHARGES 28-04-2015</t>
  </si>
  <si>
    <t>JV7-2904</t>
  </si>
  <si>
    <t>DLV174-3004</t>
  </si>
  <si>
    <t>DLV800-0605</t>
  </si>
  <si>
    <t>07-05-2015</t>
  </si>
  <si>
    <t>DLV831-1105</t>
  </si>
  <si>
    <t>Payment Receved ICICI Bank 0760005719</t>
  </si>
  <si>
    <t>TC-Monthly-07052015</t>
  </si>
  <si>
    <t>SOFTWARE MAINTENANCE CHARGES - 
07-05-2015 - 06-06-2015</t>
  </si>
  <si>
    <t>12-05-2015</t>
  </si>
  <si>
    <t>DLV176-1205</t>
  </si>
  <si>
    <t>REPRO</t>
  </si>
  <si>
    <t>DLV169-1405</t>
  </si>
  <si>
    <t>08-05-2015</t>
  </si>
  <si>
    <t>14-05-2015</t>
  </si>
  <si>
    <t>DLV173-1805</t>
  </si>
  <si>
    <t>18-05-2015</t>
  </si>
  <si>
    <t>DLV179-2005</t>
  </si>
  <si>
    <t>DLV771-2005</t>
  </si>
  <si>
    <t>19-05-2015</t>
  </si>
  <si>
    <t>SOFTWARE MAINTENANCE CHARGES - 
19-05-2015 - 18-06-2015</t>
  </si>
  <si>
    <t>15-05-2015</t>
  </si>
  <si>
    <t>DLV803-2105</t>
  </si>
  <si>
    <t>DLV165-2105</t>
  </si>
  <si>
    <t>25-05-2015</t>
  </si>
  <si>
    <t>22-05-2015</t>
  </si>
  <si>
    <t>ADANIPORTS</t>
  </si>
  <si>
    <t>DLV178-2605</t>
  </si>
  <si>
    <t>DLV159-2705</t>
  </si>
  <si>
    <t>28-05-2015</t>
  </si>
  <si>
    <t>DLV177-0106</t>
  </si>
  <si>
    <t>29-05-2015</t>
  </si>
  <si>
    <t>DLV180-0206</t>
  </si>
  <si>
    <t>01-06-2015</t>
  </si>
  <si>
    <t>02-06-2015</t>
  </si>
  <si>
    <t>DLV178-0406</t>
  </si>
  <si>
    <t>DLV167-0306</t>
  </si>
  <si>
    <t>05-06-2015</t>
  </si>
  <si>
    <t>TRANSPORT CORPN OF INDIA</t>
  </si>
  <si>
    <t>DLV167-0906</t>
  </si>
  <si>
    <t>GOODRICK GRP</t>
  </si>
  <si>
    <t>DLV744-0906</t>
  </si>
  <si>
    <t>06-06-2015</t>
  </si>
  <si>
    <t>07-06-2015</t>
  </si>
  <si>
    <t>TC-Monthly-07062015</t>
  </si>
  <si>
    <t>SOFTWARE MAINTENANCE CHARGES - 
07-06-2015 - 07-07-2015</t>
  </si>
  <si>
    <t>10-06-2015</t>
  </si>
  <si>
    <t>SAREGAMA INDIA LIMITED</t>
  </si>
  <si>
    <t>DLV147-1206</t>
  </si>
  <si>
    <t>DLV695-1206</t>
  </si>
  <si>
    <t>15-06-2015</t>
  </si>
  <si>
    <t>DLV155-1706</t>
  </si>
  <si>
    <t>16-06-2015</t>
  </si>
  <si>
    <t>DLV143-1806</t>
  </si>
  <si>
    <t>19-06-2015</t>
  </si>
  <si>
    <t>SUNPHARMA</t>
  </si>
  <si>
    <t>DLV163-2306</t>
  </si>
  <si>
    <t>SOFTWARE MAINTENANCE CHARGES - 
19-06-2015 - 19-07-2015</t>
  </si>
  <si>
    <t>22-06-2015</t>
  </si>
  <si>
    <t>DLV159-2406</t>
  </si>
  <si>
    <t>DLV775-2406</t>
  </si>
  <si>
    <t>24-06-2015</t>
  </si>
  <si>
    <t>DLV765-2606</t>
  </si>
  <si>
    <t>JBCHEPHARM</t>
  </si>
  <si>
    <t>DLV158-2606</t>
  </si>
  <si>
    <t>25-06-2015</t>
  </si>
  <si>
    <t>JAICORPLTD</t>
  </si>
  <si>
    <t>DLV244-2906</t>
  </si>
  <si>
    <t>26-06-2015</t>
  </si>
  <si>
    <t>DLV167-3006</t>
  </si>
  <si>
    <t>30-06-2015</t>
  </si>
  <si>
    <t>5-06-2015</t>
  </si>
  <si>
    <t>JV18-2506</t>
  </si>
  <si>
    <t>6-06-2015</t>
  </si>
  <si>
    <t>Payment Receved ICICI Bank 0789903881</t>
  </si>
  <si>
    <t>OPTSTKJPASSOCIAT30JUL2015</t>
  </si>
  <si>
    <t>OPTDLY/I71662-2606</t>
  </si>
  <si>
    <t>DLV743-3006</t>
  </si>
  <si>
    <t>29-06-2015</t>
  </si>
  <si>
    <t>DLV150-0107</t>
  </si>
  <si>
    <t>DLV1711-0207</t>
  </si>
  <si>
    <t>Payment Receved ICICI Bank 0791525420</t>
  </si>
  <si>
    <t>03-07-2015</t>
  </si>
  <si>
    <t>KSCL</t>
  </si>
  <si>
    <t>DLV179-0607</t>
  </si>
  <si>
    <t>Payment Receved ICICI Bank 0794340317</t>
  </si>
  <si>
    <t>07-07-2015</t>
  </si>
  <si>
    <t>TC-Monthly-07072015</t>
  </si>
  <si>
    <t>DLV175-0807</t>
  </si>
  <si>
    <t>06-07-2015</t>
  </si>
  <si>
    <t>DLV198-0907</t>
  </si>
  <si>
    <t>08-07-2015</t>
  </si>
  <si>
    <t>DLV197-1007</t>
  </si>
  <si>
    <t>09-07-2015</t>
  </si>
  <si>
    <t>DLV187-1307</t>
  </si>
  <si>
    <t>Payment Receved ICICI Bank 0797302982</t>
  </si>
  <si>
    <t>CALL &amp; TRADE CHARGES FOR 25/06/2015-I71662</t>
  </si>
  <si>
    <t>CALL &amp; TRADE CHARGES FOR 25/06/2015-I716662</t>
  </si>
  <si>
    <t>JV19-0907</t>
  </si>
  <si>
    <t>CALL &amp; TRADE CHARGES FOR 09/07/2015-I71662</t>
  </si>
  <si>
    <t>10-07-2015</t>
  </si>
  <si>
    <t>RAYMOND</t>
  </si>
  <si>
    <t>DLV181-1407</t>
  </si>
  <si>
    <t>13-07-2015</t>
  </si>
  <si>
    <t>DLV185-1507</t>
  </si>
  <si>
    <t>15-07-2015</t>
  </si>
  <si>
    <t>14-07-2015</t>
  </si>
  <si>
    <t>DLV185-1607</t>
  </si>
  <si>
    <t>DLV180-1707</t>
  </si>
  <si>
    <t>Payment Receved ICICI Bank 0800683470</t>
  </si>
  <si>
    <t>Payment Receved ICICI Bank 0801097850</t>
  </si>
  <si>
    <t>JV32-1307</t>
  </si>
  <si>
    <t>CALL &amp; TRADE CHARGES FOR 13/07/2015-I71662</t>
  </si>
  <si>
    <t>19-07-2015</t>
  </si>
  <si>
    <t>SOFTWARE MAINTENANCE CHARGES - 
19-07-2015 - 18-08-2015</t>
  </si>
  <si>
    <t>17-07-2015</t>
  </si>
  <si>
    <t>DLV136-2107</t>
  </si>
  <si>
    <t>24-07-2015</t>
  </si>
  <si>
    <t>DLV149-2807</t>
  </si>
  <si>
    <t>22-07-2015</t>
  </si>
  <si>
    <t>FUND TRFD TO ICICI BANK</t>
  </si>
  <si>
    <t>SOFTWARE MAINTENANCE CHARGES - 
07-07-2015 - 06-08-2015</t>
  </si>
  <si>
    <t>29-07-2015</t>
  </si>
  <si>
    <t>Payment Receved ICICI Bank 0807569526</t>
  </si>
  <si>
    <t>31-07-2015</t>
  </si>
  <si>
    <t>FUND TRF THROUGH NEFT</t>
  </si>
  <si>
    <t>(Actual Value Ref.: 73.56 )</t>
  </si>
  <si>
    <t>3-Aug-2015</t>
  </si>
  <si>
    <t>Zerodha A/C</t>
  </si>
  <si>
    <t>RKG Net P/L Till FY16:</t>
  </si>
  <si>
    <t>Curr FY16 P/L:</t>
  </si>
  <si>
    <t>Curr FY P/L:</t>
  </si>
  <si>
    <t>TV18 BROADCAST LIMITED-INE886H01027</t>
  </si>
  <si>
    <t>29/07/2015</t>
  </si>
  <si>
    <t>EQ</t>
  </si>
  <si>
    <t>Being amount received from TNDA5932-ANBUMARAN C-0807592154 through NEST Payment Gateway</t>
  </si>
  <si>
    <t>Turnover Chrgs</t>
  </si>
  <si>
    <t>Being Payment Gateway Charges Debited - TNDA5932</t>
  </si>
  <si>
    <t>Maintenance Charges</t>
  </si>
  <si>
    <t>04/08/2015</t>
  </si>
  <si>
    <t>BANKNIFTY OPTIDX/18,700.00/27 Aug 2015 (PE)</t>
  </si>
  <si>
    <t>Contract Note</t>
  </si>
  <si>
    <t>Stamp Chrgs</t>
  </si>
  <si>
    <t>SEBI Chrgs</t>
  </si>
  <si>
    <t>Realized P/L Zerodha A/C (FY16):</t>
  </si>
  <si>
    <t>HCLTECH OPTSTK/980.00/27 Aug 2015 (CE)</t>
  </si>
  <si>
    <t>06/08/2015</t>
  </si>
  <si>
    <t>KTKBANK OPTSTK/140.00/27 Aug 2015 (CE)</t>
  </si>
  <si>
    <t>05/08/2015</t>
  </si>
  <si>
    <t>07/08/2015</t>
  </si>
  <si>
    <t>DP Charges for 05/08/2015</t>
  </si>
  <si>
    <t>Backoff Adjust</t>
  </si>
  <si>
    <t>10/08/2015</t>
  </si>
  <si>
    <t>BANKNIFTY OPTIDX/18,800.00/27 Aug 2015 (PE)</t>
  </si>
  <si>
    <t>11/08/2015</t>
  </si>
  <si>
    <t>12/08/2015</t>
  </si>
  <si>
    <t>DLF OPTSTK/125.00/27 Aug 2015 (CE)</t>
  </si>
  <si>
    <t>13/08/2015</t>
  </si>
  <si>
    <t>NIFTY OPTIDX/8,500.00/27 Aug 2015 (CE)</t>
  </si>
  <si>
    <t>14/08/2015</t>
  </si>
  <si>
    <t>ADANIPORTS OPTSTK/360.00/27 Aug 2015 (CE)</t>
  </si>
  <si>
    <t>17/08/2015</t>
  </si>
  <si>
    <t>YESBANK OPTSTK/780.00/27 Aug 2015 (PE)</t>
  </si>
  <si>
    <t>18/08/2015</t>
  </si>
  <si>
    <t>Being amount received from TNDA5932-ANBUMARAN C-0818615972 through NEST Payment Gateway</t>
  </si>
  <si>
    <t>Being amount received from TNDA5932-ANBUMARAN C-0818624320 through NEST Payment Gateway</t>
  </si>
  <si>
    <t>IDFC OPTSTK/145.00/27 Aug 2015 (CE)</t>
  </si>
  <si>
    <t>19/08/2015</t>
  </si>
  <si>
    <t>HCLTECH OPTSTK/1,000.00/27 Aug 2015 (CE)</t>
  </si>
  <si>
    <t>20/08/2015</t>
  </si>
  <si>
    <t>IDFC OPTSTK/140.00/27 Aug 2015 (CE)</t>
  </si>
  <si>
    <t>NIFTY OPTIDX/8,400.00/27 Aug 2015 (PE)</t>
  </si>
  <si>
    <t>21/08/2015</t>
  </si>
  <si>
    <t>NIFTY OPTIDX/8,300.00/27 Aug 2015 (CE)</t>
  </si>
  <si>
    <t>24/08/2015</t>
  </si>
  <si>
    <t>Being amount received from TNDA5932-ANBUMARAN C-0821285021 through NEST Payment Gateway</t>
  </si>
  <si>
    <t>PAYOUT OF FUNDS TO ICICI BANK  
27501000847  A/C NUMBER AS PER WITHDRAWAL REQUEST MADE</t>
  </si>
  <si>
    <t>NIFTY OPTIDX/8,100.00/27 Aug 2015 (CE)</t>
  </si>
  <si>
    <t>SUNPHARMA OPTSTK/880.00/27 Aug 2015 (PE)</t>
  </si>
  <si>
    <t>25/08/2015</t>
  </si>
  <si>
    <t>Being amount received from TNDA5932-ANBUMARAN C-0822041040 through NEST Payment Gateway</t>
  </si>
  <si>
    <t>IBULHSGFIN OPTSTK/740.00/27 Aug 2015 (PE)</t>
  </si>
  <si>
    <t>26/08/2015</t>
  </si>
  <si>
    <t>27/08/2015</t>
  </si>
  <si>
    <t>NIFTY OPTIDX/7,900.00/27 Aug 2015 (CE)</t>
  </si>
  <si>
    <t>NIFTY OPTIDX/7,950.00/27 Aug 2015 (CE)</t>
  </si>
  <si>
    <t>28/08/2015</t>
  </si>
  <si>
    <t>MARUTI OPTSTK/4,500.00/24 Sep 2015 (CE)</t>
  </si>
  <si>
    <t>31/08/2015</t>
  </si>
  <si>
    <t>HDIL OPTSTK/70.00/24 Sep 2015 (CE)</t>
  </si>
  <si>
    <t>NIFTY OPTIDX/7,800.00/24 Sep 2015 (PE)</t>
  </si>
  <si>
    <t>SUNTV OPTSTK/300.00/24 Sep 2015 (PE)</t>
  </si>
  <si>
    <t>Being amount received from TNDA5932-ANBUMARAN C-0824958948 through NEST Payment Gateway</t>
  </si>
  <si>
    <t>Being amount received from TNDA5932-ANBUMARAN C-0824967619 through NEST Payment Gateway</t>
  </si>
  <si>
    <t>Being amount received from TNDA5932-ANBUMARAN C-0824611060 through NEST Payment Gateway</t>
  </si>
  <si>
    <t>Being amount received from TNDA5932-ANBUMARAN C-0824619411 through NEST Payment Gateway</t>
  </si>
  <si>
    <t>Being amount received from TNDA5932-ANBUMARAN C-0824813439 through NEST Payment Gateway</t>
  </si>
  <si>
    <t>Being amount received from TNDA5932-ANBUMARAN C-0824821555 through NEST Payment Gateway</t>
  </si>
  <si>
    <t>01/09/2015</t>
  </si>
  <si>
    <t>BANKBARODA OPTSTK/165.00/24 Sep 2015 (PE)</t>
  </si>
  <si>
    <t>NHPC OPTSTK/17.50/24 Sep 2015 (CE)</t>
  </si>
  <si>
    <t>02/09/2015</t>
  </si>
  <si>
    <t>04/09/2015</t>
  </si>
  <si>
    <t>Being amount received from TNDA5932-ANBUMARAN C-0828293874 through NEST Payment Gateway</t>
  </si>
  <si>
    <t>Being amount received from TNDA5932-ANBUMARAN C-0828244263 through NEST Payment Gateway</t>
  </si>
  <si>
    <t>03/09/2015</t>
  </si>
  <si>
    <t>Being amount received from TNDA5932-ANBUMARAN C-0827369370 through NEST Payment Gateway</t>
  </si>
  <si>
    <t>Being amount received from TNDA5932-ANBUMARAN C-0827590210 through NEST Payment Gateway</t>
  </si>
  <si>
    <t>PAYOUT OF FUNDS TO ICICI BANK 027501000847 A/C NUMBER AS PER WITHDRAWAL REQUEST MADE</t>
  </si>
  <si>
    <t>BANKBARODA OPTSTK/160.00/24 Sep 2015 (PE)</t>
  </si>
  <si>
    <t>BANKNIFTY OPTIDX/17,500.00/24 Sep 2015 (CE)</t>
  </si>
  <si>
    <t>IBULHSGFIN OPTSTK/680.00/24 Sep 2015 (PE)</t>
  </si>
  <si>
    <t>TATASTEEL OPTSTK/250.00/24 Sep 2015 (CE)</t>
  </si>
  <si>
    <t>BANKBARODA OPTSTK/150.00/24 Sep 2015 (PE)</t>
  </si>
  <si>
    <t>LUPIN OPTSTK/1,750.00/24 Sep 2015 (PE)</t>
  </si>
  <si>
    <t>Unrealized:</t>
  </si>
  <si>
    <t>Curr. Value</t>
  </si>
  <si>
    <t>07/09/2015</t>
  </si>
  <si>
    <t>ASHOKLEY OPTSTK/75.00/24 Sep 2015 (PE)</t>
  </si>
  <si>
    <t>Being amount received from TNDA5932-ANBUMARAN C-0829607034 through NEST Payment Gateway</t>
  </si>
  <si>
    <t>08/09/2015</t>
  </si>
  <si>
    <t>Being amount received from TNDA5932-ANBUMARAN C-0830538972 through NEST Payment Gateway</t>
  </si>
  <si>
    <t>09/09/2015</t>
  </si>
  <si>
    <t>ADANIPORTS OPTSTK/300.00/24 Sep 2015 (PE)</t>
  </si>
  <si>
    <t>NIFTY OPTIDX/7,500.00/24 Sep 2015 (PE)</t>
  </si>
  <si>
    <t>Being amount received from TNDA5932-ANBUMARAN C-0830924433 through NEST Payment Gateway</t>
  </si>
  <si>
    <t>10/09/2015</t>
  </si>
  <si>
    <t>BANKNIFTY OPTIDX/17,100.00/24 Sep 2015 (CE)</t>
  </si>
  <si>
    <t>CEATLTD OPTSTK/1,000.00/24 Sep 2015 (PE)</t>
  </si>
  <si>
    <t>Being amount received from TNDA5932-ANBUMARAN C-0831520544 through NEST Payment Gateway</t>
  </si>
  <si>
    <t>11/09/2015</t>
  </si>
  <si>
    <t>ASHOKLEY OPTSTK/95.00/24 Sep 2015 (CE)</t>
  </si>
  <si>
    <t>HDIL OPTSTK/65.00/24 Sep 2015 (CE)</t>
  </si>
  <si>
    <t>MOTHERSUMI OPTSTK/300.00/24 Sep 2015 (CE)</t>
  </si>
  <si>
    <t>YESBANK OPTSTK/680.00/24 Sep 2015 (PE)</t>
  </si>
  <si>
    <t>14/09/2015</t>
  </si>
  <si>
    <t>GLENMARK OPTSTK/1,100.00/24 Sep 2015 (CE)</t>
  </si>
  <si>
    <t>IRB OPTSTK/230.00/24 Sep 2015 (CE)</t>
  </si>
  <si>
    <t>IRB OPTSTK/250.00/24 Sep 2015 (CE)</t>
  </si>
  <si>
    <t>PNB OPTSTK/145.00/24 Sep 2015 (CE)</t>
  </si>
  <si>
    <t>15/09/2015</t>
  </si>
  <si>
    <t>16/09/2015</t>
  </si>
  <si>
    <t>BANKNIFTY OPTIDX/17,700.00/24 Sep 2015 (CE)</t>
  </si>
  <si>
    <t>NIFTY OPTIDX/8,100.00/24 Sep 2015 (CE)</t>
  </si>
  <si>
    <t>Being amount received from TNDA5932-ANBUMARAN C-0834426731 through NEST Payment Gateway</t>
  </si>
  <si>
    <t>Being amount received from TNDA5932-ANBUMARAN C-0834466440 through NEST Payment Gateway</t>
  </si>
  <si>
    <t>Being amount received from TNDA5932-ANBUMARAN C-0834512206 through NEST Payment Gateway</t>
  </si>
  <si>
    <t>Being amount received from TNDA5932-ANBUMARAN C-0834622149 through NEST Payment Gateway</t>
  </si>
  <si>
    <t>Being amount received from TNDA5932-ANBUMARAN C-0834036525 through NEST Payment Gateway</t>
  </si>
  <si>
    <t>21/09/2015</t>
  </si>
  <si>
    <t>Being amount received from TNDA5932-ANBUMARAN C-0836380753 through NEST Payment Gateway</t>
  </si>
  <si>
    <t>Being amount received from TNDA5932-ANBUMARAN C-0836387348 through NEST Payment Gateway</t>
  </si>
  <si>
    <t>22/09/2015</t>
  </si>
  <si>
    <t>23/09/2015</t>
  </si>
  <si>
    <t>Zerodha:</t>
  </si>
  <si>
    <t>TCPL PACKAGING LTD.-INE822C01015</t>
  </si>
  <si>
    <t>09/10/2015</t>
  </si>
  <si>
    <t>Being amount received from TNDA5932-ANBUMARAN C-0846830222 through NEST Payment Gateway</t>
  </si>
  <si>
    <t>16/10/2015</t>
  </si>
  <si>
    <t>20/10/2015</t>
  </si>
  <si>
    <t>21/10/2015</t>
  </si>
  <si>
    <t>DP Charges for 21/10/2015</t>
  </si>
  <si>
    <t>23/10/2015</t>
  </si>
  <si>
    <t>17/12/2015</t>
  </si>
  <si>
    <t>11/12/2015</t>
  </si>
  <si>
    <t>DP Charges for 11/12/2015</t>
  </si>
  <si>
    <t>10/12/2015</t>
  </si>
  <si>
    <t>06/11/2015</t>
  </si>
  <si>
    <t>Being amount received from TNDA5932-ANBUMARAN C-0862193565 through NEST Payment Gateway</t>
  </si>
  <si>
    <t>Being amount received from TNDA5932-ANBUMARAN C-0862198445 through NEST Payment Gateway</t>
  </si>
  <si>
    <t>(Actual Value Ref.: ₹389.15 )</t>
  </si>
  <si>
    <t>31-Mar-2016</t>
  </si>
  <si>
    <t>INFRA LEAS FIN SER LTD  (Zerodha)</t>
  </si>
  <si>
    <t>Trade login ID : DA5932 / Back office ID: TNDA5932</t>
  </si>
  <si>
    <t>DP-ID (NSDL): IN300095 - 12026992</t>
  </si>
  <si>
    <t>Linked ICICI Saving A/C: 027501000847</t>
  </si>
  <si>
    <t>BANKNIFTY/19,700.00/OPTIDX (CE)</t>
  </si>
  <si>
    <t>19-Oct-2016</t>
  </si>
  <si>
    <t>Swach Bharat</t>
  </si>
  <si>
    <t>Krishi Kalyan</t>
  </si>
  <si>
    <t>SEBI Turn Fee</t>
  </si>
  <si>
    <t>Exchan Trans</t>
  </si>
  <si>
    <t>Opening Balance</t>
  </si>
  <si>
    <t>18/10/2016</t>
  </si>
  <si>
    <t>Being amount received from TNDA5932-ANBUMARAN C-1063067093 through NEST Payment Gateway</t>
  </si>
  <si>
    <t>BANKNIFTY/19,100.00/OPTIDX (PE)</t>
  </si>
  <si>
    <t>P/L till FY16 :</t>
  </si>
  <si>
    <t>09-Nov-2016</t>
  </si>
  <si>
    <t>20-Oct-2016</t>
  </si>
  <si>
    <t>24/10/2016</t>
  </si>
  <si>
    <t>Being amount received from TNDA5932-ANBUMARAN C-1066053929 through NEST Payment Gateway</t>
  </si>
  <si>
    <t>Being amount received from TNDA5932-ANBUMARAN C-1066050275 through NEST Payment Gateway</t>
  </si>
  <si>
    <t>BANKNIFTY/20,100.00/OPTIDX (CE)</t>
  </si>
  <si>
    <t>BANKNIFTY/19,500.00/OPTIDX (PE)</t>
  </si>
  <si>
    <t>24-Oct-2016</t>
  </si>
  <si>
    <t>26-Oct-2016</t>
  </si>
  <si>
    <t>27/10/2016</t>
  </si>
  <si>
    <t>Trade login ID : DA5932 / Back office ID: DA5932</t>
  </si>
  <si>
    <t>03-Nov-2016</t>
  </si>
  <si>
    <t>BANKNIFTY/19,500.00/OPTIDX (CE)</t>
  </si>
  <si>
    <t>BANKNIFTY/18,900.00/OPTIDX (PE)</t>
  </si>
  <si>
    <t>07-Nov-2016</t>
  </si>
  <si>
    <t>NIFTY/8,200.00/OPTIDX (PE)</t>
  </si>
  <si>
    <t>NIFTY/8,800.00/OPTIDX (CE)</t>
  </si>
  <si>
    <t>Being amount received from TNDA5932-ANBUMARAN C-1076868645 through NEST Payment Gateway</t>
  </si>
  <si>
    <t>Being amount received from TNDA5932-ANBUMARAN C-1077099568 through NEST Payment Gateway</t>
  </si>
  <si>
    <t>Being amount received from TNDA5932-ANBUMARAN C-1075694813 through NEST Payment Gateway</t>
  </si>
  <si>
    <t>08-Nov-2016</t>
  </si>
  <si>
    <t>02-Nov-2016</t>
  </si>
  <si>
    <t>NIFTY/7,900.00/OPTIDX (PE)</t>
  </si>
  <si>
    <t>Curr. A/C Invest Value:</t>
  </si>
  <si>
    <t>15-Nov-2016</t>
  </si>
  <si>
    <t>Total A/C Invest Value:</t>
  </si>
  <si>
    <t>FY17</t>
  </si>
  <si>
    <t>ZERODHA - INFRA LEAS FIN SER LTD
Trade login ID : DA5932 / Back office ID: TNDA5932
DP-ID (NSDL): IN300095 - 12026992
Linked ICICI Saving A/C: 027501000847</t>
  </si>
  <si>
    <t>A/C Net P/L:</t>
  </si>
  <si>
    <t>Performance:</t>
  </si>
  <si>
    <t>Peak Loss:</t>
  </si>
  <si>
    <t>17/11/2016</t>
  </si>
  <si>
    <t>21-Nov-2016</t>
  </si>
  <si>
    <t>24-Nov-2016</t>
  </si>
  <si>
    <t>BANKNIFTY/18,100.00/OPTIDX (PE)</t>
  </si>
  <si>
    <t>BANKNIFTY/18,800.00/OPTIDX (CE)</t>
  </si>
  <si>
    <t>07-Dec-2016</t>
  </si>
  <si>
    <t>Being amount received from TNDA5932-ANBUMARAN C-1097966649 through NEST Payment Gateway</t>
  </si>
  <si>
    <t>Being amount received from TNDA5932-ANBUMARAN C-1097957863 through NEST Payment Gateway</t>
  </si>
  <si>
    <t>Being amount received from TNDA5932-ANBUMARAN C-1097625048 through NEST Payment Gateway</t>
  </si>
  <si>
    <t>07/12/2016</t>
  </si>
  <si>
    <t>7/12/2016</t>
  </si>
  <si>
    <t>(Actual Value Ref.: ₹489.83 )</t>
  </si>
  <si>
    <t>09-Dec-2016</t>
  </si>
  <si>
    <t>15/05/2017</t>
  </si>
  <si>
    <t>Being amount received from TNDA5932-ANBUMARAN C-1210462369 through NEST Payment Gateway</t>
  </si>
  <si>
    <t xml:space="preserve">15/05/2017  </t>
  </si>
  <si>
    <t xml:space="preserve">Being Payment Gateway Charges Debited - TNDA5932  </t>
  </si>
  <si>
    <t>HCLTECH/860.00/OPTSTK (CE)</t>
  </si>
  <si>
    <t>HDFCBANK/1,560.00/OPTSTK (CE)</t>
  </si>
  <si>
    <t>M&amp;M/1,420.00/OPTSTK (CE)</t>
  </si>
  <si>
    <t>B</t>
  </si>
  <si>
    <t>18/05/2017</t>
  </si>
  <si>
    <t>S</t>
  </si>
  <si>
    <t>INFY/980.00/OPTSTK (CE)</t>
  </si>
  <si>
    <t>FY18</t>
  </si>
  <si>
    <t>FNO - Zerodha  A/C
Profit / Loss</t>
  </si>
  <si>
    <t>Equity - 
Zerodha  A/C
Profit / Loss</t>
  </si>
  <si>
    <t>22/05/2017</t>
  </si>
  <si>
    <t>BANKNIFTY/22,300.00/OPTIDX (PE)</t>
  </si>
  <si>
    <t>RCOM/25.00/OPTSTK (PE) (29/06/2017)</t>
  </si>
  <si>
    <t>23/05/2017</t>
  </si>
  <si>
    <t>24/05/2017</t>
  </si>
  <si>
    <t>RCOM/25.00/OPTSTK (PE)</t>
  </si>
  <si>
    <t>AXISBANK/520.00/OPTSTK (CE)</t>
  </si>
  <si>
    <t>25/05/2017</t>
  </si>
  <si>
    <t>26/05/2017</t>
  </si>
  <si>
    <t xml:space="preserve">HINDZINC/270.00/OPTSTK (CE) </t>
  </si>
  <si>
    <t>P/L till FY17:</t>
  </si>
  <si>
    <t>P/L till FY17 :</t>
  </si>
  <si>
    <t>Tips Raja Stock Views</t>
  </si>
  <si>
    <t>FY19</t>
  </si>
  <si>
    <t>Sweeglu</t>
  </si>
  <si>
    <t>29/05/2017</t>
  </si>
  <si>
    <t>RPOWER/37.50/OPTSTK (PE)</t>
  </si>
  <si>
    <t>30/05/2017</t>
  </si>
  <si>
    <t xml:space="preserve">CANBK/320.00/OPTSTK (PE) </t>
  </si>
  <si>
    <t>IOC/450.00/OPTSTK (CE) (29/06/2017)</t>
  </si>
  <si>
    <t>31/05/2017</t>
  </si>
  <si>
    <t>01/06/2017</t>
  </si>
  <si>
    <t>05/06/2017</t>
  </si>
  <si>
    <t xml:space="preserve">KTKBANK/165.00/OPTSTK (PE) </t>
  </si>
  <si>
    <t>TATAMOTORS/470.00/OPTSTK (PE)</t>
  </si>
  <si>
    <t>06/06/2017</t>
  </si>
  <si>
    <t xml:space="preserve">BANKNIFTY/23,300.00/OPTIDX (PE) </t>
  </si>
  <si>
    <t xml:space="preserve">RELIANCE/1,360.00/OPTSTK (CE) </t>
  </si>
  <si>
    <t>07/06/2017</t>
  </si>
  <si>
    <t xml:space="preserve">HCLTECH/900.00/OPTSTK (CE) </t>
  </si>
  <si>
    <t>08/06/2017</t>
  </si>
  <si>
    <t xml:space="preserve">LUPIN/1,220.00/OPTSTK (CE) </t>
  </si>
  <si>
    <t xml:space="preserve">TATASTEEL/530.00/OPTSTK (CE) </t>
  </si>
  <si>
    <t>09/06/2017</t>
  </si>
  <si>
    <t xml:space="preserve">BAJFINANCE/1,300.00/OPTSTK (PE) </t>
  </si>
  <si>
    <t>HCLTECH/900.00/OPTSTK (CE)</t>
  </si>
  <si>
    <t>NIFTY/9,500.00/OPTIDX (PE)</t>
  </si>
  <si>
    <t>12/06/2017</t>
  </si>
  <si>
    <t xml:space="preserve">BANKNIFTY/23,400.00/OPTIDX (PE) </t>
  </si>
  <si>
    <t>13/06/2017</t>
  </si>
  <si>
    <t>BANKNIFTY/23,400.00/OPTIDX (PE)</t>
  </si>
  <si>
    <t>CGPOWER/80.00/OPTSTK (PE)</t>
  </si>
  <si>
    <t>14/06/2017</t>
  </si>
  <si>
    <t>BANKNIFTY/23,400.00/OPTIDX (CE)</t>
  </si>
  <si>
    <t xml:space="preserve">HINDZINC/260.00/OPTSTK (CE) </t>
  </si>
  <si>
    <t>TATAMOTORS/460.00/OPTSTK (CE)</t>
  </si>
  <si>
    <t>YESBANK/1,420.00/OPTSTK (PE)</t>
  </si>
  <si>
    <t>15/06/2017</t>
  </si>
  <si>
    <t>BAJFINANCE/1,350.00/OPTSTK (PE)</t>
  </si>
  <si>
    <t xml:space="preserve">TATAMOTORS/460.00/OPTSTK (CE) </t>
  </si>
  <si>
    <t xml:space="preserve">YESBANK/1,420.00/OPTSTK (PE) </t>
  </si>
  <si>
    <t>LUPIN/1,220.00/OPTSTK (CE)</t>
  </si>
  <si>
    <t xml:space="preserve">HAVELLS/470.00/OPTSTK (PE) </t>
  </si>
  <si>
    <t xml:space="preserve">INDUSINDBK/1,480.00/OPTSTK (PE) </t>
  </si>
  <si>
    <t xml:space="preserve">ITC/295.00/OPTSTK (PE) </t>
  </si>
  <si>
    <t>ITC/295.00/OPTSTK (PE)</t>
  </si>
  <si>
    <t>16/06/2017</t>
  </si>
  <si>
    <t>19/06/2017</t>
  </si>
  <si>
    <t xml:space="preserve">NIFTY/9,750.00/OPTIDX (CE) </t>
  </si>
  <si>
    <t>20/06/2017</t>
  </si>
  <si>
    <t xml:space="preserve">TATAPOWER/85.00/OPTSTK (CE) </t>
  </si>
  <si>
    <t>21/06/2017</t>
  </si>
  <si>
    <t xml:space="preserve">BANKNIFTY/23,700.00/OPTIDX (PE) </t>
  </si>
  <si>
    <t>DIVISLAB/650.00/OPTSTK (PE)</t>
  </si>
  <si>
    <t>PFC/130.00/OPTSTK (PE)</t>
  </si>
  <si>
    <t>23/06/2017</t>
  </si>
  <si>
    <t>AMBUJACEM/250.00/OPTSTK (CE)</t>
  </si>
  <si>
    <t>22/06/2017</t>
  </si>
  <si>
    <t xml:space="preserve">AMBUJACEM/250.00/OPTSTK (CE) </t>
  </si>
  <si>
    <t>27/06/2017</t>
  </si>
  <si>
    <t xml:space="preserve">IDFC/55.00/OPTSTK (PE) </t>
  </si>
  <si>
    <t>28/06/2017</t>
  </si>
  <si>
    <t>IDFC/55.00/OPTSTK (PE)</t>
  </si>
  <si>
    <t xml:space="preserve">RELIANCE/1,400.00/OPTSTK (PE) </t>
  </si>
  <si>
    <t>30/06/2017</t>
  </si>
  <si>
    <t xml:space="preserve">BANKNIFTY/23,000.00/OPTIDX (PE) </t>
  </si>
  <si>
    <t>03/07/2017</t>
  </si>
  <si>
    <t>BANKNIFTY/23,300.00/OPTIDX (CE)</t>
  </si>
  <si>
    <t>BANKNIFTY/23,100.00/OPTIDX (PE)</t>
  </si>
  <si>
    <t>04/07/2017</t>
  </si>
  <si>
    <t xml:space="preserve">AMBUJACEM/260.00/OPTSTK (CE) </t>
  </si>
  <si>
    <t xml:space="preserve">BANKNIFTY/23,200.00/OPTIDX (PE) </t>
  </si>
  <si>
    <t xml:space="preserve">NIFTY/9,700.00/OPTIDX (CE) </t>
  </si>
  <si>
    <t>RCOM/20.00/OPTSTK (PE)</t>
  </si>
  <si>
    <t xml:space="preserve">BANKNIFTY/23,400.00/OPTIDX (CE) </t>
  </si>
  <si>
    <t xml:space="preserve">FORTIS/145.00/OPTSTK (PE) </t>
  </si>
  <si>
    <t xml:space="preserve">HINDPETRO/530.00/OPTSTK (CE) </t>
  </si>
  <si>
    <t>05/07/2017</t>
  </si>
  <si>
    <t>06/07/2017</t>
  </si>
  <si>
    <t xml:space="preserve">BANKNIFTY/23,500.00/OPTIDX (CE) </t>
  </si>
  <si>
    <t xml:space="preserve">HDFC/1,680.00/OPTSTK (CE) </t>
  </si>
  <si>
    <t>07/07/2017</t>
  </si>
  <si>
    <t xml:space="preserve">JUSTDIAL/340.00/OPTSTK (PE) </t>
  </si>
  <si>
    <t>10/07/2017</t>
  </si>
  <si>
    <t>JUSTDIAL/340.00/OPTSTK (PE)</t>
  </si>
  <si>
    <t>11/07/2017</t>
  </si>
  <si>
    <t xml:space="preserve">CIPLA/570.00/OPTSTK (CE) </t>
  </si>
  <si>
    <t xml:space="preserve"> 18/07/2017</t>
  </si>
  <si>
    <t>CAPF/760.00/OPTSTK (CE)</t>
  </si>
  <si>
    <t>19/07/2017</t>
  </si>
  <si>
    <t xml:space="preserve">HDFCBANK/1,740.00/OPTSTK (CE) </t>
  </si>
  <si>
    <t>ONGC/172.50/OPTSTK (CE)</t>
  </si>
  <si>
    <t>26/07/2017</t>
  </si>
  <si>
    <t xml:space="preserve">ONGC/172.50/OPTSTK (CE) </t>
  </si>
  <si>
    <t>NSE-EQ - Z</t>
  </si>
  <si>
    <t>Being amount received from TNDA5932-1353046470 through NEST Payment Gateway</t>
  </si>
  <si>
    <t>14/12/2017</t>
  </si>
  <si>
    <t xml:space="preserve">NIFTY/9,900.00/OPTIDX (PE) </t>
  </si>
  <si>
    <t>NIFTY/10,500.00/OPTIDX (CE)</t>
  </si>
  <si>
    <t>Being amount received from TNDA5932-1355194397 through NEST Payment Gateway</t>
  </si>
  <si>
    <t>18/12/2017</t>
  </si>
  <si>
    <t>Flying Calls</t>
  </si>
  <si>
    <t>Moneycontrol</t>
  </si>
  <si>
    <t>20/12/2017</t>
  </si>
  <si>
    <t>21/12/2017</t>
  </si>
  <si>
    <t>Being amount received from TNDA5932-1357100426 through NEST Payment Gateway</t>
  </si>
  <si>
    <t xml:space="preserve"> 28/12/2017</t>
  </si>
  <si>
    <t>NIFTY/10,000.00/OPTIDX (PE)</t>
  </si>
  <si>
    <t xml:space="preserve">NIFTY/10,000.00/OPTIDX (PE) </t>
  </si>
  <si>
    <t>03/01/2018</t>
  </si>
  <si>
    <t>Being amount received from TNDA5932-1370796948 through NEST Payment Gateway</t>
  </si>
  <si>
    <t>Being amount received from TNDA5932-1365251210 through NEST Payment Gateway</t>
  </si>
  <si>
    <t>Being amount received from TNDA5932-1360944962 through NEST Payment Gateway</t>
  </si>
  <si>
    <t>10/01/2018</t>
  </si>
  <si>
    <t xml:space="preserve">NIFTY/10,300.00/OPTIDX (PE) </t>
  </si>
  <si>
    <t>Being amount received from TNDA5932-1373947739 through NEST Payment Gateway</t>
  </si>
  <si>
    <t>Being amount received from TNDA5932-1372514808 through NEST Payment Gateway</t>
  </si>
  <si>
    <t>12/01/2018</t>
  </si>
  <si>
    <t>NIFTY/10,300.00/OPTIDX (PE)</t>
  </si>
  <si>
    <t>NIFTY/10,700.00/OPTIDX (PE)</t>
  </si>
  <si>
    <t>15/01/2018</t>
  </si>
  <si>
    <t>Being amount received from TNDA5932-1378498025 through NEST Payment Gateway</t>
  </si>
  <si>
    <t>NSE-F&amp;O - Z</t>
  </si>
  <si>
    <t>Call and Trade Charges for 30/01/2018</t>
  </si>
  <si>
    <t>NIFTY/10,800.00/OPTIDX (PE)</t>
  </si>
  <si>
    <t>30/01/2018</t>
  </si>
  <si>
    <t>23/01/2018</t>
  </si>
  <si>
    <t>31/01/2018</t>
  </si>
  <si>
    <t>Being amount received from TNDA5932-1384147631 through NEST Payment Gateway</t>
  </si>
  <si>
    <t>01/02/2018</t>
  </si>
  <si>
    <t>Being amount received from TNDA5932-1387802730 through NEST Payment Gateway</t>
  </si>
  <si>
    <t>Being amount received from TNDA5932-1388039984 through NEST Payment Gateway</t>
  </si>
  <si>
    <t>02/02/2018</t>
  </si>
  <si>
    <t>06/02/2018</t>
  </si>
  <si>
    <t>08/02/2018</t>
  </si>
  <si>
    <t>Being amount received from TNDA5932-1389782081 through NEST Payment Gateway</t>
  </si>
  <si>
    <t>Being amount received from TNDA5932-1393521636 through NEST Payment Gateway</t>
  </si>
  <si>
    <t>09/02/2018</t>
  </si>
  <si>
    <t>14/02/2018</t>
  </si>
  <si>
    <t>15/02/2018</t>
  </si>
  <si>
    <t>NIFTY/10,800.00/OPTIDX (CE)</t>
  </si>
  <si>
    <t>Being amount received from TNDA5932-1396143497 through NEST Payment Gateway</t>
  </si>
  <si>
    <t>Being amount received from TNDA5932-1396041465 through NEST Payment Gateway</t>
  </si>
  <si>
    <t>16/02/2018</t>
  </si>
  <si>
    <t>19/02/2018</t>
  </si>
  <si>
    <t>Being amount received from TNDA5932-1396646722 through NEST Payment Gateway</t>
  </si>
  <si>
    <t>Being amount received from TNDA5932-1396265699 through NEST Payment Gateway</t>
  </si>
  <si>
    <t>20/02/2018</t>
  </si>
  <si>
    <t>21/02/2018</t>
  </si>
  <si>
    <t xml:space="preserve">NIFTY/10,800.00/OPTIDX (CE) </t>
  </si>
  <si>
    <t xml:space="preserve">NIFTY/10,500.00/OPTIDX (CE) </t>
  </si>
  <si>
    <t>23/02/2018</t>
  </si>
  <si>
    <t>Being amount received from TNDA5932-1401398811 through NEST Payment Gateway</t>
  </si>
  <si>
    <t>Being amount received from TNDA5932-1398388083 through NEST Payment Gateway</t>
  </si>
  <si>
    <t>Being amount received from TNDA5932-1398380456 through NEST Payment Gateway</t>
  </si>
  <si>
    <t>Being amount received from TNDA5932-1397425960 through NEST Payment Gateway</t>
  </si>
  <si>
    <t>28/02/2018</t>
  </si>
  <si>
    <t xml:space="preserve">NIFTY/10,400.00/OPTIDX (PE) </t>
  </si>
  <si>
    <t>01/03/2018</t>
  </si>
  <si>
    <t>05/03/2018</t>
  </si>
  <si>
    <t>Being amount received from TNDA5932-1406916839 through NEST Payment Gateway</t>
  </si>
  <si>
    <t>Being amount received from TNDA5932-1405456280 through NEST Payment Gateway</t>
  </si>
  <si>
    <t>Being amount received from TNDA5932-1405461596 through NEST Payment Gateway</t>
  </si>
  <si>
    <t>Being amount received from TNDA5932-1402158769 through NEST Payment Gateway</t>
  </si>
  <si>
    <t>Being amount received from TNDA5932-1402161427 through NEST Payment Gateway</t>
  </si>
  <si>
    <t xml:space="preserve"> 07/03/2018</t>
  </si>
  <si>
    <t xml:space="preserve">NIFTY/10,700.00/OPTIDX (CE) </t>
  </si>
  <si>
    <t>Being amount received from TNDA5932-1408436904 through NEST Payment Gateway</t>
  </si>
  <si>
    <t>Being amount received from TNDA5932-1408424110 through NEST Payment Gateway</t>
  </si>
  <si>
    <t>Being amount received from TNDA5932-1407075137 through NEST Payment Gateway</t>
  </si>
  <si>
    <t>Being amount received from TNDA5932-1406915262 through NEST Payment Gateway</t>
  </si>
  <si>
    <t>Being amount received from TNDA5932-1407146622 through NEST Payment Gateway</t>
  </si>
  <si>
    <t>09/03/2018</t>
  </si>
  <si>
    <t>Being amount received from TNDA5932-1410203346 through NEST Payment Gateway</t>
  </si>
  <si>
    <t>Being amount received from TNDA5932-1410436438 through NEST Payment Gateway</t>
  </si>
  <si>
    <t xml:space="preserve"> 12/03/2018</t>
  </si>
  <si>
    <t xml:space="preserve">NIFTY/10,600.00/OPTIDX (CE) </t>
  </si>
  <si>
    <t>14/03/2018</t>
  </si>
  <si>
    <t>Being amount received from TNDA5932-1414890103 through NEST Payment Gateway</t>
  </si>
  <si>
    <t>Being amount received from TNDA5932-1411983837 through NEST Payment Gateway</t>
  </si>
  <si>
    <t>Being amount received from TNDA5932-1411948162 through NEST Payment Gateway</t>
  </si>
  <si>
    <t xml:space="preserve"> 16/03/2018</t>
  </si>
  <si>
    <t xml:space="preserve"> 19/03/2018</t>
  </si>
  <si>
    <t>Being amount received from TNDA5932-1416134633 through NEST Payment Gateway</t>
  </si>
  <si>
    <t>Being amount received from TNDA5932-1415528862 through NEST Payment Gateway</t>
  </si>
  <si>
    <t>20/03/2018</t>
  </si>
  <si>
    <t>Being amount received from TNDA5932-1416638063 through NEST Payment Gateway</t>
  </si>
  <si>
    <t>21/03/2018</t>
  </si>
  <si>
    <t>22/03/2018</t>
  </si>
  <si>
    <t>Being amount received from TNDA5932-1418669189 through NEST Payment Gateway</t>
  </si>
  <si>
    <t>Being amount received from TNDA5932-1417322966 through NEST Payment Gateway</t>
  </si>
  <si>
    <t>Being amount received from TNDA5932-1417167720 through NEST Payment Gateway</t>
  </si>
  <si>
    <t>23/03/2018</t>
  </si>
  <si>
    <t>26/03/2018</t>
  </si>
  <si>
    <t>27/03/2018</t>
  </si>
  <si>
    <t>28/03/2018</t>
  </si>
  <si>
    <t>(Actual Value Ref.: ₹1,00,664.75 )</t>
  </si>
  <si>
    <t>31-03-2018</t>
  </si>
  <si>
    <t>Lorry Loss:</t>
  </si>
  <si>
    <t>Truck Buy Price</t>
  </si>
  <si>
    <t>Truck Milage:</t>
  </si>
  <si>
    <t>Sand - Renganathan</t>
  </si>
  <si>
    <t>Broker</t>
  </si>
  <si>
    <t>Batch license:</t>
  </si>
  <si>
    <t>Sand - Santh</t>
  </si>
  <si>
    <t>Diesal</t>
  </si>
  <si>
    <t>Sand - Amma</t>
  </si>
  <si>
    <t>Driver Gopi to Kanchi</t>
  </si>
  <si>
    <t>Sand - Narayanan</t>
  </si>
  <si>
    <t>Oil Service</t>
  </si>
  <si>
    <t>Koyambadu - Sand Cancel</t>
  </si>
  <si>
    <t>Oil Service - Labour</t>
  </si>
  <si>
    <t>Service1:</t>
  </si>
  <si>
    <t>Amaron Battery</t>
  </si>
  <si>
    <t>Electrical Works</t>
  </si>
  <si>
    <t>Electrical Works - Labour</t>
  </si>
  <si>
    <t>Battery Lock ++</t>
  </si>
  <si>
    <t>Electrical:</t>
  </si>
  <si>
    <t>Body Work Sheet Material</t>
  </si>
  <si>
    <t>Add Sheet</t>
  </si>
  <si>
    <t>Extra wood</t>
  </si>
  <si>
    <t>Body Work Labour</t>
  </si>
  <si>
    <t>Sheet Curtting Charge</t>
  </si>
  <si>
    <t>Discount waste sheet</t>
  </si>
  <si>
    <t>Paint</t>
  </si>
  <si>
    <t>Driver - Chennai &amp; Vellor</t>
  </si>
  <si>
    <t>Body Works</t>
  </si>
  <si>
    <t>Dirver Kanchi to Chennai</t>
  </si>
  <si>
    <t>Dirver - Local works</t>
  </si>
  <si>
    <t>Diesal Misc Expenses:</t>
  </si>
  <si>
    <t>RTO Charges</t>
  </si>
  <si>
    <t>Tax</t>
  </si>
  <si>
    <t>Speed Governor</t>
  </si>
  <si>
    <t>RTO Charges:</t>
  </si>
  <si>
    <t>Car Diesel</t>
  </si>
  <si>
    <t>Driver</t>
  </si>
  <si>
    <t>Stricker</t>
  </si>
  <si>
    <t>Spare Tire cable +  Cupboard</t>
  </si>
  <si>
    <t>Insurance</t>
  </si>
  <si>
    <t>Spare Tire</t>
  </si>
  <si>
    <t>Extra</t>
  </si>
  <si>
    <t>Name plate works</t>
  </si>
  <si>
    <t>Misc Expenses:</t>
  </si>
  <si>
    <t>Kattu Spring work - Material</t>
  </si>
  <si>
    <t>Kattu Spring work - Labour</t>
  </si>
  <si>
    <t>Kattu Spring :</t>
  </si>
  <si>
    <t>Service Spares - Kanchi</t>
  </si>
  <si>
    <t>Service Spares - Chennai</t>
  </si>
  <si>
    <t>Service Labour Charges</t>
  </si>
  <si>
    <t>Service2:</t>
  </si>
  <si>
    <t>Rope</t>
  </si>
  <si>
    <t>Body Build</t>
  </si>
  <si>
    <t>Body Build HiTech:</t>
  </si>
  <si>
    <t>TBD</t>
  </si>
  <si>
    <t>Gopi - Lorry Buy Brokerage</t>
  </si>
  <si>
    <t>Lorry Sales</t>
  </si>
  <si>
    <t>Expenses:</t>
  </si>
  <si>
    <t>Income:</t>
  </si>
  <si>
    <t>P/L :</t>
  </si>
  <si>
    <t>Nifty-11000-PE</t>
  </si>
  <si>
    <t>Nifty-10800-PE</t>
  </si>
  <si>
    <t>Soldout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</si>
</sst>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409]d\-mmm\-yy;@"/>
    <numFmt numFmtId="165" formatCode="dd/mm/yyyy;@"/>
    <numFmt numFmtId="166" formatCode="dd\-mm\-yyyy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16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sz val="9.5"/>
      <color indexed="8"/>
      <name val="Arial"/>
      <family val="2"/>
    </font>
    <font>
      <sz val="9.5"/>
      <name val="Arial"/>
      <family val="2"/>
    </font>
    <font>
      <b/>
      <sz val="9.5"/>
      <name val="Arial"/>
      <family val="2"/>
    </font>
    <font>
      <b/>
      <sz val="9.5"/>
      <color indexed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b/>
      <i/>
      <sz val="10"/>
      <color indexed="12"/>
      <name val="Arial"/>
      <family val="2"/>
    </font>
    <font>
      <sz val="10"/>
      <color indexed="9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9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2">
    <xf numFmtId="0" fontId="0" fillId="0" borderId="0"/>
    <xf numFmtId="0" fontId="14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39" fillId="0" borderId="0"/>
    <xf numFmtId="0" fontId="40" fillId="0" borderId="0"/>
    <xf numFmtId="0" fontId="11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11" fillId="0" borderId="0">
      <alignment vertical="center"/>
    </xf>
    <xf numFmtId="9" fontId="8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10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center" vertical="center"/>
    </xf>
    <xf numFmtId="15" fontId="13" fillId="2" borderId="0" xfId="0" applyNumberFormat="1" applyFont="1" applyFill="1" applyAlignment="1">
      <alignment horizontal="center" vertical="top" wrapText="1"/>
    </xf>
    <xf numFmtId="0" fontId="13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center" vertical="top" wrapText="1"/>
    </xf>
    <xf numFmtId="0" fontId="13" fillId="2" borderId="0" xfId="0" applyFont="1" applyFill="1" applyAlignment="1">
      <alignment horizontal="right" vertical="top" wrapText="1"/>
    </xf>
    <xf numFmtId="4" fontId="13" fillId="2" borderId="0" xfId="0" applyNumberFormat="1" applyFont="1" applyFill="1" applyAlignment="1">
      <alignment horizontal="right" vertical="top" wrapText="1"/>
    </xf>
    <xf numFmtId="49" fontId="0" fillId="2" borderId="0" xfId="0" applyNumberFormat="1" applyFill="1" applyAlignment="1">
      <alignment horizontal="center"/>
    </xf>
    <xf numFmtId="4" fontId="14" fillId="2" borderId="0" xfId="0" applyNumberFormat="1" applyFont="1" applyFill="1" applyAlignment="1">
      <alignment horizontal="right"/>
    </xf>
    <xf numFmtId="0" fontId="14" fillId="2" borderId="0" xfId="0" applyFont="1" applyFill="1" applyAlignment="1">
      <alignment horizontal="right"/>
    </xf>
    <xf numFmtId="4" fontId="13" fillId="2" borderId="0" xfId="0" applyNumberFormat="1" applyFont="1" applyFill="1" applyAlignment="1">
      <alignment vertical="top" wrapText="1"/>
    </xf>
    <xf numFmtId="4" fontId="13" fillId="2" borderId="0" xfId="0" applyNumberFormat="1" applyFont="1" applyFill="1" applyAlignment="1">
      <alignment horizontal="center" vertical="top" wrapText="1"/>
    </xf>
    <xf numFmtId="0" fontId="14" fillId="2" borderId="0" xfId="0" applyFont="1" applyFill="1"/>
    <xf numFmtId="49" fontId="0" fillId="2" borderId="0" xfId="0" applyNumberFormat="1" applyFill="1" applyAlignment="1">
      <alignment horizontal="right"/>
    </xf>
    <xf numFmtId="0" fontId="15" fillId="2" borderId="0" xfId="0" applyFont="1" applyFill="1" applyAlignment="1">
      <alignment horizontal="right"/>
    </xf>
    <xf numFmtId="4" fontId="0" fillId="2" borderId="0" xfId="0" applyNumberFormat="1" applyFill="1"/>
    <xf numFmtId="0" fontId="16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wrapText="1"/>
    </xf>
    <xf numFmtId="0" fontId="17" fillId="2" borderId="0" xfId="0" applyFont="1" applyFill="1" applyAlignment="1">
      <alignment horizontal="right" vertical="top" wrapText="1"/>
    </xf>
    <xf numFmtId="2" fontId="17" fillId="2" borderId="0" xfId="0" applyNumberFormat="1" applyFont="1" applyFill="1" applyAlignment="1">
      <alignment horizontal="right" vertical="top" wrapText="1"/>
    </xf>
    <xf numFmtId="14" fontId="8" fillId="2" borderId="0" xfId="0" applyNumberFormat="1" applyFont="1" applyFill="1" applyAlignment="1">
      <alignment horizontal="right" vertical="top" wrapText="1"/>
    </xf>
    <xf numFmtId="0" fontId="8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right" wrapText="1"/>
    </xf>
    <xf numFmtId="0" fontId="8" fillId="2" borderId="0" xfId="0" applyFont="1" applyFill="1"/>
    <xf numFmtId="14" fontId="0" fillId="2" borderId="0" xfId="0" applyNumberFormat="1" applyFill="1" applyAlignment="1">
      <alignment horizontal="right" wrapText="1"/>
    </xf>
    <xf numFmtId="0" fontId="16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right" wrapText="1"/>
    </xf>
    <xf numFmtId="0" fontId="8" fillId="2" borderId="0" xfId="0" applyFont="1" applyFill="1" applyAlignment="1">
      <alignment horizontal="right" vertical="top" wrapText="1"/>
    </xf>
    <xf numFmtId="14" fontId="8" fillId="2" borderId="0" xfId="0" applyNumberFormat="1" applyFont="1" applyFill="1" applyAlignment="1">
      <alignment horizontal="right"/>
    </xf>
    <xf numFmtId="4" fontId="17" fillId="2" borderId="0" xfId="0" applyNumberFormat="1" applyFont="1" applyFill="1" applyAlignment="1">
      <alignment horizontal="right" vertical="top" wrapText="1"/>
    </xf>
    <xf numFmtId="0" fontId="8" fillId="2" borderId="0" xfId="0" applyFont="1" applyFill="1" applyAlignment="1">
      <alignment horizontal="right"/>
    </xf>
    <xf numFmtId="165" fontId="0" fillId="2" borderId="0" xfId="0" applyNumberFormat="1" applyFill="1" applyAlignment="1">
      <alignment horizontal="right" wrapText="1"/>
    </xf>
    <xf numFmtId="14" fontId="8" fillId="2" borderId="0" xfId="0" applyNumberFormat="1" applyFont="1" applyFill="1" applyAlignment="1">
      <alignment horizontal="right" wrapText="1"/>
    </xf>
    <xf numFmtId="0" fontId="8" fillId="2" borderId="0" xfId="0" applyFont="1" applyFill="1" applyAlignment="1">
      <alignment horizontal="left" wrapText="1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wrapText="1"/>
    </xf>
    <xf numFmtId="4" fontId="17" fillId="2" borderId="0" xfId="0" applyNumberFormat="1" applyFont="1" applyFill="1" applyAlignment="1">
      <alignment horizontal="right" wrapText="1"/>
    </xf>
    <xf numFmtId="14" fontId="0" fillId="2" borderId="0" xfId="0" applyNumberForma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4" fontId="8" fillId="2" borderId="0" xfId="0" applyNumberFormat="1" applyFont="1" applyFill="1" applyAlignment="1">
      <alignment horizontal="right" wrapText="1"/>
    </xf>
    <xf numFmtId="0" fontId="0" fillId="2" borderId="0" xfId="0" applyFill="1" applyBorder="1" applyAlignment="1">
      <alignment horizontal="right" wrapText="1"/>
    </xf>
    <xf numFmtId="0" fontId="0" fillId="2" borderId="0" xfId="0" applyFill="1" applyBorder="1" applyAlignment="1">
      <alignment wrapText="1"/>
    </xf>
    <xf numFmtId="0" fontId="17" fillId="2" borderId="0" xfId="0" applyFont="1" applyFill="1" applyBorder="1" applyAlignment="1">
      <alignment horizontal="right" wrapText="1"/>
    </xf>
    <xf numFmtId="4" fontId="17" fillId="2" borderId="0" xfId="0" applyNumberFormat="1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right" wrapText="1"/>
    </xf>
    <xf numFmtId="0" fontId="16" fillId="2" borderId="0" xfId="0" applyFont="1" applyFill="1" applyAlignment="1">
      <alignment horizontal="left"/>
    </xf>
    <xf numFmtId="0" fontId="18" fillId="2" borderId="0" xfId="0" applyFont="1" applyFill="1" applyAlignment="1">
      <alignment horizontal="right" wrapText="1"/>
    </xf>
    <xf numFmtId="2" fontId="18" fillId="2" borderId="0" xfId="0" applyNumberFormat="1" applyFont="1" applyFill="1" applyAlignment="1">
      <alignment horizontal="right" vertical="top" wrapText="1"/>
    </xf>
    <xf numFmtId="14" fontId="0" fillId="2" borderId="0" xfId="0" applyNumberFormat="1" applyFill="1"/>
    <xf numFmtId="4" fontId="18" fillId="2" borderId="0" xfId="0" applyNumberFormat="1" applyFont="1" applyFill="1" applyAlignment="1">
      <alignment horizontal="right" wrapText="1"/>
    </xf>
    <xf numFmtId="2" fontId="0" fillId="2" borderId="0" xfId="0" applyNumberFormat="1" applyFill="1"/>
    <xf numFmtId="2" fontId="0" fillId="2" borderId="0" xfId="0" applyNumberFormat="1" applyFill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0" xfId="0" applyFill="1" applyBorder="1"/>
    <xf numFmtId="2" fontId="0" fillId="2" borderId="0" xfId="0" applyNumberFormat="1" applyFill="1" applyBorder="1"/>
    <xf numFmtId="0" fontId="18" fillId="2" borderId="0" xfId="0" applyFont="1" applyFill="1" applyBorder="1" applyAlignment="1">
      <alignment horizontal="right" wrapText="1"/>
    </xf>
    <xf numFmtId="0" fontId="20" fillId="2" borderId="0" xfId="0" applyFont="1" applyFill="1" applyBorder="1" applyAlignment="1">
      <alignment horizontal="right"/>
    </xf>
    <xf numFmtId="1" fontId="0" fillId="2" borderId="0" xfId="0" applyNumberFormat="1" applyFill="1" applyBorder="1"/>
    <xf numFmtId="21" fontId="0" fillId="2" borderId="0" xfId="0" applyNumberFormat="1" applyFill="1" applyBorder="1"/>
    <xf numFmtId="2" fontId="0" fillId="2" borderId="0" xfId="0" applyNumberFormat="1" applyFill="1" applyBorder="1" applyAlignment="1">
      <alignment horizontal="right"/>
    </xf>
    <xf numFmtId="14" fontId="0" fillId="2" borderId="0" xfId="0" applyNumberFormat="1" applyFill="1" applyBorder="1" applyAlignment="1">
      <alignment horizontal="right"/>
    </xf>
    <xf numFmtId="14" fontId="0" fillId="2" borderId="0" xfId="0" applyNumberFormat="1" applyFill="1" applyBorder="1"/>
    <xf numFmtId="0" fontId="0" fillId="2" borderId="0" xfId="0" applyNumberFormat="1" applyFill="1" applyBorder="1" applyAlignment="1">
      <alignment horizontal="right"/>
    </xf>
    <xf numFmtId="0" fontId="0" fillId="2" borderId="0" xfId="0" applyNumberFormat="1" applyFill="1" applyBorder="1"/>
    <xf numFmtId="4" fontId="0" fillId="2" borderId="0" xfId="0" applyNumberFormat="1" applyFill="1" applyBorder="1" applyAlignment="1"/>
    <xf numFmtId="4" fontId="0" fillId="2" borderId="0" xfId="0" applyNumberFormat="1" applyFill="1" applyAlignment="1"/>
    <xf numFmtId="0" fontId="0" fillId="2" borderId="0" xfId="0" applyNumberFormat="1" applyFill="1"/>
    <xf numFmtId="1" fontId="0" fillId="2" borderId="0" xfId="0" applyNumberFormat="1" applyFill="1"/>
    <xf numFmtId="21" fontId="0" fillId="2" borderId="0" xfId="0" applyNumberFormat="1" applyFill="1"/>
    <xf numFmtId="49" fontId="0" fillId="2" borderId="0" xfId="0" applyNumberFormat="1" applyFill="1"/>
    <xf numFmtId="49" fontId="0" fillId="2" borderId="0" xfId="0" applyNumberFormat="1" applyFill="1" applyBorder="1"/>
    <xf numFmtId="4" fontId="0" fillId="2" borderId="0" xfId="0" applyNumberFormat="1" applyFill="1" applyBorder="1" applyAlignment="1">
      <alignment horizontal="right"/>
    </xf>
    <xf numFmtId="4" fontId="0" fillId="2" borderId="0" xfId="0" applyNumberFormat="1" applyFill="1" applyBorder="1"/>
    <xf numFmtId="0" fontId="0" fillId="2" borderId="0" xfId="0" quotePrefix="1" applyFill="1" applyAlignment="1">
      <alignment horizontal="right"/>
    </xf>
    <xf numFmtId="0" fontId="0" fillId="2" borderId="0" xfId="0" quotePrefix="1" applyFill="1" applyAlignment="1">
      <alignment horizontal="center"/>
    </xf>
    <xf numFmtId="10" fontId="0" fillId="2" borderId="0" xfId="0" applyNumberFormat="1" applyFill="1"/>
    <xf numFmtId="0" fontId="12" fillId="3" borderId="0" xfId="0" applyFont="1" applyFill="1" applyAlignment="1">
      <alignment horizontal="center" wrapText="1"/>
    </xf>
    <xf numFmtId="15" fontId="21" fillId="2" borderId="0" xfId="0" applyNumberFormat="1" applyFont="1" applyFill="1" applyAlignment="1">
      <alignment horizontal="left"/>
    </xf>
    <xf numFmtId="0" fontId="13" fillId="2" borderId="0" xfId="0" applyFont="1" applyFill="1" applyAlignment="1">
      <alignment horizontal="center" wrapText="1"/>
    </xf>
    <xf numFmtId="4" fontId="13" fillId="2" borderId="0" xfId="0" applyNumberFormat="1" applyFont="1" applyFill="1" applyAlignment="1">
      <alignment horizontal="center" wrapText="1"/>
    </xf>
    <xf numFmtId="0" fontId="9" fillId="2" borderId="0" xfId="3" applyFill="1" applyAlignment="1" applyProtection="1">
      <alignment horizontal="center" wrapText="1"/>
    </xf>
    <xf numFmtId="15" fontId="13" fillId="2" borderId="0" xfId="0" applyNumberFormat="1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22" fillId="2" borderId="0" xfId="0" applyFont="1" applyFill="1" applyAlignment="1">
      <alignment horizontal="left"/>
    </xf>
    <xf numFmtId="0" fontId="15" fillId="2" borderId="0" xfId="0" applyFont="1" applyFill="1" applyAlignment="1">
      <alignment horizontal="center"/>
    </xf>
    <xf numFmtId="4" fontId="15" fillId="2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wrapText="1"/>
    </xf>
    <xf numFmtId="0" fontId="0" fillId="3" borderId="0" xfId="0" applyFill="1"/>
    <xf numFmtId="0" fontId="13" fillId="3" borderId="0" xfId="0" applyFont="1" applyFill="1" applyAlignment="1">
      <alignment horizontal="right" wrapText="1"/>
    </xf>
    <xf numFmtId="2" fontId="13" fillId="3" borderId="0" xfId="0" applyNumberFormat="1" applyFont="1" applyFill="1" applyAlignment="1">
      <alignment horizontal="center" wrapText="1"/>
    </xf>
    <xf numFmtId="0" fontId="16" fillId="2" borderId="0" xfId="0" applyFont="1" applyFill="1" applyAlignment="1">
      <alignment horizontal="right" vertical="center"/>
    </xf>
    <xf numFmtId="14" fontId="0" fillId="2" borderId="0" xfId="0" applyNumberFormat="1" applyFill="1" applyAlignment="1">
      <alignment horizontal="right" vertical="top" wrapText="1"/>
    </xf>
    <xf numFmtId="0" fontId="18" fillId="2" borderId="0" xfId="0" applyFont="1" applyFill="1" applyAlignment="1">
      <alignment horizontal="right" vertical="top" wrapText="1"/>
    </xf>
    <xf numFmtId="2" fontId="16" fillId="2" borderId="0" xfId="0" applyNumberFormat="1" applyFont="1" applyFill="1" applyAlignment="1">
      <alignment horizontal="right"/>
    </xf>
    <xf numFmtId="0" fontId="12" fillId="4" borderId="0" xfId="0" applyFont="1" applyFill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1" fontId="13" fillId="2" borderId="0" xfId="0" applyNumberFormat="1" applyFont="1" applyFill="1" applyAlignment="1">
      <alignment horizontal="center" wrapText="1"/>
    </xf>
    <xf numFmtId="1" fontId="12" fillId="2" borderId="0" xfId="0" applyNumberFormat="1" applyFont="1" applyFill="1" applyAlignment="1">
      <alignment horizontal="center" wrapText="1"/>
    </xf>
    <xf numFmtId="0" fontId="13" fillId="4" borderId="0" xfId="0" applyFont="1" applyFill="1" applyAlignment="1">
      <alignment horizontal="center" wrapText="1"/>
    </xf>
    <xf numFmtId="0" fontId="0" fillId="4" borderId="0" xfId="0" applyFill="1"/>
    <xf numFmtId="0" fontId="13" fillId="4" borderId="0" xfId="0" applyFont="1" applyFill="1" applyAlignment="1">
      <alignment horizontal="right" wrapText="1"/>
    </xf>
    <xf numFmtId="2" fontId="13" fillId="4" borderId="0" xfId="0" applyNumberFormat="1" applyFont="1" applyFill="1" applyAlignment="1">
      <alignment horizontal="center" wrapText="1"/>
    </xf>
    <xf numFmtId="4" fontId="15" fillId="2" borderId="0" xfId="0" applyNumberFormat="1" applyFont="1" applyFill="1" applyAlignment="1">
      <alignment horizontal="right"/>
    </xf>
    <xf numFmtId="0" fontId="12" fillId="5" borderId="0" xfId="0" applyFont="1" applyFill="1" applyAlignment="1">
      <alignment vertical="center" wrapText="1"/>
    </xf>
    <xf numFmtId="1" fontId="12" fillId="5" borderId="0" xfId="0" applyNumberFormat="1" applyFont="1" applyFill="1" applyAlignment="1">
      <alignment vertical="center" wrapText="1"/>
    </xf>
    <xf numFmtId="0" fontId="2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 wrapText="1"/>
    </xf>
    <xf numFmtId="1" fontId="12" fillId="2" borderId="0" xfId="0" applyNumberFormat="1" applyFont="1" applyFill="1" applyAlignment="1">
      <alignment vertical="center" wrapText="1"/>
    </xf>
    <xf numFmtId="15" fontId="13" fillId="2" borderId="0" xfId="0" applyNumberFormat="1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1" fontId="13" fillId="2" borderId="0" xfId="0" applyNumberFormat="1" applyFont="1" applyFill="1" applyAlignment="1">
      <alignment vertical="center" wrapText="1"/>
    </xf>
    <xf numFmtId="4" fontId="13" fillId="2" borderId="0" xfId="0" applyNumberFormat="1" applyFont="1" applyFill="1" applyAlignment="1">
      <alignment vertical="center" wrapText="1"/>
    </xf>
    <xf numFmtId="0" fontId="0" fillId="2" borderId="0" xfId="0" applyFill="1" applyAlignment="1">
      <alignment vertical="center"/>
    </xf>
    <xf numFmtId="164" fontId="13" fillId="2" borderId="0" xfId="0" applyNumberFormat="1" applyFont="1" applyFill="1" applyAlignment="1">
      <alignment vertical="center" wrapText="1"/>
    </xf>
    <xf numFmtId="0" fontId="9" fillId="2" borderId="0" xfId="3" applyFill="1" applyAlignment="1" applyProtection="1">
      <alignment vertical="center" wrapText="1"/>
    </xf>
    <xf numFmtId="1" fontId="0" fillId="2" borderId="0" xfId="0" applyNumberFormat="1" applyFill="1" applyAlignment="1">
      <alignment vertical="center"/>
    </xf>
    <xf numFmtId="4" fontId="21" fillId="2" borderId="0" xfId="0" applyNumberFormat="1" applyFont="1" applyFill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164" fontId="13" fillId="2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vertical="center" wrapText="1"/>
    </xf>
    <xf numFmtId="4" fontId="13" fillId="2" borderId="1" xfId="0" applyNumberFormat="1" applyFont="1" applyFill="1" applyBorder="1" applyAlignment="1">
      <alignment vertical="center" wrapText="1"/>
    </xf>
    <xf numFmtId="0" fontId="13" fillId="5" borderId="0" xfId="0" applyFont="1" applyFill="1" applyAlignment="1">
      <alignment horizontal="center" wrapText="1"/>
    </xf>
    <xf numFmtId="0" fontId="0" fillId="5" borderId="0" xfId="0" applyFill="1"/>
    <xf numFmtId="0" fontId="13" fillId="5" borderId="0" xfId="0" applyFont="1" applyFill="1" applyAlignment="1">
      <alignment wrapText="1"/>
    </xf>
    <xf numFmtId="1" fontId="13" fillId="5" borderId="0" xfId="0" applyNumberFormat="1" applyFont="1" applyFill="1" applyAlignment="1">
      <alignment horizontal="center" wrapText="1"/>
    </xf>
    <xf numFmtId="0" fontId="13" fillId="2" borderId="0" xfId="0" applyFont="1" applyFill="1" applyAlignment="1">
      <alignment vertical="top" wrapText="1"/>
    </xf>
    <xf numFmtId="1" fontId="9" fillId="2" borderId="0" xfId="3" applyNumberFormat="1" applyFill="1" applyAlignment="1" applyProtection="1">
      <alignment horizontal="center" vertical="top" wrapText="1"/>
    </xf>
    <xf numFmtId="0" fontId="9" fillId="2" borderId="0" xfId="3" applyFill="1" applyAlignment="1" applyProtection="1">
      <alignment vertical="top" wrapText="1"/>
    </xf>
    <xf numFmtId="4" fontId="14" fillId="2" borderId="0" xfId="0" applyNumberFormat="1" applyFont="1" applyFill="1" applyAlignment="1"/>
    <xf numFmtId="0" fontId="14" fillId="2" borderId="0" xfId="0" applyFont="1" applyFill="1" applyAlignment="1"/>
    <xf numFmtId="0" fontId="12" fillId="6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5" fontId="13" fillId="2" borderId="0" xfId="0" applyNumberFormat="1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4" fontId="13" fillId="2" borderId="0" xfId="0" applyNumberFormat="1" applyFont="1" applyFill="1" applyAlignment="1">
      <alignment horizontal="center" vertical="center" wrapText="1"/>
    </xf>
    <xf numFmtId="0" fontId="9" fillId="2" borderId="0" xfId="3" applyFill="1" applyAlignment="1" applyProtection="1">
      <alignment horizontal="center" vertical="center" wrapText="1"/>
    </xf>
    <xf numFmtId="0" fontId="14" fillId="2" borderId="0" xfId="0" applyFont="1" applyFill="1" applyAlignment="1">
      <alignment horizontal="center" vertical="center"/>
    </xf>
    <xf numFmtId="4" fontId="14" fillId="2" borderId="0" xfId="0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4" fontId="15" fillId="2" borderId="0" xfId="0" applyNumberFormat="1" applyFont="1" applyFill="1" applyAlignment="1">
      <alignment horizontal="center" vertical="center"/>
    </xf>
    <xf numFmtId="1" fontId="13" fillId="2" borderId="0" xfId="0" applyNumberFormat="1" applyFont="1" applyFill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0" fillId="6" borderId="2" xfId="0" applyFill="1" applyBorder="1" applyAlignment="1">
      <alignment wrapText="1"/>
    </xf>
    <xf numFmtId="0" fontId="24" fillId="2" borderId="0" xfId="0" applyFont="1" applyFill="1"/>
    <xf numFmtId="0" fontId="25" fillId="2" borderId="0" xfId="0" applyFont="1" applyFill="1" applyAlignment="1">
      <alignment horizontal="left"/>
    </xf>
    <xf numFmtId="0" fontId="24" fillId="2" borderId="0" xfId="0" applyFont="1" applyFill="1" applyAlignment="1">
      <alignment horizontal="center"/>
    </xf>
    <xf numFmtId="15" fontId="23" fillId="2" borderId="0" xfId="0" applyNumberFormat="1" applyFont="1" applyFill="1" applyAlignment="1">
      <alignment horizontal="center" wrapText="1"/>
    </xf>
    <xf numFmtId="0" fontId="23" fillId="2" borderId="0" xfId="0" applyFont="1" applyFill="1" applyAlignment="1">
      <alignment horizontal="center" wrapText="1"/>
    </xf>
    <xf numFmtId="0" fontId="24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left"/>
    </xf>
    <xf numFmtId="15" fontId="24" fillId="2" borderId="0" xfId="0" applyNumberFormat="1" applyFont="1" applyFill="1" applyAlignment="1">
      <alignment horizontal="center" vertical="center"/>
    </xf>
    <xf numFmtId="15" fontId="25" fillId="2" borderId="0" xfId="0" applyNumberFormat="1" applyFont="1" applyFill="1" applyAlignment="1">
      <alignment horizontal="left" vertical="center"/>
    </xf>
    <xf numFmtId="2" fontId="24" fillId="2" borderId="0" xfId="0" applyNumberFormat="1" applyFont="1" applyFill="1" applyAlignment="1">
      <alignment horizontal="center" vertical="center"/>
    </xf>
    <xf numFmtId="2" fontId="24" fillId="2" borderId="0" xfId="0" applyNumberFormat="1" applyFont="1" applyFill="1" applyAlignment="1">
      <alignment horizontal="center"/>
    </xf>
    <xf numFmtId="2" fontId="23" fillId="2" borderId="0" xfId="0" applyNumberFormat="1" applyFont="1" applyFill="1" applyAlignment="1">
      <alignment horizontal="center" wrapText="1"/>
    </xf>
    <xf numFmtId="4" fontId="13" fillId="2" borderId="0" xfId="0" applyNumberFormat="1" applyFont="1" applyFill="1" applyAlignment="1">
      <alignment horizontal="right" wrapText="1"/>
    </xf>
    <xf numFmtId="2" fontId="24" fillId="2" borderId="0" xfId="0" applyNumberFormat="1" applyFont="1" applyFill="1" applyAlignment="1">
      <alignment horizontal="right" vertical="center"/>
    </xf>
    <xf numFmtId="0" fontId="25" fillId="2" borderId="0" xfId="0" applyFont="1" applyFill="1" applyAlignment="1">
      <alignment horizontal="right"/>
    </xf>
    <xf numFmtId="0" fontId="25" fillId="2" borderId="0" xfId="0" applyFont="1" applyFill="1" applyAlignment="1">
      <alignment horizontal="right" vertical="center"/>
    </xf>
    <xf numFmtId="4" fontId="25" fillId="2" borderId="0" xfId="0" applyNumberFormat="1" applyFont="1" applyFill="1" applyAlignment="1">
      <alignment horizontal="center" vertical="center"/>
    </xf>
    <xf numFmtId="0" fontId="11" fillId="0" borderId="0" xfId="9">
      <alignment vertical="center"/>
    </xf>
    <xf numFmtId="0" fontId="14" fillId="4" borderId="0" xfId="9" applyFont="1" applyFill="1" applyAlignment="1">
      <alignment horizontal="center" vertical="center"/>
    </xf>
    <xf numFmtId="0" fontId="14" fillId="0" borderId="0" xfId="9" applyFont="1" applyFill="1" applyAlignment="1">
      <alignment horizontal="center" vertical="center"/>
    </xf>
    <xf numFmtId="0" fontId="14" fillId="0" borderId="0" xfId="9" applyFont="1" applyFill="1">
      <alignment vertical="center"/>
    </xf>
    <xf numFmtId="1" fontId="14" fillId="0" borderId="0" xfId="9" applyNumberFormat="1" applyFont="1" applyFill="1" applyAlignment="1">
      <alignment horizontal="center" vertical="center"/>
    </xf>
    <xf numFmtId="2" fontId="14" fillId="0" borderId="0" xfId="9" applyNumberFormat="1" applyFont="1" applyFill="1" applyAlignment="1">
      <alignment horizontal="center" vertical="center"/>
    </xf>
    <xf numFmtId="0" fontId="14" fillId="0" borderId="0" xfId="1" applyFont="1" applyFill="1">
      <alignment vertical="center"/>
    </xf>
    <xf numFmtId="2" fontId="14" fillId="0" borderId="0" xfId="9" applyNumberFormat="1" applyFont="1" applyFill="1" applyAlignment="1">
      <alignment horizontal="right" vertical="center"/>
    </xf>
    <xf numFmtId="4" fontId="14" fillId="0" borderId="0" xfId="9" applyNumberFormat="1" applyFont="1" applyFill="1" applyAlignment="1">
      <alignment horizontal="right" vertical="center"/>
    </xf>
    <xf numFmtId="4" fontId="15" fillId="0" borderId="0" xfId="9" applyNumberFormat="1" applyFont="1" applyFill="1" applyAlignment="1">
      <alignment horizontal="right" vertical="center"/>
    </xf>
    <xf numFmtId="0" fontId="14" fillId="0" borderId="0" xfId="1" applyFont="1" applyFill="1" applyAlignment="1">
      <alignment horizontal="center" vertical="center"/>
    </xf>
    <xf numFmtId="2" fontId="14" fillId="0" borderId="0" xfId="1" applyNumberFormat="1" applyFont="1" applyFill="1" applyAlignment="1">
      <alignment horizontal="center" vertical="center"/>
    </xf>
    <xf numFmtId="2" fontId="14" fillId="7" borderId="0" xfId="9" applyNumberFormat="1" applyFont="1" applyFill="1" applyAlignment="1">
      <alignment horizontal="right" vertical="center"/>
    </xf>
    <xf numFmtId="1" fontId="14" fillId="0" borderId="0" xfId="1" applyNumberFormat="1" applyFont="1" applyFill="1" applyAlignment="1">
      <alignment horizontal="center" vertical="center"/>
    </xf>
    <xf numFmtId="0" fontId="15" fillId="0" borderId="0" xfId="9" applyFont="1" applyFill="1" applyAlignment="1">
      <alignment horizontal="right" vertical="center"/>
    </xf>
    <xf numFmtId="2" fontId="15" fillId="0" borderId="0" xfId="9" applyNumberFormat="1" applyFont="1" applyFill="1">
      <alignment vertical="center"/>
    </xf>
    <xf numFmtId="4" fontId="14" fillId="7" borderId="0" xfId="9" applyNumberFormat="1" applyFont="1" applyFill="1" applyAlignment="1">
      <alignment horizontal="right" vertical="center"/>
    </xf>
    <xf numFmtId="4" fontId="15" fillId="7" borderId="0" xfId="9" applyNumberFormat="1" applyFont="1" applyFill="1" applyAlignment="1">
      <alignment horizontal="right" vertical="center"/>
    </xf>
    <xf numFmtId="0" fontId="11" fillId="0" borderId="0" xfId="9" applyAlignment="1">
      <alignment horizontal="center" vertical="center"/>
    </xf>
    <xf numFmtId="0" fontId="14" fillId="0" borderId="0" xfId="1">
      <alignment vertical="center"/>
    </xf>
    <xf numFmtId="0" fontId="15" fillId="0" borderId="0" xfId="9" applyFont="1" applyAlignment="1">
      <alignment horizontal="right" vertical="center"/>
    </xf>
    <xf numFmtId="4" fontId="15" fillId="0" borderId="0" xfId="9" applyNumberFormat="1" applyFont="1">
      <alignment vertical="center"/>
    </xf>
    <xf numFmtId="4" fontId="15" fillId="0" borderId="0" xfId="9" applyNumberFormat="1" applyFont="1" applyAlignment="1">
      <alignment horizontal="right" vertical="center"/>
    </xf>
    <xf numFmtId="0" fontId="11" fillId="4" borderId="0" xfId="9" applyFill="1">
      <alignment vertical="center"/>
    </xf>
    <xf numFmtId="0" fontId="15" fillId="4" borderId="0" xfId="9" applyFont="1" applyFill="1" applyAlignment="1">
      <alignment horizontal="center" vertical="center"/>
    </xf>
    <xf numFmtId="0" fontId="15" fillId="4" borderId="0" xfId="9" applyFont="1" applyFill="1">
      <alignment vertical="center"/>
    </xf>
    <xf numFmtId="0" fontId="14" fillId="0" borderId="0" xfId="9" applyFont="1" applyAlignment="1">
      <alignment horizontal="center" vertical="center"/>
    </xf>
    <xf numFmtId="0" fontId="14" fillId="0" borderId="0" xfId="1" applyFont="1">
      <alignment vertical="center"/>
    </xf>
    <xf numFmtId="0" fontId="14" fillId="0" borderId="0" xfId="1" applyFont="1" applyAlignment="1">
      <alignment horizontal="center" vertical="center"/>
    </xf>
    <xf numFmtId="0" fontId="14" fillId="0" borderId="0" xfId="9" applyNumberFormat="1" applyFont="1" applyAlignment="1">
      <alignment horizontal="center" vertical="center"/>
    </xf>
    <xf numFmtId="2" fontId="14" fillId="0" borderId="0" xfId="9" applyNumberFormat="1" applyFont="1" applyAlignment="1">
      <alignment horizontal="center" vertical="center"/>
    </xf>
    <xf numFmtId="4" fontId="14" fillId="0" borderId="0" xfId="9" applyNumberFormat="1" applyFont="1" applyAlignment="1">
      <alignment horizontal="center" vertical="center"/>
    </xf>
    <xf numFmtId="0" fontId="14" fillId="0" borderId="0" xfId="9" applyFont="1">
      <alignment vertical="center"/>
    </xf>
    <xf numFmtId="0" fontId="14" fillId="0" borderId="0" xfId="9" applyFont="1" applyAlignment="1">
      <alignment horizontal="right" vertical="center"/>
    </xf>
    <xf numFmtId="0" fontId="14" fillId="4" borderId="0" xfId="9" applyFont="1" applyFill="1" applyAlignment="1">
      <alignment horizontal="right" vertical="center"/>
    </xf>
    <xf numFmtId="2" fontId="11" fillId="0" borderId="0" xfId="9" applyNumberFormat="1">
      <alignment vertical="center"/>
    </xf>
    <xf numFmtId="4" fontId="11" fillId="0" borderId="0" xfId="9" applyNumberFormat="1">
      <alignment vertical="center"/>
    </xf>
    <xf numFmtId="1" fontId="19" fillId="4" borderId="1" xfId="0" applyNumberFormat="1" applyFont="1" applyFill="1" applyBorder="1"/>
    <xf numFmtId="0" fontId="19" fillId="4" borderId="1" xfId="0" applyFont="1" applyFill="1" applyBorder="1" applyAlignment="1">
      <alignment horizontal="right"/>
    </xf>
    <xf numFmtId="0" fontId="19" fillId="4" borderId="1" xfId="0" applyFont="1" applyFill="1" applyBorder="1"/>
    <xf numFmtId="0" fontId="0" fillId="4" borderId="1" xfId="0" applyFill="1" applyBorder="1"/>
    <xf numFmtId="0" fontId="19" fillId="4" borderId="1" xfId="0" applyFont="1" applyFill="1" applyBorder="1" applyAlignment="1">
      <alignment horizontal="right" wrapText="1"/>
    </xf>
    <xf numFmtId="0" fontId="16" fillId="4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center" vertical="center" wrapText="1"/>
    </xf>
    <xf numFmtId="0" fontId="16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right" vertical="center" wrapText="1"/>
    </xf>
    <xf numFmtId="49" fontId="13" fillId="4" borderId="0" xfId="0" applyNumberFormat="1" applyFont="1" applyFill="1" applyAlignment="1">
      <alignment horizontal="center" wrapText="1"/>
    </xf>
    <xf numFmtId="0" fontId="23" fillId="4" borderId="0" xfId="0" applyFont="1" applyFill="1" applyAlignment="1">
      <alignment horizontal="center" vertical="center" wrapText="1"/>
    </xf>
    <xf numFmtId="2" fontId="23" fillId="4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4" fontId="0" fillId="2" borderId="0" xfId="0" applyNumberFormat="1" applyFill="1" applyAlignment="1">
      <alignment horizontal="right" vertical="center"/>
    </xf>
    <xf numFmtId="2" fontId="14" fillId="4" borderId="0" xfId="9" applyNumberFormat="1" applyFont="1" applyFill="1" applyAlignment="1">
      <alignment horizontal="center" vertical="center"/>
    </xf>
    <xf numFmtId="2" fontId="15" fillId="7" borderId="0" xfId="9" applyNumberFormat="1" applyFont="1" applyFill="1" applyAlignment="1">
      <alignment horizontal="right" vertical="center"/>
    </xf>
    <xf numFmtId="0" fontId="16" fillId="2" borderId="0" xfId="9" applyFont="1" applyFill="1" applyAlignment="1">
      <alignment vertical="center"/>
    </xf>
    <xf numFmtId="0" fontId="11" fillId="2" borderId="0" xfId="9" applyFill="1">
      <alignment vertical="center"/>
    </xf>
    <xf numFmtId="0" fontId="11" fillId="2" borderId="0" xfId="9" applyFill="1" applyAlignment="1">
      <alignment vertical="center"/>
    </xf>
    <xf numFmtId="0" fontId="11" fillId="2" borderId="0" xfId="9" applyFill="1" applyBorder="1" applyAlignment="1">
      <alignment vertical="center"/>
    </xf>
    <xf numFmtId="0" fontId="15" fillId="2" borderId="3" xfId="9" applyFont="1" applyFill="1" applyBorder="1" applyAlignment="1">
      <alignment vertical="center"/>
    </xf>
    <xf numFmtId="0" fontId="15" fillId="2" borderId="4" xfId="9" applyFont="1" applyFill="1" applyBorder="1" applyAlignment="1">
      <alignment vertical="center"/>
    </xf>
    <xf numFmtId="0" fontId="14" fillId="2" borderId="0" xfId="9" applyFont="1" applyFill="1" applyAlignment="1">
      <alignment horizontal="center" vertical="center"/>
    </xf>
    <xf numFmtId="2" fontId="14" fillId="2" borderId="0" xfId="9" applyNumberFormat="1" applyFont="1" applyFill="1" applyAlignment="1">
      <alignment horizontal="center" vertical="center"/>
    </xf>
    <xf numFmtId="0" fontId="11" fillId="2" borderId="0" xfId="9" applyFill="1" applyAlignment="1">
      <alignment horizontal="center" vertical="center"/>
    </xf>
    <xf numFmtId="15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center"/>
    </xf>
    <xf numFmtId="2" fontId="11" fillId="2" borderId="0" xfId="9" applyNumberFormat="1" applyFill="1" applyAlignment="1">
      <alignment horizontal="center" vertical="center"/>
    </xf>
    <xf numFmtId="0" fontId="14" fillId="2" borderId="0" xfId="1" applyFont="1" applyFill="1" applyAlignment="1">
      <alignment horizontal="left" vertical="center"/>
    </xf>
    <xf numFmtId="0" fontId="14" fillId="2" borderId="0" xfId="1" applyFont="1" applyFill="1" applyAlignment="1">
      <alignment horizontal="center" vertical="center"/>
    </xf>
    <xf numFmtId="1" fontId="14" fillId="2" borderId="0" xfId="1" applyNumberFormat="1" applyFont="1" applyFill="1" applyAlignment="1">
      <alignment horizontal="center" vertical="center"/>
    </xf>
    <xf numFmtId="2" fontId="14" fillId="2" borderId="0" xfId="1" applyNumberFormat="1" applyFont="1" applyFill="1" applyAlignment="1">
      <alignment horizontal="center" vertical="center"/>
    </xf>
    <xf numFmtId="4" fontId="15" fillId="2" borderId="0" xfId="9" applyNumberFormat="1" applyFont="1" applyFill="1" applyAlignment="1">
      <alignment horizontal="center" vertical="center"/>
    </xf>
    <xf numFmtId="0" fontId="14" fillId="2" borderId="0" xfId="9" applyFont="1" applyFill="1" applyAlignment="1">
      <alignment horizontal="left" vertical="center"/>
    </xf>
    <xf numFmtId="2" fontId="14" fillId="2" borderId="0" xfId="9" applyNumberFormat="1" applyFont="1" applyFill="1">
      <alignment vertical="center"/>
    </xf>
    <xf numFmtId="2" fontId="15" fillId="2" borderId="0" xfId="9" applyNumberFormat="1" applyFont="1" applyFill="1" applyAlignment="1">
      <alignment horizontal="right" vertical="center"/>
    </xf>
    <xf numFmtId="2" fontId="15" fillId="2" borderId="0" xfId="9" applyNumberFormat="1" applyFont="1" applyFill="1">
      <alignment vertical="center"/>
    </xf>
    <xf numFmtId="0" fontId="14" fillId="2" borderId="0" xfId="1" applyFont="1" applyFill="1">
      <alignment vertical="center"/>
    </xf>
    <xf numFmtId="2" fontId="14" fillId="2" borderId="0" xfId="9" applyNumberFormat="1" applyFont="1" applyFill="1" applyAlignment="1">
      <alignment horizontal="right" vertical="center"/>
    </xf>
    <xf numFmtId="2" fontId="11" fillId="2" borderId="0" xfId="9" applyNumberFormat="1" applyFill="1">
      <alignment vertical="center"/>
    </xf>
    <xf numFmtId="4" fontId="15" fillId="2" borderId="0" xfId="9" applyNumberFormat="1" applyFont="1" applyFill="1" applyAlignment="1">
      <alignment horizontal="right" vertical="center"/>
    </xf>
    <xf numFmtId="0" fontId="11" fillId="2" borderId="0" xfId="9" applyFill="1" applyAlignment="1">
      <alignment horizontal="right" vertical="center"/>
    </xf>
    <xf numFmtId="0" fontId="11" fillId="2" borderId="0" xfId="9" applyFill="1" applyAlignment="1">
      <alignment horizontal="left" vertical="center"/>
    </xf>
    <xf numFmtId="0" fontId="16" fillId="2" borderId="3" xfId="9" applyFont="1" applyFill="1" applyBorder="1" applyAlignment="1">
      <alignment vertical="center"/>
    </xf>
    <xf numFmtId="0" fontId="16" fillId="2" borderId="4" xfId="9" applyFont="1" applyFill="1" applyBorder="1" applyAlignment="1">
      <alignment vertical="center"/>
    </xf>
    <xf numFmtId="0" fontId="11" fillId="2" borderId="0" xfId="9" applyFont="1" applyFill="1" applyAlignment="1">
      <alignment horizontal="center" vertical="center"/>
    </xf>
    <xf numFmtId="4" fontId="11" fillId="2" borderId="0" xfId="9" applyNumberFormat="1" applyFill="1">
      <alignment vertical="center"/>
    </xf>
    <xf numFmtId="2" fontId="11" fillId="2" borderId="0" xfId="9" applyNumberFormat="1" applyFont="1" applyFill="1" applyAlignment="1">
      <alignment horizontal="right" vertical="center"/>
    </xf>
    <xf numFmtId="4" fontId="16" fillId="2" borderId="0" xfId="9" applyNumberFormat="1" applyFont="1" applyFill="1" applyAlignment="1">
      <alignment horizontal="right" vertical="center"/>
    </xf>
    <xf numFmtId="2" fontId="16" fillId="2" borderId="0" xfId="9" applyNumberFormat="1" applyFont="1" applyFill="1" applyAlignment="1">
      <alignment horizontal="right" vertical="center"/>
    </xf>
    <xf numFmtId="2" fontId="16" fillId="2" borderId="0" xfId="9" applyNumberFormat="1" applyFont="1" applyFill="1">
      <alignment vertical="center"/>
    </xf>
    <xf numFmtId="0" fontId="11" fillId="2" borderId="0" xfId="9" applyFont="1" applyFill="1">
      <alignment vertical="center"/>
    </xf>
    <xf numFmtId="2" fontId="11" fillId="2" borderId="0" xfId="9" applyNumberFormat="1" applyFont="1" applyFill="1">
      <alignment vertical="center"/>
    </xf>
    <xf numFmtId="0" fontId="11" fillId="2" borderId="0" xfId="1" applyFont="1" applyFill="1">
      <alignment vertical="center"/>
    </xf>
    <xf numFmtId="2" fontId="16" fillId="2" borderId="0" xfId="9" applyNumberFormat="1" applyFont="1" applyFill="1" applyAlignment="1">
      <alignment horizontal="center" vertical="center"/>
    </xf>
    <xf numFmtId="0" fontId="11" fillId="2" borderId="0" xfId="9" applyFont="1" applyFill="1" applyAlignment="1">
      <alignment horizontal="right" vertical="center"/>
    </xf>
    <xf numFmtId="0" fontId="11" fillId="2" borderId="0" xfId="1" applyFont="1" applyFill="1" applyAlignment="1">
      <alignment horizontal="left" vertical="center"/>
    </xf>
    <xf numFmtId="0" fontId="11" fillId="2" borderId="0" xfId="1" applyFont="1" applyFill="1" applyAlignment="1">
      <alignment horizontal="center" vertical="center"/>
    </xf>
    <xf numFmtId="0" fontId="11" fillId="2" borderId="0" xfId="9" applyNumberFormat="1" applyFont="1" applyFill="1" applyAlignment="1">
      <alignment horizontal="center" vertical="center"/>
    </xf>
    <xf numFmtId="2" fontId="11" fillId="2" borderId="0" xfId="9" applyNumberFormat="1" applyFont="1" applyFill="1" applyAlignment="1">
      <alignment horizontal="center" vertical="center"/>
    </xf>
    <xf numFmtId="0" fontId="11" fillId="2" borderId="0" xfId="9" applyFont="1" applyFill="1" applyAlignment="1">
      <alignment horizontal="left" vertical="center"/>
    </xf>
    <xf numFmtId="166" fontId="11" fillId="2" borderId="0" xfId="9" applyNumberFormat="1" applyFont="1" applyFill="1" applyAlignment="1">
      <alignment horizontal="right" vertical="center"/>
    </xf>
    <xf numFmtId="0" fontId="11" fillId="4" borderId="0" xfId="9" applyFont="1" applyFill="1" applyAlignment="1">
      <alignment horizontal="center" vertical="center"/>
    </xf>
    <xf numFmtId="2" fontId="11" fillId="4" borderId="0" xfId="9" applyNumberFormat="1" applyFont="1" applyFill="1" applyAlignment="1">
      <alignment horizontal="center" vertical="center"/>
    </xf>
    <xf numFmtId="0" fontId="11" fillId="2" borderId="0" xfId="9" applyNumberFormat="1" applyFont="1" applyFill="1" applyAlignment="1">
      <alignment horizontal="right" vertical="center"/>
    </xf>
    <xf numFmtId="0" fontId="11" fillId="2" borderId="3" xfId="9" applyFill="1" applyBorder="1" applyAlignment="1">
      <alignment horizontal="left" vertical="center"/>
    </xf>
    <xf numFmtId="0" fontId="11" fillId="2" borderId="3" xfId="9" applyFill="1" applyBorder="1" applyAlignment="1">
      <alignment horizontal="center" vertical="center"/>
    </xf>
    <xf numFmtId="2" fontId="11" fillId="2" borderId="4" xfId="9" applyNumberFormat="1" applyFill="1" applyBorder="1" applyAlignment="1">
      <alignment horizontal="center" vertical="center"/>
    </xf>
    <xf numFmtId="2" fontId="11" fillId="2" borderId="2" xfId="9" applyNumberFormat="1" applyFont="1" applyFill="1" applyBorder="1" applyAlignment="1">
      <alignment horizontal="center" vertical="center"/>
    </xf>
    <xf numFmtId="2" fontId="0" fillId="2" borderId="2" xfId="0" applyNumberFormat="1" applyFill="1" applyBorder="1"/>
    <xf numFmtId="2" fontId="11" fillId="2" borderId="5" xfId="9" applyNumberFormat="1" applyFont="1" applyFill="1" applyBorder="1">
      <alignment vertical="center"/>
    </xf>
    <xf numFmtId="2" fontId="11" fillId="2" borderId="6" xfId="9" applyNumberFormat="1" applyFont="1" applyFill="1" applyBorder="1" applyAlignment="1">
      <alignment horizontal="right" vertical="center"/>
    </xf>
    <xf numFmtId="2" fontId="11" fillId="2" borderId="7" xfId="9" applyNumberFormat="1" applyFont="1" applyFill="1" applyBorder="1" applyAlignment="1">
      <alignment horizontal="right" vertical="center"/>
    </xf>
    <xf numFmtId="2" fontId="11" fillId="2" borderId="1" xfId="9" applyNumberFormat="1" applyFont="1" applyFill="1" applyBorder="1" applyAlignment="1">
      <alignment horizontal="right" vertical="center"/>
    </xf>
    <xf numFmtId="2" fontId="11" fillId="2" borderId="8" xfId="9" applyNumberFormat="1" applyFont="1" applyFill="1" applyBorder="1" applyAlignment="1">
      <alignment horizontal="center" vertical="center"/>
    </xf>
    <xf numFmtId="2" fontId="11" fillId="2" borderId="9" xfId="9" applyNumberFormat="1" applyFont="1" applyFill="1" applyBorder="1" applyAlignment="1">
      <alignment horizontal="center" vertical="center"/>
    </xf>
    <xf numFmtId="2" fontId="11" fillId="2" borderId="10" xfId="9" applyNumberFormat="1" applyFont="1" applyFill="1" applyBorder="1" applyAlignment="1">
      <alignment horizontal="center" vertical="center"/>
    </xf>
    <xf numFmtId="2" fontId="11" fillId="2" borderId="11" xfId="9" applyNumberFormat="1" applyFont="1" applyFill="1" applyBorder="1" applyAlignment="1">
      <alignment horizontal="center" vertical="center"/>
    </xf>
    <xf numFmtId="2" fontId="11" fillId="2" borderId="12" xfId="9" applyNumberFormat="1" applyFont="1" applyFill="1" applyBorder="1" applyAlignment="1">
      <alignment horizontal="center" vertical="center"/>
    </xf>
    <xf numFmtId="2" fontId="11" fillId="2" borderId="13" xfId="9" applyNumberFormat="1" applyFont="1" applyFill="1" applyBorder="1" applyAlignment="1">
      <alignment horizontal="center" vertical="center"/>
    </xf>
    <xf numFmtId="2" fontId="16" fillId="2" borderId="1" xfId="9" applyNumberFormat="1" applyFont="1" applyFill="1" applyBorder="1" applyAlignment="1">
      <alignment horizontal="center" vertical="center"/>
    </xf>
    <xf numFmtId="2" fontId="16" fillId="2" borderId="0" xfId="9" applyNumberFormat="1" applyFont="1" applyFill="1" applyBorder="1">
      <alignment vertical="center"/>
    </xf>
    <xf numFmtId="2" fontId="11" fillId="2" borderId="0" xfId="9" quotePrefix="1" applyNumberFormat="1" applyFont="1" applyFill="1" applyAlignment="1">
      <alignment horizontal="right" vertical="center"/>
    </xf>
    <xf numFmtId="0" fontId="11" fillId="2" borderId="0" xfId="9" applyNumberFormat="1" applyFont="1" applyFill="1" applyAlignment="1">
      <alignment vertical="center"/>
    </xf>
    <xf numFmtId="2" fontId="11" fillId="2" borderId="0" xfId="9" applyNumberFormat="1" applyFont="1" applyFill="1" applyAlignment="1">
      <alignment vertical="center"/>
    </xf>
    <xf numFmtId="0" fontId="0" fillId="2" borderId="0" xfId="0" applyFill="1" applyAlignment="1"/>
    <xf numFmtId="2" fontId="0" fillId="2" borderId="0" xfId="0" applyNumberFormat="1" applyFill="1" applyAlignment="1"/>
    <xf numFmtId="49" fontId="11" fillId="2" borderId="0" xfId="9" applyNumberFormat="1" applyFill="1" applyAlignment="1">
      <alignment horizontal="right" vertical="center"/>
    </xf>
    <xf numFmtId="49" fontId="14" fillId="4" borderId="0" xfId="9" applyNumberFormat="1" applyFont="1" applyFill="1" applyAlignment="1">
      <alignment horizontal="center" vertical="center"/>
    </xf>
    <xf numFmtId="2" fontId="0" fillId="7" borderId="0" xfId="0" applyNumberFormat="1" applyFill="1" applyAlignment="1">
      <alignment horizontal="center"/>
    </xf>
    <xf numFmtId="49" fontId="11" fillId="2" borderId="0" xfId="0" applyNumberFormat="1" applyFont="1" applyFill="1" applyAlignment="1">
      <alignment horizontal="right"/>
    </xf>
    <xf numFmtId="2" fontId="11" fillId="2" borderId="0" xfId="9" applyNumberFormat="1" applyFill="1" applyAlignment="1">
      <alignment horizontal="right" vertical="center"/>
    </xf>
    <xf numFmtId="2" fontId="11" fillId="2" borderId="0" xfId="9" applyNumberFormat="1" applyFill="1" applyAlignment="1">
      <alignment horizontal="left" vertical="center"/>
    </xf>
    <xf numFmtId="2" fontId="0" fillId="2" borderId="0" xfId="0" applyNumberFormat="1" applyFill="1" applyAlignment="1">
      <alignment horizontal="left"/>
    </xf>
    <xf numFmtId="2" fontId="0" fillId="7" borderId="0" xfId="0" applyNumberFormat="1" applyFill="1" applyAlignment="1">
      <alignment horizontal="right"/>
    </xf>
    <xf numFmtId="2" fontId="11" fillId="2" borderId="0" xfId="9" applyNumberFormat="1" applyFill="1" applyAlignment="1">
      <alignment horizontal="right"/>
    </xf>
    <xf numFmtId="0" fontId="11" fillId="2" borderId="0" xfId="9" applyFont="1" applyFill="1" applyAlignment="1">
      <alignment horizontal="right"/>
    </xf>
    <xf numFmtId="0" fontId="11" fillId="2" borderId="0" xfId="9" applyFill="1" applyAlignment="1">
      <alignment horizontal="right"/>
    </xf>
    <xf numFmtId="2" fontId="11" fillId="7" borderId="0" xfId="9" applyNumberFormat="1" applyFill="1" applyAlignment="1">
      <alignment horizontal="left" vertical="center"/>
    </xf>
    <xf numFmtId="49" fontId="0" fillId="7" borderId="0" xfId="0" applyNumberFormat="1" applyFill="1" applyAlignment="1">
      <alignment horizontal="right"/>
    </xf>
    <xf numFmtId="2" fontId="11" fillId="2" borderId="0" xfId="9" applyNumberFormat="1" applyFill="1" applyAlignment="1">
      <alignment horizontal="left"/>
    </xf>
    <xf numFmtId="4" fontId="11" fillId="2" borderId="0" xfId="9" applyNumberFormat="1" applyFill="1" applyAlignment="1">
      <alignment horizontal="right" vertical="center"/>
    </xf>
    <xf numFmtId="0" fontId="11" fillId="7" borderId="0" xfId="9" applyFont="1" applyFill="1" applyAlignment="1">
      <alignment horizontal="right" vertical="center"/>
    </xf>
    <xf numFmtId="0" fontId="0" fillId="7" borderId="0" xfId="0" applyFill="1" applyAlignment="1">
      <alignment horizontal="right"/>
    </xf>
    <xf numFmtId="2" fontId="11" fillId="7" borderId="0" xfId="9" applyNumberFormat="1" applyFill="1">
      <alignment vertical="center"/>
    </xf>
    <xf numFmtId="0" fontId="11" fillId="7" borderId="0" xfId="9" applyFill="1" applyAlignment="1">
      <alignment horizontal="left" vertical="center"/>
    </xf>
    <xf numFmtId="2" fontId="11" fillId="7" borderId="0" xfId="9" applyNumberFormat="1" applyFill="1" applyAlignment="1">
      <alignment horizontal="center" vertical="center"/>
    </xf>
    <xf numFmtId="2" fontId="11" fillId="7" borderId="0" xfId="9" applyNumberFormat="1" applyFill="1" applyAlignment="1">
      <alignment horizontal="right" vertical="center"/>
    </xf>
    <xf numFmtId="0" fontId="11" fillId="7" borderId="0" xfId="9" applyFill="1">
      <alignment vertical="center"/>
    </xf>
    <xf numFmtId="2" fontId="11" fillId="7" borderId="0" xfId="9" applyNumberFormat="1" applyFill="1" applyAlignment="1">
      <alignment vertical="center"/>
    </xf>
    <xf numFmtId="0" fontId="11" fillId="7" borderId="0" xfId="9" applyFill="1" applyAlignment="1">
      <alignment vertical="center"/>
    </xf>
    <xf numFmtId="2" fontId="11" fillId="2" borderId="0" xfId="9" applyNumberFormat="1" applyFont="1" applyFill="1" applyAlignment="1">
      <alignment horizontal="right"/>
    </xf>
    <xf numFmtId="0" fontId="0" fillId="2" borderId="0" xfId="0" applyNumberFormat="1" applyFill="1" applyAlignment="1">
      <alignment horizontal="right"/>
    </xf>
    <xf numFmtId="2" fontId="11" fillId="2" borderId="2" xfId="9" applyNumberFormat="1" applyFill="1" applyBorder="1" applyAlignment="1">
      <alignment horizontal="center" vertical="center"/>
    </xf>
    <xf numFmtId="0" fontId="0" fillId="7" borderId="0" xfId="0" applyNumberFormat="1" applyFill="1" applyAlignment="1">
      <alignment horizontal="right"/>
    </xf>
    <xf numFmtId="0" fontId="11" fillId="7" borderId="0" xfId="9" applyFont="1" applyFill="1" applyAlignment="1">
      <alignment horizontal="right"/>
    </xf>
    <xf numFmtId="0" fontId="11" fillId="7" borderId="0" xfId="9" applyFill="1" applyAlignment="1">
      <alignment horizontal="right" vertical="center"/>
    </xf>
    <xf numFmtId="49" fontId="11" fillId="2" borderId="0" xfId="9" applyNumberFormat="1" applyFont="1" applyFill="1" applyAlignment="1">
      <alignment horizontal="right" vertical="center"/>
    </xf>
    <xf numFmtId="2" fontId="11" fillId="2" borderId="0" xfId="9" applyNumberFormat="1" applyFill="1" applyAlignment="1">
      <alignment vertical="center"/>
    </xf>
    <xf numFmtId="49" fontId="0" fillId="7" borderId="0" xfId="0" applyNumberFormat="1" applyFill="1" applyAlignment="1"/>
    <xf numFmtId="0" fontId="0" fillId="7" borderId="0" xfId="0" applyFill="1" applyAlignment="1"/>
    <xf numFmtId="0" fontId="0" fillId="2" borderId="0" xfId="0" applyNumberFormat="1" applyFill="1" applyAlignment="1"/>
    <xf numFmtId="0" fontId="11" fillId="3" borderId="0" xfId="9" applyFont="1" applyFill="1" applyAlignment="1">
      <alignment horizontal="right" vertical="center"/>
    </xf>
    <xf numFmtId="49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11" fillId="3" borderId="0" xfId="9" applyNumberFormat="1" applyFill="1" applyAlignment="1">
      <alignment horizontal="right"/>
    </xf>
    <xf numFmtId="2" fontId="11" fillId="3" borderId="0" xfId="9" applyNumberFormat="1" applyFill="1">
      <alignment vertical="center"/>
    </xf>
    <xf numFmtId="0" fontId="11" fillId="3" borderId="0" xfId="9" applyFill="1" applyAlignment="1">
      <alignment horizontal="right" vertical="center"/>
    </xf>
    <xf numFmtId="4" fontId="11" fillId="2" borderId="0" xfId="9" applyNumberFormat="1" applyFont="1" applyFill="1" applyAlignment="1">
      <alignment horizontal="right" vertical="center"/>
    </xf>
    <xf numFmtId="49" fontId="11" fillId="2" borderId="0" xfId="9" applyNumberFormat="1" applyFont="1" applyFill="1">
      <alignment vertical="center"/>
    </xf>
    <xf numFmtId="0" fontId="0" fillId="2" borderId="0" xfId="0" applyFill="1" applyBorder="1" applyAlignment="1">
      <alignment horizontal="left"/>
    </xf>
    <xf numFmtId="0" fontId="11" fillId="2" borderId="4" xfId="9" applyFill="1" applyBorder="1" applyAlignment="1">
      <alignment horizontal="right" vertical="center"/>
    </xf>
    <xf numFmtId="0" fontId="16" fillId="5" borderId="0" xfId="0" applyFont="1" applyFill="1" applyAlignment="1">
      <alignment horizontal="center" vertical="center" wrapText="1"/>
    </xf>
    <xf numFmtId="4" fontId="0" fillId="2" borderId="2" xfId="0" applyNumberFormat="1" applyFill="1" applyBorder="1"/>
    <xf numFmtId="0" fontId="0" fillId="8" borderId="0" xfId="0" applyFill="1"/>
    <xf numFmtId="49" fontId="0" fillId="8" borderId="0" xfId="0" applyNumberFormat="1" applyFill="1"/>
    <xf numFmtId="14" fontId="0" fillId="8" borderId="0" xfId="0" applyNumberFormat="1" applyFill="1"/>
    <xf numFmtId="4" fontId="0" fillId="8" borderId="0" xfId="0" applyNumberFormat="1" applyFill="1"/>
    <xf numFmtId="49" fontId="15" fillId="2" borderId="0" xfId="9" applyNumberFormat="1" applyFont="1" applyFill="1" applyAlignment="1">
      <alignment vertical="center"/>
    </xf>
    <xf numFmtId="49" fontId="15" fillId="2" borderId="0" xfId="9" applyNumberFormat="1" applyFont="1" applyFill="1" applyBorder="1" applyAlignment="1">
      <alignment vertical="center"/>
    </xf>
    <xf numFmtId="49" fontId="15" fillId="2" borderId="14" xfId="9" applyNumberFormat="1" applyFont="1" applyFill="1" applyBorder="1" applyAlignment="1">
      <alignment vertical="center"/>
    </xf>
    <xf numFmtId="49" fontId="14" fillId="2" borderId="0" xfId="9" applyNumberFormat="1" applyFont="1" applyFill="1" applyAlignment="1">
      <alignment horizontal="right" vertical="center"/>
    </xf>
    <xf numFmtId="49" fontId="16" fillId="2" borderId="14" xfId="9" applyNumberFormat="1" applyFont="1" applyFill="1" applyBorder="1" applyAlignment="1">
      <alignment vertical="center"/>
    </xf>
    <xf numFmtId="49" fontId="11" fillId="3" borderId="0" xfId="9" applyNumberFormat="1" applyFont="1" applyFill="1" applyAlignment="1">
      <alignment horizontal="right" vertical="center"/>
    </xf>
    <xf numFmtId="49" fontId="11" fillId="2" borderId="0" xfId="9" applyNumberFormat="1" applyFill="1">
      <alignment vertical="center"/>
    </xf>
    <xf numFmtId="49" fontId="11" fillId="2" borderId="0" xfId="9" applyNumberFormat="1" applyFill="1" applyAlignment="1">
      <alignment horizontal="left" vertical="center"/>
    </xf>
    <xf numFmtId="49" fontId="0" fillId="2" borderId="0" xfId="0" applyNumberFormat="1" applyFill="1" applyAlignment="1">
      <alignment horizontal="left"/>
    </xf>
    <xf numFmtId="49" fontId="16" fillId="4" borderId="0" xfId="9" applyNumberFormat="1" applyFont="1" applyFill="1" applyAlignment="1">
      <alignment horizontal="right" vertical="center"/>
    </xf>
    <xf numFmtId="49" fontId="11" fillId="2" borderId="14" xfId="9" applyNumberFormat="1" applyFill="1" applyBorder="1" applyAlignment="1">
      <alignment horizontal="left" vertical="center"/>
    </xf>
    <xf numFmtId="49" fontId="16" fillId="4" borderId="0" xfId="9" applyNumberFormat="1" applyFont="1" applyFill="1" applyAlignment="1">
      <alignment horizontal="center" vertical="center"/>
    </xf>
    <xf numFmtId="49" fontId="11" fillId="2" borderId="14" xfId="9" applyNumberFormat="1" applyFont="1" applyFill="1" applyBorder="1" applyAlignment="1">
      <alignment horizontal="left" vertical="center"/>
    </xf>
    <xf numFmtId="4" fontId="11" fillId="2" borderId="1" xfId="9" applyNumberFormat="1" applyFill="1" applyBorder="1">
      <alignment vertical="center"/>
    </xf>
    <xf numFmtId="2" fontId="11" fillId="2" borderId="15" xfId="9" applyNumberFormat="1" applyFill="1" applyBorder="1">
      <alignment vertical="center"/>
    </xf>
    <xf numFmtId="2" fontId="11" fillId="2" borderId="16" xfId="9" applyNumberFormat="1" applyFont="1" applyFill="1" applyBorder="1" applyAlignment="1">
      <alignment horizontal="right" vertical="center"/>
    </xf>
    <xf numFmtId="2" fontId="11" fillId="2" borderId="17" xfId="9" applyNumberFormat="1" applyFill="1" applyBorder="1">
      <alignment vertical="center"/>
    </xf>
    <xf numFmtId="2" fontId="11" fillId="2" borderId="0" xfId="9" applyNumberFormat="1" applyFont="1" applyFill="1" applyBorder="1" applyAlignment="1">
      <alignment horizontal="right" vertical="center"/>
    </xf>
    <xf numFmtId="2" fontId="11" fillId="2" borderId="0" xfId="9" applyNumberFormat="1" applyFill="1" applyBorder="1">
      <alignment vertical="center"/>
    </xf>
    <xf numFmtId="4" fontId="11" fillId="2" borderId="18" xfId="9" applyNumberFormat="1" applyFill="1" applyBorder="1">
      <alignment vertical="center"/>
    </xf>
    <xf numFmtId="4" fontId="11" fillId="2" borderId="19" xfId="9" applyNumberFormat="1" applyFill="1" applyBorder="1">
      <alignment vertical="center"/>
    </xf>
    <xf numFmtId="0" fontId="11" fillId="2" borderId="15" xfId="9" applyFont="1" applyFill="1" applyBorder="1" applyAlignment="1">
      <alignment horizontal="right" vertical="center"/>
    </xf>
    <xf numFmtId="2" fontId="11" fillId="2" borderId="17" xfId="9" applyNumberFormat="1" applyFont="1" applyFill="1" applyBorder="1" applyAlignment="1">
      <alignment horizontal="right" vertical="center"/>
    </xf>
    <xf numFmtId="0" fontId="11" fillId="2" borderId="17" xfId="9" applyFill="1" applyBorder="1" applyAlignment="1">
      <alignment horizontal="right" vertical="center"/>
    </xf>
    <xf numFmtId="4" fontId="11" fillId="2" borderId="19" xfId="9" applyNumberFormat="1" applyFill="1" applyBorder="1" applyAlignment="1">
      <alignment horizontal="right" vertical="center"/>
    </xf>
    <xf numFmtId="0" fontId="11" fillId="2" borderId="19" xfId="9" applyFill="1" applyBorder="1" applyAlignment="1">
      <alignment horizontal="right" vertical="center"/>
    </xf>
    <xf numFmtId="0" fontId="11" fillId="2" borderId="19" xfId="9" applyFill="1" applyBorder="1">
      <alignment vertical="center"/>
    </xf>
    <xf numFmtId="2" fontId="11" fillId="2" borderId="20" xfId="9" applyNumberFormat="1" applyFill="1" applyBorder="1">
      <alignment vertical="center"/>
    </xf>
    <xf numFmtId="2" fontId="11" fillId="2" borderId="21" xfId="9" applyNumberFormat="1" applyFont="1" applyFill="1" applyBorder="1" applyAlignment="1">
      <alignment horizontal="right" vertical="center"/>
    </xf>
    <xf numFmtId="2" fontId="11" fillId="2" borderId="20" xfId="9" applyNumberFormat="1" applyFont="1" applyFill="1" applyBorder="1" applyAlignment="1">
      <alignment horizontal="right" vertical="center"/>
    </xf>
    <xf numFmtId="4" fontId="11" fillId="8" borderId="21" xfId="9" applyNumberFormat="1" applyFill="1" applyBorder="1">
      <alignment vertical="center"/>
    </xf>
    <xf numFmtId="4" fontId="11" fillId="7" borderId="22" xfId="9" applyNumberFormat="1" applyFill="1" applyBorder="1">
      <alignment vertical="center"/>
    </xf>
    <xf numFmtId="2" fontId="16" fillId="2" borderId="20" xfId="9" applyNumberFormat="1" applyFont="1" applyFill="1" applyBorder="1">
      <alignment vertical="center"/>
    </xf>
    <xf numFmtId="2" fontId="16" fillId="2" borderId="21" xfId="9" applyNumberFormat="1" applyFont="1" applyFill="1" applyBorder="1" applyAlignment="1">
      <alignment horizontal="right" vertical="center"/>
    </xf>
    <xf numFmtId="4" fontId="16" fillId="4" borderId="1" xfId="9" applyNumberFormat="1" applyFont="1" applyFill="1" applyBorder="1">
      <alignment vertical="center"/>
    </xf>
    <xf numFmtId="2" fontId="16" fillId="2" borderId="20" xfId="9" applyNumberFormat="1" applyFont="1" applyFill="1" applyBorder="1" applyAlignment="1">
      <alignment horizontal="right" vertical="center"/>
    </xf>
    <xf numFmtId="4" fontId="11" fillId="7" borderId="0" xfId="9" applyNumberFormat="1" applyFont="1" applyFill="1" applyAlignment="1">
      <alignment horizontal="right" vertical="center"/>
    </xf>
    <xf numFmtId="4" fontId="11" fillId="3" borderId="2" xfId="9" applyNumberFormat="1" applyFont="1" applyFill="1" applyBorder="1" applyAlignment="1">
      <alignment horizontal="right" vertical="center"/>
    </xf>
    <xf numFmtId="49" fontId="0" fillId="2" borderId="0" xfId="0" applyNumberFormat="1" applyFill="1" applyAlignment="1"/>
    <xf numFmtId="2" fontId="11" fillId="2" borderId="0" xfId="9" applyNumberFormat="1" applyFill="1" applyAlignment="1"/>
    <xf numFmtId="49" fontId="11" fillId="2" borderId="0" xfId="9" applyNumberFormat="1" applyFill="1" applyAlignment="1">
      <alignment vertical="center"/>
    </xf>
    <xf numFmtId="166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center"/>
    </xf>
    <xf numFmtId="166" fontId="11" fillId="2" borderId="0" xfId="9" applyNumberFormat="1" applyFill="1" applyAlignment="1">
      <alignment horizontal="right" vertical="center"/>
    </xf>
    <xf numFmtId="166" fontId="11" fillId="2" borderId="0" xfId="9" applyNumberFormat="1" applyFill="1">
      <alignment vertical="center"/>
    </xf>
    <xf numFmtId="14" fontId="0" fillId="0" borderId="0" xfId="0" applyNumberFormat="1"/>
    <xf numFmtId="49" fontId="11" fillId="7" borderId="0" xfId="9" applyNumberFormat="1" applyFont="1" applyFill="1" applyAlignment="1">
      <alignment horizontal="right" vertical="center"/>
    </xf>
    <xf numFmtId="2" fontId="24" fillId="2" borderId="0" xfId="0" applyNumberFormat="1" applyFont="1" applyFill="1" applyAlignment="1">
      <alignment horizontal="right"/>
    </xf>
    <xf numFmtId="4" fontId="25" fillId="2" borderId="0" xfId="0" applyNumberFormat="1" applyFont="1" applyFill="1" applyAlignment="1">
      <alignment horizontal="right"/>
    </xf>
    <xf numFmtId="0" fontId="24" fillId="2" borderId="0" xfId="0" applyFont="1" applyFill="1" applyAlignment="1">
      <alignment horizontal="right"/>
    </xf>
    <xf numFmtId="0" fontId="24" fillId="2" borderId="0" xfId="0" applyFont="1" applyFill="1" applyAlignment="1">
      <alignment horizontal="right" vertical="center"/>
    </xf>
    <xf numFmtId="4" fontId="25" fillId="2" borderId="0" xfId="0" applyNumberFormat="1" applyFont="1" applyFill="1" applyAlignment="1">
      <alignment horizontal="right" vertical="center"/>
    </xf>
    <xf numFmtId="15" fontId="24" fillId="2" borderId="0" xfId="0" applyNumberFormat="1" applyFont="1" applyFill="1" applyAlignment="1">
      <alignment horizontal="right" vertical="center"/>
    </xf>
    <xf numFmtId="0" fontId="16" fillId="2" borderId="0" xfId="0" applyFont="1" applyFill="1" applyAlignment="1">
      <alignment horizontal="right"/>
    </xf>
    <xf numFmtId="2" fontId="24" fillId="2" borderId="0" xfId="0" applyNumberFormat="1" applyFont="1" applyFill="1"/>
    <xf numFmtId="4" fontId="8" fillId="2" borderId="0" xfId="0" applyNumberFormat="1" applyFont="1" applyFill="1" applyAlignment="1">
      <alignment horizontal="right"/>
    </xf>
    <xf numFmtId="49" fontId="8" fillId="2" borderId="0" xfId="0" applyNumberFormat="1" applyFont="1" applyFill="1" applyAlignment="1">
      <alignment horizontal="center"/>
    </xf>
    <xf numFmtId="15" fontId="8" fillId="2" borderId="0" xfId="0" applyNumberFormat="1" applyFont="1" applyFill="1" applyAlignment="1">
      <alignment horizontal="center"/>
    </xf>
    <xf numFmtId="0" fontId="11" fillId="2" borderId="0" xfId="9" applyNumberFormat="1" applyFill="1">
      <alignment vertical="center"/>
    </xf>
    <xf numFmtId="2" fontId="24" fillId="0" borderId="0" xfId="0" applyNumberFormat="1" applyFont="1" applyFill="1" applyAlignment="1">
      <alignment horizontal="right" vertical="center"/>
    </xf>
    <xf numFmtId="4" fontId="0" fillId="4" borderId="0" xfId="0" applyNumberFormat="1" applyFill="1"/>
    <xf numFmtId="4" fontId="8" fillId="2" borderId="0" xfId="0" applyNumberFormat="1" applyFont="1" applyFill="1"/>
    <xf numFmtId="0" fontId="16" fillId="4" borderId="0" xfId="9" applyFont="1" applyFill="1" applyAlignment="1">
      <alignment horizontal="center" vertical="center"/>
    </xf>
    <xf numFmtId="164" fontId="11" fillId="2" borderId="0" xfId="9" applyNumberFormat="1" applyFont="1" applyFill="1" applyAlignment="1">
      <alignment horizontal="right" vertical="center"/>
    </xf>
    <xf numFmtId="49" fontId="14" fillId="4" borderId="0" xfId="9" applyNumberFormat="1" applyFont="1" applyFill="1" applyAlignment="1">
      <alignment horizontal="right" vertical="center"/>
    </xf>
    <xf numFmtId="2" fontId="14" fillId="4" borderId="0" xfId="9" applyNumberFormat="1" applyFont="1" applyFill="1" applyAlignment="1">
      <alignment horizontal="right" vertical="center"/>
    </xf>
    <xf numFmtId="49" fontId="11" fillId="2" borderId="3" xfId="9" applyNumberFormat="1" applyFill="1" applyBorder="1" applyAlignment="1">
      <alignment horizontal="right" vertical="center"/>
    </xf>
    <xf numFmtId="0" fontId="16" fillId="4" borderId="0" xfId="9" applyFont="1" applyFill="1" applyAlignment="1">
      <alignment horizontal="left" vertical="center"/>
    </xf>
    <xf numFmtId="2" fontId="11" fillId="2" borderId="3" xfId="9" applyNumberFormat="1" applyFill="1" applyBorder="1" applyAlignment="1">
      <alignment horizontal="center" vertical="center"/>
    </xf>
    <xf numFmtId="0" fontId="0" fillId="2" borderId="0" xfId="0" applyFill="1" applyBorder="1" applyAlignment="1"/>
    <xf numFmtId="2" fontId="11" fillId="2" borderId="0" xfId="9" applyNumberFormat="1" applyFont="1" applyFill="1" applyAlignment="1">
      <alignment horizontal="left" vertical="center"/>
    </xf>
    <xf numFmtId="4" fontId="11" fillId="2" borderId="0" xfId="9" applyNumberFormat="1" applyFill="1" applyAlignment="1">
      <alignment horizontal="center" vertical="center"/>
    </xf>
    <xf numFmtId="0" fontId="11" fillId="2" borderId="4" xfId="9" applyFill="1" applyBorder="1">
      <alignment vertical="center"/>
    </xf>
    <xf numFmtId="49" fontId="16" fillId="2" borderId="14" xfId="9" applyNumberFormat="1" applyFont="1" applyFill="1" applyBorder="1" applyAlignment="1">
      <alignment horizontal="left" vertical="center"/>
    </xf>
    <xf numFmtId="2" fontId="11" fillId="2" borderId="4" xfId="9" applyNumberFormat="1" applyFill="1" applyBorder="1" applyAlignment="1">
      <alignment horizontal="left" vertical="center"/>
    </xf>
    <xf numFmtId="2" fontId="11" fillId="2" borderId="2" xfId="9" applyNumberFormat="1" applyFill="1" applyBorder="1" applyAlignment="1">
      <alignment vertical="center"/>
    </xf>
    <xf numFmtId="2" fontId="11" fillId="2" borderId="2" xfId="9" applyNumberFormat="1" applyFill="1" applyBorder="1" applyAlignment="1">
      <alignment horizontal="right" vertical="center"/>
    </xf>
    <xf numFmtId="2" fontId="11" fillId="2" borderId="11" xfId="9" applyNumberFormat="1" applyFont="1" applyFill="1" applyBorder="1" applyAlignment="1">
      <alignment horizontal="right" vertical="center"/>
    </xf>
    <xf numFmtId="2" fontId="11" fillId="2" borderId="10" xfId="9" applyNumberFormat="1" applyFont="1" applyFill="1" applyBorder="1" applyAlignment="1">
      <alignment horizontal="right" vertical="center"/>
    </xf>
    <xf numFmtId="2" fontId="11" fillId="2" borderId="13" xfId="9" applyNumberFormat="1" applyFont="1" applyFill="1" applyBorder="1" applyAlignment="1">
      <alignment horizontal="right" vertical="center"/>
    </xf>
    <xf numFmtId="2" fontId="11" fillId="2" borderId="12" xfId="9" applyNumberFormat="1" applyFont="1" applyFill="1" applyBorder="1" applyAlignment="1">
      <alignment horizontal="right" vertical="center"/>
    </xf>
    <xf numFmtId="2" fontId="16" fillId="2" borderId="1" xfId="9" applyNumberFormat="1" applyFont="1" applyFill="1" applyBorder="1" applyAlignment="1">
      <alignment horizontal="right" vertical="center"/>
    </xf>
    <xf numFmtId="2" fontId="16" fillId="4" borderId="2" xfId="9" applyNumberFormat="1" applyFont="1" applyFill="1" applyBorder="1" applyAlignment="1">
      <alignment horizontal="right" vertical="center"/>
    </xf>
    <xf numFmtId="4" fontId="16" fillId="2" borderId="0" xfId="0" applyNumberFormat="1" applyFont="1" applyFill="1" applyAlignment="1">
      <alignment horizontal="right"/>
    </xf>
    <xf numFmtId="4" fontId="16" fillId="2" borderId="2" xfId="0" applyNumberFormat="1" applyFont="1" applyFill="1" applyBorder="1" applyAlignment="1">
      <alignment horizontal="right"/>
    </xf>
    <xf numFmtId="4" fontId="16" fillId="4" borderId="2" xfId="0" applyNumberFormat="1" applyFont="1" applyFill="1" applyBorder="1" applyAlignment="1">
      <alignment horizontal="right"/>
    </xf>
    <xf numFmtId="4" fontId="11" fillId="2" borderId="18" xfId="9" applyNumberFormat="1" applyFill="1" applyBorder="1" applyAlignment="1">
      <alignment horizontal="right" vertical="center"/>
    </xf>
    <xf numFmtId="4" fontId="16" fillId="4" borderId="1" xfId="9" applyNumberFormat="1" applyFont="1" applyFill="1" applyBorder="1" applyAlignment="1">
      <alignment horizontal="right" vertical="center"/>
    </xf>
    <xf numFmtId="4" fontId="11" fillId="7" borderId="22" xfId="9" applyNumberFormat="1" applyFill="1" applyBorder="1" applyAlignment="1">
      <alignment horizontal="right" vertical="center"/>
    </xf>
    <xf numFmtId="4" fontId="11" fillId="2" borderId="0" xfId="9" applyNumberFormat="1" applyFill="1" applyBorder="1">
      <alignment vertical="center"/>
    </xf>
    <xf numFmtId="15" fontId="8" fillId="2" borderId="0" xfId="0" applyNumberFormat="1" applyFont="1" applyFill="1" applyAlignment="1">
      <alignment horizontal="right"/>
    </xf>
    <xf numFmtId="4" fontId="16" fillId="2" borderId="0" xfId="0" applyNumberFormat="1" applyFont="1" applyFill="1" applyBorder="1" applyAlignment="1">
      <alignment horizontal="right"/>
    </xf>
    <xf numFmtId="2" fontId="11" fillId="10" borderId="0" xfId="9" applyNumberFormat="1" applyFill="1">
      <alignment vertical="center"/>
    </xf>
    <xf numFmtId="2" fontId="11" fillId="10" borderId="0" xfId="9" applyNumberFormat="1" applyFill="1" applyAlignment="1">
      <alignment horizontal="right" vertical="center"/>
    </xf>
    <xf numFmtId="0" fontId="11" fillId="10" borderId="0" xfId="9" applyFill="1">
      <alignment vertical="center"/>
    </xf>
    <xf numFmtId="2" fontId="0" fillId="10" borderId="0" xfId="0" applyNumberFormat="1" applyFill="1" applyAlignment="1">
      <alignment horizontal="right"/>
    </xf>
    <xf numFmtId="0" fontId="11" fillId="10" borderId="0" xfId="9" applyFont="1" applyFill="1" applyAlignment="1">
      <alignment horizontal="right" vertical="center"/>
    </xf>
    <xf numFmtId="2" fontId="11" fillId="10" borderId="0" xfId="9" applyNumberFormat="1" applyFont="1" applyFill="1">
      <alignment vertical="center"/>
    </xf>
    <xf numFmtId="2" fontId="11" fillId="10" borderId="0" xfId="9" applyNumberFormat="1" applyFill="1" applyAlignment="1">
      <alignment horizontal="left" vertical="center"/>
    </xf>
    <xf numFmtId="1" fontId="11" fillId="2" borderId="0" xfId="9" applyNumberFormat="1" applyFont="1" applyFill="1" applyAlignment="1">
      <alignment horizontal="left" vertical="center"/>
    </xf>
    <xf numFmtId="2" fontId="11" fillId="11" borderId="0" xfId="9" applyNumberFormat="1" applyFill="1">
      <alignment vertical="center"/>
    </xf>
    <xf numFmtId="2" fontId="0" fillId="11" borderId="0" xfId="0" applyNumberFormat="1" applyFill="1" applyAlignment="1">
      <alignment horizontal="right"/>
    </xf>
    <xf numFmtId="0" fontId="11" fillId="11" borderId="0" xfId="9" applyFont="1" applyFill="1" applyAlignment="1">
      <alignment horizontal="right" vertical="center"/>
    </xf>
    <xf numFmtId="2" fontId="11" fillId="11" borderId="0" xfId="9" applyNumberFormat="1" applyFill="1" applyAlignment="1">
      <alignment horizontal="right" vertical="center"/>
    </xf>
    <xf numFmtId="0" fontId="11" fillId="12" borderId="0" xfId="9" applyFill="1">
      <alignment vertical="center"/>
    </xf>
    <xf numFmtId="49" fontId="11" fillId="12" borderId="0" xfId="9" applyNumberFormat="1" applyFont="1" applyFill="1" applyAlignment="1">
      <alignment horizontal="right" vertical="center"/>
    </xf>
    <xf numFmtId="49" fontId="0" fillId="12" borderId="0" xfId="0" applyNumberFormat="1" applyFill="1" applyAlignment="1">
      <alignment horizontal="right"/>
    </xf>
    <xf numFmtId="0" fontId="0" fillId="12" borderId="0" xfId="0" applyFill="1" applyAlignment="1">
      <alignment horizontal="right"/>
    </xf>
    <xf numFmtId="2" fontId="0" fillId="12" borderId="0" xfId="0" applyNumberFormat="1" applyFill="1" applyAlignment="1">
      <alignment horizontal="right"/>
    </xf>
    <xf numFmtId="2" fontId="11" fillId="12" borderId="0" xfId="9" applyNumberFormat="1" applyFill="1" applyAlignment="1">
      <alignment horizontal="right"/>
    </xf>
    <xf numFmtId="2" fontId="11" fillId="12" borderId="0" xfId="9" applyNumberFormat="1" applyFill="1" applyAlignment="1">
      <alignment horizontal="right" vertical="center"/>
    </xf>
    <xf numFmtId="2" fontId="11" fillId="12" borderId="0" xfId="9" applyNumberFormat="1" applyFill="1">
      <alignment vertical="center"/>
    </xf>
    <xf numFmtId="0" fontId="11" fillId="12" borderId="0" xfId="9" applyFont="1" applyFill="1" applyAlignment="1">
      <alignment horizontal="right"/>
    </xf>
    <xf numFmtId="49" fontId="11" fillId="12" borderId="0" xfId="9" applyNumberFormat="1" applyFill="1" applyAlignment="1">
      <alignment horizontal="right" vertical="center"/>
    </xf>
    <xf numFmtId="0" fontId="11" fillId="12" borderId="0" xfId="9" applyFont="1" applyFill="1" applyAlignment="1">
      <alignment horizontal="right" vertical="center"/>
    </xf>
    <xf numFmtId="2" fontId="11" fillId="12" borderId="0" xfId="9" applyNumberFormat="1" applyFill="1" applyAlignment="1">
      <alignment horizontal="left" vertical="center"/>
    </xf>
    <xf numFmtId="0" fontId="11" fillId="12" borderId="0" xfId="9" applyFill="1" applyAlignment="1">
      <alignment horizontal="right" vertical="center"/>
    </xf>
    <xf numFmtId="2" fontId="11" fillId="12" borderId="0" xfId="9" applyNumberFormat="1" applyFont="1" applyFill="1">
      <alignment vertical="center"/>
    </xf>
    <xf numFmtId="2" fontId="11" fillId="12" borderId="0" xfId="9" applyNumberFormat="1" applyFont="1" applyFill="1" applyAlignment="1">
      <alignment horizontal="right"/>
    </xf>
    <xf numFmtId="164" fontId="11" fillId="12" borderId="0" xfId="9" applyNumberFormat="1" applyFont="1" applyFill="1" applyAlignment="1">
      <alignment horizontal="right" vertical="center"/>
    </xf>
    <xf numFmtId="0" fontId="0" fillId="12" borderId="0" xfId="0" applyNumberFormat="1" applyFill="1" applyAlignment="1">
      <alignment horizontal="right"/>
    </xf>
    <xf numFmtId="2" fontId="0" fillId="12" borderId="0" xfId="0" applyNumberFormat="1" applyFill="1" applyAlignment="1">
      <alignment horizontal="center"/>
    </xf>
    <xf numFmtId="2" fontId="14" fillId="12" borderId="0" xfId="9" applyNumberFormat="1" applyFont="1" applyFill="1" applyAlignment="1">
      <alignment horizontal="right" vertical="center"/>
    </xf>
    <xf numFmtId="2" fontId="15" fillId="12" borderId="0" xfId="9" applyNumberFormat="1" applyFont="1" applyFill="1" applyAlignment="1">
      <alignment horizontal="right" vertical="center"/>
    </xf>
    <xf numFmtId="2" fontId="0" fillId="12" borderId="0" xfId="0" applyNumberFormat="1" applyFill="1"/>
    <xf numFmtId="49" fontId="0" fillId="11" borderId="0" xfId="0" applyNumberFormat="1" applyFill="1" applyAlignment="1">
      <alignment horizontal="right"/>
    </xf>
    <xf numFmtId="0" fontId="11" fillId="11" borderId="0" xfId="9" applyFill="1">
      <alignment vertical="center"/>
    </xf>
    <xf numFmtId="2" fontId="11" fillId="11" borderId="0" xfId="9" applyNumberFormat="1" applyFill="1" applyAlignment="1">
      <alignment horizontal="left" vertical="center"/>
    </xf>
    <xf numFmtId="2" fontId="25" fillId="2" borderId="0" xfId="0" applyNumberFormat="1" applyFont="1" applyFill="1" applyAlignment="1">
      <alignment horizontal="right" vertical="center"/>
    </xf>
    <xf numFmtId="2" fontId="25" fillId="2" borderId="0" xfId="0" applyNumberFormat="1" applyFont="1" applyFill="1"/>
    <xf numFmtId="49" fontId="8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left"/>
    </xf>
    <xf numFmtId="0" fontId="16" fillId="4" borderId="23" xfId="0" applyFont="1" applyFill="1" applyBorder="1" applyAlignment="1">
      <alignment vertical="center"/>
    </xf>
    <xf numFmtId="0" fontId="16" fillId="4" borderId="24" xfId="0" applyFont="1" applyFill="1" applyBorder="1" applyAlignment="1">
      <alignment vertical="center"/>
    </xf>
    <xf numFmtId="0" fontId="16" fillId="13" borderId="25" xfId="0" applyFont="1" applyFill="1" applyBorder="1" applyAlignment="1">
      <alignment vertical="center"/>
    </xf>
    <xf numFmtId="0" fontId="16" fillId="12" borderId="26" xfId="0" applyFont="1" applyFill="1" applyBorder="1" applyAlignment="1">
      <alignment vertical="center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Border="1" applyAlignment="1">
      <alignment wrapText="1"/>
    </xf>
    <xf numFmtId="0" fontId="11" fillId="2" borderId="0" xfId="0" applyFont="1" applyFill="1" applyAlignment="1">
      <alignment wrapText="1"/>
    </xf>
    <xf numFmtId="0" fontId="11" fillId="2" borderId="0" xfId="0" applyFont="1" applyFill="1" applyBorder="1" applyAlignment="1"/>
    <xf numFmtId="0" fontId="28" fillId="2" borderId="0" xfId="0" applyFont="1" applyFill="1" applyBorder="1" applyAlignment="1">
      <alignment vertical="center"/>
    </xf>
    <xf numFmtId="4" fontId="0" fillId="2" borderId="0" xfId="0" applyNumberFormat="1" applyFill="1" applyBorder="1" applyAlignment="1">
      <alignment vertical="center"/>
    </xf>
    <xf numFmtId="0" fontId="30" fillId="2" borderId="27" xfId="0" applyFont="1" applyFill="1" applyBorder="1" applyAlignment="1">
      <alignment horizontal="right" vertical="center"/>
    </xf>
    <xf numFmtId="15" fontId="31" fillId="9" borderId="28" xfId="0" applyNumberFormat="1" applyFont="1" applyFill="1" applyBorder="1" applyAlignment="1" applyProtection="1">
      <alignment vertical="center"/>
    </xf>
    <xf numFmtId="0" fontId="0" fillId="2" borderId="0" xfId="0" applyFill="1" applyBorder="1" applyAlignment="1">
      <alignment vertical="center"/>
    </xf>
    <xf numFmtId="0" fontId="32" fillId="2" borderId="29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right" vertical="center"/>
    </xf>
    <xf numFmtId="4" fontId="0" fillId="2" borderId="1" xfId="0" applyNumberFormat="1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31" xfId="0" applyFill="1" applyBorder="1" applyAlignment="1">
      <alignment vertical="center"/>
    </xf>
    <xf numFmtId="0" fontId="11" fillId="2" borderId="0" xfId="0" applyFont="1" applyFill="1" applyBorder="1" applyAlignment="1">
      <alignment horizontal="left" vertical="center" shrinkToFit="1"/>
    </xf>
    <xf numFmtId="0" fontId="0" fillId="2" borderId="0" xfId="0" applyFill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4" fontId="11" fillId="2" borderId="16" xfId="0" applyNumberFormat="1" applyFont="1" applyFill="1" applyBorder="1" applyAlignment="1">
      <alignment horizontal="right" vertical="center"/>
    </xf>
    <xf numFmtId="15" fontId="0" fillId="2" borderId="0" xfId="0" applyNumberFormat="1" applyFill="1" applyBorder="1" applyAlignment="1">
      <alignment horizontal="center" vertical="center"/>
    </xf>
    <xf numFmtId="0" fontId="11" fillId="2" borderId="32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4" fontId="11" fillId="2" borderId="1" xfId="0" applyNumberFormat="1" applyFont="1" applyFill="1" applyBorder="1" applyAlignment="1">
      <alignment vertical="center"/>
    </xf>
    <xf numFmtId="0" fontId="11" fillId="2" borderId="0" xfId="0" applyFont="1" applyFill="1" applyBorder="1" applyAlignment="1">
      <alignment horizontal="right" vertical="center"/>
    </xf>
    <xf numFmtId="0" fontId="0" fillId="2" borderId="32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32" fillId="2" borderId="30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4" fontId="0" fillId="2" borderId="30" xfId="0" applyNumberFormat="1" applyFill="1" applyBorder="1" applyAlignment="1">
      <alignment vertical="center"/>
    </xf>
    <xf numFmtId="4" fontId="0" fillId="2" borderId="1" xfId="0" applyNumberFormat="1" applyFill="1" applyBorder="1" applyAlignment="1">
      <alignment horizontal="right" vertical="center"/>
    </xf>
    <xf numFmtId="0" fontId="11" fillId="2" borderId="33" xfId="0" applyFont="1" applyFill="1" applyBorder="1" applyAlignment="1">
      <alignment vertical="center"/>
    </xf>
    <xf numFmtId="4" fontId="11" fillId="0" borderId="27" xfId="0" applyNumberFormat="1" applyFont="1" applyFill="1" applyBorder="1" applyAlignment="1">
      <alignment horizontal="right" vertical="center"/>
    </xf>
    <xf numFmtId="4" fontId="11" fillId="2" borderId="0" xfId="0" applyNumberFormat="1" applyFont="1" applyFill="1" applyBorder="1" applyAlignment="1">
      <alignment vertical="center"/>
    </xf>
    <xf numFmtId="0" fontId="11" fillId="2" borderId="16" xfId="0" applyFont="1" applyFill="1" applyBorder="1" applyAlignment="1">
      <alignment vertical="center"/>
    </xf>
    <xf numFmtId="4" fontId="11" fillId="0" borderId="16" xfId="0" applyNumberFormat="1" applyFont="1" applyFill="1" applyBorder="1" applyAlignment="1">
      <alignment horizontal="right" vertical="center"/>
    </xf>
    <xf numFmtId="4" fontId="0" fillId="2" borderId="0" xfId="0" applyNumberFormat="1" applyFill="1" applyBorder="1" applyAlignment="1">
      <alignment horizontal="center" vertical="center" wrapText="1"/>
    </xf>
    <xf numFmtId="4" fontId="0" fillId="0" borderId="1" xfId="0" applyNumberFormat="1" applyFill="1" applyBorder="1" applyAlignment="1">
      <alignment vertical="center"/>
    </xf>
    <xf numFmtId="0" fontId="0" fillId="2" borderId="34" xfId="0" applyFill="1" applyBorder="1" applyAlignment="1">
      <alignment horizontal="right" vertical="center"/>
    </xf>
    <xf numFmtId="0" fontId="0" fillId="2" borderId="35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4" fontId="0" fillId="2" borderId="0" xfId="0" applyNumberFormat="1" applyFill="1" applyAlignment="1">
      <alignment vertical="center"/>
    </xf>
    <xf numFmtId="0" fontId="0" fillId="2" borderId="0" xfId="0" applyFill="1" applyAlignment="1">
      <alignment horizontal="left" vertical="center"/>
    </xf>
    <xf numFmtId="4" fontId="0" fillId="12" borderId="37" xfId="0" applyNumberFormat="1" applyFill="1" applyBorder="1" applyAlignment="1">
      <alignment vertical="center"/>
    </xf>
    <xf numFmtId="49" fontId="11" fillId="2" borderId="0" xfId="9" applyNumberFormat="1" applyFill="1" applyAlignment="1">
      <alignment horizontal="right" vertical="center" wrapText="1"/>
    </xf>
    <xf numFmtId="2" fontId="11" fillId="2" borderId="0" xfId="9" applyNumberFormat="1" applyFill="1" applyAlignment="1">
      <alignment horizontal="right" vertical="center" wrapText="1"/>
    </xf>
    <xf numFmtId="0" fontId="11" fillId="2" borderId="0" xfId="0" applyFont="1" applyFill="1" applyAlignment="1">
      <alignment horizontal="right"/>
    </xf>
    <xf numFmtId="2" fontId="10" fillId="4" borderId="0" xfId="9" applyNumberFormat="1" applyFont="1" applyFill="1" applyAlignment="1">
      <alignment horizontal="center" vertical="center"/>
    </xf>
    <xf numFmtId="2" fontId="11" fillId="2" borderId="0" xfId="0" applyNumberFormat="1" applyFont="1" applyFill="1" applyAlignment="1">
      <alignment horizontal="right"/>
    </xf>
    <xf numFmtId="0" fontId="0" fillId="12" borderId="0" xfId="0" applyFill="1"/>
    <xf numFmtId="15" fontId="0" fillId="12" borderId="0" xfId="0" applyNumberFormat="1" applyFill="1"/>
    <xf numFmtId="0" fontId="0" fillId="12" borderId="0" xfId="0" applyFill="1" applyAlignment="1">
      <alignment horizontal="center"/>
    </xf>
    <xf numFmtId="0" fontId="14" fillId="12" borderId="0" xfId="0" applyFont="1" applyFill="1" applyAlignment="1">
      <alignment horizontal="right"/>
    </xf>
    <xf numFmtId="0" fontId="11" fillId="2" borderId="0" xfId="9" applyNumberFormat="1" applyFill="1" applyAlignment="1">
      <alignment horizontal="right" vertical="center"/>
    </xf>
    <xf numFmtId="0" fontId="11" fillId="12" borderId="0" xfId="9" applyNumberFormat="1" applyFill="1" applyAlignment="1">
      <alignment horizontal="right" vertical="center"/>
    </xf>
    <xf numFmtId="0" fontId="11" fillId="12" borderId="0" xfId="9" applyNumberFormat="1" applyFont="1" applyFill="1" applyAlignment="1">
      <alignment horizontal="right" vertical="center"/>
    </xf>
    <xf numFmtId="0" fontId="16" fillId="2" borderId="0" xfId="9" applyFont="1" applyFill="1" applyAlignment="1">
      <alignment horizontal="right" vertical="center"/>
    </xf>
    <xf numFmtId="0" fontId="11" fillId="2" borderId="0" xfId="9" applyFill="1" applyBorder="1" applyAlignment="1">
      <alignment horizontal="right" vertical="center"/>
    </xf>
    <xf numFmtId="0" fontId="15" fillId="2" borderId="3" xfId="9" applyFont="1" applyFill="1" applyBorder="1" applyAlignment="1">
      <alignment horizontal="right" vertical="center"/>
    </xf>
    <xf numFmtId="0" fontId="14" fillId="2" borderId="0" xfId="9" applyFont="1" applyFill="1" applyAlignment="1">
      <alignment horizontal="right" vertical="center"/>
    </xf>
    <xf numFmtId="0" fontId="16" fillId="2" borderId="3" xfId="9" applyFont="1" applyFill="1" applyBorder="1" applyAlignment="1">
      <alignment horizontal="right" vertical="center"/>
    </xf>
    <xf numFmtId="0" fontId="16" fillId="4" borderId="0" xfId="9" applyFont="1" applyFill="1" applyAlignment="1">
      <alignment horizontal="right" vertical="center"/>
    </xf>
    <xf numFmtId="0" fontId="11" fillId="2" borderId="3" xfId="9" applyFill="1" applyBorder="1" applyAlignment="1">
      <alignment horizontal="right" vertical="center"/>
    </xf>
    <xf numFmtId="4" fontId="11" fillId="2" borderId="0" xfId="9" applyNumberFormat="1" applyFill="1" applyBorder="1" applyAlignment="1">
      <alignment horizontal="right" vertical="center"/>
    </xf>
    <xf numFmtId="2" fontId="11" fillId="2" borderId="4" xfId="9" applyNumberFormat="1" applyFill="1" applyBorder="1" applyAlignment="1">
      <alignment horizontal="right" vertical="center"/>
    </xf>
    <xf numFmtId="4" fontId="0" fillId="12" borderId="31" xfId="0" applyNumberFormat="1" applyFill="1" applyBorder="1" applyAlignment="1">
      <alignment vertical="center"/>
    </xf>
    <xf numFmtId="0" fontId="11" fillId="2" borderId="17" xfId="0" applyFont="1" applyFill="1" applyBorder="1" applyAlignment="1">
      <alignment horizontal="right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Border="1" applyAlignment="1">
      <alignment horizontal="left" vertical="center"/>
    </xf>
    <xf numFmtId="0" fontId="29" fillId="12" borderId="0" xfId="0" applyFont="1" applyFill="1" applyBorder="1" applyAlignment="1">
      <alignment horizontal="right" vertical="center"/>
    </xf>
    <xf numFmtId="4" fontId="11" fillId="12" borderId="0" xfId="0" applyNumberFormat="1" applyFont="1" applyFill="1" applyBorder="1" applyAlignment="1">
      <alignment horizontal="right" vertical="center"/>
    </xf>
    <xf numFmtId="0" fontId="34" fillId="12" borderId="0" xfId="0" applyFont="1" applyFill="1" applyBorder="1" applyAlignment="1">
      <alignment horizontal="right" vertical="center"/>
    </xf>
    <xf numFmtId="0" fontId="0" fillId="2" borderId="15" xfId="0" applyFill="1" applyBorder="1" applyAlignment="1">
      <alignment horizontal="right" vertical="center"/>
    </xf>
    <xf numFmtId="0" fontId="34" fillId="2" borderId="17" xfId="0" applyNumberFormat="1" applyFont="1" applyFill="1" applyBorder="1" applyAlignment="1">
      <alignment horizontal="right" vertical="center"/>
    </xf>
    <xf numFmtId="4" fontId="0" fillId="2" borderId="28" xfId="0" applyNumberFormat="1" applyFill="1" applyBorder="1" applyAlignment="1">
      <alignment vertical="center"/>
    </xf>
    <xf numFmtId="0" fontId="11" fillId="2" borderId="20" xfId="0" applyFont="1" applyFill="1" applyBorder="1" applyAlignment="1">
      <alignment horizontal="right" vertical="center"/>
    </xf>
    <xf numFmtId="4" fontId="0" fillId="2" borderId="18" xfId="0" applyNumberFormat="1" applyFill="1" applyBorder="1" applyAlignment="1">
      <alignment vertical="center"/>
    </xf>
    <xf numFmtId="4" fontId="34" fillId="2" borderId="19" xfId="0" applyNumberFormat="1" applyFont="1" applyFill="1" applyBorder="1" applyAlignment="1">
      <alignment vertical="center"/>
    </xf>
    <xf numFmtId="4" fontId="0" fillId="12" borderId="19" xfId="0" applyNumberFormat="1" applyFill="1" applyBorder="1" applyAlignment="1">
      <alignment vertical="center"/>
    </xf>
    <xf numFmtId="4" fontId="0" fillId="12" borderId="39" xfId="0" applyNumberFormat="1" applyFill="1" applyBorder="1" applyAlignment="1">
      <alignment vertical="center"/>
    </xf>
    <xf numFmtId="4" fontId="0" fillId="12" borderId="40" xfId="0" applyNumberFormat="1" applyFill="1" applyBorder="1" applyAlignment="1">
      <alignment vertical="center"/>
    </xf>
    <xf numFmtId="4" fontId="11" fillId="2" borderId="30" xfId="0" applyNumberFormat="1" applyFont="1" applyFill="1" applyBorder="1" applyAlignment="1">
      <alignment vertical="center"/>
    </xf>
    <xf numFmtId="43" fontId="11" fillId="2" borderId="0" xfId="2" applyFont="1" applyFill="1" applyBorder="1" applyAlignment="1">
      <alignment horizontal="right" vertical="center" shrinkToFit="1"/>
    </xf>
    <xf numFmtId="43" fontId="0" fillId="2" borderId="16" xfId="2" applyFont="1" applyFill="1" applyBorder="1" applyAlignment="1">
      <alignment horizontal="right" vertical="center"/>
    </xf>
    <xf numFmtId="15" fontId="11" fillId="2" borderId="16" xfId="0" applyNumberFormat="1" applyFont="1" applyFill="1" applyBorder="1" applyAlignment="1">
      <alignment horizontal="right" vertical="center"/>
    </xf>
    <xf numFmtId="2" fontId="11" fillId="2" borderId="0" xfId="9" applyNumberFormat="1" applyFill="1" applyBorder="1" applyAlignment="1">
      <alignment horizontal="right" vertical="center"/>
    </xf>
    <xf numFmtId="10" fontId="0" fillId="12" borderId="0" xfId="0" applyNumberFormat="1" applyFill="1" applyBorder="1" applyAlignment="1">
      <alignment horizontal="right" vertical="center"/>
    </xf>
    <xf numFmtId="43" fontId="11" fillId="2" borderId="16" xfId="2" applyFont="1" applyFill="1" applyBorder="1" applyAlignment="1">
      <alignment horizontal="right" vertical="center" shrinkToFit="1"/>
    </xf>
    <xf numFmtId="0" fontId="11" fillId="12" borderId="0" xfId="0" applyFont="1" applyFill="1" applyBorder="1" applyAlignment="1">
      <alignment horizontal="right" vertical="center"/>
    </xf>
    <xf numFmtId="0" fontId="16" fillId="14" borderId="41" xfId="0" applyFont="1" applyFill="1" applyBorder="1" applyAlignment="1">
      <alignment horizontal="center" vertical="center"/>
    </xf>
    <xf numFmtId="0" fontId="16" fillId="14" borderId="42" xfId="0" applyFont="1" applyFill="1" applyBorder="1" applyAlignment="1">
      <alignment horizontal="center" vertical="center"/>
    </xf>
    <xf numFmtId="0" fontId="11" fillId="12" borderId="0" xfId="0" applyFont="1" applyFill="1" applyAlignment="1">
      <alignment horizontal="right"/>
    </xf>
    <xf numFmtId="49" fontId="15" fillId="2" borderId="0" xfId="9" applyNumberFormat="1" applyFont="1" applyFill="1" applyBorder="1" applyAlignment="1">
      <alignment horizontal="right" vertical="center"/>
    </xf>
    <xf numFmtId="49" fontId="15" fillId="2" borderId="14" xfId="9" applyNumberFormat="1" applyFont="1" applyFill="1" applyBorder="1" applyAlignment="1">
      <alignment horizontal="right" vertical="center"/>
    </xf>
    <xf numFmtId="49" fontId="16" fillId="2" borderId="14" xfId="9" applyNumberFormat="1" applyFont="1" applyFill="1" applyBorder="1" applyAlignment="1">
      <alignment horizontal="right" vertical="center"/>
    </xf>
    <xf numFmtId="49" fontId="16" fillId="2" borderId="3" xfId="9" applyNumberFormat="1" applyFont="1" applyFill="1" applyBorder="1" applyAlignment="1">
      <alignment horizontal="right" vertical="center"/>
    </xf>
    <xf numFmtId="15" fontId="0" fillId="12" borderId="0" xfId="0" applyNumberFormat="1" applyFill="1" applyAlignment="1">
      <alignment wrapText="1"/>
    </xf>
    <xf numFmtId="0" fontId="0" fillId="12" borderId="0" xfId="0" applyFill="1" applyAlignment="1">
      <alignment wrapText="1"/>
    </xf>
    <xf numFmtId="2" fontId="8" fillId="12" borderId="0" xfId="2" applyNumberFormat="1" applyFont="1" applyFill="1"/>
    <xf numFmtId="2" fontId="35" fillId="12" borderId="0" xfId="2" applyNumberFormat="1" applyFont="1" applyFill="1"/>
    <xf numFmtId="2" fontId="11" fillId="12" borderId="0" xfId="2" applyNumberFormat="1" applyFont="1" applyFill="1" applyAlignment="1">
      <alignment horizontal="right"/>
    </xf>
    <xf numFmtId="2" fontId="8" fillId="12" borderId="0" xfId="2" applyNumberFormat="1" applyFont="1" applyFill="1" applyAlignment="1">
      <alignment horizontal="right"/>
    </xf>
    <xf numFmtId="2" fontId="16" fillId="12" borderId="16" xfId="0" applyNumberFormat="1" applyFont="1" applyFill="1" applyBorder="1" applyAlignment="1">
      <alignment horizontal="right"/>
    </xf>
    <xf numFmtId="2" fontId="16" fillId="12" borderId="2" xfId="0" applyNumberFormat="1" applyFont="1" applyFill="1" applyBorder="1" applyAlignment="1">
      <alignment horizontal="right"/>
    </xf>
    <xf numFmtId="2" fontId="16" fillId="12" borderId="16" xfId="2" applyNumberFormat="1" applyFont="1" applyFill="1" applyBorder="1" applyAlignment="1">
      <alignment horizontal="right"/>
    </xf>
    <xf numFmtId="2" fontId="14" fillId="12" borderId="0" xfId="2" applyNumberFormat="1" applyFont="1" applyFill="1" applyAlignment="1">
      <alignment horizontal="right"/>
    </xf>
    <xf numFmtId="2" fontId="0" fillId="12" borderId="0" xfId="0" applyNumberFormat="1" applyFill="1" applyAlignment="1">
      <alignment wrapText="1"/>
    </xf>
    <xf numFmtId="2" fontId="35" fillId="12" borderId="0" xfId="2" applyNumberFormat="1" applyFont="1" applyFill="1" applyAlignment="1">
      <alignment horizontal="right"/>
    </xf>
    <xf numFmtId="0" fontId="0" fillId="14" borderId="0" xfId="0" applyFill="1" applyAlignment="1">
      <alignment horizontal="center" wrapText="1"/>
    </xf>
    <xf numFmtId="2" fontId="0" fillId="14" borderId="0" xfId="0" applyNumberFormat="1" applyFill="1" applyAlignment="1">
      <alignment horizontal="center" wrapText="1"/>
    </xf>
    <xf numFmtId="2" fontId="0" fillId="14" borderId="0" xfId="0" applyNumberFormat="1" applyFill="1" applyAlignment="1">
      <alignment horizontal="right" wrapText="1"/>
    </xf>
    <xf numFmtId="0" fontId="0" fillId="14" borderId="0" xfId="0" applyFill="1" applyAlignment="1">
      <alignment wrapText="1"/>
    </xf>
    <xf numFmtId="2" fontId="0" fillId="14" borderId="0" xfId="0" applyNumberFormat="1" applyFill="1" applyAlignment="1">
      <alignment wrapText="1"/>
    </xf>
    <xf numFmtId="2" fontId="16" fillId="12" borderId="0" xfId="0" applyNumberFormat="1" applyFont="1" applyFill="1" applyBorder="1" applyAlignment="1">
      <alignment horizontal="right"/>
    </xf>
    <xf numFmtId="0" fontId="11" fillId="12" borderId="0" xfId="0" applyFont="1" applyFill="1" applyAlignment="1">
      <alignment wrapText="1"/>
    </xf>
    <xf numFmtId="0" fontId="12" fillId="2" borderId="0" xfId="0" applyFont="1" applyFill="1" applyBorder="1" applyAlignment="1">
      <alignment horizontal="center" vertical="top" wrapText="1"/>
    </xf>
    <xf numFmtId="15" fontId="12" fillId="2" borderId="0" xfId="0" applyNumberFormat="1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right" vertical="top" wrapText="1"/>
    </xf>
    <xf numFmtId="4" fontId="12" fillId="2" borderId="0" xfId="0" applyNumberFormat="1" applyFont="1" applyFill="1" applyBorder="1" applyAlignment="1">
      <alignment vertical="top" wrapText="1"/>
    </xf>
    <xf numFmtId="4" fontId="37" fillId="2" borderId="0" xfId="3" applyNumberFormat="1" applyFont="1" applyFill="1" applyBorder="1" applyAlignment="1" applyProtection="1">
      <alignment vertical="top" wrapText="1"/>
    </xf>
    <xf numFmtId="0" fontId="12" fillId="2" borderId="1" xfId="0" applyFont="1" applyFill="1" applyBorder="1" applyAlignment="1">
      <alignment horizontal="center" vertical="top" wrapText="1"/>
    </xf>
    <xf numFmtId="15" fontId="12" fillId="2" borderId="1" xfId="0" applyNumberFormat="1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left" vertical="top" wrapText="1"/>
    </xf>
    <xf numFmtId="0" fontId="0" fillId="12" borderId="0" xfId="0" applyFill="1" applyAlignment="1">
      <alignment horizontal="left"/>
    </xf>
    <xf numFmtId="0" fontId="11" fillId="12" borderId="0" xfId="0" applyFont="1" applyFill="1" applyAlignment="1">
      <alignment horizontal="center"/>
    </xf>
    <xf numFmtId="2" fontId="12" fillId="2" borderId="1" xfId="0" applyNumberFormat="1" applyFont="1" applyFill="1" applyBorder="1" applyAlignment="1">
      <alignment horizontal="right" vertical="top" wrapText="1"/>
    </xf>
    <xf numFmtId="2" fontId="12" fillId="2" borderId="1" xfId="0" applyNumberFormat="1" applyFont="1" applyFill="1" applyBorder="1" applyAlignment="1">
      <alignment vertical="top" wrapText="1"/>
    </xf>
    <xf numFmtId="0" fontId="12" fillId="14" borderId="1" xfId="0" applyFont="1" applyFill="1" applyBorder="1" applyAlignment="1">
      <alignment horizontal="center" vertical="top" wrapText="1"/>
    </xf>
    <xf numFmtId="0" fontId="11" fillId="12" borderId="0" xfId="0" applyFont="1" applyFill="1" applyBorder="1" applyAlignment="1">
      <alignment vertical="center"/>
    </xf>
    <xf numFmtId="0" fontId="39" fillId="12" borderId="0" xfId="5" applyFill="1" applyAlignment="1">
      <alignment wrapText="1"/>
    </xf>
    <xf numFmtId="0" fontId="39" fillId="12" borderId="0" xfId="5" applyFill="1"/>
    <xf numFmtId="15" fontId="39" fillId="12" borderId="0" xfId="5" applyNumberFormat="1" applyFill="1"/>
    <xf numFmtId="2" fontId="39" fillId="12" borderId="0" xfId="5" applyNumberFormat="1" applyFill="1"/>
    <xf numFmtId="0" fontId="39" fillId="14" borderId="0" xfId="5" applyFill="1" applyAlignment="1">
      <alignment wrapText="1"/>
    </xf>
    <xf numFmtId="2" fontId="39" fillId="14" borderId="0" xfId="5" applyNumberFormat="1" applyFill="1" applyAlignment="1">
      <alignment wrapText="1"/>
    </xf>
    <xf numFmtId="43" fontId="39" fillId="12" borderId="16" xfId="2" applyFont="1" applyFill="1" applyBorder="1"/>
    <xf numFmtId="2" fontId="39" fillId="12" borderId="16" xfId="5" applyNumberFormat="1" applyFill="1" applyBorder="1"/>
    <xf numFmtId="43" fontId="39" fillId="12" borderId="2" xfId="2" applyFont="1" applyFill="1" applyBorder="1"/>
    <xf numFmtId="2" fontId="39" fillId="12" borderId="0" xfId="5" applyNumberFormat="1" applyFill="1" applyAlignment="1">
      <alignment horizontal="right"/>
    </xf>
    <xf numFmtId="4" fontId="39" fillId="12" borderId="0" xfId="2" applyNumberFormat="1" applyFont="1" applyFill="1"/>
    <xf numFmtId="0" fontId="39" fillId="12" borderId="16" xfId="2" applyNumberFormat="1" applyFont="1" applyFill="1" applyBorder="1"/>
    <xf numFmtId="0" fontId="39" fillId="14" borderId="0" xfId="5" applyFill="1"/>
    <xf numFmtId="2" fontId="39" fillId="14" borderId="0" xfId="5" applyNumberFormat="1" applyFill="1"/>
    <xf numFmtId="2" fontId="39" fillId="12" borderId="0" xfId="2" applyNumberFormat="1" applyFont="1" applyFill="1" applyAlignment="1">
      <alignment wrapText="1"/>
    </xf>
    <xf numFmtId="2" fontId="39" fillId="12" borderId="0" xfId="5" applyNumberFormat="1" applyFill="1" applyAlignment="1">
      <alignment wrapText="1"/>
    </xf>
    <xf numFmtId="2" fontId="39" fillId="12" borderId="0" xfId="2" applyNumberFormat="1" applyFont="1" applyFill="1"/>
    <xf numFmtId="4" fontId="39" fillId="12" borderId="16" xfId="2" applyNumberFormat="1" applyFont="1" applyFill="1" applyBorder="1"/>
    <xf numFmtId="4" fontId="39" fillId="12" borderId="16" xfId="5" applyNumberFormat="1" applyFill="1" applyBorder="1"/>
    <xf numFmtId="4" fontId="39" fillId="12" borderId="2" xfId="2" applyNumberFormat="1" applyFont="1" applyFill="1" applyBorder="1"/>
    <xf numFmtId="2" fontId="39" fillId="12" borderId="0" xfId="2" applyNumberFormat="1" applyFont="1" applyFill="1" applyAlignment="1">
      <alignment horizontal="right"/>
    </xf>
    <xf numFmtId="2" fontId="39" fillId="14" borderId="0" xfId="2" applyNumberFormat="1" applyFont="1" applyFill="1" applyAlignment="1">
      <alignment wrapText="1"/>
    </xf>
    <xf numFmtId="2" fontId="39" fillId="14" borderId="0" xfId="2" applyNumberFormat="1" applyFont="1" applyFill="1" applyAlignment="1">
      <alignment horizontal="center" wrapText="1"/>
    </xf>
    <xf numFmtId="1" fontId="23" fillId="4" borderId="0" xfId="0" applyNumberFormat="1" applyFont="1" applyFill="1" applyAlignment="1">
      <alignment horizontal="center" vertical="center" wrapText="1"/>
    </xf>
    <xf numFmtId="1" fontId="24" fillId="2" borderId="0" xfId="0" applyNumberFormat="1" applyFont="1" applyFill="1" applyAlignment="1">
      <alignment horizontal="right"/>
    </xf>
    <xf numFmtId="1" fontId="24" fillId="2" borderId="0" xfId="0" applyNumberFormat="1" applyFont="1" applyFill="1" applyAlignment="1">
      <alignment horizontal="right" vertical="center"/>
    </xf>
    <xf numFmtId="1" fontId="24" fillId="2" borderId="0" xfId="0" applyNumberFormat="1" applyFont="1" applyFill="1"/>
    <xf numFmtId="15" fontId="39" fillId="15" borderId="0" xfId="5" applyNumberFormat="1" applyFill="1"/>
    <xf numFmtId="0" fontId="39" fillId="15" borderId="0" xfId="5" applyFill="1"/>
    <xf numFmtId="2" fontId="39" fillId="15" borderId="0" xfId="5" applyNumberFormat="1" applyFill="1"/>
    <xf numFmtId="4" fontId="11" fillId="0" borderId="0" xfId="0" applyNumberFormat="1" applyFont="1" applyBorder="1"/>
    <xf numFmtId="0" fontId="11" fillId="12" borderId="32" xfId="0" applyFont="1" applyFill="1" applyBorder="1" applyAlignment="1">
      <alignment vertical="center"/>
    </xf>
    <xf numFmtId="4" fontId="11" fillId="12" borderId="0" xfId="0" applyNumberFormat="1" applyFont="1" applyFill="1" applyBorder="1" applyAlignment="1">
      <alignment vertical="center"/>
    </xf>
    <xf numFmtId="4" fontId="0" fillId="2" borderId="44" xfId="0" applyNumberFormat="1" applyFill="1" applyBorder="1" applyAlignment="1">
      <alignment vertical="center"/>
    </xf>
    <xf numFmtId="0" fontId="0" fillId="2" borderId="44" xfId="0" applyFill="1" applyBorder="1" applyAlignment="1">
      <alignment horizontal="center" vertical="center"/>
    </xf>
    <xf numFmtId="2" fontId="11" fillId="2" borderId="32" xfId="0" applyNumberFormat="1" applyFont="1" applyFill="1" applyBorder="1" applyAlignment="1">
      <alignment vertical="center"/>
    </xf>
    <xf numFmtId="4" fontId="0" fillId="2" borderId="45" xfId="0" applyNumberFormat="1" applyFill="1" applyBorder="1" applyAlignment="1">
      <alignment vertical="center"/>
    </xf>
    <xf numFmtId="4" fontId="33" fillId="2" borderId="0" xfId="0" applyNumberFormat="1" applyFont="1" applyFill="1" applyBorder="1" applyAlignment="1">
      <alignment horizontal="right" vertical="center" wrapText="1"/>
    </xf>
    <xf numFmtId="0" fontId="30" fillId="12" borderId="0" xfId="0" applyFont="1" applyFill="1" applyBorder="1" applyAlignment="1">
      <alignment horizontal="right" vertical="center"/>
    </xf>
    <xf numFmtId="0" fontId="11" fillId="12" borderId="31" xfId="0" applyFont="1" applyFill="1" applyBorder="1" applyAlignment="1">
      <alignment vertical="center"/>
    </xf>
    <xf numFmtId="0" fontId="32" fillId="2" borderId="22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left" vertical="center"/>
    </xf>
    <xf numFmtId="0" fontId="16" fillId="2" borderId="14" xfId="0" applyFont="1" applyFill="1" applyBorder="1" applyAlignment="1">
      <alignment vertical="center"/>
    </xf>
    <xf numFmtId="4" fontId="0" fillId="2" borderId="0" xfId="0" applyNumberFormat="1" applyFill="1" applyBorder="1" applyAlignment="1">
      <alignment horizontal="right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right" vertical="center"/>
    </xf>
    <xf numFmtId="4" fontId="0" fillId="12" borderId="0" xfId="0" applyNumberFormat="1" applyFill="1" applyBorder="1" applyAlignment="1">
      <alignment horizontal="right" vertical="center"/>
    </xf>
    <xf numFmtId="0" fontId="11" fillId="11" borderId="1" xfId="0" applyFont="1" applyFill="1" applyBorder="1" applyAlignment="1">
      <alignment horizontal="right" vertical="center"/>
    </xf>
    <xf numFmtId="4" fontId="0" fillId="2" borderId="35" xfId="0" applyNumberFormat="1" applyFill="1" applyBorder="1" applyAlignment="1">
      <alignment horizontal="right" vertical="center"/>
    </xf>
    <xf numFmtId="4" fontId="0" fillId="2" borderId="49" xfId="0" applyNumberFormat="1" applyFill="1" applyBorder="1" applyAlignment="1">
      <alignment horizontal="right" vertical="center"/>
    </xf>
    <xf numFmtId="4" fontId="0" fillId="2" borderId="50" xfId="0" applyNumberFormat="1" applyFill="1" applyBorder="1" applyAlignment="1">
      <alignment horizontal="right" vertical="center"/>
    </xf>
    <xf numFmtId="0" fontId="16" fillId="14" borderId="43" xfId="0" applyFont="1" applyFill="1" applyBorder="1" applyAlignment="1">
      <alignment horizontal="center" vertical="center"/>
    </xf>
    <xf numFmtId="4" fontId="11" fillId="2" borderId="29" xfId="0" applyNumberFormat="1" applyFont="1" applyFill="1" applyBorder="1" applyAlignment="1">
      <alignment horizontal="right" vertical="center"/>
    </xf>
    <xf numFmtId="0" fontId="11" fillId="2" borderId="30" xfId="0" applyFont="1" applyFill="1" applyBorder="1" applyAlignment="1">
      <alignment vertical="center" wrapText="1"/>
    </xf>
    <xf numFmtId="4" fontId="0" fillId="2" borderId="29" xfId="0" applyNumberFormat="1" applyFill="1" applyBorder="1" applyAlignment="1">
      <alignment horizontal="right" vertical="center"/>
    </xf>
    <xf numFmtId="4" fontId="0" fillId="2" borderId="46" xfId="0" applyNumberFormat="1" applyFill="1" applyBorder="1" applyAlignment="1">
      <alignment horizontal="right" vertical="center"/>
    </xf>
    <xf numFmtId="0" fontId="0" fillId="11" borderId="47" xfId="0" applyFill="1" applyBorder="1" applyAlignment="1">
      <alignment horizontal="right" vertical="center"/>
    </xf>
    <xf numFmtId="4" fontId="0" fillId="2" borderId="47" xfId="0" applyNumberFormat="1" applyFill="1" applyBorder="1" applyAlignment="1">
      <alignment vertical="center"/>
    </xf>
    <xf numFmtId="0" fontId="11" fillId="2" borderId="48" xfId="0" applyFont="1" applyFill="1" applyBorder="1" applyAlignment="1">
      <alignment vertical="center" wrapText="1"/>
    </xf>
    <xf numFmtId="49" fontId="11" fillId="2" borderId="0" xfId="9" applyNumberFormat="1" applyFill="1" applyAlignment="1">
      <alignment horizontal="center" vertical="center"/>
    </xf>
    <xf numFmtId="0" fontId="16" fillId="2" borderId="0" xfId="9" applyFont="1" applyFill="1" applyAlignment="1">
      <alignment horizontal="center" vertical="center"/>
    </xf>
    <xf numFmtId="0" fontId="11" fillId="2" borderId="0" xfId="9" applyFill="1" applyBorder="1" applyAlignment="1">
      <alignment horizontal="center" vertical="center"/>
    </xf>
    <xf numFmtId="2" fontId="11" fillId="2" borderId="0" xfId="9" applyNumberFormat="1" applyFill="1" applyAlignment="1">
      <alignment horizontal="center"/>
    </xf>
    <xf numFmtId="0" fontId="15" fillId="2" borderId="3" xfId="9" applyFont="1" applyFill="1" applyBorder="1" applyAlignment="1">
      <alignment horizontal="center" vertical="center"/>
    </xf>
    <xf numFmtId="0" fontId="16" fillId="2" borderId="3" xfId="9" applyFont="1" applyFill="1" applyBorder="1" applyAlignment="1">
      <alignment horizontal="center" vertical="center"/>
    </xf>
    <xf numFmtId="2" fontId="11" fillId="12" borderId="0" xfId="9" applyNumberFormat="1" applyFill="1" applyAlignment="1">
      <alignment horizontal="center"/>
    </xf>
    <xf numFmtId="2" fontId="15" fillId="2" borderId="0" xfId="9" applyNumberFormat="1" applyFont="1" applyFill="1" applyAlignment="1">
      <alignment horizontal="center" vertical="center"/>
    </xf>
    <xf numFmtId="2" fontId="11" fillId="2" borderId="3" xfId="9" applyNumberFormat="1" applyFill="1" applyBorder="1" applyAlignment="1">
      <alignment horizontal="right" vertical="center"/>
    </xf>
    <xf numFmtId="4" fontId="11" fillId="2" borderId="0" xfId="9" applyNumberFormat="1" applyFill="1" applyAlignment="1">
      <alignment horizontal="right" vertical="center" wrapText="1"/>
    </xf>
    <xf numFmtId="2" fontId="0" fillId="2" borderId="2" xfId="0" applyNumberFormat="1" applyFill="1" applyBorder="1" applyAlignment="1">
      <alignment horizontal="right"/>
    </xf>
    <xf numFmtId="49" fontId="11" fillId="2" borderId="0" xfId="9" applyNumberFormat="1" applyFont="1" applyFill="1" applyAlignment="1">
      <alignment horizontal="center" vertical="center"/>
    </xf>
    <xf numFmtId="49" fontId="11" fillId="12" borderId="0" xfId="9" applyNumberFormat="1" applyFont="1" applyFill="1" applyAlignment="1">
      <alignment horizontal="center" vertical="center"/>
    </xf>
    <xf numFmtId="49" fontId="11" fillId="12" borderId="0" xfId="9" applyNumberFormat="1" applyFill="1" applyAlignment="1">
      <alignment horizontal="center" vertical="center"/>
    </xf>
    <xf numFmtId="0" fontId="11" fillId="12" borderId="0" xfId="9" applyNumberFormat="1" applyFont="1" applyFill="1" applyAlignment="1">
      <alignment horizontal="center" vertical="center"/>
    </xf>
    <xf numFmtId="0" fontId="11" fillId="2" borderId="0" xfId="9" applyNumberFormat="1" applyFill="1" applyAlignment="1">
      <alignment horizontal="center" vertical="center"/>
    </xf>
    <xf numFmtId="2" fontId="11" fillId="12" borderId="0" xfId="0" applyNumberFormat="1" applyFont="1" applyFill="1" applyAlignment="1">
      <alignment horizontal="center"/>
    </xf>
    <xf numFmtId="1" fontId="11" fillId="2" borderId="0" xfId="9" applyNumberFormat="1" applyFont="1" applyFill="1" applyAlignment="1">
      <alignment horizontal="center" vertical="center"/>
    </xf>
    <xf numFmtId="2" fontId="11" fillId="2" borderId="0" xfId="9" applyNumberFormat="1" applyFont="1" applyFill="1" applyAlignment="1">
      <alignment horizontal="center" vertical="center" wrapText="1"/>
    </xf>
    <xf numFmtId="2" fontId="11" fillId="2" borderId="0" xfId="9" applyNumberFormat="1" applyFill="1" applyBorder="1" applyAlignment="1">
      <alignment horizontal="center" vertical="center"/>
    </xf>
    <xf numFmtId="2" fontId="15" fillId="2" borderId="3" xfId="9" applyNumberFormat="1" applyFont="1" applyFill="1" applyBorder="1" applyAlignment="1">
      <alignment horizontal="center" vertical="center"/>
    </xf>
    <xf numFmtId="2" fontId="16" fillId="2" borderId="3" xfId="9" applyNumberFormat="1" applyFont="1" applyFill="1" applyBorder="1" applyAlignment="1">
      <alignment horizontal="center" vertical="center"/>
    </xf>
    <xf numFmtId="2" fontId="11" fillId="2" borderId="0" xfId="9" applyNumberFormat="1" applyFill="1" applyAlignment="1">
      <alignment horizontal="center" vertical="center" wrapText="1"/>
    </xf>
    <xf numFmtId="2" fontId="11" fillId="2" borderId="5" xfId="9" applyNumberFormat="1" applyFont="1" applyFill="1" applyBorder="1" applyAlignment="1">
      <alignment horizontal="right" vertical="center"/>
    </xf>
    <xf numFmtId="2" fontId="11" fillId="2" borderId="9" xfId="9" applyNumberFormat="1" applyFont="1" applyFill="1" applyBorder="1" applyAlignment="1">
      <alignment horizontal="right" vertical="center"/>
    </xf>
    <xf numFmtId="2" fontId="11" fillId="2" borderId="20" xfId="9" applyNumberFormat="1" applyFill="1" applyBorder="1" applyAlignment="1">
      <alignment horizontal="right" vertical="center"/>
    </xf>
    <xf numFmtId="2" fontId="11" fillId="2" borderId="15" xfId="9" applyNumberFormat="1" applyFill="1" applyBorder="1" applyAlignment="1">
      <alignment horizontal="right" vertical="center"/>
    </xf>
    <xf numFmtId="2" fontId="11" fillId="2" borderId="17" xfId="9" applyNumberFormat="1" applyFill="1" applyBorder="1" applyAlignment="1">
      <alignment horizontal="right" vertical="center"/>
    </xf>
    <xf numFmtId="2" fontId="10" fillId="4" borderId="0" xfId="9" applyNumberFormat="1" applyFont="1" applyFill="1" applyAlignment="1">
      <alignment horizontal="right" vertical="center"/>
    </xf>
    <xf numFmtId="2" fontId="11" fillId="11" borderId="0" xfId="9" applyNumberFormat="1" applyFont="1" applyFill="1" applyAlignment="1">
      <alignment horizontal="right" vertical="center"/>
    </xf>
    <xf numFmtId="2" fontId="11" fillId="12" borderId="0" xfId="9" applyNumberFormat="1" applyFont="1" applyFill="1" applyAlignment="1">
      <alignment horizontal="right" vertical="center"/>
    </xf>
    <xf numFmtId="0" fontId="11" fillId="11" borderId="0" xfId="9" applyFill="1" applyAlignment="1">
      <alignment horizontal="right" vertical="center"/>
    </xf>
    <xf numFmtId="2" fontId="15" fillId="2" borderId="3" xfId="9" applyNumberFormat="1" applyFont="1" applyFill="1" applyBorder="1" applyAlignment="1">
      <alignment horizontal="right" vertical="center"/>
    </xf>
    <xf numFmtId="2" fontId="16" fillId="2" borderId="3" xfId="9" applyNumberFormat="1" applyFont="1" applyFill="1" applyBorder="1" applyAlignment="1">
      <alignment horizontal="right" vertical="center"/>
    </xf>
    <xf numFmtId="2" fontId="16" fillId="4" borderId="0" xfId="9" applyNumberFormat="1" applyFont="1" applyFill="1" applyAlignment="1">
      <alignment horizontal="right" vertical="center"/>
    </xf>
    <xf numFmtId="0" fontId="11" fillId="2" borderId="0" xfId="0" applyFont="1" applyFill="1" applyBorder="1" applyAlignment="1">
      <alignment horizontal="right" wrapText="1"/>
    </xf>
    <xf numFmtId="0" fontId="11" fillId="2" borderId="0" xfId="1" applyFont="1" applyFill="1" applyAlignment="1">
      <alignment horizontal="right" vertical="center"/>
    </xf>
    <xf numFmtId="0" fontId="0" fillId="2" borderId="0" xfId="0" applyFill="1" applyBorder="1" applyAlignment="1">
      <alignment horizontal="right" vertical="center" wrapText="1"/>
    </xf>
    <xf numFmtId="0" fontId="11" fillId="2" borderId="0" xfId="0" applyFont="1" applyFill="1" applyBorder="1" applyAlignment="1">
      <alignment horizontal="right" vertical="center" wrapText="1"/>
    </xf>
    <xf numFmtId="0" fontId="11" fillId="2" borderId="0" xfId="9" applyFill="1" applyAlignment="1">
      <alignment horizontal="right" vertical="center" wrapText="1"/>
    </xf>
    <xf numFmtId="0" fontId="11" fillId="2" borderId="0" xfId="0" applyFont="1" applyFill="1" applyAlignment="1">
      <alignment horizontal="right" wrapText="1"/>
    </xf>
    <xf numFmtId="2" fontId="11" fillId="2" borderId="15" xfId="9" applyNumberFormat="1" applyFont="1" applyFill="1" applyBorder="1" applyAlignment="1">
      <alignment horizontal="right" vertical="center"/>
    </xf>
    <xf numFmtId="2" fontId="15" fillId="2" borderId="3" xfId="9" applyNumberFormat="1" applyFont="1" applyFill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2" fontId="11" fillId="2" borderId="1" xfId="0" applyNumberFormat="1" applyFont="1" applyFill="1" applyBorder="1" applyAlignment="1">
      <alignment vertical="center"/>
    </xf>
    <xf numFmtId="2" fontId="0" fillId="2" borderId="1" xfId="0" applyNumberFormat="1" applyFill="1" applyBorder="1" applyAlignment="1">
      <alignment horizontal="right" vertical="center"/>
    </xf>
    <xf numFmtId="4" fontId="32" fillId="2" borderId="1" xfId="2" applyNumberFormat="1" applyFont="1" applyFill="1" applyBorder="1" applyAlignment="1">
      <alignment horizontal="center" vertical="center"/>
    </xf>
    <xf numFmtId="4" fontId="0" fillId="2" borderId="1" xfId="2" applyNumberFormat="1" applyFont="1" applyFill="1" applyBorder="1" applyAlignment="1">
      <alignment vertical="center"/>
    </xf>
    <xf numFmtId="4" fontId="0" fillId="7" borderId="1" xfId="2" applyNumberFormat="1" applyFont="1" applyFill="1" applyBorder="1" applyAlignment="1">
      <alignment vertical="center"/>
    </xf>
    <xf numFmtId="4" fontId="38" fillId="12" borderId="0" xfId="2" applyNumberFormat="1" applyFont="1" applyFill="1" applyBorder="1" applyAlignment="1">
      <alignment vertical="center"/>
    </xf>
    <xf numFmtId="4" fontId="11" fillId="2" borderId="0" xfId="2" applyNumberFormat="1" applyFont="1" applyFill="1" applyBorder="1" applyAlignment="1">
      <alignment vertical="center"/>
    </xf>
    <xf numFmtId="4" fontId="11" fillId="2" borderId="1" xfId="2" applyNumberFormat="1" applyFont="1" applyFill="1" applyBorder="1" applyAlignment="1">
      <alignment vertical="center"/>
    </xf>
    <xf numFmtId="4" fontId="12" fillId="14" borderId="1" xfId="2" applyNumberFormat="1" applyFont="1" applyFill="1" applyBorder="1" applyAlignment="1">
      <alignment horizontal="center" vertical="top" wrapText="1"/>
    </xf>
    <xf numFmtId="4" fontId="12" fillId="2" borderId="1" xfId="2" applyNumberFormat="1" applyFont="1" applyFill="1" applyBorder="1" applyAlignment="1">
      <alignment horizontal="left" vertical="top" wrapText="1"/>
    </xf>
    <xf numFmtId="4" fontId="0" fillId="2" borderId="0" xfId="2" applyNumberFormat="1" applyFont="1" applyFill="1" applyAlignment="1">
      <alignment vertical="center"/>
    </xf>
    <xf numFmtId="9" fontId="38" fillId="12" borderId="0" xfId="10" applyFont="1" applyFill="1" applyBorder="1" applyAlignment="1">
      <alignment horizontal="center" vertical="center"/>
    </xf>
    <xf numFmtId="4" fontId="38" fillId="12" borderId="0" xfId="2" applyNumberFormat="1" applyFont="1" applyFill="1" applyBorder="1" applyAlignment="1">
      <alignment horizontal="right" vertical="center"/>
    </xf>
    <xf numFmtId="49" fontId="8" fillId="2" borderId="0" xfId="9" applyNumberFormat="1" applyFont="1" applyFill="1" applyAlignment="1">
      <alignment horizontal="right" vertical="center"/>
    </xf>
    <xf numFmtId="0" fontId="8" fillId="2" borderId="0" xfId="9" applyFont="1" applyFill="1" applyAlignment="1">
      <alignment horizontal="right" vertical="center"/>
    </xf>
    <xf numFmtId="0" fontId="8" fillId="2" borderId="0" xfId="9" applyFont="1" applyFill="1" applyAlignment="1">
      <alignment horizontal="center" vertical="center"/>
    </xf>
    <xf numFmtId="0" fontId="8" fillId="2" borderId="29" xfId="0" applyFont="1" applyFill="1" applyBorder="1" applyAlignment="1">
      <alignment vertical="center"/>
    </xf>
    <xf numFmtId="0" fontId="8" fillId="12" borderId="0" xfId="0" applyFont="1" applyFill="1" applyBorder="1" applyAlignment="1">
      <alignment horizontal="right" vertical="center"/>
    </xf>
    <xf numFmtId="49" fontId="14" fillId="15" borderId="0" xfId="9" applyNumberFormat="1" applyFont="1" applyFill="1" applyAlignment="1">
      <alignment horizontal="right" vertical="center"/>
    </xf>
    <xf numFmtId="0" fontId="14" fillId="15" borderId="0" xfId="9" applyFont="1" applyFill="1" applyAlignment="1">
      <alignment horizontal="right" vertical="center"/>
    </xf>
    <xf numFmtId="0" fontId="14" fillId="15" borderId="0" xfId="9" applyFont="1" applyFill="1" applyAlignment="1">
      <alignment horizontal="center" vertical="center"/>
    </xf>
    <xf numFmtId="2" fontId="14" fillId="15" borderId="0" xfId="9" applyNumberFormat="1" applyFont="1" applyFill="1" applyAlignment="1">
      <alignment horizontal="right" vertical="center"/>
    </xf>
    <xf numFmtId="2" fontId="10" fillId="15" borderId="0" xfId="9" applyNumberFormat="1" applyFont="1" applyFill="1" applyAlignment="1">
      <alignment horizontal="center" vertical="center"/>
    </xf>
    <xf numFmtId="2" fontId="10" fillId="15" borderId="0" xfId="9" applyNumberFormat="1" applyFont="1" applyFill="1" applyAlignment="1">
      <alignment horizontal="right" vertical="center"/>
    </xf>
    <xf numFmtId="4" fontId="16" fillId="15" borderId="1" xfId="9" applyNumberFormat="1" applyFont="1" applyFill="1" applyBorder="1">
      <alignment vertical="center"/>
    </xf>
    <xf numFmtId="4" fontId="16" fillId="15" borderId="1" xfId="9" applyNumberFormat="1" applyFont="1" applyFill="1" applyBorder="1" applyAlignment="1">
      <alignment horizontal="right" vertical="center"/>
    </xf>
    <xf numFmtId="2" fontId="8" fillId="2" borderId="21" xfId="9" applyNumberFormat="1" applyFont="1" applyFill="1" applyBorder="1" applyAlignment="1">
      <alignment horizontal="right" vertical="center"/>
    </xf>
    <xf numFmtId="0" fontId="11" fillId="12" borderId="0" xfId="9" applyFill="1" applyAlignment="1">
      <alignment horizontal="left" vertical="center"/>
    </xf>
    <xf numFmtId="49" fontId="11" fillId="2" borderId="0" xfId="9" applyNumberFormat="1" applyFill="1" applyAlignment="1">
      <alignment horizontal="left" vertical="center" wrapText="1"/>
    </xf>
    <xf numFmtId="166" fontId="0" fillId="2" borderId="0" xfId="0" applyNumberFormat="1" applyFill="1" applyAlignment="1">
      <alignment horizontal="left"/>
    </xf>
    <xf numFmtId="14" fontId="11" fillId="2" borderId="0" xfId="9" applyNumberFormat="1" applyFill="1" applyAlignment="1">
      <alignment horizontal="left" vertical="center"/>
    </xf>
    <xf numFmtId="0" fontId="11" fillId="12" borderId="0" xfId="9" applyFill="1" applyAlignment="1">
      <alignment vertical="center"/>
    </xf>
    <xf numFmtId="49" fontId="16" fillId="4" borderId="0" xfId="9" applyNumberFormat="1" applyFont="1" applyFill="1" applyAlignment="1">
      <alignment vertical="center"/>
    </xf>
    <xf numFmtId="49" fontId="11" fillId="2" borderId="0" xfId="9" applyNumberFormat="1" applyFill="1" applyAlignment="1">
      <alignment vertical="center" wrapText="1"/>
    </xf>
    <xf numFmtId="166" fontId="0" fillId="2" borderId="0" xfId="0" applyNumberFormat="1" applyFill="1" applyAlignment="1"/>
    <xf numFmtId="14" fontId="11" fillId="2" borderId="0" xfId="9" applyNumberFormat="1" applyFill="1" applyAlignment="1">
      <alignment vertical="center"/>
    </xf>
    <xf numFmtId="49" fontId="15" fillId="2" borderId="0" xfId="9" applyNumberFormat="1" applyFont="1" applyFill="1" applyAlignment="1">
      <alignment horizontal="left" vertical="center"/>
    </xf>
    <xf numFmtId="49" fontId="15" fillId="2" borderId="0" xfId="9" applyNumberFormat="1" applyFont="1" applyFill="1" applyBorder="1" applyAlignment="1">
      <alignment horizontal="left" vertical="center"/>
    </xf>
    <xf numFmtId="2" fontId="14" fillId="15" borderId="0" xfId="9" applyNumberFormat="1" applyFont="1" applyFill="1" applyAlignment="1">
      <alignment horizontal="center" vertical="center"/>
    </xf>
    <xf numFmtId="49" fontId="16" fillId="15" borderId="0" xfId="9" applyNumberFormat="1" applyFont="1" applyFill="1" applyAlignment="1">
      <alignment horizontal="left" vertical="center"/>
    </xf>
    <xf numFmtId="49" fontId="16" fillId="15" borderId="0" xfId="9" applyNumberFormat="1" applyFont="1" applyFill="1" applyAlignment="1">
      <alignment horizontal="right" vertical="center"/>
    </xf>
    <xf numFmtId="0" fontId="16" fillId="15" borderId="0" xfId="9" applyFont="1" applyFill="1" applyAlignment="1">
      <alignment horizontal="right" vertical="center"/>
    </xf>
    <xf numFmtId="0" fontId="16" fillId="15" borderId="0" xfId="9" applyFont="1" applyFill="1" applyAlignment="1">
      <alignment horizontal="center" vertical="center"/>
    </xf>
    <xf numFmtId="2" fontId="16" fillId="15" borderId="0" xfId="9" applyNumberFormat="1" applyFont="1" applyFill="1" applyAlignment="1">
      <alignment horizontal="right" vertical="center"/>
    </xf>
    <xf numFmtId="49" fontId="8" fillId="2" borderId="0" xfId="9" applyNumberFormat="1" applyFont="1" applyFill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  <xf numFmtId="2" fontId="8" fillId="2" borderId="0" xfId="9" applyNumberFormat="1" applyFont="1" applyFill="1" applyAlignment="1">
      <alignment horizontal="right" vertical="center"/>
    </xf>
    <xf numFmtId="0" fontId="16" fillId="14" borderId="23" xfId="0" applyFont="1" applyFill="1" applyBorder="1" applyAlignment="1">
      <alignment horizontal="center" vertical="center" wrapText="1"/>
    </xf>
    <xf numFmtId="0" fontId="16" fillId="14" borderId="25" xfId="0" applyFont="1" applyFill="1" applyBorder="1" applyAlignment="1">
      <alignment horizontal="center" vertical="center"/>
    </xf>
    <xf numFmtId="4" fontId="0" fillId="2" borderId="4" xfId="0" applyNumberFormat="1" applyFill="1" applyBorder="1" applyAlignment="1">
      <alignment vertical="center"/>
    </xf>
    <xf numFmtId="4" fontId="0" fillId="12" borderId="55" xfId="0" applyNumberFormat="1" applyFill="1" applyBorder="1" applyAlignment="1">
      <alignment vertical="center"/>
    </xf>
    <xf numFmtId="4" fontId="0" fillId="12" borderId="54" xfId="0" applyNumberFormat="1" applyFill="1" applyBorder="1" applyAlignment="1">
      <alignment vertical="center"/>
    </xf>
    <xf numFmtId="0" fontId="8" fillId="12" borderId="0" xfId="0" applyFont="1" applyFill="1" applyAlignment="1">
      <alignment horizontal="center"/>
    </xf>
    <xf numFmtId="1" fontId="8" fillId="2" borderId="0" xfId="9" applyNumberFormat="1" applyFont="1" applyFill="1" applyAlignment="1">
      <alignment horizontal="center" vertical="center"/>
    </xf>
    <xf numFmtId="2" fontId="8" fillId="2" borderId="0" xfId="9" applyNumberFormat="1" applyFont="1" applyFill="1" applyAlignment="1">
      <alignment horizontal="center" vertical="center"/>
    </xf>
    <xf numFmtId="0" fontId="8" fillId="2" borderId="0" xfId="0" applyFont="1" applyFill="1" applyBorder="1" applyAlignment="1">
      <alignment horizontal="right" vertical="center" wrapText="1"/>
    </xf>
    <xf numFmtId="15" fontId="8" fillId="2" borderId="30" xfId="0" applyNumberFormat="1" applyFont="1" applyFill="1" applyBorder="1" applyAlignment="1">
      <alignment horizontal="right" vertical="center"/>
    </xf>
    <xf numFmtId="0" fontId="11" fillId="2" borderId="29" xfId="0" applyFont="1" applyFill="1" applyBorder="1" applyAlignment="1">
      <alignment vertical="center"/>
    </xf>
    <xf numFmtId="4" fontId="0" fillId="2" borderId="36" xfId="0" applyNumberFormat="1" applyFill="1" applyBorder="1" applyAlignment="1">
      <alignment vertical="center"/>
    </xf>
    <xf numFmtId="0" fontId="0" fillId="2" borderId="36" xfId="0" applyFill="1" applyBorder="1" applyAlignment="1">
      <alignment horizontal="right" vertical="center"/>
    </xf>
    <xf numFmtId="0" fontId="16" fillId="2" borderId="0" xfId="9" applyFont="1" applyFill="1" applyAlignment="1">
      <alignment horizontal="right" vertical="center" wrapText="1"/>
    </xf>
    <xf numFmtId="0" fontId="11" fillId="2" borderId="0" xfId="9" applyFill="1" applyBorder="1" applyAlignment="1">
      <alignment horizontal="right" vertical="center" wrapText="1"/>
    </xf>
    <xf numFmtId="49" fontId="11" fillId="2" borderId="0" xfId="9" applyNumberFormat="1" applyFont="1" applyFill="1" applyAlignment="1">
      <alignment horizontal="right" vertical="center" wrapText="1"/>
    </xf>
    <xf numFmtId="49" fontId="0" fillId="2" borderId="0" xfId="0" applyNumberFormat="1" applyFill="1" applyAlignment="1">
      <alignment horizontal="right" wrapText="1"/>
    </xf>
    <xf numFmtId="0" fontId="15" fillId="2" borderId="3" xfId="9" applyFont="1" applyFill="1" applyBorder="1" applyAlignment="1">
      <alignment horizontal="right" vertical="center" wrapText="1"/>
    </xf>
    <xf numFmtId="0" fontId="14" fillId="4" borderId="0" xfId="9" applyFont="1" applyFill="1" applyAlignment="1">
      <alignment horizontal="right" vertical="center" wrapText="1"/>
    </xf>
    <xf numFmtId="0" fontId="8" fillId="2" borderId="0" xfId="9" applyFont="1" applyFill="1" applyAlignment="1">
      <alignment horizontal="right" vertical="center" wrapText="1"/>
    </xf>
    <xf numFmtId="0" fontId="14" fillId="2" borderId="0" xfId="9" applyFont="1" applyFill="1" applyAlignment="1">
      <alignment horizontal="right" vertical="center" wrapText="1"/>
    </xf>
    <xf numFmtId="0" fontId="16" fillId="2" borderId="3" xfId="9" applyFont="1" applyFill="1" applyBorder="1" applyAlignment="1">
      <alignment horizontal="right" vertical="center" wrapText="1"/>
    </xf>
    <xf numFmtId="49" fontId="11" fillId="12" borderId="0" xfId="9" applyNumberFormat="1" applyFont="1" applyFill="1" applyAlignment="1">
      <alignment horizontal="right" vertical="center" wrapText="1"/>
    </xf>
    <xf numFmtId="0" fontId="16" fillId="4" borderId="0" xfId="9" applyFont="1" applyFill="1" applyAlignment="1">
      <alignment horizontal="right" vertical="center" wrapText="1"/>
    </xf>
    <xf numFmtId="0" fontId="11" fillId="2" borderId="0" xfId="1" applyFont="1" applyFill="1" applyAlignment="1">
      <alignment horizontal="right" vertical="center" wrapText="1"/>
    </xf>
    <xf numFmtId="0" fontId="11" fillId="2" borderId="0" xfId="9" applyFont="1" applyFill="1" applyAlignment="1">
      <alignment horizontal="right" vertical="center" wrapText="1"/>
    </xf>
    <xf numFmtId="0" fontId="11" fillId="2" borderId="3" xfId="9" applyFill="1" applyBorder="1" applyAlignment="1">
      <alignment horizontal="right" vertical="center" wrapText="1"/>
    </xf>
    <xf numFmtId="4" fontId="0" fillId="12" borderId="0" xfId="0" applyNumberFormat="1" applyFill="1" applyBorder="1" applyAlignment="1">
      <alignment vertical="center"/>
    </xf>
    <xf numFmtId="4" fontId="11" fillId="2" borderId="0" xfId="0" applyNumberFormat="1" applyFont="1" applyFill="1" applyBorder="1" applyAlignment="1">
      <alignment horizontal="right" vertical="center"/>
    </xf>
    <xf numFmtId="4" fontId="0" fillId="12" borderId="1" xfId="2" applyNumberFormat="1" applyFont="1" applyFill="1" applyBorder="1" applyAlignment="1">
      <alignment vertical="center"/>
    </xf>
    <xf numFmtId="0" fontId="32" fillId="12" borderId="0" xfId="0" applyFont="1" applyFill="1" applyBorder="1" applyAlignment="1">
      <alignment horizontal="center" vertical="center"/>
    </xf>
    <xf numFmtId="15" fontId="12" fillId="12" borderId="0" xfId="0" applyNumberFormat="1" applyFont="1" applyFill="1" applyBorder="1" applyAlignment="1">
      <alignment horizontal="center" vertical="top" wrapText="1"/>
    </xf>
    <xf numFmtId="0" fontId="12" fillId="12" borderId="0" xfId="0" applyFont="1" applyFill="1" applyBorder="1" applyAlignment="1">
      <alignment horizontal="left" vertical="top" wrapText="1"/>
    </xf>
    <xf numFmtId="0" fontId="12" fillId="12" borderId="0" xfId="0" applyFont="1" applyFill="1" applyBorder="1" applyAlignment="1">
      <alignment horizontal="center" vertical="top" wrapText="1"/>
    </xf>
    <xf numFmtId="0" fontId="34" fillId="12" borderId="0" xfId="0" applyFont="1" applyFill="1" applyBorder="1" applyAlignment="1">
      <alignment vertical="center"/>
    </xf>
    <xf numFmtId="4" fontId="34" fillId="12" borderId="31" xfId="0" applyNumberFormat="1" applyFont="1" applyFill="1" applyBorder="1" applyAlignment="1">
      <alignment horizontal="right" vertical="center"/>
    </xf>
    <xf numFmtId="4" fontId="34" fillId="12" borderId="0" xfId="0" applyNumberFormat="1" applyFont="1" applyFill="1" applyBorder="1" applyAlignment="1">
      <alignment horizontal="left" vertical="center"/>
    </xf>
    <xf numFmtId="0" fontId="32" fillId="12" borderId="31" xfId="0" applyFont="1" applyFill="1" applyBorder="1" applyAlignment="1">
      <alignment horizontal="center" vertical="center"/>
    </xf>
    <xf numFmtId="4" fontId="11" fillId="12" borderId="31" xfId="0" applyNumberFormat="1" applyFont="1" applyFill="1" applyBorder="1" applyAlignment="1">
      <alignment vertical="center"/>
    </xf>
    <xf numFmtId="0" fontId="12" fillId="12" borderId="31" xfId="0" applyFont="1" applyFill="1" applyBorder="1" applyAlignment="1">
      <alignment horizontal="center" vertical="top" wrapText="1"/>
    </xf>
    <xf numFmtId="0" fontId="0" fillId="12" borderId="0" xfId="0" applyFill="1" applyBorder="1" applyAlignment="1">
      <alignment horizontal="center" vertical="center"/>
    </xf>
    <xf numFmtId="4" fontId="0" fillId="16" borderId="1" xfId="2" applyNumberFormat="1" applyFont="1" applyFill="1" applyBorder="1" applyAlignment="1">
      <alignment vertical="center"/>
    </xf>
    <xf numFmtId="4" fontId="0" fillId="16" borderId="47" xfId="2" applyNumberFormat="1" applyFont="1" applyFill="1" applyBorder="1" applyAlignment="1">
      <alignment horizontal="right" vertical="center"/>
    </xf>
    <xf numFmtId="4" fontId="0" fillId="16" borderId="48" xfId="0" applyNumberFormat="1" applyFill="1" applyBorder="1" applyAlignment="1">
      <alignment horizontal="right" vertical="center"/>
    </xf>
    <xf numFmtId="4" fontId="0" fillId="12" borderId="30" xfId="0" applyNumberFormat="1" applyFill="1" applyBorder="1" applyAlignment="1">
      <alignment vertical="center"/>
    </xf>
    <xf numFmtId="0" fontId="16" fillId="2" borderId="0" xfId="9" applyFont="1" applyFill="1" applyBorder="1" applyAlignment="1">
      <alignment horizontal="right" vertical="center"/>
    </xf>
    <xf numFmtId="2" fontId="11" fillId="12" borderId="0" xfId="9" applyNumberFormat="1" applyFill="1" applyBorder="1" applyAlignment="1">
      <alignment horizontal="right" vertical="center"/>
    </xf>
    <xf numFmtId="0" fontId="16" fillId="12" borderId="0" xfId="9" applyFont="1" applyFill="1" applyBorder="1" applyAlignment="1">
      <alignment horizontal="right" vertical="center"/>
    </xf>
    <xf numFmtId="0" fontId="11" fillId="12" borderId="0" xfId="9" applyFill="1" applyBorder="1">
      <alignment vertical="center"/>
    </xf>
    <xf numFmtId="2" fontId="11" fillId="12" borderId="4" xfId="9" applyNumberFormat="1" applyFill="1" applyBorder="1" applyAlignment="1">
      <alignment horizontal="right" vertical="center"/>
    </xf>
    <xf numFmtId="2" fontId="11" fillId="12" borderId="0" xfId="9" applyNumberFormat="1" applyFill="1" applyBorder="1" applyAlignment="1">
      <alignment vertical="center"/>
    </xf>
    <xf numFmtId="2" fontId="11" fillId="12" borderId="0" xfId="9" applyNumberFormat="1" applyFont="1" applyFill="1" applyBorder="1" applyAlignment="1">
      <alignment horizontal="right" vertical="center"/>
    </xf>
    <xf numFmtId="49" fontId="8" fillId="2" borderId="0" xfId="9" applyNumberFormat="1" applyFont="1" applyFill="1" applyAlignment="1">
      <alignment horizontal="right" vertical="center" wrapText="1"/>
    </xf>
    <xf numFmtId="0" fontId="11" fillId="12" borderId="0" xfId="9" applyFill="1" applyBorder="1" applyAlignment="1">
      <alignment horizontal="right" vertical="center" wrapText="1"/>
    </xf>
    <xf numFmtId="4" fontId="11" fillId="12" borderId="0" xfId="9" applyNumberFormat="1" applyFill="1" applyBorder="1">
      <alignment vertical="center"/>
    </xf>
    <xf numFmtId="2" fontId="11" fillId="2" borderId="38" xfId="9" applyNumberFormat="1" applyFill="1" applyBorder="1" applyAlignment="1">
      <alignment horizontal="right" vertical="center"/>
    </xf>
    <xf numFmtId="0" fontId="16" fillId="4" borderId="0" xfId="9" applyFont="1" applyFill="1" applyAlignment="1">
      <alignment horizontal="center" vertical="center" wrapText="1"/>
    </xf>
    <xf numFmtId="2" fontId="16" fillId="4" borderId="0" xfId="9" applyNumberFormat="1" applyFont="1" applyFill="1" applyAlignment="1">
      <alignment horizontal="center" vertical="center"/>
    </xf>
    <xf numFmtId="49" fontId="8" fillId="4" borderId="0" xfId="9" applyNumberFormat="1" applyFont="1" applyFill="1" applyAlignment="1">
      <alignment horizontal="right" vertical="center"/>
    </xf>
    <xf numFmtId="0" fontId="8" fillId="4" borderId="0" xfId="9" applyFont="1" applyFill="1" applyAlignment="1">
      <alignment horizontal="center" vertical="center" wrapText="1"/>
    </xf>
    <xf numFmtId="0" fontId="8" fillId="4" borderId="0" xfId="9" applyFont="1" applyFill="1" applyAlignment="1">
      <alignment horizontal="center" vertical="center"/>
    </xf>
    <xf numFmtId="2" fontId="8" fillId="4" borderId="0" xfId="9" applyNumberFormat="1" applyFont="1" applyFill="1" applyAlignment="1">
      <alignment horizontal="center" vertical="center"/>
    </xf>
    <xf numFmtId="2" fontId="16" fillId="2" borderId="4" xfId="9" applyNumberFormat="1" applyFont="1" applyFill="1" applyBorder="1" applyAlignment="1">
      <alignment horizontal="right" vertical="center"/>
    </xf>
    <xf numFmtId="2" fontId="16" fillId="12" borderId="4" xfId="9" applyNumberFormat="1" applyFont="1" applyFill="1" applyBorder="1" applyAlignment="1">
      <alignment horizontal="right" vertical="center"/>
    </xf>
    <xf numFmtId="0" fontId="8" fillId="2" borderId="0" xfId="9" applyNumberFormat="1" applyFont="1" applyFill="1" applyAlignment="1">
      <alignment horizontal="right" vertical="center"/>
    </xf>
    <xf numFmtId="0" fontId="8" fillId="4" borderId="0" xfId="9" applyNumberFormat="1" applyFont="1" applyFill="1" applyAlignment="1">
      <alignment horizontal="center" vertical="center"/>
    </xf>
    <xf numFmtId="0" fontId="8" fillId="2" borderId="0" xfId="0" applyNumberFormat="1" applyFont="1" applyFill="1" applyAlignment="1">
      <alignment horizontal="right"/>
    </xf>
    <xf numFmtId="0" fontId="11" fillId="2" borderId="0" xfId="0" applyNumberFormat="1" applyFont="1" applyFill="1" applyAlignment="1">
      <alignment horizontal="right"/>
    </xf>
    <xf numFmtId="0" fontId="11" fillId="2" borderId="0" xfId="9" applyNumberFormat="1" applyFont="1" applyFill="1" applyAlignment="1">
      <alignment horizontal="right"/>
    </xf>
    <xf numFmtId="49" fontId="8" fillId="12" borderId="0" xfId="9" applyNumberFormat="1" applyFont="1" applyFill="1" applyAlignment="1">
      <alignment horizontal="right" vertical="center" wrapText="1"/>
    </xf>
    <xf numFmtId="0" fontId="15" fillId="2" borderId="4" xfId="9" applyNumberFormat="1" applyFont="1" applyFill="1" applyBorder="1" applyAlignment="1">
      <alignment vertical="center"/>
    </xf>
    <xf numFmtId="0" fontId="11" fillId="2" borderId="4" xfId="9" applyNumberFormat="1" applyFill="1" applyBorder="1" applyAlignment="1">
      <alignment horizontal="right" vertical="center"/>
    </xf>
    <xf numFmtId="2" fontId="8" fillId="4" borderId="0" xfId="9" applyNumberFormat="1" applyFont="1" applyFill="1" applyAlignment="1">
      <alignment horizontal="right" vertical="center"/>
    </xf>
    <xf numFmtId="1" fontId="11" fillId="2" borderId="0" xfId="9" applyNumberFormat="1" applyFill="1" applyAlignment="1">
      <alignment horizontal="right" vertical="center"/>
    </xf>
    <xf numFmtId="1" fontId="0" fillId="2" borderId="0" xfId="0" applyNumberFormat="1" applyFill="1" applyAlignment="1">
      <alignment horizontal="right"/>
    </xf>
    <xf numFmtId="1" fontId="14" fillId="2" borderId="0" xfId="9" applyNumberFormat="1" applyFont="1" applyFill="1" applyAlignment="1">
      <alignment horizontal="right" vertical="center"/>
    </xf>
    <xf numFmtId="1" fontId="8" fillId="4" borderId="0" xfId="9" applyNumberFormat="1" applyFont="1" applyFill="1" applyAlignment="1">
      <alignment horizontal="right" vertical="center"/>
    </xf>
    <xf numFmtId="1" fontId="16" fillId="2" borderId="3" xfId="9" applyNumberFormat="1" applyFont="1" applyFill="1" applyBorder="1" applyAlignment="1">
      <alignment horizontal="right" vertical="center"/>
    </xf>
    <xf numFmtId="1" fontId="8" fillId="4" borderId="0" xfId="9" applyNumberFormat="1" applyFont="1" applyFill="1" applyAlignment="1">
      <alignment horizontal="center" vertical="center"/>
    </xf>
    <xf numFmtId="1" fontId="11" fillId="2" borderId="0" xfId="9" applyNumberFormat="1" applyFill="1" applyAlignment="1">
      <alignment horizontal="right" vertical="center" wrapText="1"/>
    </xf>
    <xf numFmtId="1" fontId="8" fillId="12" borderId="0" xfId="9" applyNumberFormat="1" applyFont="1" applyFill="1" applyAlignment="1">
      <alignment horizontal="right" vertical="center"/>
    </xf>
    <xf numFmtId="1" fontId="11" fillId="12" borderId="0" xfId="9" applyNumberFormat="1" applyFont="1" applyFill="1" applyAlignment="1">
      <alignment horizontal="right" vertical="center"/>
    </xf>
    <xf numFmtId="2" fontId="8" fillId="2" borderId="0" xfId="9" applyNumberFormat="1" applyFont="1" applyFill="1" applyAlignment="1">
      <alignment horizontal="right" vertical="center" wrapText="1"/>
    </xf>
    <xf numFmtId="2" fontId="16" fillId="2" borderId="0" xfId="9" applyNumberFormat="1" applyFont="1" applyFill="1" applyAlignment="1">
      <alignment vertical="center"/>
    </xf>
    <xf numFmtId="2" fontId="11" fillId="2" borderId="0" xfId="9" applyNumberFormat="1" applyFill="1" applyBorder="1" applyAlignment="1">
      <alignment vertical="center"/>
    </xf>
    <xf numFmtId="0" fontId="11" fillId="2" borderId="0" xfId="9" applyFont="1" applyFill="1" applyAlignment="1">
      <alignment vertical="center"/>
    </xf>
    <xf numFmtId="0" fontId="8" fillId="2" borderId="0" xfId="9" applyFont="1" applyFill="1" applyAlignment="1">
      <alignment vertical="center"/>
    </xf>
    <xf numFmtId="4" fontId="11" fillId="2" borderId="0" xfId="9" applyNumberFormat="1" applyFont="1" applyFill="1" applyAlignment="1">
      <alignment vertical="center"/>
    </xf>
    <xf numFmtId="4" fontId="11" fillId="2" borderId="18" xfId="9" applyNumberFormat="1" applyFill="1" applyBorder="1" applyAlignment="1">
      <alignment vertical="center"/>
    </xf>
    <xf numFmtId="4" fontId="11" fillId="2" borderId="19" xfId="9" applyNumberFormat="1" applyFill="1" applyBorder="1" applyAlignment="1">
      <alignment vertical="center"/>
    </xf>
    <xf numFmtId="2" fontId="11" fillId="2" borderId="53" xfId="9" applyNumberFormat="1" applyFont="1" applyFill="1" applyBorder="1" applyAlignment="1">
      <alignment vertical="center"/>
    </xf>
    <xf numFmtId="2" fontId="16" fillId="2" borderId="22" xfId="9" applyNumberFormat="1" applyFont="1" applyFill="1" applyBorder="1" applyAlignment="1">
      <alignment vertical="center"/>
    </xf>
    <xf numFmtId="4" fontId="16" fillId="4" borderId="1" xfId="9" applyNumberFormat="1" applyFont="1" applyFill="1" applyBorder="1" applyAlignment="1">
      <alignment vertical="center"/>
    </xf>
    <xf numFmtId="0" fontId="11" fillId="12" borderId="0" xfId="9" applyFill="1" applyBorder="1" applyAlignment="1">
      <alignment vertical="center"/>
    </xf>
    <xf numFmtId="2" fontId="11" fillId="12" borderId="0" xfId="9" applyNumberFormat="1" applyFont="1" applyFill="1" applyBorder="1" applyAlignment="1">
      <alignment vertical="center"/>
    </xf>
    <xf numFmtId="4" fontId="11" fillId="12" borderId="0" xfId="9" applyNumberFormat="1" applyFill="1" applyBorder="1" applyAlignment="1">
      <alignment vertical="center"/>
    </xf>
    <xf numFmtId="2" fontId="8" fillId="4" borderId="0" xfId="9" applyNumberFormat="1" applyFont="1" applyFill="1" applyAlignment="1">
      <alignment vertical="center"/>
    </xf>
    <xf numFmtId="2" fontId="14" fillId="2" borderId="0" xfId="9" applyNumberFormat="1" applyFont="1" applyFill="1" applyAlignment="1">
      <alignment vertical="center"/>
    </xf>
    <xf numFmtId="2" fontId="15" fillId="2" borderId="0" xfId="9" applyNumberFormat="1" applyFont="1" applyFill="1" applyAlignment="1">
      <alignment vertical="center"/>
    </xf>
    <xf numFmtId="2" fontId="16" fillId="2" borderId="3" xfId="9" applyNumberFormat="1" applyFont="1" applyFill="1" applyBorder="1" applyAlignment="1">
      <alignment vertical="center"/>
    </xf>
    <xf numFmtId="2" fontId="0" fillId="12" borderId="0" xfId="0" applyNumberFormat="1" applyFill="1" applyAlignment="1"/>
    <xf numFmtId="2" fontId="11" fillId="12" borderId="0" xfId="9" applyNumberFormat="1" applyFill="1" applyAlignment="1"/>
    <xf numFmtId="2" fontId="11" fillId="12" borderId="0" xfId="9" applyNumberFormat="1" applyFill="1" applyAlignment="1">
      <alignment vertical="center"/>
    </xf>
    <xf numFmtId="2" fontId="11" fillId="2" borderId="0" xfId="9" applyNumberFormat="1" applyFill="1" applyAlignment="1">
      <alignment vertical="center" wrapText="1"/>
    </xf>
    <xf numFmtId="2" fontId="16" fillId="12" borderId="0" xfId="9" applyNumberFormat="1" applyFont="1" applyFill="1" applyBorder="1" applyAlignment="1">
      <alignment vertical="center"/>
    </xf>
    <xf numFmtId="2" fontId="0" fillId="2" borderId="0" xfId="0" applyNumberFormat="1" applyFill="1" applyBorder="1" applyAlignment="1"/>
    <xf numFmtId="2" fontId="11" fillId="2" borderId="34" xfId="9" applyNumberFormat="1" applyFont="1" applyFill="1" applyBorder="1" applyAlignment="1">
      <alignment horizontal="right" vertical="center"/>
    </xf>
    <xf numFmtId="2" fontId="11" fillId="2" borderId="56" xfId="9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1" fontId="11" fillId="2" borderId="0" xfId="9" applyNumberFormat="1" applyFill="1">
      <alignment vertical="center"/>
    </xf>
    <xf numFmtId="0" fontId="8" fillId="12" borderId="0" xfId="9" applyFont="1" applyFill="1" applyAlignment="1">
      <alignment horizontal="right" vertical="center"/>
    </xf>
    <xf numFmtId="10" fontId="11" fillId="2" borderId="0" xfId="10" applyNumberFormat="1" applyFont="1" applyFill="1" applyAlignment="1">
      <alignment vertical="center"/>
    </xf>
    <xf numFmtId="2" fontId="0" fillId="12" borderId="1" xfId="0" applyNumberFormat="1" applyFill="1" applyBorder="1" applyAlignment="1">
      <alignment horizontal="right" vertical="center"/>
    </xf>
    <xf numFmtId="10" fontId="0" fillId="12" borderId="1" xfId="0" applyNumberFormat="1" applyFill="1" applyBorder="1" applyAlignment="1">
      <alignment horizontal="right" vertical="center"/>
    </xf>
    <xf numFmtId="0" fontId="0" fillId="12" borderId="1" xfId="0" applyFill="1" applyBorder="1" applyAlignment="1">
      <alignment horizontal="right" vertical="center"/>
    </xf>
    <xf numFmtId="4" fontId="0" fillId="2" borderId="19" xfId="0" applyNumberFormat="1" applyFill="1" applyBorder="1" applyAlignment="1">
      <alignment vertical="center"/>
    </xf>
    <xf numFmtId="2" fontId="11" fillId="2" borderId="0" xfId="7" applyNumberFormat="1" applyFill="1" applyAlignment="1">
      <alignment vertical="center"/>
    </xf>
    <xf numFmtId="0" fontId="8" fillId="2" borderId="34" xfId="0" applyFont="1" applyFill="1" applyBorder="1" applyAlignment="1">
      <alignment horizontal="right" vertical="center"/>
    </xf>
    <xf numFmtId="0" fontId="11" fillId="2" borderId="34" xfId="0" applyFont="1" applyFill="1" applyBorder="1" applyAlignment="1">
      <alignment horizontal="right" vertical="center"/>
    </xf>
    <xf numFmtId="0" fontId="7" fillId="2" borderId="0" xfId="9" applyFont="1" applyFill="1" applyAlignment="1">
      <alignment horizontal="right" vertical="center"/>
    </xf>
    <xf numFmtId="49" fontId="7" fillId="2" borderId="0" xfId="9" applyNumberFormat="1" applyFont="1" applyFill="1" applyAlignment="1">
      <alignment horizontal="right" vertical="center"/>
    </xf>
    <xf numFmtId="2" fontId="16" fillId="2" borderId="0" xfId="9" applyNumberFormat="1" applyFont="1" applyFill="1" applyBorder="1" applyAlignment="1">
      <alignment horizontal="right" vertical="center"/>
    </xf>
    <xf numFmtId="4" fontId="11" fillId="2" borderId="1" xfId="9" applyNumberFormat="1" applyFill="1" applyBorder="1" applyAlignment="1">
      <alignment horizontal="right" vertical="center"/>
    </xf>
    <xf numFmtId="2" fontId="11" fillId="2" borderId="53" xfId="9" applyNumberFormat="1" applyFont="1" applyFill="1" applyBorder="1" applyAlignment="1">
      <alignment horizontal="right" vertical="center"/>
    </xf>
    <xf numFmtId="2" fontId="16" fillId="2" borderId="22" xfId="9" applyNumberFormat="1" applyFont="1" applyFill="1" applyBorder="1" applyAlignment="1">
      <alignment horizontal="right" vertical="center"/>
    </xf>
    <xf numFmtId="0" fontId="11" fillId="12" borderId="0" xfId="9" applyFill="1" applyBorder="1" applyAlignment="1">
      <alignment horizontal="right" vertical="center"/>
    </xf>
    <xf numFmtId="4" fontId="11" fillId="12" borderId="0" xfId="9" applyNumberFormat="1" applyFill="1" applyBorder="1" applyAlignment="1">
      <alignment horizontal="right" vertical="center"/>
    </xf>
    <xf numFmtId="0" fontId="14" fillId="2" borderId="0" xfId="1" applyFont="1" applyFill="1" applyAlignment="1">
      <alignment horizontal="right" vertical="center"/>
    </xf>
    <xf numFmtId="0" fontId="8" fillId="12" borderId="0" xfId="0" applyFont="1" applyFill="1" applyAlignment="1">
      <alignment horizontal="right"/>
    </xf>
    <xf numFmtId="2" fontId="11" fillId="2" borderId="2" xfId="9" applyNumberFormat="1" applyFont="1" applyFill="1" applyBorder="1" applyAlignment="1">
      <alignment horizontal="right" vertical="center"/>
    </xf>
    <xf numFmtId="2" fontId="16" fillId="12" borderId="0" xfId="9" applyNumberFormat="1" applyFont="1" applyFill="1" applyBorder="1" applyAlignment="1">
      <alignment horizontal="right" vertical="center"/>
    </xf>
    <xf numFmtId="49" fontId="16" fillId="2" borderId="57" xfId="9" applyNumberFormat="1" applyFont="1" applyFill="1" applyBorder="1" applyAlignment="1">
      <alignment horizontal="right" vertical="center"/>
    </xf>
    <xf numFmtId="0" fontId="16" fillId="2" borderId="58" xfId="9" applyFont="1" applyFill="1" applyBorder="1" applyAlignment="1">
      <alignment horizontal="right" vertical="center" wrapText="1"/>
    </xf>
    <xf numFmtId="1" fontId="16" fillId="2" borderId="58" xfId="9" applyNumberFormat="1" applyFont="1" applyFill="1" applyBorder="1" applyAlignment="1">
      <alignment horizontal="right" vertical="center"/>
    </xf>
    <xf numFmtId="2" fontId="16" fillId="2" borderId="58" xfId="9" applyNumberFormat="1" applyFont="1" applyFill="1" applyBorder="1" applyAlignment="1">
      <alignment horizontal="right" vertical="center"/>
    </xf>
    <xf numFmtId="0" fontId="16" fillId="2" borderId="58" xfId="9" applyFont="1" applyFill="1" applyBorder="1" applyAlignment="1">
      <alignment horizontal="right" vertical="center"/>
    </xf>
    <xf numFmtId="0" fontId="11" fillId="2" borderId="58" xfId="9" applyFill="1" applyBorder="1" applyAlignment="1">
      <alignment horizontal="right" vertical="center"/>
    </xf>
    <xf numFmtId="49" fontId="8" fillId="4" borderId="1" xfId="9" applyNumberFormat="1" applyFont="1" applyFill="1" applyBorder="1" applyAlignment="1">
      <alignment horizontal="right" vertical="center"/>
    </xf>
    <xf numFmtId="0" fontId="8" fillId="4" borderId="1" xfId="9" applyFont="1" applyFill="1" applyBorder="1" applyAlignment="1">
      <alignment horizontal="right" vertical="center" wrapText="1"/>
    </xf>
    <xf numFmtId="1" fontId="8" fillId="4" borderId="1" xfId="9" applyNumberFormat="1" applyFont="1" applyFill="1" applyBorder="1" applyAlignment="1">
      <alignment horizontal="right" vertical="center"/>
    </xf>
    <xf numFmtId="2" fontId="8" fillId="4" borderId="1" xfId="9" applyNumberFormat="1" applyFont="1" applyFill="1" applyBorder="1" applyAlignment="1">
      <alignment horizontal="right" vertical="center"/>
    </xf>
    <xf numFmtId="0" fontId="8" fillId="4" borderId="1" xfId="9" applyFont="1" applyFill="1" applyBorder="1" applyAlignment="1">
      <alignment horizontal="right" vertical="center"/>
    </xf>
    <xf numFmtId="2" fontId="7" fillId="4" borderId="1" xfId="9" applyNumberFormat="1" applyFont="1" applyFill="1" applyBorder="1" applyAlignment="1">
      <alignment horizontal="right" vertical="center"/>
    </xf>
    <xf numFmtId="0" fontId="8" fillId="4" borderId="1" xfId="9" applyNumberFormat="1" applyFont="1" applyFill="1" applyBorder="1" applyAlignment="1">
      <alignment horizontal="right" vertical="center"/>
    </xf>
    <xf numFmtId="0" fontId="7" fillId="2" borderId="0" xfId="9" applyFont="1" applyFill="1" applyAlignment="1">
      <alignment horizontal="right" vertical="center" wrapText="1"/>
    </xf>
    <xf numFmtId="2" fontId="7" fillId="2" borderId="21" xfId="9" applyNumberFormat="1" applyFont="1" applyFill="1" applyBorder="1" applyAlignment="1">
      <alignment horizontal="right" vertical="center"/>
    </xf>
    <xf numFmtId="0" fontId="11" fillId="2" borderId="58" xfId="9" applyNumberFormat="1" applyFill="1" applyBorder="1" applyAlignment="1">
      <alignment horizontal="right" vertical="center"/>
    </xf>
    <xf numFmtId="2" fontId="16" fillId="2" borderId="59" xfId="9" applyNumberFormat="1" applyFont="1" applyFill="1" applyBorder="1" applyAlignment="1">
      <alignment horizontal="right" vertical="center"/>
    </xf>
    <xf numFmtId="49" fontId="8" fillId="4" borderId="2" xfId="9" applyNumberFormat="1" applyFont="1" applyFill="1" applyBorder="1" applyAlignment="1">
      <alignment horizontal="right" vertical="center"/>
    </xf>
    <xf numFmtId="0" fontId="8" fillId="4" borderId="2" xfId="9" applyNumberFormat="1" applyFont="1" applyFill="1" applyBorder="1" applyAlignment="1">
      <alignment horizontal="right" vertical="center"/>
    </xf>
    <xf numFmtId="0" fontId="8" fillId="4" borderId="2" xfId="9" applyFont="1" applyFill="1" applyBorder="1" applyAlignment="1">
      <alignment horizontal="right" vertical="center" wrapText="1"/>
    </xf>
    <xf numFmtId="0" fontId="8" fillId="4" borderId="2" xfId="9" applyFont="1" applyFill="1" applyBorder="1" applyAlignment="1">
      <alignment horizontal="right" vertical="center"/>
    </xf>
    <xf numFmtId="1" fontId="8" fillId="4" borderId="2" xfId="9" applyNumberFormat="1" applyFont="1" applyFill="1" applyBorder="1" applyAlignment="1">
      <alignment horizontal="right" vertical="center"/>
    </xf>
    <xf numFmtId="2" fontId="8" fillId="4" borderId="2" xfId="9" applyNumberFormat="1" applyFont="1" applyFill="1" applyBorder="1" applyAlignment="1">
      <alignment horizontal="right" vertical="center"/>
    </xf>
    <xf numFmtId="2" fontId="7" fillId="4" borderId="2" xfId="9" applyNumberFormat="1" applyFont="1" applyFill="1" applyBorder="1" applyAlignment="1">
      <alignment horizontal="right" vertical="center"/>
    </xf>
    <xf numFmtId="0" fontId="15" fillId="2" borderId="3" xfId="9" applyNumberFormat="1" applyFont="1" applyFill="1" applyBorder="1" applyAlignment="1">
      <alignment horizontal="right" vertical="center"/>
    </xf>
    <xf numFmtId="2" fontId="15" fillId="2" borderId="4" xfId="9" applyNumberFormat="1" applyFont="1" applyFill="1" applyBorder="1" applyAlignment="1">
      <alignment horizontal="right" vertical="center"/>
    </xf>
    <xf numFmtId="2" fontId="7" fillId="2" borderId="0" xfId="9" applyNumberFormat="1" applyFont="1" applyFill="1" applyAlignment="1">
      <alignment horizontal="right" vertical="center"/>
    </xf>
    <xf numFmtId="49" fontId="7" fillId="2" borderId="0" xfId="9" applyNumberFormat="1" applyFont="1" applyFill="1" applyAlignment="1">
      <alignment horizontal="right" vertical="center" wrapText="1"/>
    </xf>
    <xf numFmtId="14" fontId="11" fillId="2" borderId="0" xfId="9" applyNumberFormat="1" applyFill="1" applyAlignment="1">
      <alignment horizontal="right" vertical="center" wrapText="1"/>
    </xf>
    <xf numFmtId="49" fontId="6" fillId="2" borderId="0" xfId="9" applyNumberFormat="1" applyFont="1" applyFill="1" applyAlignment="1">
      <alignment horizontal="right" vertical="center"/>
    </xf>
    <xf numFmtId="0" fontId="6" fillId="2" borderId="0" xfId="9" applyFont="1" applyFill="1" applyAlignment="1">
      <alignment horizontal="right" vertical="center" wrapText="1"/>
    </xf>
    <xf numFmtId="0" fontId="6" fillId="2" borderId="0" xfId="9" applyFont="1" applyFill="1" applyAlignment="1">
      <alignment horizontal="right" vertical="center"/>
    </xf>
    <xf numFmtId="49" fontId="5" fillId="2" borderId="0" xfId="9" applyNumberFormat="1" applyFont="1" applyFill="1" applyAlignment="1">
      <alignment horizontal="right" vertical="center"/>
    </xf>
    <xf numFmtId="0" fontId="5" fillId="2" borderId="0" xfId="9" applyFont="1" applyFill="1" applyAlignment="1">
      <alignment horizontal="right" vertical="center" wrapText="1"/>
    </xf>
    <xf numFmtId="0" fontId="5" fillId="2" borderId="0" xfId="9" applyFont="1" applyFill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4" fontId="5" fillId="2" borderId="34" xfId="0" applyNumberFormat="1" applyFont="1" applyFill="1" applyBorder="1" applyAlignment="1">
      <alignment horizontal="right" vertical="center"/>
    </xf>
    <xf numFmtId="4" fontId="0" fillId="0" borderId="1" xfId="2" applyNumberFormat="1" applyFont="1" applyFill="1" applyBorder="1" applyAlignment="1">
      <alignment vertical="center"/>
    </xf>
    <xf numFmtId="4" fontId="0" fillId="12" borderId="1" xfId="0" applyNumberFormat="1" applyFill="1" applyBorder="1" applyAlignment="1">
      <alignment vertical="center"/>
    </xf>
    <xf numFmtId="4" fontId="0" fillId="11" borderId="1" xfId="0" applyNumberFormat="1" applyFill="1" applyBorder="1" applyAlignment="1">
      <alignment vertical="center"/>
    </xf>
    <xf numFmtId="4" fontId="8" fillId="11" borderId="1" xfId="0" applyNumberFormat="1" applyFont="1" applyFill="1" applyBorder="1" applyAlignment="1">
      <alignment horizontal="center" vertical="center"/>
    </xf>
    <xf numFmtId="0" fontId="16" fillId="12" borderId="29" xfId="0" applyFont="1" applyFill="1" applyBorder="1" applyAlignment="1">
      <alignment vertical="center"/>
    </xf>
    <xf numFmtId="0" fontId="16" fillId="12" borderId="60" xfId="0" applyFont="1" applyFill="1" applyBorder="1" applyAlignment="1">
      <alignment vertical="center"/>
    </xf>
    <xf numFmtId="4" fontId="8" fillId="11" borderId="18" xfId="0" applyNumberFormat="1" applyFont="1" applyFill="1" applyBorder="1" applyAlignment="1">
      <alignment horizontal="center" vertical="center"/>
    </xf>
    <xf numFmtId="4" fontId="0" fillId="12" borderId="18" xfId="0" applyNumberFormat="1" applyFill="1" applyBorder="1" applyAlignment="1">
      <alignment vertical="center"/>
    </xf>
    <xf numFmtId="4" fontId="0" fillId="11" borderId="18" xfId="0" applyNumberFormat="1" applyFill="1" applyBorder="1" applyAlignment="1">
      <alignment vertical="center"/>
    </xf>
    <xf numFmtId="4" fontId="0" fillId="2" borderId="30" xfId="0" applyNumberFormat="1" applyFill="1" applyBorder="1" applyAlignment="1">
      <alignment horizontal="right" vertical="center"/>
    </xf>
    <xf numFmtId="4" fontId="0" fillId="2" borderId="18" xfId="0" applyNumberFormat="1" applyFill="1" applyBorder="1" applyAlignment="1">
      <alignment horizontal="right" vertical="center"/>
    </xf>
    <xf numFmtId="0" fontId="11" fillId="2" borderId="0" xfId="9" applyNumberFormat="1" applyFill="1" applyAlignment="1">
      <alignment horizontal="right" vertical="center" wrapText="1"/>
    </xf>
    <xf numFmtId="2" fontId="11" fillId="2" borderId="1" xfId="9" applyNumberFormat="1" applyFill="1" applyBorder="1" applyAlignment="1">
      <alignment horizontal="right" vertical="center"/>
    </xf>
    <xf numFmtId="0" fontId="5" fillId="2" borderId="30" xfId="0" applyFont="1" applyFill="1" applyBorder="1" applyAlignment="1">
      <alignment vertical="center" wrapText="1"/>
    </xf>
    <xf numFmtId="0" fontId="5" fillId="2" borderId="44" xfId="0" applyFont="1" applyFill="1" applyBorder="1" applyAlignment="1">
      <alignment horizontal="right" vertical="center"/>
    </xf>
    <xf numFmtId="9" fontId="34" fillId="12" borderId="31" xfId="10" applyFont="1" applyFill="1" applyBorder="1" applyAlignment="1">
      <alignment horizontal="right" vertical="center"/>
    </xf>
    <xf numFmtId="4" fontId="5" fillId="12" borderId="31" xfId="11" applyNumberFormat="1" applyFill="1" applyBorder="1" applyAlignment="1">
      <alignment vertical="center"/>
    </xf>
    <xf numFmtId="0" fontId="5" fillId="12" borderId="0" xfId="11" applyFont="1" applyFill="1" applyBorder="1" applyAlignment="1">
      <alignment horizontal="right" vertical="center"/>
    </xf>
    <xf numFmtId="4" fontId="5" fillId="12" borderId="0" xfId="0" applyNumberFormat="1" applyFont="1" applyFill="1" applyBorder="1" applyAlignment="1">
      <alignment horizontal="right" vertical="center"/>
    </xf>
    <xf numFmtId="0" fontId="16" fillId="13" borderId="60" xfId="0" applyFont="1" applyFill="1" applyBorder="1" applyAlignment="1">
      <alignment vertical="center" wrapText="1"/>
    </xf>
    <xf numFmtId="0" fontId="16" fillId="4" borderId="56" xfId="0" applyFont="1" applyFill="1" applyBorder="1" applyAlignment="1">
      <alignment horizontal="center" vertical="center" wrapText="1"/>
    </xf>
    <xf numFmtId="0" fontId="16" fillId="13" borderId="18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6" fillId="13" borderId="39" xfId="0" applyFont="1" applyFill="1" applyBorder="1" applyAlignment="1">
      <alignment horizontal="center" vertical="center" wrapText="1"/>
    </xf>
    <xf numFmtId="0" fontId="3" fillId="2" borderId="0" xfId="9" applyFont="1" applyFill="1" applyAlignment="1">
      <alignment horizontal="right" vertical="center" wrapText="1"/>
    </xf>
    <xf numFmtId="0" fontId="3" fillId="2" borderId="0" xfId="9" applyFont="1" applyFill="1" applyAlignment="1">
      <alignment horizontal="right" vertical="center"/>
    </xf>
    <xf numFmtId="49" fontId="3" fillId="2" borderId="0" xfId="9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right"/>
    </xf>
    <xf numFmtId="0" fontId="3" fillId="2" borderId="0" xfId="0" applyFont="1" applyFill="1" applyBorder="1" applyAlignment="1">
      <alignment horizontal="right" wrapText="1"/>
    </xf>
    <xf numFmtId="2" fontId="3" fillId="2" borderId="0" xfId="9" applyNumberFormat="1" applyFont="1" applyFill="1" applyAlignment="1">
      <alignment horizontal="right" vertical="center"/>
    </xf>
    <xf numFmtId="0" fontId="3" fillId="2" borderId="0" xfId="9" applyNumberFormat="1" applyFont="1" applyFill="1" applyAlignment="1">
      <alignment horizontal="right" vertical="center"/>
    </xf>
    <xf numFmtId="49" fontId="3" fillId="2" borderId="0" xfId="9" applyNumberFormat="1" applyFont="1" applyFill="1" applyAlignment="1">
      <alignment horizontal="right" vertical="center" wrapText="1"/>
    </xf>
    <xf numFmtId="0" fontId="16" fillId="12" borderId="46" xfId="0" applyFont="1" applyFill="1" applyBorder="1" applyAlignment="1">
      <alignment vertical="center"/>
    </xf>
    <xf numFmtId="4" fontId="8" fillId="11" borderId="47" xfId="0" applyNumberFormat="1" applyFont="1" applyFill="1" applyBorder="1" applyAlignment="1">
      <alignment horizontal="center" vertical="center"/>
    </xf>
    <xf numFmtId="4" fontId="0" fillId="12" borderId="47" xfId="0" applyNumberFormat="1" applyFill="1" applyBorder="1" applyAlignment="1">
      <alignment vertical="center"/>
    </xf>
    <xf numFmtId="4" fontId="0" fillId="11" borderId="47" xfId="0" applyNumberFormat="1" applyFill="1" applyBorder="1" applyAlignment="1">
      <alignment vertical="center"/>
    </xf>
    <xf numFmtId="4" fontId="0" fillId="2" borderId="39" xfId="0" applyNumberFormat="1" applyFill="1" applyBorder="1" applyAlignment="1">
      <alignment horizontal="right" vertical="center"/>
    </xf>
    <xf numFmtId="4" fontId="0" fillId="2" borderId="47" xfId="0" applyNumberForma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2" fontId="3" fillId="2" borderId="21" xfId="9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center"/>
    </xf>
    <xf numFmtId="4" fontId="3" fillId="2" borderId="0" xfId="0" applyNumberFormat="1" applyFont="1" applyFill="1" applyAlignment="1">
      <alignment vertical="center"/>
    </xf>
    <xf numFmtId="4" fontId="0" fillId="2" borderId="48" xfId="0" applyNumberForma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 shrinkToFit="1"/>
    </xf>
    <xf numFmtId="1" fontId="3" fillId="2" borderId="0" xfId="9" applyNumberFormat="1" applyFont="1" applyFill="1" applyAlignment="1">
      <alignment horizontal="right" vertical="center"/>
    </xf>
    <xf numFmtId="0" fontId="3" fillId="12" borderId="0" xfId="9" applyFont="1" applyFill="1" applyAlignment="1">
      <alignment horizontal="right" vertical="center"/>
    </xf>
    <xf numFmtId="0" fontId="3" fillId="12" borderId="0" xfId="9" applyFont="1" applyFill="1" applyAlignment="1">
      <alignment horizontal="right"/>
    </xf>
    <xf numFmtId="49" fontId="3" fillId="12" borderId="0" xfId="9" applyNumberFormat="1" applyFont="1" applyFill="1" applyAlignment="1">
      <alignment horizontal="right" vertical="center" wrapText="1"/>
    </xf>
    <xf numFmtId="14" fontId="3" fillId="2" borderId="0" xfId="9" applyNumberFormat="1" applyFont="1" applyFill="1" applyAlignment="1">
      <alignment horizontal="right" vertical="center"/>
    </xf>
    <xf numFmtId="0" fontId="3" fillId="12" borderId="0" xfId="0" applyFont="1" applyFill="1" applyBorder="1" applyAlignment="1">
      <alignment horizontal="right" wrapText="1"/>
    </xf>
    <xf numFmtId="2" fontId="3" fillId="12" borderId="0" xfId="9" applyNumberFormat="1" applyFont="1" applyFill="1" applyAlignment="1">
      <alignment horizontal="right" vertical="center" wrapText="1"/>
    </xf>
    <xf numFmtId="14" fontId="0" fillId="12" borderId="0" xfId="0" applyNumberFormat="1" applyFill="1" applyAlignment="1">
      <alignment wrapText="1"/>
    </xf>
    <xf numFmtId="0" fontId="0" fillId="12" borderId="0" xfId="0" applyFill="1" applyAlignment="1">
      <alignment horizontal="right" wrapText="1"/>
    </xf>
    <xf numFmtId="4" fontId="0" fillId="12" borderId="0" xfId="0" applyNumberFormat="1" applyFill="1" applyAlignment="1">
      <alignment horizontal="right" wrapText="1"/>
    </xf>
    <xf numFmtId="14" fontId="3" fillId="12" borderId="0" xfId="9" applyNumberFormat="1" applyFont="1" applyFill="1" applyAlignment="1">
      <alignment horizontal="right" vertical="center"/>
    </xf>
    <xf numFmtId="0" fontId="3" fillId="12" borderId="0" xfId="9" applyNumberFormat="1" applyFont="1" applyFill="1" applyAlignment="1">
      <alignment horizontal="right" vertical="center"/>
    </xf>
    <xf numFmtId="0" fontId="3" fillId="12" borderId="0" xfId="9" applyFont="1" applyFill="1" applyAlignment="1">
      <alignment horizontal="right" vertical="center" wrapText="1"/>
    </xf>
    <xf numFmtId="14" fontId="11" fillId="12" borderId="0" xfId="9" applyNumberFormat="1" applyFill="1" applyAlignment="1">
      <alignment horizontal="right" vertical="center" wrapText="1"/>
    </xf>
    <xf numFmtId="2" fontId="11" fillId="12" borderId="0" xfId="9" applyNumberFormat="1" applyFill="1" applyAlignment="1">
      <alignment horizontal="right" vertical="center" wrapText="1"/>
    </xf>
    <xf numFmtId="0" fontId="11" fillId="12" borderId="0" xfId="9" applyFill="1" applyAlignment="1">
      <alignment horizontal="right" vertical="center" wrapText="1"/>
    </xf>
    <xf numFmtId="14" fontId="3" fillId="12" borderId="0" xfId="9" applyNumberFormat="1" applyFont="1" applyFill="1" applyAlignment="1">
      <alignment horizontal="right" vertical="center" wrapText="1"/>
    </xf>
    <xf numFmtId="0" fontId="3" fillId="12" borderId="0" xfId="9" applyNumberFormat="1" applyFont="1" applyFill="1" applyAlignment="1">
      <alignment horizontal="right" vertical="center" wrapText="1"/>
    </xf>
    <xf numFmtId="49" fontId="3" fillId="12" borderId="0" xfId="9" applyNumberFormat="1" applyFont="1" applyFill="1" applyAlignment="1">
      <alignment horizontal="right" vertical="center"/>
    </xf>
    <xf numFmtId="1" fontId="11" fillId="12" borderId="0" xfId="9" applyNumberFormat="1" applyFill="1" applyAlignment="1">
      <alignment horizontal="right" vertical="center"/>
    </xf>
    <xf numFmtId="14" fontId="11" fillId="12" borderId="0" xfId="9" applyNumberFormat="1" applyFill="1" applyAlignment="1">
      <alignment horizontal="right" vertical="center"/>
    </xf>
    <xf numFmtId="0" fontId="11" fillId="12" borderId="0" xfId="9" applyNumberFormat="1" applyFill="1" applyAlignment="1">
      <alignment horizontal="right" vertical="center" wrapText="1"/>
    </xf>
    <xf numFmtId="0" fontId="1" fillId="17" borderId="0" xfId="20" applyFill="1"/>
    <xf numFmtId="43" fontId="0" fillId="17" borderId="0" xfId="21" applyFont="1" applyFill="1"/>
    <xf numFmtId="0" fontId="1" fillId="17" borderId="0" xfId="20" applyFill="1" applyAlignment="1">
      <alignment horizontal="right"/>
    </xf>
    <xf numFmtId="43" fontId="0" fillId="17" borderId="0" xfId="21" applyFont="1" applyFill="1" applyAlignment="1">
      <alignment horizontal="right"/>
    </xf>
    <xf numFmtId="0" fontId="1" fillId="18" borderId="0" xfId="20" applyFill="1"/>
    <xf numFmtId="17" fontId="1" fillId="17" borderId="0" xfId="20" applyNumberFormat="1" applyFill="1"/>
    <xf numFmtId="3" fontId="1" fillId="17" borderId="0" xfId="20" applyNumberFormat="1" applyFill="1"/>
    <xf numFmtId="43" fontId="1" fillId="17" borderId="0" xfId="20" applyNumberFormat="1" applyFill="1" applyAlignment="1">
      <alignment horizontal="right"/>
    </xf>
    <xf numFmtId="43" fontId="0" fillId="17" borderId="2" xfId="21" applyFont="1" applyFill="1" applyBorder="1"/>
    <xf numFmtId="0" fontId="1" fillId="17" borderId="0" xfId="20" applyFill="1" applyAlignment="1">
      <alignment horizontal="right" indent="1"/>
    </xf>
    <xf numFmtId="4" fontId="1" fillId="17" borderId="0" xfId="20" applyNumberFormat="1" applyFill="1"/>
    <xf numFmtId="0" fontId="3" fillId="2" borderId="38" xfId="0" applyFont="1" applyFill="1" applyBorder="1" applyAlignment="1">
      <alignment horizontal="right" vertical="center"/>
    </xf>
    <xf numFmtId="15" fontId="11" fillId="12" borderId="31" xfId="0" applyNumberFormat="1" applyFont="1" applyFill="1" applyBorder="1" applyAlignment="1">
      <alignment vertical="center"/>
    </xf>
    <xf numFmtId="4" fontId="0" fillId="12" borderId="1" xfId="0" applyNumberForma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19" borderId="1" xfId="0" applyFont="1" applyFill="1" applyBorder="1" applyAlignment="1">
      <alignment vertical="center"/>
    </xf>
    <xf numFmtId="2" fontId="11" fillId="19" borderId="1" xfId="0" applyNumberFormat="1" applyFont="1" applyFill="1" applyBorder="1" applyAlignment="1">
      <alignment vertical="center"/>
    </xf>
    <xf numFmtId="0" fontId="0" fillId="19" borderId="1" xfId="0" applyFill="1" applyBorder="1" applyAlignment="1">
      <alignment vertical="center"/>
    </xf>
    <xf numFmtId="4" fontId="0" fillId="19" borderId="1" xfId="0" applyNumberFormat="1" applyFill="1" applyBorder="1" applyAlignment="1">
      <alignment vertical="center"/>
    </xf>
    <xf numFmtId="2" fontId="0" fillId="19" borderId="1" xfId="0" applyNumberFormat="1" applyFill="1" applyBorder="1" applyAlignment="1">
      <alignment horizontal="right" vertical="center"/>
    </xf>
    <xf numFmtId="4" fontId="0" fillId="19" borderId="1" xfId="2" applyNumberFormat="1" applyFont="1" applyFill="1" applyBorder="1" applyAlignment="1">
      <alignment vertical="center"/>
    </xf>
    <xf numFmtId="4" fontId="0" fillId="19" borderId="1" xfId="0" applyNumberFormat="1" applyFill="1" applyBorder="1" applyAlignment="1">
      <alignment horizontal="right" vertical="center"/>
    </xf>
    <xf numFmtId="0" fontId="28" fillId="0" borderId="43" xfId="0" applyFont="1" applyFill="1" applyBorder="1" applyAlignment="1">
      <alignment horizontal="center" vertical="center"/>
    </xf>
    <xf numFmtId="0" fontId="28" fillId="0" borderId="41" xfId="0" applyFont="1" applyFill="1" applyBorder="1" applyAlignment="1">
      <alignment horizontal="center" vertical="center"/>
    </xf>
    <xf numFmtId="0" fontId="28" fillId="0" borderId="42" xfId="0" applyFont="1" applyFill="1" applyBorder="1" applyAlignment="1">
      <alignment horizontal="center" vertical="center"/>
    </xf>
    <xf numFmtId="0" fontId="0" fillId="14" borderId="51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11" fillId="14" borderId="21" xfId="0" applyFont="1" applyFill="1" applyBorder="1" applyAlignment="1">
      <alignment horizontal="center" vertical="center"/>
    </xf>
    <xf numFmtId="0" fontId="0" fillId="14" borderId="52" xfId="0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8" fillId="14" borderId="51" xfId="0" applyFont="1" applyFill="1" applyBorder="1" applyAlignment="1">
      <alignment horizontal="center" vertical="center"/>
    </xf>
    <xf numFmtId="0" fontId="8" fillId="14" borderId="21" xfId="0" applyFont="1" applyFill="1" applyBorder="1" applyAlignment="1">
      <alignment horizontal="center" vertical="center"/>
    </xf>
    <xf numFmtId="0" fontId="8" fillId="14" borderId="22" xfId="0" applyFont="1" applyFill="1" applyBorder="1" applyAlignment="1">
      <alignment horizontal="center" vertical="center"/>
    </xf>
    <xf numFmtId="0" fontId="15" fillId="0" borderId="0" xfId="9" applyFont="1" applyAlignment="1">
      <alignment horizontal="center" vertical="center"/>
    </xf>
    <xf numFmtId="0" fontId="16" fillId="0" borderId="0" xfId="9" applyFont="1">
      <alignment vertical="center"/>
    </xf>
    <xf numFmtId="0" fontId="11" fillId="0" borderId="0" xfId="9">
      <alignment vertical="center"/>
    </xf>
    <xf numFmtId="0" fontId="16" fillId="4" borderId="0" xfId="9" applyFont="1" applyFill="1" applyAlignment="1">
      <alignment horizontal="center" vertical="center"/>
    </xf>
    <xf numFmtId="0" fontId="16" fillId="4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3" fillId="12" borderId="0" xfId="0" applyFont="1" applyFill="1" applyBorder="1" applyAlignment="1">
      <alignment vertical="center"/>
    </xf>
  </cellXfs>
  <cellStyles count="22">
    <cellStyle name="Arial" xfId="1"/>
    <cellStyle name="Arial 2" xfId="12"/>
    <cellStyle name="Comma" xfId="2" builtinId="3"/>
    <cellStyle name="Comma 2" xfId="13"/>
    <cellStyle name="Comma 3" xfId="21"/>
    <cellStyle name="Hyperlink" xfId="3" builtinId="8"/>
    <cellStyle name="Normal" xfId="0" builtinId="0"/>
    <cellStyle name="Normal 2" xfId="4"/>
    <cellStyle name="Normal 2 2" xfId="14"/>
    <cellStyle name="Normal 3" xfId="5"/>
    <cellStyle name="Normal 4" xfId="6"/>
    <cellStyle name="Normal 4 2" xfId="15"/>
    <cellStyle name="Normal 5" xfId="7"/>
    <cellStyle name="Normal 5 2" xfId="16"/>
    <cellStyle name="Normal 6" xfId="8"/>
    <cellStyle name="Normal 6 2" xfId="17"/>
    <cellStyle name="Normal 7" xfId="11"/>
    <cellStyle name="Normal 8" xfId="19"/>
    <cellStyle name="Normal 9" xfId="20"/>
    <cellStyle name="Normal_RKG-Global" xfId="9"/>
    <cellStyle name="Percent" xfId="10" builtinId="5"/>
    <cellStyle name="Percent 2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8" Type="http://schemas.openxmlformats.org/officeDocument/2006/relationships/worksheet" Target="worksheets/sheet7.xml"/><Relationship Id="rId3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Summary!$P$3</c:f>
              <c:strCache>
                <c:ptCount val="1"/>
                <c:pt idx="0">
                  <c:v>Net Profit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Summary!$M$4:$M$16</c:f>
              <c:strCache>
                <c:ptCount val="13"/>
                <c:pt idx="0">
                  <c:v>FY07</c:v>
                </c:pt>
                <c:pt idx="1">
                  <c:v>FY08</c:v>
                </c:pt>
                <c:pt idx="2">
                  <c:v>FY09</c:v>
                </c:pt>
                <c:pt idx="3">
                  <c:v>FY10</c:v>
                </c:pt>
                <c:pt idx="4">
                  <c:v>FY11</c:v>
                </c:pt>
                <c:pt idx="5">
                  <c:v>FY12</c:v>
                </c:pt>
                <c:pt idx="6">
                  <c:v>FY13</c:v>
                </c:pt>
                <c:pt idx="7">
                  <c:v>FY14</c:v>
                </c:pt>
                <c:pt idx="8">
                  <c:v>FY15</c:v>
                </c:pt>
                <c:pt idx="9">
                  <c:v>FY16</c:v>
                </c:pt>
                <c:pt idx="10">
                  <c:v>FY17</c:v>
                </c:pt>
                <c:pt idx="11">
                  <c:v>FY18</c:v>
                </c:pt>
                <c:pt idx="12">
                  <c:v>FY19</c:v>
                </c:pt>
              </c:strCache>
            </c:strRef>
          </c:cat>
          <c:val>
            <c:numRef>
              <c:f>Summary!$P$4:$P$16</c:f>
              <c:numCache>
                <c:formatCode>#,##0.00</c:formatCode>
                <c:ptCount val="13"/>
                <c:pt idx="0">
                  <c:v>7712.570000000007</c:v>
                </c:pt>
                <c:pt idx="1">
                  <c:v>-108413.68999999994</c:v>
                </c:pt>
                <c:pt idx="2">
                  <c:v>-225665.82999999984</c:v>
                </c:pt>
                <c:pt idx="3">
                  <c:v>-25683.410000000033</c:v>
                </c:pt>
                <c:pt idx="4">
                  <c:v>-49701.173500000034</c:v>
                </c:pt>
                <c:pt idx="5">
                  <c:v>-100166.59999999963</c:v>
                </c:pt>
                <c:pt idx="6">
                  <c:v>-328760.66999999993</c:v>
                </c:pt>
                <c:pt idx="7">
                  <c:v>-325245.42999999993</c:v>
                </c:pt>
                <c:pt idx="8">
                  <c:v>-396263.75999999978</c:v>
                </c:pt>
                <c:pt idx="9">
                  <c:v>-139261.51999999862</c:v>
                </c:pt>
                <c:pt idx="10">
                  <c:v>-17399.279999999977</c:v>
                </c:pt>
                <c:pt idx="11">
                  <c:v>-459825.07999999961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E-427D-955E-0C3190F4890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017152"/>
        <c:axId val="183112448"/>
      </c:barChart>
      <c:catAx>
        <c:axId val="196017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3112448"/>
        <c:crosses val="autoZero"/>
        <c:auto val="1"/>
        <c:lblAlgn val="ctr"/>
        <c:lblOffset val="100"/>
        <c:noMultiLvlLbl val="0"/>
      </c:catAx>
      <c:valAx>
        <c:axId val="183112448"/>
        <c:scaling>
          <c:orientation val="minMax"/>
        </c:scaling>
        <c:delete val="1"/>
        <c:axPos val="l"/>
        <c:numFmt formatCode="#,##0.00" sourceLinked="1"/>
        <c:majorTickMark val="out"/>
        <c:minorTickMark val="none"/>
        <c:tickLblPos val="nextTo"/>
        <c:crossAx val="19601715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490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Q42"/>
  <sheetViews>
    <sheetView zoomScaleNormal="100" workbookViewId="0">
      <selection activeCell="O21" sqref="O21"/>
    </sheetView>
  </sheetViews>
  <sheetFormatPr defaultColWidth="9.21875" defaultRowHeight="13.2" x14ac:dyDescent="0.25"/>
  <cols>
    <col min="1" max="1" width="5.77734375" style="121" customWidth="1"/>
    <col min="2" max="2" width="12.77734375" style="121" customWidth="1"/>
    <col min="3" max="10" width="12.77734375" style="219" customWidth="1"/>
    <col min="11" max="11" width="12.77734375" style="121" customWidth="1"/>
    <col min="12" max="12" width="5.77734375" style="121" customWidth="1"/>
    <col min="13" max="16" width="13.21875" style="121" customWidth="1"/>
    <col min="17" max="17" width="48.21875" style="121" customWidth="1"/>
    <col min="18" max="16384" width="9.21875" style="121"/>
  </cols>
  <sheetData>
    <row r="1" spans="2:17" ht="25.05" customHeight="1" thickBot="1" x14ac:dyDescent="0.3"/>
    <row r="2" spans="2:17" ht="25.05" customHeight="1" thickBot="1" x14ac:dyDescent="0.3">
      <c r="B2" s="479" t="s">
        <v>4045</v>
      </c>
      <c r="C2" s="480"/>
      <c r="D2" s="480"/>
      <c r="E2" s="480"/>
      <c r="F2" s="480"/>
      <c r="G2" s="480"/>
      <c r="H2" s="480"/>
      <c r="I2" s="480"/>
      <c r="J2" s="480"/>
      <c r="K2" s="481"/>
    </row>
    <row r="3" spans="2:17" ht="52.8" x14ac:dyDescent="0.25">
      <c r="B3" s="950" t="s">
        <v>172</v>
      </c>
      <c r="C3" s="951" t="s">
        <v>173</v>
      </c>
      <c r="D3" s="952" t="s">
        <v>175</v>
      </c>
      <c r="E3" s="952" t="s">
        <v>4648</v>
      </c>
      <c r="F3" s="952" t="s">
        <v>4647</v>
      </c>
      <c r="G3" s="952" t="s">
        <v>3606</v>
      </c>
      <c r="H3" s="952" t="s">
        <v>3605</v>
      </c>
      <c r="I3" s="952" t="s">
        <v>174</v>
      </c>
      <c r="J3" s="953" t="s">
        <v>176</v>
      </c>
      <c r="K3" s="954" t="s">
        <v>177</v>
      </c>
      <c r="M3" s="763" t="s">
        <v>3607</v>
      </c>
      <c r="N3" s="572" t="s">
        <v>197</v>
      </c>
      <c r="O3" s="572" t="s">
        <v>369</v>
      </c>
      <c r="P3" s="764" t="s">
        <v>3243</v>
      </c>
    </row>
    <row r="4" spans="2:17" ht="25.05" customHeight="1" x14ac:dyDescent="0.25">
      <c r="B4" s="935" t="s">
        <v>178</v>
      </c>
      <c r="C4" s="932">
        <v>7712.570000000007</v>
      </c>
      <c r="D4" s="933">
        <v>0</v>
      </c>
      <c r="E4" s="933"/>
      <c r="F4" s="933"/>
      <c r="G4" s="933"/>
      <c r="H4" s="933"/>
      <c r="I4" s="933"/>
      <c r="J4" s="933"/>
      <c r="K4" s="807">
        <f t="shared" ref="K4:K16" si="0">SUM(C4:J4)</f>
        <v>7712.570000000007</v>
      </c>
      <c r="M4" s="935" t="s">
        <v>178</v>
      </c>
      <c r="N4" s="513">
        <v>211098.57</v>
      </c>
      <c r="O4" s="513">
        <v>218811.14</v>
      </c>
      <c r="P4" s="940">
        <f t="shared" ref="P4:P11" si="1">O4-N4</f>
        <v>7712.570000000007</v>
      </c>
    </row>
    <row r="5" spans="2:17" ht="25.05" customHeight="1" x14ac:dyDescent="0.25">
      <c r="B5" s="935" t="s">
        <v>179</v>
      </c>
      <c r="C5" s="932">
        <v>-7197.2</v>
      </c>
      <c r="D5" s="932">
        <v>-101216.49</v>
      </c>
      <c r="E5" s="933"/>
      <c r="F5" s="933"/>
      <c r="G5" s="933"/>
      <c r="H5" s="933"/>
      <c r="I5" s="933"/>
      <c r="J5" s="933"/>
      <c r="K5" s="807">
        <f t="shared" si="0"/>
        <v>-108413.69</v>
      </c>
      <c r="M5" s="935" t="s">
        <v>179</v>
      </c>
      <c r="N5" s="513">
        <f>444152.67+1072684.23</f>
        <v>1516836.9</v>
      </c>
      <c r="O5" s="513">
        <f>342936.18+1065487.03</f>
        <v>1408423.21</v>
      </c>
      <c r="P5" s="940">
        <f t="shared" si="1"/>
        <v>-108413.68999999994</v>
      </c>
    </row>
    <row r="6" spans="2:17" ht="25.05" customHeight="1" x14ac:dyDescent="0.25">
      <c r="B6" s="935" t="s">
        <v>180</v>
      </c>
      <c r="C6" s="932">
        <v>-170582.81</v>
      </c>
      <c r="D6" s="932">
        <v>-55083.02</v>
      </c>
      <c r="E6" s="933"/>
      <c r="F6" s="933"/>
      <c r="G6" s="933"/>
      <c r="H6" s="933"/>
      <c r="I6" s="933"/>
      <c r="J6" s="933"/>
      <c r="K6" s="807">
        <f t="shared" si="0"/>
        <v>-225665.83</v>
      </c>
      <c r="M6" s="935" t="s">
        <v>180</v>
      </c>
      <c r="N6" s="513">
        <f>221641.12+1300472.26</f>
        <v>1522113.38</v>
      </c>
      <c r="O6" s="513">
        <f>166558.1+1129889.45</f>
        <v>1296447.55</v>
      </c>
      <c r="P6" s="940">
        <f t="shared" si="1"/>
        <v>-225665.82999999984</v>
      </c>
    </row>
    <row r="7" spans="2:17" ht="25.05" customHeight="1" x14ac:dyDescent="0.25">
      <c r="B7" s="935" t="s">
        <v>181</v>
      </c>
      <c r="C7" s="932">
        <v>-3153.2</v>
      </c>
      <c r="D7" s="932">
        <v>-25318.33</v>
      </c>
      <c r="E7" s="933"/>
      <c r="F7" s="933"/>
      <c r="G7" s="933"/>
      <c r="H7" s="933"/>
      <c r="I7" s="932">
        <v>2788.12</v>
      </c>
      <c r="J7" s="933"/>
      <c r="K7" s="807">
        <f t="shared" si="0"/>
        <v>-25683.410000000003</v>
      </c>
      <c r="M7" s="935" t="s">
        <v>181</v>
      </c>
      <c r="N7" s="513">
        <f>53022.52+121202.46+550286.14</f>
        <v>724511.12</v>
      </c>
      <c r="O7" s="513">
        <f>55810.64+95884.13+547132.94</f>
        <v>698827.71</v>
      </c>
      <c r="P7" s="940">
        <f t="shared" si="1"/>
        <v>-25683.410000000033</v>
      </c>
    </row>
    <row r="8" spans="2:17" ht="25.05" customHeight="1" x14ac:dyDescent="0.25">
      <c r="B8" s="935" t="s">
        <v>182</v>
      </c>
      <c r="C8" s="932">
        <v>11863.6</v>
      </c>
      <c r="D8" s="932">
        <v>-65272.85</v>
      </c>
      <c r="E8" s="933"/>
      <c r="F8" s="933"/>
      <c r="G8" s="932">
        <v>-1165.31</v>
      </c>
      <c r="H8" s="932">
        <v>-4309.6000000000004</v>
      </c>
      <c r="I8" s="932">
        <v>10320.450000000001</v>
      </c>
      <c r="J8" s="932">
        <v>-1137.46</v>
      </c>
      <c r="K8" s="807">
        <f t="shared" si="0"/>
        <v>-49701.169999999991</v>
      </c>
      <c r="M8" s="935" t="s">
        <v>182</v>
      </c>
      <c r="N8" s="513">
        <f>101152.8915+862606.45+10491.28+5373.96+172431.02+1134586.4</f>
        <v>2286642.0014999998</v>
      </c>
      <c r="O8" s="513">
        <f>100015.428+872926.9+9325.97+1064.36+107158.17+1146450</f>
        <v>2236940.8279999997</v>
      </c>
      <c r="P8" s="940">
        <f t="shared" si="1"/>
        <v>-49701.173500000034</v>
      </c>
      <c r="Q8" s="524"/>
    </row>
    <row r="9" spans="2:17" ht="25.05" customHeight="1" x14ac:dyDescent="0.25">
      <c r="B9" s="935" t="s">
        <v>534</v>
      </c>
      <c r="C9" s="932">
        <v>-38028.379999999997</v>
      </c>
      <c r="D9" s="932">
        <v>1425.2600000000093</v>
      </c>
      <c r="E9" s="933"/>
      <c r="F9" s="933"/>
      <c r="G9" s="932">
        <v>-4562.8699999999844</v>
      </c>
      <c r="H9" s="932">
        <v>-59000.610000002773</v>
      </c>
      <c r="I9" s="932">
        <v>0</v>
      </c>
      <c r="J9" s="932">
        <v>0</v>
      </c>
      <c r="K9" s="807">
        <f t="shared" si="0"/>
        <v>-100166.60000000274</v>
      </c>
      <c r="M9" s="935" t="s">
        <v>534</v>
      </c>
      <c r="N9" s="513">
        <f>1475814.25+208178.71+205374.13+3395250.62+3234.13+628.73</f>
        <v>5288480.57</v>
      </c>
      <c r="O9" s="513">
        <f>1437785.87+209603.97+201439.99+3339484.14</f>
        <v>5188313.9700000007</v>
      </c>
      <c r="P9" s="940">
        <f>O9-N9</f>
        <v>-100166.59999999963</v>
      </c>
      <c r="Q9" s="524"/>
    </row>
    <row r="10" spans="2:17" ht="25.05" customHeight="1" x14ac:dyDescent="0.25">
      <c r="B10" s="935" t="s">
        <v>1936</v>
      </c>
      <c r="C10" s="932">
        <v>6104.23</v>
      </c>
      <c r="D10" s="932">
        <v>-4222.5100000000093</v>
      </c>
      <c r="E10" s="933"/>
      <c r="F10" s="933"/>
      <c r="G10" s="932">
        <v>0</v>
      </c>
      <c r="H10" s="932">
        <v>-330642.38999999996</v>
      </c>
      <c r="I10" s="932">
        <v>0</v>
      </c>
      <c r="J10" s="932">
        <v>0</v>
      </c>
      <c r="K10" s="807">
        <f t="shared" si="0"/>
        <v>-328760.67</v>
      </c>
      <c r="M10" s="935" t="s">
        <v>1936</v>
      </c>
      <c r="N10" s="513">
        <f>416741.79+403106.28+5366912.32+2665.93</f>
        <v>6189426.3200000003</v>
      </c>
      <c r="O10" s="513">
        <f>422846.02+398883.77+5038935.86</f>
        <v>5860665.6500000004</v>
      </c>
      <c r="P10" s="940">
        <f t="shared" si="1"/>
        <v>-328760.66999999993</v>
      </c>
    </row>
    <row r="11" spans="2:17" ht="25.05" customHeight="1" x14ac:dyDescent="0.25">
      <c r="B11" s="935" t="s">
        <v>3064</v>
      </c>
      <c r="C11" s="932">
        <v>0</v>
      </c>
      <c r="D11" s="932">
        <f>'FY14-ICICI'!H46</f>
        <v>-35073.31</v>
      </c>
      <c r="E11" s="933"/>
      <c r="F11" s="933"/>
      <c r="G11" s="932">
        <v>0</v>
      </c>
      <c r="H11" s="932">
        <f>'FY14-Equ-FNO-RKG'!P28</f>
        <v>-290172.12</v>
      </c>
      <c r="I11" s="932">
        <v>0</v>
      </c>
      <c r="J11" s="932">
        <v>0</v>
      </c>
      <c r="K11" s="807">
        <f t="shared" si="0"/>
        <v>-325245.43</v>
      </c>
      <c r="M11" s="935" t="s">
        <v>3064</v>
      </c>
      <c r="N11" s="513">
        <f>1018331.64+2953.89+79188.45</f>
        <v>1100473.98</v>
      </c>
      <c r="O11" s="513">
        <f>731113.41+44115.14</f>
        <v>775228.55</v>
      </c>
      <c r="P11" s="940">
        <f t="shared" si="1"/>
        <v>-325245.42999999993</v>
      </c>
      <c r="Q11" s="524"/>
    </row>
    <row r="12" spans="2:17" ht="25.05" customHeight="1" x14ac:dyDescent="0.25">
      <c r="B12" s="935" t="s">
        <v>3310</v>
      </c>
      <c r="C12" s="932">
        <f>'FY15-ICICI-Cash'!F3</f>
        <v>-2338.4800000000105</v>
      </c>
      <c r="D12" s="932">
        <f>'FY15-ICICI-FNO'!G4</f>
        <v>-87402.41</v>
      </c>
      <c r="E12" s="933"/>
      <c r="F12" s="933"/>
      <c r="G12" s="932">
        <f>'FY15-Equ-FNO-RKG'!N10</f>
        <v>-10828.699999999721</v>
      </c>
      <c r="H12" s="932">
        <f>'FY15-Equ-FNO-RKG'!M10</f>
        <v>-295694.17</v>
      </c>
      <c r="I12" s="932">
        <v>0</v>
      </c>
      <c r="J12" s="932">
        <v>0</v>
      </c>
      <c r="K12" s="807">
        <f t="shared" si="0"/>
        <v>-396263.75999999972</v>
      </c>
      <c r="M12" s="935" t="s">
        <v>3310</v>
      </c>
      <c r="N12" s="513">
        <f>'FY15-ICICI-Cash'!F21+'FY15-ICICI-FNO'!G50+'FY15-Equ-FNO-RKG'!O184+'FY15-Equ-FNO-RKG'!N568+'FY15-Equ-FNO-RKG'!M9</f>
        <v>3675904.2800000003</v>
      </c>
      <c r="O12" s="513">
        <f>'FY15-ICICI-Cash'!F40+'FY15-ICICI-FNO'!G84+'FY15-Equ-FNO-RKG'!O334+'FY15-Equ-FNO-RKG'!N719</f>
        <v>3279640.5200000005</v>
      </c>
      <c r="P12" s="940">
        <f>O12-N12</f>
        <v>-396263.75999999978</v>
      </c>
      <c r="Q12" s="524"/>
    </row>
    <row r="13" spans="2:17" ht="25.05" customHeight="1" x14ac:dyDescent="0.25">
      <c r="B13" s="935" t="s">
        <v>4246</v>
      </c>
      <c r="C13" s="934"/>
      <c r="D13" s="934"/>
      <c r="E13" s="932">
        <f>'FY16-Equ-FNO-Zerodha'!G11</f>
        <v>-892.7200000000098</v>
      </c>
      <c r="F13" s="932">
        <f>'FY16-Equ-FNO-Zerodha'!F11</f>
        <v>-119718.13000000035</v>
      </c>
      <c r="G13" s="932">
        <f>'FY16-Equ-FNO-RKG '!N10</f>
        <v>-1388.6599999988257</v>
      </c>
      <c r="H13" s="932">
        <f>'FY16-Equ-FNO-RKG '!M10</f>
        <v>-17262.010000000002</v>
      </c>
      <c r="I13" s="934"/>
      <c r="J13" s="934"/>
      <c r="K13" s="807">
        <f t="shared" si="0"/>
        <v>-139261.5199999992</v>
      </c>
      <c r="M13" s="935" t="s">
        <v>4246</v>
      </c>
      <c r="N13" s="513">
        <f>'FY16-Equ-FNO-RKG '!O261+'FY16-Equ-FNO-RKG '!N487+'FY16-Equ-FNO-RKG '!N9+'FY16-Equ-FNO-Zerodha'!P77+'FY16-Equ-FNO-Zerodha'!P367+'FY16-Equ-FNO-Zerodha'!G10</f>
        <v>4342289.17</v>
      </c>
      <c r="O13" s="513">
        <f>'FY16-Equ-FNO-RKG '!O441+'FY16-Equ-FNO-RKG '!N517+'FY16-Equ-FNO-Zerodha'!P113+'FY16-Equ-FNO-Zerodha'!P591</f>
        <v>4203027.6500000013</v>
      </c>
      <c r="P13" s="940">
        <f>O13-N13</f>
        <v>-139261.51999999862</v>
      </c>
      <c r="Q13" s="524"/>
    </row>
    <row r="14" spans="2:17" ht="25.05" customHeight="1" x14ac:dyDescent="0.25">
      <c r="B14" s="936" t="s">
        <v>4617</v>
      </c>
      <c r="C14" s="937"/>
      <c r="D14" s="937"/>
      <c r="E14" s="938">
        <f>'FY17-Equ-FNO-Zerodha'!G11</f>
        <v>0</v>
      </c>
      <c r="F14" s="938">
        <f>'FY17-Equ-FNO-Zerodha'!F11</f>
        <v>-17399.279999999984</v>
      </c>
      <c r="G14" s="939"/>
      <c r="H14" s="939"/>
      <c r="I14" s="937"/>
      <c r="J14" s="937"/>
      <c r="K14" s="562">
        <f t="shared" si="0"/>
        <v>-17399.279999999984</v>
      </c>
      <c r="M14" s="936" t="s">
        <v>4617</v>
      </c>
      <c r="N14" s="941">
        <f>'FY17-Equ-FNO-Zerodha'!J77+'FY17-Equ-FNO-Zerodha'!J194+'FY17-Equ-FNO-Zerodha'!F10+'FY17-Equ-FNO-Zerodha'!G10</f>
        <v>78166.25999999998</v>
      </c>
      <c r="O14" s="941">
        <f>'FY17-Equ-FNO-Zerodha'!J113+'FY17-Equ-FNO-Zerodha'!J245</f>
        <v>60766.98</v>
      </c>
      <c r="P14" s="967">
        <f>O14-N14</f>
        <v>-17399.279999999977</v>
      </c>
      <c r="Q14" s="524"/>
    </row>
    <row r="15" spans="2:17" ht="25.05" customHeight="1" x14ac:dyDescent="0.25">
      <c r="B15" s="936" t="s">
        <v>4646</v>
      </c>
      <c r="C15" s="937"/>
      <c r="D15" s="937"/>
      <c r="E15" s="938">
        <f>'FY18-Equ-FNO-Zerodha'!G11</f>
        <v>0</v>
      </c>
      <c r="F15" s="938">
        <f>'FY18-Equ-FNO-Zerodha'!F11</f>
        <v>-459825.07999999973</v>
      </c>
      <c r="G15" s="939"/>
      <c r="H15" s="939"/>
      <c r="I15" s="937"/>
      <c r="J15" s="937"/>
      <c r="K15" s="562">
        <f>SUM(C15:J15)</f>
        <v>-459825.07999999973</v>
      </c>
      <c r="M15" s="935" t="s">
        <v>4646</v>
      </c>
      <c r="N15" s="513">
        <f>'FY18-Equ-FNO-Zerodha'!J43+'FY18-Equ-FNO-Zerodha'!J281+'FY18-Equ-FNO-Zerodha'!F10+'FY18-Equ-FNO-Zerodha'!G10</f>
        <v>2565335.9899999998</v>
      </c>
      <c r="O15" s="513">
        <f>'FY18-Equ-FNO-Zerodha'!J50+'FY18-Equ-FNO-Zerodha'!J452</f>
        <v>2105510.91</v>
      </c>
      <c r="P15" s="967">
        <f>O15-N15</f>
        <v>-459825.07999999961</v>
      </c>
      <c r="Q15" s="524"/>
    </row>
    <row r="16" spans="2:17" ht="25.05" customHeight="1" thickBot="1" x14ac:dyDescent="0.3">
      <c r="B16" s="963" t="s">
        <v>4662</v>
      </c>
      <c r="C16" s="964"/>
      <c r="D16" s="964"/>
      <c r="E16" s="965">
        <v>0</v>
      </c>
      <c r="F16" s="965">
        <v>0</v>
      </c>
      <c r="G16" s="966"/>
      <c r="H16" s="966"/>
      <c r="I16" s="964"/>
      <c r="J16" s="964"/>
      <c r="K16" s="562">
        <f t="shared" si="0"/>
        <v>0</v>
      </c>
      <c r="M16" s="963" t="s">
        <v>4662</v>
      </c>
      <c r="N16" s="968"/>
      <c r="O16" s="968"/>
      <c r="P16" s="973"/>
      <c r="Q16" s="524"/>
    </row>
    <row r="17" spans="2:17" ht="25.05" customHeight="1" thickBot="1" x14ac:dyDescent="0.3">
      <c r="B17" s="482" t="s">
        <v>183</v>
      </c>
      <c r="C17" s="767">
        <f>SUM(C4:C15)</f>
        <v>-195619.67</v>
      </c>
      <c r="D17" s="767">
        <f t="shared" ref="D17:J17" si="2">SUM(D4:D15)</f>
        <v>-372163.66000000003</v>
      </c>
      <c r="E17" s="767">
        <f t="shared" si="2"/>
        <v>-892.7200000000098</v>
      </c>
      <c r="F17" s="767">
        <f t="shared" si="2"/>
        <v>-596942.49</v>
      </c>
      <c r="G17" s="767">
        <f t="shared" si="2"/>
        <v>-17945.539999998531</v>
      </c>
      <c r="H17" s="767">
        <f t="shared" si="2"/>
        <v>-997080.9000000027</v>
      </c>
      <c r="I17" s="767">
        <f t="shared" si="2"/>
        <v>13108.57</v>
      </c>
      <c r="J17" s="767">
        <f t="shared" si="2"/>
        <v>-1137.46</v>
      </c>
      <c r="K17" s="526">
        <f>SUM(K4:K15)</f>
        <v>-2168673.8700000015</v>
      </c>
      <c r="M17" s="655" t="s">
        <v>183</v>
      </c>
      <c r="N17" s="766">
        <f>SUM(N4:N15)</f>
        <v>29501278.541500002</v>
      </c>
      <c r="O17" s="767">
        <f>SUM(O4:O15)</f>
        <v>27332604.668000001</v>
      </c>
      <c r="P17" s="765">
        <f>SUM(P4:P15)</f>
        <v>-2168673.8734999974</v>
      </c>
    </row>
    <row r="18" spans="2:17" ht="25.05" customHeight="1" thickBot="1" x14ac:dyDescent="0.3">
      <c r="D18" s="220"/>
      <c r="E18" s="220"/>
      <c r="F18" s="220"/>
      <c r="G18" s="220"/>
      <c r="H18" s="220"/>
      <c r="J18" s="220"/>
      <c r="K18" s="524"/>
      <c r="P18" s="524"/>
    </row>
    <row r="19" spans="2:17" ht="25.05" customHeight="1" x14ac:dyDescent="0.25">
      <c r="C19" s="658"/>
      <c r="D19" s="659"/>
      <c r="E19" s="659"/>
      <c r="F19" s="659"/>
      <c r="G19" s="659"/>
      <c r="H19" s="658"/>
      <c r="I19" s="658"/>
      <c r="K19" s="524"/>
      <c r="N19" s="664" t="s">
        <v>537</v>
      </c>
      <c r="O19" s="572" t="s">
        <v>538</v>
      </c>
      <c r="P19" s="572" t="s">
        <v>3372</v>
      </c>
      <c r="Q19" s="573" t="s">
        <v>4043</v>
      </c>
    </row>
    <row r="20" spans="2:17" s="219" customFormat="1" ht="65.099999999999994" customHeight="1" x14ac:dyDescent="0.25">
      <c r="C20" s="658"/>
      <c r="D20" s="658"/>
      <c r="E20" s="658"/>
      <c r="F20" s="658"/>
      <c r="G20" s="657"/>
      <c r="H20" s="659"/>
      <c r="I20" s="658"/>
      <c r="M20" s="483"/>
      <c r="N20" s="665">
        <f>'ICICI-Cash'!F994</f>
        <v>-195619.66999999993</v>
      </c>
      <c r="O20" s="513">
        <f>'ICICI-FNO'!G480</f>
        <v>-372163.65999999992</v>
      </c>
      <c r="P20" s="495">
        <f>SUM(N20:O20)</f>
        <v>-567783.32999999984</v>
      </c>
      <c r="Q20" s="666" t="s">
        <v>4040</v>
      </c>
    </row>
    <row r="21" spans="2:17" s="219" customFormat="1" ht="65.099999999999994" customHeight="1" x14ac:dyDescent="0.25">
      <c r="C21" s="658"/>
      <c r="D21" s="658"/>
      <c r="E21" s="658"/>
      <c r="F21" s="658"/>
      <c r="G21" s="803"/>
      <c r="H21" s="659"/>
      <c r="I21" s="658"/>
      <c r="M21" s="483"/>
      <c r="N21" s="665">
        <f>E17</f>
        <v>-892.7200000000098</v>
      </c>
      <c r="O21" s="513">
        <f>F17</f>
        <v>-596942.49</v>
      </c>
      <c r="P21" s="495">
        <f>N21+O21</f>
        <v>-597835.21</v>
      </c>
      <c r="Q21" s="944" t="s">
        <v>4618</v>
      </c>
    </row>
    <row r="22" spans="2:17" s="219" customFormat="1" ht="65.099999999999994" customHeight="1" x14ac:dyDescent="0.25">
      <c r="C22" s="220"/>
      <c r="D22" s="220"/>
      <c r="E22" s="220"/>
      <c r="F22" s="220"/>
      <c r="G22" s="656"/>
      <c r="K22" s="220"/>
      <c r="L22" s="483"/>
      <c r="M22" s="220"/>
      <c r="N22" s="667">
        <f>G17</f>
        <v>-17945.539999998531</v>
      </c>
      <c r="O22" s="513">
        <f>H17</f>
        <v>-997080.9000000027</v>
      </c>
      <c r="P22" s="495">
        <f>SUM(N22:O22)+M22</f>
        <v>-1015026.4400000012</v>
      </c>
      <c r="Q22" s="666" t="s">
        <v>4042</v>
      </c>
    </row>
    <row r="23" spans="2:17" s="219" customFormat="1" ht="65.099999999999994" customHeight="1" x14ac:dyDescent="0.25">
      <c r="G23" s="656"/>
      <c r="I23" s="508"/>
      <c r="N23" s="667">
        <f>J17</f>
        <v>-1137.46</v>
      </c>
      <c r="O23" s="660"/>
      <c r="P23" s="495">
        <f>SUM(N23:O23)</f>
        <v>-1137.46</v>
      </c>
      <c r="Q23" s="666" t="s">
        <v>4041</v>
      </c>
    </row>
    <row r="24" spans="2:17" s="219" customFormat="1" ht="65.099999999999994" customHeight="1" thickBot="1" x14ac:dyDescent="0.3">
      <c r="G24" s="656"/>
      <c r="I24" s="508"/>
      <c r="N24" s="668">
        <f>I17</f>
        <v>13108.57</v>
      </c>
      <c r="O24" s="669"/>
      <c r="P24" s="670">
        <f>SUM(N24:O24)</f>
        <v>13108.57</v>
      </c>
      <c r="Q24" s="671" t="s">
        <v>4044</v>
      </c>
    </row>
    <row r="25" spans="2:17" s="219" customFormat="1" ht="25.05" customHeight="1" thickBot="1" x14ac:dyDescent="0.3">
      <c r="G25" s="656"/>
      <c r="M25" s="99" t="s">
        <v>183</v>
      </c>
      <c r="N25" s="661">
        <f>SUM(N20:N24)</f>
        <v>-202486.81999999844</v>
      </c>
      <c r="O25" s="662">
        <f>SUM(O20:O24)</f>
        <v>-1966187.0500000026</v>
      </c>
      <c r="P25" s="663">
        <f>SUM(P20:P24)</f>
        <v>-2168673.870000001</v>
      </c>
      <c r="Q25" s="483"/>
    </row>
    <row r="26" spans="2:17" s="219" customFormat="1" ht="25.05" customHeight="1" x14ac:dyDescent="0.25">
      <c r="G26" s="656"/>
      <c r="M26" s="99"/>
      <c r="N26" s="656"/>
      <c r="O26" s="656"/>
      <c r="P26" s="656"/>
      <c r="Q26" s="483"/>
    </row>
    <row r="27" spans="2:17" s="219" customFormat="1" ht="25.05" customHeight="1" x14ac:dyDescent="0.25">
      <c r="G27" s="508"/>
      <c r="I27" s="508"/>
      <c r="J27" s="220"/>
    </row>
    <row r="28" spans="2:17" s="219" customFormat="1" ht="25.05" customHeight="1" x14ac:dyDescent="0.25">
      <c r="D28" s="483" t="s">
        <v>2996</v>
      </c>
      <c r="E28" s="483"/>
      <c r="F28" s="483"/>
      <c r="G28" s="525" t="s">
        <v>438</v>
      </c>
      <c r="H28" s="220">
        <v>37081.11</v>
      </c>
      <c r="I28" s="508"/>
    </row>
    <row r="29" spans="2:17" s="219" customFormat="1" ht="25.05" customHeight="1" x14ac:dyDescent="0.25">
      <c r="D29" s="219" t="s">
        <v>1063</v>
      </c>
      <c r="G29" s="656"/>
      <c r="H29" s="220">
        <f>K17-H28</f>
        <v>-2205754.9800000014</v>
      </c>
      <c r="I29" s="508"/>
    </row>
    <row r="30" spans="2:17" ht="25.05" customHeight="1" x14ac:dyDescent="0.25"/>
    <row r="31" spans="2:17" ht="25.05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</sheetData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S48"/>
  <sheetViews>
    <sheetView tabSelected="1" zoomScaleNormal="100" zoomScaleSheetLayoutView="100" workbookViewId="0">
      <selection activeCell="H16" sqref="H16"/>
    </sheetView>
  </sheetViews>
  <sheetFormatPr defaultColWidth="9.21875" defaultRowHeight="13.2" x14ac:dyDescent="0.25"/>
  <cols>
    <col min="1" max="1" width="18.21875" style="121" bestFit="1" customWidth="1"/>
    <col min="2" max="2" width="10.77734375" style="121" customWidth="1"/>
    <col min="3" max="3" width="15.44140625" style="121" bestFit="1" customWidth="1"/>
    <col min="4" max="5" width="12.77734375" style="121" customWidth="1"/>
    <col min="6" max="6" width="12.77734375" style="726" customWidth="1"/>
    <col min="7" max="7" width="13.77734375" style="524" customWidth="1"/>
    <col min="8" max="8" width="8.77734375" style="524" customWidth="1"/>
    <col min="9" max="9" width="9.21875" style="121" customWidth="1"/>
    <col min="10" max="10" width="13.77734375" style="525" customWidth="1"/>
    <col min="11" max="12" width="13.77734375" style="121" customWidth="1"/>
    <col min="13" max="13" width="5.77734375" style="121" customWidth="1"/>
    <col min="14" max="14" width="20" style="121" bestFit="1" customWidth="1"/>
    <col min="15" max="15" width="12.21875" style="524" bestFit="1" customWidth="1"/>
    <col min="16" max="16" width="9.21875" style="121"/>
    <col min="17" max="17" width="11.77734375" style="121" bestFit="1" customWidth="1"/>
    <col min="18" max="16384" width="9.21875" style="121"/>
  </cols>
  <sheetData>
    <row r="1" spans="1:19" ht="18.75" customHeight="1" x14ac:dyDescent="0.25">
      <c r="A1" s="1019" t="s">
        <v>3224</v>
      </c>
      <c r="B1" s="1020"/>
      <c r="C1" s="1020"/>
      <c r="D1" s="1020"/>
      <c r="E1" s="1020"/>
      <c r="F1" s="1020"/>
      <c r="G1" s="1020"/>
      <c r="H1" s="1020"/>
      <c r="I1" s="1020"/>
      <c r="J1" s="1020"/>
      <c r="K1" s="1020"/>
      <c r="L1" s="1021"/>
      <c r="M1" s="487"/>
      <c r="N1" s="487"/>
      <c r="O1" s="519"/>
      <c r="P1" s="491"/>
    </row>
    <row r="2" spans="1:19" ht="20.100000000000001" customHeight="1" x14ac:dyDescent="0.25">
      <c r="A2" s="1030" t="s">
        <v>4432</v>
      </c>
      <c r="B2" s="1031"/>
      <c r="C2" s="1031"/>
      <c r="D2" s="1031"/>
      <c r="E2" s="1031"/>
      <c r="F2" s="1031"/>
      <c r="G2" s="1032"/>
      <c r="H2" s="488"/>
      <c r="I2" s="552"/>
      <c r="J2" s="643"/>
      <c r="K2" s="489" t="s">
        <v>3225</v>
      </c>
      <c r="L2" s="490">
        <v>38903</v>
      </c>
      <c r="M2" s="491"/>
      <c r="N2" s="491"/>
      <c r="O2" s="499">
        <v>-190403.68000000028</v>
      </c>
      <c r="P2" s="491"/>
    </row>
    <row r="3" spans="1:19" ht="20.100000000000001" customHeight="1" x14ac:dyDescent="0.25">
      <c r="A3" s="492" t="s">
        <v>3226</v>
      </c>
      <c r="B3" s="493" t="s">
        <v>664</v>
      </c>
      <c r="C3" s="493" t="s">
        <v>469</v>
      </c>
      <c r="D3" s="493" t="s">
        <v>3227</v>
      </c>
      <c r="E3" s="493" t="s">
        <v>3235</v>
      </c>
      <c r="F3" s="718" t="s">
        <v>4520</v>
      </c>
      <c r="G3" s="718" t="s">
        <v>3236</v>
      </c>
      <c r="H3" s="488"/>
      <c r="I3" s="552"/>
      <c r="J3" s="650"/>
      <c r="K3" s="494" t="s">
        <v>3228</v>
      </c>
      <c r="L3" s="772">
        <v>43301</v>
      </c>
      <c r="M3" s="491"/>
      <c r="N3" s="491"/>
      <c r="O3" s="499"/>
      <c r="P3" s="491"/>
    </row>
    <row r="4" spans="1:19" ht="20.100000000000001" customHeight="1" x14ac:dyDescent="0.25">
      <c r="A4" s="1011" t="s">
        <v>4918</v>
      </c>
      <c r="B4" s="716">
        <v>46.033329999999999</v>
      </c>
      <c r="C4" s="128">
        <v>1350</v>
      </c>
      <c r="D4" s="495">
        <f>B4*C4</f>
        <v>62144.995499999997</v>
      </c>
      <c r="E4" s="717">
        <v>67.239999999999995</v>
      </c>
      <c r="F4" s="719">
        <f>E4*C4</f>
        <v>90774</v>
      </c>
      <c r="G4" s="1010">
        <f>F4-D4</f>
        <v>28629.004500000003</v>
      </c>
      <c r="H4" s="488"/>
      <c r="I4" s="552"/>
      <c r="J4" s="645"/>
      <c r="K4" s="651"/>
      <c r="L4" s="1009"/>
      <c r="M4" s="491"/>
      <c r="N4" s="488"/>
      <c r="O4" s="499"/>
      <c r="P4" s="491"/>
    </row>
    <row r="5" spans="1:19" ht="20.100000000000001" customHeight="1" x14ac:dyDescent="0.25">
      <c r="A5" s="1012" t="s">
        <v>4919</v>
      </c>
      <c r="B5" s="1013">
        <v>43.586956521739133</v>
      </c>
      <c r="C5" s="1014">
        <v>1725</v>
      </c>
      <c r="D5" s="1015">
        <f>B5*C5</f>
        <v>75187.5</v>
      </c>
      <c r="E5" s="1016">
        <v>26.991304347826087</v>
      </c>
      <c r="F5" s="1017">
        <f>E5*C5</f>
        <v>46560</v>
      </c>
      <c r="G5" s="1018">
        <f>F5-D5</f>
        <v>-28627.5</v>
      </c>
      <c r="H5" s="488" t="s">
        <v>4920</v>
      </c>
      <c r="I5" s="491"/>
      <c r="J5" s="550"/>
      <c r="K5" s="550"/>
      <c r="L5" s="652"/>
      <c r="M5" s="491"/>
      <c r="N5" s="504" t="s">
        <v>3230</v>
      </c>
      <c r="O5" s="602"/>
      <c r="P5" s="491"/>
    </row>
    <row r="6" spans="1:19" ht="20.100000000000001" customHeight="1" x14ac:dyDescent="0.25">
      <c r="A6" s="871"/>
      <c r="B6" s="716"/>
      <c r="C6" s="128"/>
      <c r="D6" s="495"/>
      <c r="E6" s="717"/>
      <c r="F6" s="719"/>
      <c r="G6" s="875"/>
      <c r="H6" s="488"/>
      <c r="I6" s="880" t="s">
        <v>4558</v>
      </c>
      <c r="J6" s="559">
        <f>F15-920500</f>
        <v>-1379106.1700000004</v>
      </c>
      <c r="K6" s="555" t="s">
        <v>3229</v>
      </c>
      <c r="L6" s="562">
        <f>-37952.2</f>
        <v>-37952.199999999997</v>
      </c>
      <c r="M6" s="491"/>
      <c r="N6" s="517" t="s">
        <v>3583</v>
      </c>
      <c r="O6" s="570">
        <f>2250+5500</f>
        <v>7750</v>
      </c>
      <c r="P6" s="491"/>
    </row>
    <row r="7" spans="1:19" ht="20.100000000000001" customHeight="1" x14ac:dyDescent="0.25">
      <c r="A7" s="732"/>
      <c r="B7" s="716"/>
      <c r="C7" s="511"/>
      <c r="D7" s="495"/>
      <c r="E7" s="717"/>
      <c r="F7" s="719"/>
      <c r="G7" s="876"/>
      <c r="H7" s="488"/>
      <c r="I7" s="881" t="s">
        <v>3569</v>
      </c>
      <c r="J7" s="878">
        <f>Summary!C17+Summary!D17</f>
        <v>-567783.33000000007</v>
      </c>
      <c r="K7" s="549" t="s">
        <v>3572</v>
      </c>
      <c r="L7" s="563">
        <v>-16500</v>
      </c>
      <c r="M7" s="491"/>
      <c r="N7" s="498" t="s">
        <v>3578</v>
      </c>
      <c r="O7" s="565">
        <v>15000</v>
      </c>
      <c r="P7" s="491"/>
    </row>
    <row r="8" spans="1:19" ht="20.100000000000001" customHeight="1" x14ac:dyDescent="0.25">
      <c r="A8" s="732"/>
      <c r="B8" s="715"/>
      <c r="C8" s="128"/>
      <c r="D8" s="495"/>
      <c r="E8" s="715"/>
      <c r="F8" s="719"/>
      <c r="G8" s="876"/>
      <c r="H8" s="488"/>
      <c r="I8" s="881" t="s">
        <v>3571</v>
      </c>
      <c r="J8" s="560">
        <f>F23</f>
        <v>-1015026.4400000013</v>
      </c>
      <c r="K8" s="549" t="s">
        <v>3230</v>
      </c>
      <c r="L8" s="563">
        <f>O20*-1</f>
        <v>-212490</v>
      </c>
      <c r="M8" s="491"/>
      <c r="N8" s="504" t="s">
        <v>3582</v>
      </c>
      <c r="O8" s="565">
        <v>2000</v>
      </c>
      <c r="P8" s="491"/>
      <c r="S8" s="524"/>
    </row>
    <row r="9" spans="1:19" s="491" customFormat="1" ht="20.100000000000001" customHeight="1" x14ac:dyDescent="0.25">
      <c r="A9" s="773"/>
      <c r="B9" s="715"/>
      <c r="C9" s="128"/>
      <c r="D9" s="495"/>
      <c r="E9" s="715"/>
      <c r="F9" s="719"/>
      <c r="G9" s="877"/>
      <c r="I9" s="881" t="s">
        <v>3570</v>
      </c>
      <c r="J9" s="561">
        <f>F29</f>
        <v>13108.570000000069</v>
      </c>
      <c r="K9" s="556" t="s">
        <v>3231</v>
      </c>
      <c r="L9" s="563">
        <v>-25000</v>
      </c>
      <c r="N9" s="498" t="s">
        <v>3577</v>
      </c>
      <c r="O9" s="565">
        <f>27000+7000+2000*5</f>
        <v>44000</v>
      </c>
    </row>
    <row r="10" spans="1:19" s="491" customFormat="1" ht="20.100000000000001" customHeight="1" x14ac:dyDescent="0.25">
      <c r="A10" s="514"/>
      <c r="B10" s="501"/>
      <c r="C10" s="518" t="s">
        <v>3238</v>
      </c>
      <c r="D10" s="495">
        <f>SUM(D4:D9)</f>
        <v>137332.49549999999</v>
      </c>
      <c r="E10" s="761" t="s">
        <v>4519</v>
      </c>
      <c r="F10" s="719">
        <f>SUM(F4:F9)</f>
        <v>137334</v>
      </c>
      <c r="G10" s="513">
        <f>SUM(G4:G9)</f>
        <v>1.5045000000027358</v>
      </c>
      <c r="I10" s="881" t="s">
        <v>3576</v>
      </c>
      <c r="J10" s="561">
        <v>-1137.46</v>
      </c>
      <c r="K10" s="1008" t="s">
        <v>4857</v>
      </c>
      <c r="L10" s="557">
        <f>Truck!I55</f>
        <v>-150585</v>
      </c>
      <c r="N10" s="498" t="s">
        <v>3580</v>
      </c>
      <c r="O10" s="565">
        <v>8500</v>
      </c>
    </row>
    <row r="11" spans="1:19" s="491" customFormat="1" ht="20.100000000000001" customHeight="1" x14ac:dyDescent="0.25">
      <c r="A11" s="503"/>
      <c r="G11" s="658"/>
      <c r="H11" s="488"/>
      <c r="I11" s="881" t="s">
        <v>3573</v>
      </c>
      <c r="J11" s="495">
        <f>SUM(J6:J10)</f>
        <v>-2949944.8300000015</v>
      </c>
      <c r="K11" s="558" t="s">
        <v>3575</v>
      </c>
      <c r="L11" s="564">
        <f>SUM(L6:L10)</f>
        <v>-442527.2</v>
      </c>
      <c r="N11" s="504" t="s">
        <v>3581</v>
      </c>
      <c r="O11" s="565">
        <v>16000</v>
      </c>
    </row>
    <row r="12" spans="1:19" s="491" customFormat="1" ht="20.100000000000001" customHeight="1" x14ac:dyDescent="0.25">
      <c r="A12" s="648"/>
      <c r="B12" s="488"/>
      <c r="C12" s="508" t="s">
        <v>4616</v>
      </c>
      <c r="D12" s="495">
        <f>'FY18-Equ-FNO-Zerodha'!G26+500000</f>
        <v>1198500</v>
      </c>
      <c r="E12" s="929" t="s">
        <v>3239</v>
      </c>
      <c r="F12" s="931">
        <f>F10+D14</f>
        <v>179404</v>
      </c>
      <c r="G12" s="658"/>
      <c r="H12" s="488"/>
      <c r="K12" s="506" t="s">
        <v>3574</v>
      </c>
      <c r="L12" s="557">
        <f>J11+L11</f>
        <v>-3392472.0300000017</v>
      </c>
      <c r="N12" s="498" t="s">
        <v>3579</v>
      </c>
      <c r="O12" s="565">
        <v>15000</v>
      </c>
    </row>
    <row r="13" spans="1:19" s="491" customFormat="1" ht="20.100000000000001" customHeight="1" x14ac:dyDescent="0.25">
      <c r="A13" s="503"/>
      <c r="B13" s="488"/>
      <c r="C13" s="930" t="s">
        <v>4614</v>
      </c>
      <c r="D13" s="366">
        <v>500000</v>
      </c>
      <c r="E13" s="969" t="s">
        <v>4659</v>
      </c>
      <c r="F13" s="720">
        <f>'FY18-Equ-FNO-Zerodha'!G25</f>
        <v>-138010.17000000036</v>
      </c>
      <c r="G13" s="659"/>
      <c r="L13" s="497"/>
      <c r="N13" s="498" t="s">
        <v>4037</v>
      </c>
      <c r="O13" s="565">
        <v>10000</v>
      </c>
    </row>
    <row r="14" spans="1:19" ht="20.100000000000001" customHeight="1" x14ac:dyDescent="0.25">
      <c r="B14" s="491"/>
      <c r="C14" s="521" t="s">
        <v>3242</v>
      </c>
      <c r="D14" s="495">
        <v>42070</v>
      </c>
      <c r="E14" s="761" t="s">
        <v>4435</v>
      </c>
      <c r="F14" s="719">
        <f>F12-D13</f>
        <v>-320596</v>
      </c>
      <c r="G14" s="659"/>
      <c r="H14" s="488"/>
      <c r="I14" s="550"/>
      <c r="J14" s="551"/>
      <c r="K14" s="571"/>
      <c r="L14" s="548"/>
      <c r="M14" s="491"/>
      <c r="N14" s="498" t="s">
        <v>4038</v>
      </c>
      <c r="O14" s="565">
        <v>12500</v>
      </c>
      <c r="P14" s="491"/>
    </row>
    <row r="15" spans="1:19" ht="20.100000000000001" customHeight="1" x14ac:dyDescent="0.25">
      <c r="A15" s="649"/>
      <c r="B15" s="646"/>
      <c r="C15" s="647"/>
      <c r="D15" s="647"/>
      <c r="E15" s="945" t="s">
        <v>4619</v>
      </c>
      <c r="F15" s="719">
        <f>SUM(F13:F14)</f>
        <v>-458606.17000000039</v>
      </c>
      <c r="G15" s="727"/>
      <c r="H15" s="500"/>
      <c r="I15" s="552"/>
      <c r="J15" s="553"/>
      <c r="K15" s="948" t="s">
        <v>4621</v>
      </c>
      <c r="L15" s="947">
        <v>-3529806.0300000017</v>
      </c>
      <c r="M15" s="491"/>
      <c r="N15" s="971" t="s">
        <v>4661</v>
      </c>
      <c r="O15" s="972">
        <f>6000*7</f>
        <v>42000</v>
      </c>
      <c r="P15" s="491"/>
      <c r="Q15" s="524"/>
    </row>
    <row r="16" spans="1:19" ht="20.100000000000001" customHeight="1" x14ac:dyDescent="0.25">
      <c r="A16" s="644"/>
      <c r="B16" s="612"/>
      <c r="C16" s="571"/>
      <c r="D16" s="645"/>
      <c r="E16" s="733"/>
      <c r="F16" s="728"/>
      <c r="G16" s="728"/>
      <c r="H16" s="1040"/>
      <c r="I16" s="554"/>
      <c r="J16" s="553"/>
      <c r="K16" s="949" t="s">
        <v>4620</v>
      </c>
      <c r="L16" s="946">
        <f>(L12-L15)/ABS(L15)</f>
        <v>3.8906953762555596E-2</v>
      </c>
      <c r="M16" s="502"/>
      <c r="N16" s="974" t="s">
        <v>4663</v>
      </c>
      <c r="O16" s="488">
        <f>2100+9500</f>
        <v>11600</v>
      </c>
      <c r="P16" s="491"/>
    </row>
    <row r="17" spans="1:17" ht="20.100000000000001" customHeight="1" x14ac:dyDescent="0.25">
      <c r="A17" s="507"/>
      <c r="B17" s="491"/>
      <c r="C17" s="508"/>
      <c r="D17" s="488"/>
      <c r="E17" s="761"/>
      <c r="F17" s="722"/>
      <c r="G17" s="799"/>
      <c r="H17" s="797"/>
      <c r="I17" s="550"/>
      <c r="J17" s="551"/>
      <c r="K17" s="658"/>
      <c r="L17" s="798"/>
      <c r="M17" s="502"/>
      <c r="N17" s="121" t="s">
        <v>4760</v>
      </c>
      <c r="O17" s="524">
        <v>17500</v>
      </c>
      <c r="P17" s="491"/>
    </row>
    <row r="18" spans="1:17" ht="20.100000000000001" customHeight="1" x14ac:dyDescent="0.25">
      <c r="A18" s="1022" t="s">
        <v>3234</v>
      </c>
      <c r="B18" s="1023"/>
      <c r="C18" s="1023"/>
      <c r="D18" s="1023"/>
      <c r="E18" s="1023"/>
      <c r="F18" s="1024"/>
      <c r="G18" s="1027"/>
      <c r="H18" s="1028"/>
      <c r="I18" s="1028"/>
      <c r="J18" s="1028"/>
      <c r="K18" s="1028"/>
      <c r="L18" s="1029"/>
      <c r="M18" s="488"/>
      <c r="N18" s="488" t="s">
        <v>4761</v>
      </c>
      <c r="O18" s="488">
        <f>5600+5040</f>
        <v>10640</v>
      </c>
      <c r="P18" s="491"/>
      <c r="Q18" s="524"/>
    </row>
    <row r="19" spans="1:17" ht="20.100000000000001" customHeight="1" x14ac:dyDescent="0.25">
      <c r="A19" s="492" t="s">
        <v>3226</v>
      </c>
      <c r="B19" s="493" t="s">
        <v>664</v>
      </c>
      <c r="C19" s="493" t="s">
        <v>469</v>
      </c>
      <c r="D19" s="493" t="s">
        <v>3227</v>
      </c>
      <c r="E19" s="493" t="s">
        <v>3235</v>
      </c>
      <c r="F19" s="718" t="s">
        <v>3236</v>
      </c>
      <c r="G19" s="793"/>
      <c r="H19" s="793"/>
      <c r="I19" s="793"/>
      <c r="J19" s="793"/>
      <c r="K19" s="793"/>
      <c r="L19" s="800"/>
      <c r="M19" s="491"/>
      <c r="N19" s="488"/>
      <c r="O19" s="488"/>
      <c r="P19" s="491"/>
    </row>
    <row r="20" spans="1:17" ht="20.100000000000001" customHeight="1" x14ac:dyDescent="0.25">
      <c r="A20" s="492"/>
      <c r="B20" s="493"/>
      <c r="C20" s="493"/>
      <c r="D20" s="493"/>
      <c r="E20" s="493"/>
      <c r="F20" s="718"/>
      <c r="G20" s="793"/>
      <c r="H20" s="793"/>
      <c r="I20" s="793"/>
      <c r="J20" s="793"/>
      <c r="K20" s="793"/>
      <c r="L20" s="800"/>
      <c r="M20" s="491"/>
      <c r="N20" s="567" t="s">
        <v>3584</v>
      </c>
      <c r="O20" s="566">
        <f>SUM(O6:O19)</f>
        <v>212490</v>
      </c>
      <c r="P20" s="491"/>
    </row>
    <row r="21" spans="1:17" ht="20.100000000000001" customHeight="1" x14ac:dyDescent="0.25">
      <c r="A21" s="503"/>
      <c r="B21" s="791" t="s">
        <v>3241</v>
      </c>
      <c r="C21" s="360">
        <f>'FY16-Equ-FNO-RKG '!N25</f>
        <v>1015100.0000000028</v>
      </c>
      <c r="D21" s="491"/>
      <c r="E21" s="761" t="s">
        <v>4255</v>
      </c>
      <c r="F21" s="792">
        <f>'FY16-Equ-FNO-RKG '!N24</f>
        <v>-996375.77000000258</v>
      </c>
      <c r="G21" s="612"/>
      <c r="H21" s="553"/>
      <c r="I21" s="553"/>
      <c r="J21" s="550"/>
      <c r="K21" s="571"/>
      <c r="L21" s="801"/>
      <c r="M21" s="569"/>
      <c r="N21" s="488"/>
      <c r="O21" s="488"/>
      <c r="P21" s="491"/>
    </row>
    <row r="22" spans="1:17" ht="20.100000000000001" customHeight="1" x14ac:dyDescent="0.25">
      <c r="A22" s="503"/>
      <c r="B22" s="508" t="s">
        <v>3242</v>
      </c>
      <c r="C22" s="495">
        <f>'FY16-Equ-FNO-RKG '!N18</f>
        <v>73.560000001445587</v>
      </c>
      <c r="D22" s="491"/>
      <c r="E22" s="761" t="s">
        <v>4434</v>
      </c>
      <c r="F22" s="792">
        <f>'FY16-Equ-FNO-RKG '!P28</f>
        <v>-18650.669999998827</v>
      </c>
      <c r="G22" s="612"/>
      <c r="H22" s="571"/>
      <c r="I22" s="790"/>
      <c r="J22" s="550"/>
      <c r="K22" s="571"/>
      <c r="L22" s="548"/>
      <c r="M22" s="491"/>
      <c r="N22" s="488"/>
      <c r="O22" s="488"/>
      <c r="P22" s="488"/>
    </row>
    <row r="23" spans="1:17" ht="20.100000000000001" customHeight="1" x14ac:dyDescent="0.25">
      <c r="A23" s="503"/>
      <c r="B23" s="506"/>
      <c r="C23" s="499"/>
      <c r="D23" s="499"/>
      <c r="E23" s="761" t="s">
        <v>4433</v>
      </c>
      <c r="F23" s="804">
        <f>C22-C21</f>
        <v>-1015026.4400000013</v>
      </c>
      <c r="G23" s="612"/>
      <c r="H23" s="571"/>
      <c r="I23" s="790"/>
      <c r="J23" s="550"/>
      <c r="K23" s="571"/>
      <c r="L23" s="548"/>
      <c r="M23" s="491"/>
      <c r="N23" s="499"/>
      <c r="O23" s="488"/>
      <c r="P23" s="491"/>
    </row>
    <row r="24" spans="1:17" ht="23.1" customHeight="1" x14ac:dyDescent="0.25">
      <c r="A24" s="507"/>
      <c r="B24" s="491"/>
      <c r="C24" s="571"/>
      <c r="D24" s="645"/>
      <c r="E24" s="733"/>
      <c r="F24" s="728"/>
      <c r="G24" s="550"/>
      <c r="H24" s="550"/>
      <c r="I24" s="794"/>
      <c r="J24" s="795"/>
      <c r="K24" s="796"/>
      <c r="L24" s="802"/>
      <c r="M24" s="601"/>
      <c r="N24" s="602"/>
      <c r="O24" s="603"/>
      <c r="P24" s="602"/>
    </row>
    <row r="25" spans="1:17" ht="20.100000000000001" customHeight="1" x14ac:dyDescent="0.25">
      <c r="A25" s="1022" t="s">
        <v>3233</v>
      </c>
      <c r="B25" s="1023"/>
      <c r="C25" s="1023"/>
      <c r="D25" s="1023"/>
      <c r="E25" s="1023"/>
      <c r="F25" s="1024"/>
      <c r="G25" s="1025" t="s">
        <v>4035</v>
      </c>
      <c r="H25" s="1023"/>
      <c r="I25" s="1023"/>
      <c r="J25" s="1023"/>
      <c r="K25" s="1023"/>
      <c r="L25" s="1026"/>
      <c r="M25" s="488"/>
      <c r="N25" s="499"/>
      <c r="O25" s="488"/>
      <c r="P25" s="491"/>
      <c r="Q25" s="524"/>
    </row>
    <row r="26" spans="1:17" ht="20.100000000000001" customHeight="1" x14ac:dyDescent="0.25">
      <c r="A26" s="492" t="s">
        <v>3226</v>
      </c>
      <c r="B26" s="493" t="s">
        <v>664</v>
      </c>
      <c r="C26" s="493" t="s">
        <v>469</v>
      </c>
      <c r="D26" s="493" t="s">
        <v>3227</v>
      </c>
      <c r="E26" s="493" t="s">
        <v>3235</v>
      </c>
      <c r="F26" s="718" t="s">
        <v>3236</v>
      </c>
      <c r="G26" s="653" t="s">
        <v>3226</v>
      </c>
      <c r="H26" s="493" t="s">
        <v>664</v>
      </c>
      <c r="I26" s="493" t="s">
        <v>469</v>
      </c>
      <c r="J26" s="493" t="s">
        <v>3227</v>
      </c>
      <c r="K26" s="493" t="s">
        <v>3235</v>
      </c>
      <c r="L26" s="509" t="s">
        <v>3236</v>
      </c>
      <c r="M26" s="491"/>
      <c r="N26" s="568"/>
      <c r="O26" s="488"/>
      <c r="P26" s="491"/>
    </row>
    <row r="27" spans="1:17" ht="20.100000000000001" customHeight="1" x14ac:dyDescent="0.25">
      <c r="A27" s="510"/>
      <c r="B27" s="505"/>
      <c r="C27" s="511"/>
      <c r="D27" s="495"/>
      <c r="E27" s="495"/>
      <c r="F27" s="719"/>
      <c r="G27" s="654"/>
      <c r="H27" s="505"/>
      <c r="I27" s="511"/>
      <c r="J27" s="495"/>
      <c r="K27" s="495"/>
      <c r="L27" s="512"/>
      <c r="M27" s="569"/>
      <c r="N27" s="491"/>
      <c r="O27" s="488"/>
      <c r="P27" s="491"/>
    </row>
    <row r="28" spans="1:17" ht="20.100000000000001" customHeight="1" x14ac:dyDescent="0.25">
      <c r="A28" s="514"/>
      <c r="B28" s="501" t="s">
        <v>3237</v>
      </c>
      <c r="C28" s="515">
        <f>SUM(D27:D27)</f>
        <v>0</v>
      </c>
      <c r="D28" s="491"/>
      <c r="E28" s="506" t="s">
        <v>3232</v>
      </c>
      <c r="F28" s="723">
        <f>SUM(F27:F27)</f>
        <v>0</v>
      </c>
      <c r="G28" s="517"/>
      <c r="H28" s="501" t="s">
        <v>3237</v>
      </c>
      <c r="I28" s="515">
        <f>SUM(J27:J27)</f>
        <v>0</v>
      </c>
      <c r="J28" s="491"/>
      <c r="K28" s="506" t="s">
        <v>3232</v>
      </c>
      <c r="L28" s="564">
        <f>SUM(L27:L27)</f>
        <v>0</v>
      </c>
      <c r="M28" s="569"/>
      <c r="O28" s="488"/>
      <c r="P28" s="491"/>
    </row>
    <row r="29" spans="1:17" ht="20.100000000000001" customHeight="1" x14ac:dyDescent="0.25">
      <c r="A29" s="503"/>
      <c r="B29" s="506" t="s">
        <v>3239</v>
      </c>
      <c r="C29" s="520">
        <f>C28+F28</f>
        <v>0</v>
      </c>
      <c r="D29" s="491"/>
      <c r="E29" s="508" t="s">
        <v>3240</v>
      </c>
      <c r="F29" s="792">
        <v>13108.570000000069</v>
      </c>
      <c r="G29" s="504"/>
      <c r="H29" s="506" t="s">
        <v>3239</v>
      </c>
      <c r="I29" s="520">
        <f>I28+L28</f>
        <v>0</v>
      </c>
      <c r="J29" s="491"/>
      <c r="K29" s="506" t="s">
        <v>3339</v>
      </c>
      <c r="L29" s="807">
        <v>-567783.33000000007</v>
      </c>
      <c r="M29" s="491"/>
      <c r="O29" s="488"/>
      <c r="P29" s="488"/>
    </row>
    <row r="30" spans="1:17" ht="20.100000000000001" customHeight="1" x14ac:dyDescent="0.25">
      <c r="A30" s="503"/>
      <c r="B30" s="506" t="s">
        <v>3242</v>
      </c>
      <c r="C30" s="520">
        <v>0</v>
      </c>
      <c r="D30" s="491"/>
      <c r="E30" s="506" t="s">
        <v>4036</v>
      </c>
      <c r="F30" s="719">
        <v>0</v>
      </c>
      <c r="G30" s="504"/>
      <c r="H30" s="506" t="s">
        <v>3242</v>
      </c>
      <c r="I30" s="520">
        <v>0</v>
      </c>
      <c r="J30" s="491"/>
      <c r="K30" s="506" t="s">
        <v>4039</v>
      </c>
      <c r="L30" s="512">
        <v>0</v>
      </c>
      <c r="M30" s="491"/>
      <c r="O30" s="488"/>
      <c r="P30" s="491"/>
    </row>
    <row r="31" spans="1:17" ht="20.100000000000001" customHeight="1" thickBot="1" x14ac:dyDescent="0.3">
      <c r="A31" s="522"/>
      <c r="B31" s="523"/>
      <c r="C31" s="774"/>
      <c r="D31" s="523"/>
      <c r="E31" s="775" t="s">
        <v>1046</v>
      </c>
      <c r="F31" s="805">
        <f>SUM(F28:F30)</f>
        <v>13108.570000000069</v>
      </c>
      <c r="G31" s="523"/>
      <c r="H31" s="523"/>
      <c r="I31" s="774"/>
      <c r="J31" s="523"/>
      <c r="K31" s="775" t="s">
        <v>1046</v>
      </c>
      <c r="L31" s="806">
        <f>SUM(L28:L30)</f>
        <v>-567783.33000000007</v>
      </c>
      <c r="M31" s="491"/>
      <c r="O31" s="488"/>
      <c r="P31" s="491"/>
    </row>
    <row r="32" spans="1:17" ht="23.1" customHeight="1" x14ac:dyDescent="0.25">
      <c r="A32" s="491"/>
      <c r="B32" s="491"/>
      <c r="C32" s="516"/>
      <c r="D32" s="491"/>
      <c r="E32" s="491"/>
      <c r="F32" s="722"/>
      <c r="G32" s="491"/>
      <c r="H32" s="491"/>
      <c r="I32" s="599"/>
      <c r="J32" s="600"/>
      <c r="K32" s="598"/>
      <c r="L32" s="598"/>
      <c r="M32" s="601"/>
      <c r="O32" s="603"/>
      <c r="P32" s="602"/>
    </row>
    <row r="33" spans="1:16" ht="23.1" customHeight="1" x14ac:dyDescent="0.25">
      <c r="A33" s="491"/>
      <c r="B33" s="491"/>
      <c r="C33" s="516"/>
      <c r="D33" s="491"/>
      <c r="E33" s="491"/>
      <c r="F33" s="722"/>
      <c r="G33" s="491"/>
      <c r="H33" s="491"/>
      <c r="I33" s="599"/>
      <c r="J33" s="600"/>
      <c r="K33" s="598"/>
      <c r="L33" s="598"/>
      <c r="M33" s="601"/>
      <c r="N33" s="602"/>
      <c r="O33" s="603"/>
      <c r="P33" s="602"/>
    </row>
    <row r="34" spans="1:16" ht="23.1" customHeight="1" x14ac:dyDescent="0.25">
      <c r="A34" s="491"/>
      <c r="B34" s="611" t="s">
        <v>184</v>
      </c>
      <c r="C34" s="724" t="s">
        <v>3736</v>
      </c>
      <c r="D34" s="611" t="s">
        <v>468</v>
      </c>
      <c r="E34" s="611" t="s">
        <v>3734</v>
      </c>
      <c r="F34" s="611" t="s">
        <v>3737</v>
      </c>
      <c r="G34" s="611" t="s">
        <v>470</v>
      </c>
      <c r="H34" s="611" t="s">
        <v>471</v>
      </c>
      <c r="I34" s="611" t="s">
        <v>3735</v>
      </c>
      <c r="J34" s="600"/>
      <c r="K34" s="598"/>
      <c r="L34" s="598"/>
      <c r="M34" s="601"/>
      <c r="N34" s="602"/>
      <c r="O34" s="603"/>
      <c r="P34" s="602"/>
    </row>
    <row r="35" spans="1:16" ht="23.1" customHeight="1" x14ac:dyDescent="0.25">
      <c r="A35" s="491"/>
      <c r="B35" s="605">
        <v>39596</v>
      </c>
      <c r="C35" s="725" t="s">
        <v>657</v>
      </c>
      <c r="D35" s="606" t="s">
        <v>1981</v>
      </c>
      <c r="E35" s="604">
        <v>1625</v>
      </c>
      <c r="F35" s="609">
        <v>7.8</v>
      </c>
      <c r="G35" s="610">
        <f>E35*F35</f>
        <v>12675</v>
      </c>
      <c r="H35" s="610">
        <v>534.30999999999995</v>
      </c>
      <c r="I35" s="610">
        <f>G35-H35</f>
        <v>12140.69</v>
      </c>
      <c r="J35" s="600"/>
      <c r="K35" s="598"/>
      <c r="L35" s="598"/>
      <c r="M35" s="601"/>
      <c r="N35" s="602"/>
      <c r="O35" s="603"/>
      <c r="P35" s="602"/>
    </row>
    <row r="36" spans="1:16" ht="23.1" customHeight="1" x14ac:dyDescent="0.25">
      <c r="A36" s="491"/>
      <c r="B36" s="605">
        <v>40542</v>
      </c>
      <c r="C36" s="725" t="s">
        <v>657</v>
      </c>
      <c r="D36" s="606" t="s">
        <v>656</v>
      </c>
      <c r="E36" s="604">
        <v>200</v>
      </c>
      <c r="F36" s="609">
        <v>1.85</v>
      </c>
      <c r="G36" s="610">
        <f>E36*F36</f>
        <v>370</v>
      </c>
      <c r="H36" s="610">
        <v>1550.63</v>
      </c>
      <c r="I36" s="610">
        <f>G36-H36</f>
        <v>-1180.6300000000001</v>
      </c>
      <c r="J36" s="496"/>
      <c r="K36" s="491"/>
      <c r="L36" s="491"/>
      <c r="M36" s="491"/>
      <c r="N36" s="491"/>
      <c r="O36" s="488"/>
      <c r="P36" s="491"/>
    </row>
    <row r="37" spans="1:16" ht="23.1" customHeight="1" x14ac:dyDescent="0.25">
      <c r="B37" s="605">
        <v>41970</v>
      </c>
      <c r="C37" s="725" t="s">
        <v>657</v>
      </c>
      <c r="D37" s="606" t="s">
        <v>3733</v>
      </c>
      <c r="E37" s="604">
        <v>5000</v>
      </c>
      <c r="F37" s="609">
        <v>0.6</v>
      </c>
      <c r="G37" s="610">
        <f>E37*F37</f>
        <v>3000</v>
      </c>
      <c r="H37" s="610">
        <v>3079.51</v>
      </c>
      <c r="I37" s="610">
        <f>G37-H37</f>
        <v>-79.510000000000218</v>
      </c>
    </row>
    <row r="38" spans="1:16" ht="23.1" customHeight="1" x14ac:dyDescent="0.25"/>
    <row r="39" spans="1:16" ht="23.1" customHeight="1" x14ac:dyDescent="0.25">
      <c r="O39" s="121"/>
    </row>
    <row r="40" spans="1:16" ht="23.1" customHeight="1" x14ac:dyDescent="0.25">
      <c r="O40" s="121"/>
    </row>
    <row r="41" spans="1:16" ht="23.1" customHeight="1" x14ac:dyDescent="0.25">
      <c r="A41" s="491"/>
      <c r="B41" s="491"/>
      <c r="C41" s="516"/>
      <c r="D41" s="491"/>
      <c r="E41" s="491"/>
      <c r="F41" s="721"/>
      <c r="G41" s="491"/>
      <c r="H41" s="491"/>
      <c r="I41" s="599"/>
      <c r="J41" s="600"/>
      <c r="K41" s="598"/>
      <c r="L41" s="598"/>
      <c r="M41" s="601"/>
      <c r="N41" s="602"/>
      <c r="O41" s="603"/>
      <c r="P41" s="602"/>
    </row>
    <row r="42" spans="1:16" ht="23.1" customHeight="1" x14ac:dyDescent="0.25">
      <c r="A42" s="491"/>
      <c r="B42" s="491"/>
      <c r="C42" s="491"/>
      <c r="D42" s="491"/>
      <c r="E42" s="491"/>
      <c r="F42" s="721"/>
      <c r="G42" s="488"/>
      <c r="H42" s="488"/>
    </row>
    <row r="43" spans="1:16" ht="23.1" customHeight="1" x14ac:dyDescent="0.25">
      <c r="A43" s="491"/>
      <c r="B43" s="491"/>
      <c r="C43" s="516"/>
      <c r="D43" s="491"/>
      <c r="E43" s="491"/>
      <c r="F43" s="722"/>
      <c r="G43" s="491"/>
      <c r="H43" s="491"/>
      <c r="I43" s="599"/>
      <c r="J43" s="600"/>
      <c r="K43" s="598"/>
      <c r="L43" s="598"/>
      <c r="M43" s="601"/>
      <c r="N43" s="602"/>
      <c r="O43" s="603"/>
      <c r="P43" s="602"/>
    </row>
    <row r="44" spans="1:16" ht="23.1" customHeight="1" x14ac:dyDescent="0.25">
      <c r="A44" s="491"/>
      <c r="B44" s="491"/>
      <c r="C44" s="516"/>
      <c r="D44" s="491"/>
      <c r="E44" s="491"/>
      <c r="F44" s="722"/>
      <c r="G44" s="491"/>
      <c r="H44" s="491"/>
      <c r="I44" s="599"/>
      <c r="J44" s="600"/>
      <c r="K44" s="598"/>
      <c r="L44" s="598"/>
      <c r="M44" s="601"/>
      <c r="N44" s="602"/>
      <c r="O44" s="603"/>
      <c r="P44" s="602"/>
    </row>
    <row r="45" spans="1:16" ht="23.1" customHeight="1" x14ac:dyDescent="0.25">
      <c r="A45" s="491"/>
      <c r="B45" s="491"/>
      <c r="C45" s="516"/>
      <c r="D45" s="491"/>
      <c r="E45" s="491"/>
      <c r="F45" s="721"/>
      <c r="G45" s="491"/>
      <c r="H45" s="491"/>
      <c r="I45" s="599"/>
      <c r="J45" s="600"/>
      <c r="K45" s="598"/>
      <c r="L45" s="598"/>
      <c r="M45" s="601"/>
      <c r="N45" s="602"/>
      <c r="O45" s="603"/>
      <c r="P45" s="602"/>
    </row>
    <row r="46" spans="1:16" ht="23.1" customHeight="1" x14ac:dyDescent="0.25">
      <c r="A46" s="491"/>
      <c r="B46" s="491"/>
      <c r="C46" s="516"/>
      <c r="D46" s="491"/>
      <c r="E46" s="491"/>
      <c r="F46" s="722"/>
      <c r="G46" s="491"/>
      <c r="H46" s="491"/>
      <c r="I46" s="599"/>
      <c r="J46" s="600"/>
      <c r="K46" s="598"/>
      <c r="L46" s="598"/>
      <c r="M46" s="601"/>
      <c r="N46" s="602"/>
      <c r="O46" s="603"/>
      <c r="P46" s="602"/>
    </row>
    <row r="47" spans="1:16" ht="23.1" customHeight="1" x14ac:dyDescent="0.25">
      <c r="A47" s="491"/>
      <c r="B47" s="491"/>
      <c r="C47" s="516"/>
      <c r="D47" s="491"/>
      <c r="E47" s="491"/>
      <c r="F47" s="722"/>
      <c r="G47" s="491"/>
      <c r="H47" s="491"/>
      <c r="I47" s="599"/>
      <c r="J47" s="600"/>
      <c r="K47" s="598"/>
      <c r="L47" s="598"/>
      <c r="M47" s="601"/>
      <c r="N47" s="602"/>
      <c r="O47" s="603"/>
      <c r="P47" s="602"/>
    </row>
    <row r="48" spans="1:16" ht="23.1" customHeight="1" x14ac:dyDescent="0.25">
      <c r="A48" s="491"/>
      <c r="B48" s="491"/>
      <c r="C48" s="516"/>
      <c r="D48" s="491"/>
      <c r="E48" s="491"/>
      <c r="F48" s="721"/>
      <c r="G48" s="491"/>
      <c r="H48" s="491"/>
      <c r="I48" s="599"/>
      <c r="J48" s="600"/>
      <c r="K48" s="598"/>
      <c r="L48" s="598"/>
      <c r="M48" s="601"/>
      <c r="N48" s="602"/>
      <c r="O48" s="603"/>
      <c r="P48" s="602"/>
    </row>
  </sheetData>
  <mergeCells count="6">
    <mergeCell ref="A1:L1"/>
    <mergeCell ref="A25:F25"/>
    <mergeCell ref="G25:L25"/>
    <mergeCell ref="A18:F18"/>
    <mergeCell ref="G18:L18"/>
    <mergeCell ref="A2:G2"/>
  </mergeCells>
  <printOptions horizontalCentered="1" verticalCentered="1"/>
  <pageMargins left="0.5" right="0.5" top="0.5" bottom="0.5" header="0.5" footer="0.5"/>
  <pageSetup paperSize="9" scale="89" orientation="landscape" r:id="rId1"/>
  <headerFooter alignWithMargins="0"/>
  <rowBreaks count="1" manualBreakCount="1">
    <brk id="35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43" workbookViewId="0">
      <selection activeCell="C59" sqref="C59"/>
    </sheetView>
  </sheetViews>
  <sheetFormatPr defaultColWidth="9.21875" defaultRowHeight="14.4" x14ac:dyDescent="0.3"/>
  <cols>
    <col min="1" max="1" width="9.21875" style="997"/>
    <col min="2" max="2" width="26.44140625" style="997" bestFit="1" customWidth="1"/>
    <col min="3" max="3" width="13.44140625" style="998" bestFit="1" customWidth="1"/>
    <col min="4" max="4" width="10.5546875" style="997" bestFit="1" customWidth="1"/>
    <col min="5" max="5" width="11.44140625" style="999" bestFit="1" customWidth="1"/>
    <col min="6" max="6" width="11.5546875" style="1000" bestFit="1" customWidth="1"/>
    <col min="7" max="7" width="11.5546875" style="997" bestFit="1" customWidth="1"/>
    <col min="8" max="8" width="1.44140625" style="997" customWidth="1"/>
    <col min="9" max="9" width="14" style="997" bestFit="1" customWidth="1"/>
    <col min="10" max="10" width="24.77734375" style="997" customWidth="1"/>
    <col min="11" max="11" width="13.44140625" style="997" bestFit="1" customWidth="1"/>
    <col min="12" max="16384" width="9.21875" style="997"/>
  </cols>
  <sheetData>
    <row r="1" spans="1:11" x14ac:dyDescent="0.3">
      <c r="H1" s="1001"/>
    </row>
    <row r="2" spans="1:11" x14ac:dyDescent="0.3">
      <c r="A2" s="1002">
        <v>42887</v>
      </c>
      <c r="B2" s="997" t="s">
        <v>4858</v>
      </c>
      <c r="C2" s="998">
        <v>770000</v>
      </c>
      <c r="E2" s="999" t="s">
        <v>4859</v>
      </c>
      <c r="G2" s="1000">
        <v>6.03</v>
      </c>
      <c r="H2" s="1001"/>
      <c r="I2" s="1002">
        <v>42933</v>
      </c>
      <c r="J2" s="997" t="s">
        <v>4860</v>
      </c>
      <c r="K2" s="1003">
        <v>10000</v>
      </c>
    </row>
    <row r="3" spans="1:11" x14ac:dyDescent="0.3">
      <c r="A3" s="1002">
        <v>42887</v>
      </c>
      <c r="B3" s="997" t="s">
        <v>4861</v>
      </c>
      <c r="C3" s="998">
        <v>5000</v>
      </c>
      <c r="E3" s="999" t="s">
        <v>4862</v>
      </c>
      <c r="F3" s="997"/>
      <c r="G3" s="1000">
        <v>2000</v>
      </c>
      <c r="H3" s="1001"/>
      <c r="I3" s="1002">
        <v>42964</v>
      </c>
      <c r="J3" s="997" t="s">
        <v>4863</v>
      </c>
      <c r="K3" s="997">
        <v>9000</v>
      </c>
    </row>
    <row r="4" spans="1:11" x14ac:dyDescent="0.3">
      <c r="A4" s="1002">
        <v>42887</v>
      </c>
      <c r="B4" s="997" t="s">
        <v>4864</v>
      </c>
      <c r="C4" s="998">
        <v>4500</v>
      </c>
      <c r="H4" s="1001"/>
      <c r="I4" s="1002">
        <v>42964</v>
      </c>
      <c r="J4" s="997" t="s">
        <v>4865</v>
      </c>
      <c r="K4" s="997">
        <v>9000</v>
      </c>
    </row>
    <row r="5" spans="1:11" x14ac:dyDescent="0.3">
      <c r="A5" s="1002">
        <v>42887</v>
      </c>
      <c r="B5" s="997" t="s">
        <v>4866</v>
      </c>
      <c r="C5" s="998">
        <v>2250</v>
      </c>
      <c r="H5" s="1001"/>
      <c r="I5" s="1002">
        <v>42964</v>
      </c>
      <c r="J5" s="997" t="s">
        <v>4867</v>
      </c>
      <c r="K5" s="997">
        <v>8000</v>
      </c>
    </row>
    <row r="6" spans="1:11" x14ac:dyDescent="0.3">
      <c r="A6" s="1002">
        <v>42887</v>
      </c>
      <c r="B6" s="997" t="s">
        <v>4868</v>
      </c>
      <c r="C6" s="998">
        <v>10550</v>
      </c>
      <c r="H6" s="1001"/>
      <c r="I6" s="1002">
        <v>42964</v>
      </c>
      <c r="J6" s="997" t="s">
        <v>4869</v>
      </c>
      <c r="K6" s="997">
        <f>7500-400-600-5000-6500</f>
        <v>-5000</v>
      </c>
    </row>
    <row r="7" spans="1:11" x14ac:dyDescent="0.3">
      <c r="A7" s="1002">
        <v>42887</v>
      </c>
      <c r="B7" s="997" t="s">
        <v>4870</v>
      </c>
      <c r="C7" s="998">
        <v>2500</v>
      </c>
      <c r="E7" s="999" t="s">
        <v>4871</v>
      </c>
      <c r="F7" s="1000">
        <f>SUM(C5:C8)</f>
        <v>21300</v>
      </c>
      <c r="G7" s="1000"/>
      <c r="H7" s="1001"/>
      <c r="I7" s="1002">
        <v>42995</v>
      </c>
      <c r="J7" s="997" t="s">
        <v>4869</v>
      </c>
      <c r="K7" s="997">
        <v>-4000</v>
      </c>
    </row>
    <row r="8" spans="1:11" x14ac:dyDescent="0.3">
      <c r="A8" s="1002">
        <v>42887</v>
      </c>
      <c r="B8" s="997" t="s">
        <v>4872</v>
      </c>
      <c r="C8" s="998">
        <v>6000</v>
      </c>
      <c r="H8" s="1001"/>
      <c r="I8" s="1002"/>
    </row>
    <row r="9" spans="1:11" x14ac:dyDescent="0.3">
      <c r="A9" s="1002">
        <v>42887</v>
      </c>
      <c r="B9" s="997" t="s">
        <v>4873</v>
      </c>
      <c r="C9" s="998">
        <v>2750</v>
      </c>
      <c r="H9" s="1001"/>
      <c r="I9" s="1002"/>
    </row>
    <row r="10" spans="1:11" x14ac:dyDescent="0.3">
      <c r="A10" s="1002">
        <v>42887</v>
      </c>
      <c r="B10" s="997" t="s">
        <v>4874</v>
      </c>
      <c r="C10" s="998">
        <v>1050</v>
      </c>
      <c r="H10" s="1001"/>
      <c r="I10" s="1002"/>
    </row>
    <row r="11" spans="1:11" x14ac:dyDescent="0.3">
      <c r="A11" s="1002">
        <v>42887</v>
      </c>
      <c r="B11" s="997" t="s">
        <v>4875</v>
      </c>
      <c r="C11" s="998">
        <v>1100</v>
      </c>
      <c r="E11" s="999" t="s">
        <v>4876</v>
      </c>
      <c r="F11" s="1000">
        <f>SUM(C8:C11)</f>
        <v>10900</v>
      </c>
      <c r="H11" s="1001"/>
      <c r="I11" s="1002"/>
    </row>
    <row r="12" spans="1:11" x14ac:dyDescent="0.3">
      <c r="A12" s="1002">
        <v>42887</v>
      </c>
      <c r="B12" s="997" t="s">
        <v>4877</v>
      </c>
      <c r="C12" s="998">
        <v>25820</v>
      </c>
      <c r="H12" s="1001"/>
      <c r="I12" s="1002"/>
    </row>
    <row r="13" spans="1:11" x14ac:dyDescent="0.3">
      <c r="A13" s="1002">
        <v>42887</v>
      </c>
      <c r="B13" s="997" t="s">
        <v>4878</v>
      </c>
      <c r="C13" s="998">
        <v>1600</v>
      </c>
      <c r="H13" s="1001"/>
      <c r="I13" s="1002"/>
    </row>
    <row r="14" spans="1:11" x14ac:dyDescent="0.3">
      <c r="A14" s="1002">
        <v>42887</v>
      </c>
      <c r="B14" s="997" t="s">
        <v>4879</v>
      </c>
      <c r="C14" s="998">
        <v>1000</v>
      </c>
      <c r="H14" s="1001"/>
      <c r="I14" s="1002"/>
    </row>
    <row r="15" spans="1:11" x14ac:dyDescent="0.3">
      <c r="A15" s="1002">
        <v>42887</v>
      </c>
      <c r="B15" s="997" t="s">
        <v>4880</v>
      </c>
      <c r="C15" s="998">
        <v>7000</v>
      </c>
      <c r="H15" s="1001"/>
      <c r="I15" s="1002"/>
    </row>
    <row r="16" spans="1:11" x14ac:dyDescent="0.3">
      <c r="A16" s="1002">
        <v>42887</v>
      </c>
      <c r="B16" s="997" t="s">
        <v>4881</v>
      </c>
      <c r="C16" s="998">
        <v>1500</v>
      </c>
      <c r="H16" s="1001"/>
      <c r="I16" s="1002"/>
    </row>
    <row r="17" spans="1:9" x14ac:dyDescent="0.3">
      <c r="A17" s="1002">
        <v>42887</v>
      </c>
      <c r="B17" s="997" t="s">
        <v>4882</v>
      </c>
      <c r="C17" s="998">
        <v>-600</v>
      </c>
      <c r="H17" s="1001"/>
      <c r="I17" s="1002"/>
    </row>
    <row r="18" spans="1:9" x14ac:dyDescent="0.3">
      <c r="A18" s="1002">
        <v>42887</v>
      </c>
      <c r="B18" s="997" t="s">
        <v>4883</v>
      </c>
      <c r="C18" s="998">
        <v>1500</v>
      </c>
      <c r="E18" s="1004"/>
      <c r="H18" s="1001"/>
      <c r="I18" s="1002"/>
    </row>
    <row r="19" spans="1:9" x14ac:dyDescent="0.3">
      <c r="A19" s="1002">
        <v>42887</v>
      </c>
      <c r="B19" s="997" t="s">
        <v>4884</v>
      </c>
      <c r="C19" s="998">
        <v>1500</v>
      </c>
      <c r="E19" s="999" t="s">
        <v>4885</v>
      </c>
      <c r="F19" s="1000">
        <f>SUM(C12:C19)</f>
        <v>39320</v>
      </c>
      <c r="H19" s="1001"/>
      <c r="I19" s="1002"/>
    </row>
    <row r="20" spans="1:9" x14ac:dyDescent="0.3">
      <c r="A20" s="1002">
        <v>42887</v>
      </c>
      <c r="B20" s="997" t="s">
        <v>4886</v>
      </c>
      <c r="C20" s="998">
        <v>1200</v>
      </c>
      <c r="H20" s="1001"/>
      <c r="I20" s="1002"/>
    </row>
    <row r="21" spans="1:9" x14ac:dyDescent="0.3">
      <c r="A21" s="1002">
        <v>42887</v>
      </c>
      <c r="B21" s="997" t="s">
        <v>4887</v>
      </c>
      <c r="C21" s="998">
        <v>1000</v>
      </c>
      <c r="H21" s="1001"/>
      <c r="I21" s="1002"/>
    </row>
    <row r="22" spans="1:9" x14ac:dyDescent="0.3">
      <c r="A22" s="1002">
        <v>42887</v>
      </c>
      <c r="B22" s="997" t="s">
        <v>4864</v>
      </c>
      <c r="C22" s="998">
        <v>2000</v>
      </c>
      <c r="H22" s="1001"/>
      <c r="I22" s="1002"/>
    </row>
    <row r="23" spans="1:9" x14ac:dyDescent="0.3">
      <c r="A23" s="1002">
        <v>42887</v>
      </c>
      <c r="B23" s="997" t="s">
        <v>4864</v>
      </c>
      <c r="C23" s="998">
        <v>1500</v>
      </c>
      <c r="H23" s="1001"/>
      <c r="I23" s="1002"/>
    </row>
    <row r="24" spans="1:9" x14ac:dyDescent="0.3">
      <c r="A24" s="1002">
        <v>42887</v>
      </c>
      <c r="B24" s="997" t="s">
        <v>4864</v>
      </c>
      <c r="C24" s="998">
        <v>1500</v>
      </c>
      <c r="E24" s="999" t="s">
        <v>4888</v>
      </c>
      <c r="F24" s="1000">
        <f>SUM(C20:C24)</f>
        <v>7200</v>
      </c>
      <c r="H24" s="1001"/>
      <c r="I24" s="1002"/>
    </row>
    <row r="25" spans="1:9" x14ac:dyDescent="0.3">
      <c r="A25" s="1002">
        <v>42887</v>
      </c>
      <c r="B25" s="997" t="s">
        <v>4889</v>
      </c>
      <c r="C25" s="998">
        <v>19000</v>
      </c>
      <c r="H25" s="1001"/>
      <c r="I25" s="1002"/>
    </row>
    <row r="26" spans="1:9" x14ac:dyDescent="0.3">
      <c r="A26" s="1002">
        <v>42887</v>
      </c>
      <c r="B26" s="997" t="s">
        <v>4890</v>
      </c>
      <c r="C26" s="998">
        <v>2150</v>
      </c>
      <c r="H26" s="1001"/>
      <c r="I26" s="1002"/>
    </row>
    <row r="27" spans="1:9" x14ac:dyDescent="0.3">
      <c r="A27" s="1002">
        <v>42887</v>
      </c>
      <c r="B27" s="997" t="s">
        <v>4891</v>
      </c>
      <c r="C27" s="998">
        <v>7000</v>
      </c>
      <c r="E27" s="999" t="s">
        <v>4892</v>
      </c>
      <c r="F27" s="1000">
        <f>SUM(C25:C27)</f>
        <v>28150</v>
      </c>
      <c r="H27" s="1001"/>
      <c r="I27" s="1002"/>
    </row>
    <row r="28" spans="1:9" x14ac:dyDescent="0.3">
      <c r="A28" s="1002">
        <v>42887</v>
      </c>
      <c r="B28" s="997" t="s">
        <v>4893</v>
      </c>
      <c r="C28" s="998">
        <v>3000</v>
      </c>
      <c r="H28" s="1001"/>
      <c r="I28" s="1002"/>
    </row>
    <row r="29" spans="1:9" x14ac:dyDescent="0.3">
      <c r="A29" s="1002">
        <v>42933</v>
      </c>
      <c r="B29" s="997" t="s">
        <v>4894</v>
      </c>
      <c r="C29" s="998">
        <v>500</v>
      </c>
      <c r="H29" s="1001"/>
      <c r="I29" s="1002"/>
    </row>
    <row r="30" spans="1:9" x14ac:dyDescent="0.3">
      <c r="A30" s="1002">
        <v>42933</v>
      </c>
      <c r="B30" s="997" t="s">
        <v>4894</v>
      </c>
      <c r="C30" s="998">
        <v>1000</v>
      </c>
      <c r="H30" s="1001"/>
      <c r="I30" s="1002"/>
    </row>
    <row r="31" spans="1:9" x14ac:dyDescent="0.3">
      <c r="A31" s="1002">
        <v>42933</v>
      </c>
      <c r="B31" s="997" t="s">
        <v>4895</v>
      </c>
      <c r="C31" s="998">
        <v>1750</v>
      </c>
      <c r="H31" s="1001"/>
      <c r="I31" s="1002"/>
    </row>
    <row r="32" spans="1:9" x14ac:dyDescent="0.3">
      <c r="A32" s="1002">
        <v>42933</v>
      </c>
      <c r="B32" s="997" t="s">
        <v>4896</v>
      </c>
      <c r="C32" s="998">
        <v>1080</v>
      </c>
      <c r="H32" s="1001"/>
      <c r="I32" s="1002"/>
    </row>
    <row r="33" spans="1:11" x14ac:dyDescent="0.3">
      <c r="A33" s="1002">
        <v>42933</v>
      </c>
      <c r="B33" s="997" t="s">
        <v>4897</v>
      </c>
      <c r="C33" s="998">
        <v>400</v>
      </c>
      <c r="E33" s="997"/>
      <c r="F33" s="997"/>
      <c r="H33" s="1001"/>
      <c r="I33" s="1002"/>
    </row>
    <row r="34" spans="1:11" x14ac:dyDescent="0.3">
      <c r="A34" s="1002">
        <v>42933</v>
      </c>
      <c r="B34" s="997" t="s">
        <v>4898</v>
      </c>
      <c r="C34" s="998">
        <v>500</v>
      </c>
      <c r="H34" s="1001"/>
      <c r="I34" s="1002"/>
    </row>
    <row r="35" spans="1:11" x14ac:dyDescent="0.3">
      <c r="A35" s="1002">
        <v>42933</v>
      </c>
      <c r="B35" s="997" t="s">
        <v>4899</v>
      </c>
      <c r="C35" s="998">
        <v>198</v>
      </c>
      <c r="H35" s="1001"/>
      <c r="I35" s="1002"/>
    </row>
    <row r="36" spans="1:11" x14ac:dyDescent="0.3">
      <c r="A36" s="1002">
        <v>42933</v>
      </c>
      <c r="B36" s="997" t="s">
        <v>4900</v>
      </c>
      <c r="C36" s="998">
        <v>1700</v>
      </c>
      <c r="E36" s="999" t="s">
        <v>4901</v>
      </c>
      <c r="F36" s="1000">
        <f>SUM(C28:C36)</f>
        <v>10128</v>
      </c>
      <c r="H36" s="1001"/>
      <c r="I36" s="1002"/>
    </row>
    <row r="37" spans="1:11" x14ac:dyDescent="0.3">
      <c r="A37" s="1002">
        <v>42933</v>
      </c>
      <c r="B37" s="997" t="s">
        <v>4902</v>
      </c>
      <c r="C37" s="998">
        <f>2032+1440+10880+50</f>
        <v>14402</v>
      </c>
      <c r="H37" s="1001"/>
      <c r="I37" s="1002"/>
    </row>
    <row r="38" spans="1:11" x14ac:dyDescent="0.3">
      <c r="A38" s="1002">
        <v>42933</v>
      </c>
      <c r="B38" s="997" t="s">
        <v>4903</v>
      </c>
      <c r="C38" s="998">
        <f>5500+100+500</f>
        <v>6100</v>
      </c>
      <c r="E38" s="999" t="s">
        <v>4904</v>
      </c>
      <c r="F38" s="1000">
        <f>SUM(C37:C38)</f>
        <v>20502</v>
      </c>
      <c r="H38" s="1001"/>
      <c r="I38" s="1002"/>
    </row>
    <row r="39" spans="1:11" x14ac:dyDescent="0.3">
      <c r="A39" s="1002">
        <v>42964</v>
      </c>
      <c r="B39" s="997" t="s">
        <v>4905</v>
      </c>
      <c r="C39" s="998">
        <f>9300-1700</f>
        <v>7600</v>
      </c>
      <c r="H39" s="1001"/>
      <c r="I39" s="1002"/>
    </row>
    <row r="40" spans="1:11" x14ac:dyDescent="0.3">
      <c r="A40" s="1002">
        <v>42964</v>
      </c>
      <c r="B40" s="997" t="s">
        <v>4906</v>
      </c>
      <c r="C40" s="998">
        <f>3700-1010+3050</f>
        <v>5740</v>
      </c>
      <c r="H40" s="1001"/>
      <c r="I40" s="1002"/>
    </row>
    <row r="41" spans="1:11" x14ac:dyDescent="0.3">
      <c r="A41" s="1002">
        <v>42964</v>
      </c>
      <c r="B41" s="997" t="s">
        <v>4907</v>
      </c>
      <c r="C41" s="998">
        <v>6500</v>
      </c>
      <c r="E41" s="999" t="s">
        <v>4908</v>
      </c>
      <c r="F41" s="1000">
        <f>SUM(C39:C41)</f>
        <v>19840</v>
      </c>
      <c r="H41" s="1001"/>
      <c r="I41" s="1002"/>
    </row>
    <row r="42" spans="1:11" x14ac:dyDescent="0.3">
      <c r="A42" s="1002">
        <v>42964</v>
      </c>
      <c r="B42" s="997" t="s">
        <v>4909</v>
      </c>
      <c r="C42" s="998">
        <v>1700</v>
      </c>
      <c r="H42" s="1001"/>
      <c r="I42" s="1002"/>
    </row>
    <row r="43" spans="1:11" x14ac:dyDescent="0.3">
      <c r="A43" s="1002">
        <v>42964</v>
      </c>
      <c r="B43" s="997" t="s">
        <v>4910</v>
      </c>
      <c r="C43" s="998">
        <v>35000</v>
      </c>
      <c r="H43" s="1001"/>
      <c r="I43" s="1002"/>
    </row>
    <row r="44" spans="1:11" x14ac:dyDescent="0.3">
      <c r="A44" s="1002">
        <v>42964</v>
      </c>
      <c r="B44" s="997" t="s">
        <v>4894</v>
      </c>
      <c r="C44" s="998">
        <f>500+400+150</f>
        <v>1050</v>
      </c>
      <c r="E44" s="999" t="s">
        <v>4911</v>
      </c>
      <c r="F44" s="1000">
        <f>SUM(C43:C44)</f>
        <v>36050</v>
      </c>
      <c r="H44" s="1001"/>
      <c r="I44" s="1002"/>
    </row>
    <row r="45" spans="1:11" x14ac:dyDescent="0.3">
      <c r="A45" s="1002">
        <v>42995</v>
      </c>
      <c r="B45" s="997" t="s">
        <v>4897</v>
      </c>
      <c r="C45" s="998">
        <v>29495</v>
      </c>
      <c r="H45" s="1001"/>
      <c r="I45" s="1002"/>
    </row>
    <row r="46" spans="1:11" x14ac:dyDescent="0.3">
      <c r="A46" s="1002">
        <v>42995</v>
      </c>
      <c r="B46" s="997" t="s">
        <v>4864</v>
      </c>
      <c r="C46" s="998">
        <v>9500</v>
      </c>
      <c r="H46" s="1001"/>
      <c r="I46" s="1002"/>
    </row>
    <row r="47" spans="1:11" x14ac:dyDescent="0.3">
      <c r="A47" s="1002"/>
      <c r="H47" s="1001"/>
      <c r="I47" s="1002"/>
    </row>
    <row r="48" spans="1:11" x14ac:dyDescent="0.3">
      <c r="A48" s="1002" t="s">
        <v>4912</v>
      </c>
      <c r="B48" s="997" t="s">
        <v>4913</v>
      </c>
      <c r="C48" s="998">
        <v>20000</v>
      </c>
      <c r="H48" s="1001"/>
      <c r="I48" s="1002"/>
      <c r="J48" s="997" t="s">
        <v>4914</v>
      </c>
      <c r="K48" s="997">
        <v>850000</v>
      </c>
    </row>
    <row r="49" spans="1:11" x14ac:dyDescent="0.3">
      <c r="A49" s="1002"/>
      <c r="H49" s="1001"/>
      <c r="I49" s="1002"/>
    </row>
    <row r="50" spans="1:11" x14ac:dyDescent="0.3">
      <c r="A50" s="1002"/>
      <c r="H50" s="1001"/>
      <c r="I50" s="1002"/>
    </row>
    <row r="51" spans="1:11" ht="15" thickBot="1" x14ac:dyDescent="0.35">
      <c r="A51" s="1002"/>
      <c r="H51" s="1001"/>
      <c r="I51" s="1002"/>
    </row>
    <row r="52" spans="1:11" ht="15" thickBot="1" x14ac:dyDescent="0.35">
      <c r="B52" s="999" t="s">
        <v>4915</v>
      </c>
      <c r="C52" s="1005">
        <f>SUM(C2:C51)</f>
        <v>1027585</v>
      </c>
      <c r="G52" s="998"/>
      <c r="H52" s="1001"/>
      <c r="J52" s="999" t="s">
        <v>4916</v>
      </c>
      <c r="K52" s="1005">
        <f>SUM(K2:K51)</f>
        <v>877000</v>
      </c>
    </row>
    <row r="55" spans="1:11" x14ac:dyDescent="0.3">
      <c r="G55" s="1006" t="s">
        <v>4917</v>
      </c>
      <c r="I55" s="1007">
        <f>K52-C52</f>
        <v>-150585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4"/>
  <sheetViews>
    <sheetView workbookViewId="0">
      <pane ySplit="1" topLeftCell="A2" activePane="bottomLeft" state="frozen"/>
      <selection activeCell="G551" sqref="G551"/>
      <selection pane="bottomLeft" activeCell="G557" sqref="G557"/>
    </sheetView>
  </sheetViews>
  <sheetFormatPr defaultColWidth="9.21875" defaultRowHeight="14.4" x14ac:dyDescent="0.3"/>
  <cols>
    <col min="1" max="1" width="10.21875" style="614" bestFit="1" customWidth="1"/>
    <col min="2" max="2" width="9.5546875" style="614" bestFit="1" customWidth="1"/>
    <col min="3" max="3" width="6.77734375" style="614" bestFit="1" customWidth="1"/>
    <col min="4" max="4" width="11.5546875" style="614" bestFit="1" customWidth="1"/>
    <col min="5" max="5" width="9" style="616" bestFit="1" customWidth="1"/>
    <col min="6" max="6" width="13.21875" style="616" bestFit="1" customWidth="1"/>
    <col min="7" max="7" width="19.77734375" style="614" bestFit="1" customWidth="1"/>
    <col min="8" max="8" width="11" style="614" customWidth="1"/>
    <col min="9" max="9" width="9.21875" style="614" customWidth="1"/>
    <col min="10" max="10" width="18" style="614" bestFit="1" customWidth="1"/>
    <col min="11" max="11" width="9.5546875" style="614" customWidth="1"/>
    <col min="12" max="12" width="7" style="616" bestFit="1" customWidth="1"/>
    <col min="13" max="13" width="15" style="616" bestFit="1" customWidth="1"/>
    <col min="14" max="14" width="6.5546875" style="616" bestFit="1" customWidth="1"/>
    <col min="15" max="15" width="10" style="616" bestFit="1" customWidth="1"/>
    <col min="16" max="16" width="10.5546875" style="616" bestFit="1" customWidth="1"/>
    <col min="17" max="16384" width="9.21875" style="614"/>
  </cols>
  <sheetData>
    <row r="1" spans="1:18" ht="50.1" customHeight="1" x14ac:dyDescent="0.3">
      <c r="A1" s="617" t="s">
        <v>184</v>
      </c>
      <c r="B1" s="617" t="s">
        <v>185</v>
      </c>
      <c r="C1" s="617" t="s">
        <v>186</v>
      </c>
      <c r="D1" s="617" t="s">
        <v>469</v>
      </c>
      <c r="E1" s="618" t="s">
        <v>664</v>
      </c>
      <c r="F1" s="618" t="s">
        <v>189</v>
      </c>
      <c r="G1" s="617" t="s">
        <v>3457</v>
      </c>
      <c r="H1" s="617" t="s">
        <v>192</v>
      </c>
      <c r="I1" s="617" t="s">
        <v>193</v>
      </c>
      <c r="J1" s="617" t="s">
        <v>194</v>
      </c>
      <c r="K1" s="617" t="s">
        <v>195</v>
      </c>
      <c r="L1" s="618" t="s">
        <v>893</v>
      </c>
      <c r="M1" s="618" t="s">
        <v>3458</v>
      </c>
      <c r="N1" s="618" t="s">
        <v>2247</v>
      </c>
      <c r="O1" s="618" t="s">
        <v>3459</v>
      </c>
      <c r="P1" s="618" t="s">
        <v>190</v>
      </c>
      <c r="Q1" s="613"/>
    </row>
    <row r="2" spans="1:18" x14ac:dyDescent="0.3">
      <c r="A2" s="615">
        <v>41971</v>
      </c>
      <c r="B2" s="614" t="s">
        <v>1058</v>
      </c>
      <c r="C2" s="614" t="s">
        <v>197</v>
      </c>
      <c r="D2" s="614">
        <v>1000</v>
      </c>
      <c r="E2" s="616">
        <v>67.7</v>
      </c>
      <c r="F2" s="616">
        <v>67700</v>
      </c>
      <c r="G2" s="614" t="s">
        <v>3693</v>
      </c>
      <c r="H2" s="614">
        <v>2014221</v>
      </c>
      <c r="I2" s="614" t="s">
        <v>199</v>
      </c>
      <c r="J2" s="614" t="s">
        <v>200</v>
      </c>
      <c r="K2" s="614" t="s">
        <v>201</v>
      </c>
      <c r="L2" s="616">
        <v>68</v>
      </c>
      <c r="M2" s="616">
        <v>2.5</v>
      </c>
      <c r="N2" s="616">
        <v>4.0599999999999996</v>
      </c>
      <c r="O2" s="616">
        <v>418.37</v>
      </c>
      <c r="P2" s="616">
        <v>492.94</v>
      </c>
      <c r="R2" s="616"/>
    </row>
    <row r="3" spans="1:18" x14ac:dyDescent="0.3">
      <c r="A3" s="615">
        <v>41795</v>
      </c>
      <c r="B3" s="614" t="s">
        <v>3460</v>
      </c>
      <c r="C3" s="614" t="s">
        <v>197</v>
      </c>
      <c r="D3" s="614">
        <v>50</v>
      </c>
      <c r="E3" s="616">
        <v>433</v>
      </c>
      <c r="F3" s="616">
        <v>21650</v>
      </c>
      <c r="G3" s="614" t="s">
        <v>3464</v>
      </c>
      <c r="H3" s="614">
        <v>2014105</v>
      </c>
      <c r="I3" s="614" t="s">
        <v>199</v>
      </c>
      <c r="J3" s="614" t="s">
        <v>200</v>
      </c>
      <c r="K3" s="614" t="s">
        <v>201</v>
      </c>
      <c r="L3" s="616">
        <v>21.65</v>
      </c>
      <c r="M3" s="616">
        <v>0.8</v>
      </c>
      <c r="N3" s="616">
        <v>1.3</v>
      </c>
      <c r="O3" s="616">
        <v>133.79</v>
      </c>
      <c r="P3" s="616">
        <v>157.54</v>
      </c>
      <c r="R3" s="616"/>
    </row>
    <row r="4" spans="1:18" x14ac:dyDescent="0.3">
      <c r="A4" s="615">
        <v>41793</v>
      </c>
      <c r="B4" s="614" t="s">
        <v>1512</v>
      </c>
      <c r="C4" s="614" t="s">
        <v>197</v>
      </c>
      <c r="D4" s="614">
        <v>500</v>
      </c>
      <c r="E4" s="616">
        <v>95.1</v>
      </c>
      <c r="F4" s="616">
        <v>47550</v>
      </c>
      <c r="G4" s="614" t="s">
        <v>3465</v>
      </c>
      <c r="H4" s="614">
        <v>2014103</v>
      </c>
      <c r="I4" s="614" t="s">
        <v>199</v>
      </c>
      <c r="J4" s="614" t="s">
        <v>200</v>
      </c>
      <c r="K4" s="614" t="s">
        <v>201</v>
      </c>
      <c r="L4" s="616">
        <v>48</v>
      </c>
      <c r="M4" s="616">
        <v>1.76</v>
      </c>
      <c r="N4" s="616">
        <v>2.85</v>
      </c>
      <c r="O4" s="616">
        <v>293.85000000000002</v>
      </c>
      <c r="P4" s="616">
        <v>346.46</v>
      </c>
    </row>
    <row r="5" spans="1:18" x14ac:dyDescent="0.3">
      <c r="A5" s="615">
        <v>41213</v>
      </c>
      <c r="B5" s="614" t="s">
        <v>1998</v>
      </c>
      <c r="C5" s="614" t="s">
        <v>197</v>
      </c>
      <c r="D5" s="614">
        <v>1000</v>
      </c>
      <c r="E5" s="616">
        <v>27.1</v>
      </c>
      <c r="F5" s="616">
        <v>27100</v>
      </c>
      <c r="G5" s="614" t="s">
        <v>2956</v>
      </c>
      <c r="H5" s="614">
        <v>2012207</v>
      </c>
      <c r="I5" s="614" t="s">
        <v>199</v>
      </c>
      <c r="J5" s="614" t="s">
        <v>200</v>
      </c>
      <c r="K5" s="614" t="s">
        <v>201</v>
      </c>
      <c r="L5" s="616">
        <v>27.5</v>
      </c>
      <c r="M5" s="616">
        <v>0.98</v>
      </c>
      <c r="N5" s="616">
        <v>1.63</v>
      </c>
      <c r="O5" s="616">
        <v>167.47</v>
      </c>
      <c r="P5" s="616">
        <v>197.57</v>
      </c>
    </row>
    <row r="6" spans="1:18" x14ac:dyDescent="0.3">
      <c r="A6" s="615">
        <v>41211</v>
      </c>
      <c r="B6" s="614" t="s">
        <v>1998</v>
      </c>
      <c r="C6" s="614" t="s">
        <v>197</v>
      </c>
      <c r="D6" s="614">
        <v>2000</v>
      </c>
      <c r="E6" s="616">
        <v>28.4</v>
      </c>
      <c r="F6" s="616">
        <v>56800</v>
      </c>
      <c r="G6" s="614" t="s">
        <v>2957</v>
      </c>
      <c r="H6" s="614">
        <v>2012205</v>
      </c>
      <c r="I6" s="614" t="s">
        <v>199</v>
      </c>
      <c r="J6" s="614" t="s">
        <v>200</v>
      </c>
      <c r="K6" s="614" t="s">
        <v>201</v>
      </c>
      <c r="L6" s="616">
        <v>56.8</v>
      </c>
      <c r="M6" s="616">
        <v>2.04</v>
      </c>
      <c r="N6" s="616">
        <v>3.41</v>
      </c>
      <c r="O6" s="616">
        <v>351.01</v>
      </c>
      <c r="P6" s="616">
        <v>413.26</v>
      </c>
    </row>
    <row r="7" spans="1:18" x14ac:dyDescent="0.3">
      <c r="A7" s="615">
        <v>41207</v>
      </c>
      <c r="B7" s="614" t="s">
        <v>1147</v>
      </c>
      <c r="C7" s="614" t="s">
        <v>197</v>
      </c>
      <c r="D7" s="614">
        <v>2000</v>
      </c>
      <c r="E7" s="616">
        <v>10.9</v>
      </c>
      <c r="F7" s="616">
        <v>21800</v>
      </c>
      <c r="G7" s="614" t="s">
        <v>2958</v>
      </c>
      <c r="H7" s="614">
        <v>201213145</v>
      </c>
      <c r="I7" s="614" t="s">
        <v>199</v>
      </c>
      <c r="J7" s="614" t="s">
        <v>200</v>
      </c>
      <c r="K7" s="614" t="s">
        <v>204</v>
      </c>
      <c r="L7" s="616">
        <v>22</v>
      </c>
      <c r="M7" s="616">
        <v>0.7</v>
      </c>
      <c r="N7" s="616">
        <v>1.31</v>
      </c>
      <c r="O7" s="616">
        <v>134.72</v>
      </c>
      <c r="P7" s="616">
        <v>158.72999999999999</v>
      </c>
    </row>
    <row r="8" spans="1:18" x14ac:dyDescent="0.3">
      <c r="A8" s="615">
        <v>41207</v>
      </c>
      <c r="B8" s="614" t="s">
        <v>1601</v>
      </c>
      <c r="C8" s="614" t="s">
        <v>197</v>
      </c>
      <c r="D8" s="614">
        <v>100</v>
      </c>
      <c r="E8" s="616">
        <v>66</v>
      </c>
      <c r="F8" s="616">
        <v>6600</v>
      </c>
      <c r="G8" s="614" t="s">
        <v>2959</v>
      </c>
      <c r="H8" s="614">
        <v>2012203</v>
      </c>
      <c r="I8" s="614" t="s">
        <v>199</v>
      </c>
      <c r="J8" s="614" t="s">
        <v>200</v>
      </c>
      <c r="K8" s="614" t="s">
        <v>201</v>
      </c>
      <c r="L8" s="616">
        <v>7</v>
      </c>
      <c r="M8" s="616">
        <v>0.24</v>
      </c>
      <c r="N8" s="616">
        <v>0.4</v>
      </c>
      <c r="O8" s="616">
        <v>40.79</v>
      </c>
      <c r="P8" s="616">
        <v>48.42</v>
      </c>
    </row>
    <row r="9" spans="1:18" x14ac:dyDescent="0.3">
      <c r="A9" s="615">
        <v>41205</v>
      </c>
      <c r="B9" s="614" t="s">
        <v>1601</v>
      </c>
      <c r="C9" s="614" t="s">
        <v>197</v>
      </c>
      <c r="D9" s="614">
        <v>900</v>
      </c>
      <c r="E9" s="616">
        <v>66.25</v>
      </c>
      <c r="F9" s="616">
        <v>59625</v>
      </c>
      <c r="G9" s="614" t="s">
        <v>2960</v>
      </c>
      <c r="H9" s="614">
        <v>2012202</v>
      </c>
      <c r="I9" s="614" t="s">
        <v>199</v>
      </c>
      <c r="J9" s="614" t="s">
        <v>200</v>
      </c>
      <c r="K9" s="614" t="s">
        <v>201</v>
      </c>
      <c r="L9" s="616">
        <v>60</v>
      </c>
      <c r="M9" s="616">
        <v>2.15</v>
      </c>
      <c r="N9" s="616">
        <v>3.58</v>
      </c>
      <c r="O9" s="616">
        <v>368.47</v>
      </c>
      <c r="P9" s="616">
        <v>434.19</v>
      </c>
    </row>
    <row r="10" spans="1:18" x14ac:dyDescent="0.3">
      <c r="A10" s="615">
        <v>41192</v>
      </c>
      <c r="B10" s="614" t="s">
        <v>2961</v>
      </c>
      <c r="C10" s="614" t="s">
        <v>197</v>
      </c>
      <c r="D10" s="614">
        <v>700</v>
      </c>
      <c r="E10" s="616">
        <v>57.898600000000002</v>
      </c>
      <c r="F10" s="616">
        <v>40529</v>
      </c>
      <c r="G10" s="614" t="s">
        <v>2962</v>
      </c>
      <c r="H10" s="614">
        <v>201213135</v>
      </c>
      <c r="I10" s="614" t="s">
        <v>199</v>
      </c>
      <c r="J10" s="614" t="s">
        <v>200</v>
      </c>
      <c r="K10" s="614" t="s">
        <v>204</v>
      </c>
      <c r="L10" s="616">
        <v>40.53</v>
      </c>
      <c r="M10" s="616">
        <v>1.3</v>
      </c>
      <c r="N10" s="616">
        <v>2.4300000000000002</v>
      </c>
      <c r="O10" s="616">
        <v>250.46</v>
      </c>
      <c r="P10" s="616">
        <v>294.72000000000003</v>
      </c>
    </row>
    <row r="11" spans="1:18" x14ac:dyDescent="0.3">
      <c r="A11" s="615">
        <v>41137</v>
      </c>
      <c r="B11" s="614" t="s">
        <v>1147</v>
      </c>
      <c r="C11" s="614" t="s">
        <v>197</v>
      </c>
      <c r="D11" s="614">
        <v>10000</v>
      </c>
      <c r="E11" s="616">
        <v>9.9499999999999993</v>
      </c>
      <c r="F11" s="616">
        <v>99500</v>
      </c>
      <c r="G11" s="614" t="s">
        <v>2963</v>
      </c>
      <c r="H11" s="614">
        <v>2012157</v>
      </c>
      <c r="I11" s="614" t="s">
        <v>199</v>
      </c>
      <c r="J11" s="614" t="s">
        <v>200</v>
      </c>
      <c r="K11" s="614" t="s">
        <v>201</v>
      </c>
      <c r="L11" s="616">
        <v>100</v>
      </c>
      <c r="M11" s="616">
        <v>3.58</v>
      </c>
      <c r="N11" s="616">
        <v>5.97</v>
      </c>
      <c r="O11" s="616">
        <v>561.79999999999995</v>
      </c>
      <c r="P11" s="616">
        <v>671.35</v>
      </c>
    </row>
    <row r="12" spans="1:18" x14ac:dyDescent="0.3">
      <c r="A12" s="615">
        <v>41067</v>
      </c>
      <c r="B12" s="614" t="s">
        <v>2530</v>
      </c>
      <c r="C12" s="614" t="s">
        <v>197</v>
      </c>
      <c r="D12" s="614">
        <v>100</v>
      </c>
      <c r="E12" s="616">
        <v>213.4</v>
      </c>
      <c r="F12" s="616">
        <v>21340</v>
      </c>
      <c r="G12" s="614" t="s">
        <v>2964</v>
      </c>
      <c r="H12" s="614">
        <v>201213049</v>
      </c>
      <c r="I12" s="614" t="s">
        <v>199</v>
      </c>
      <c r="J12" s="614" t="s">
        <v>200</v>
      </c>
      <c r="K12" s="614" t="s">
        <v>204</v>
      </c>
      <c r="L12" s="616">
        <v>27</v>
      </c>
      <c r="M12" s="616">
        <v>0.77</v>
      </c>
      <c r="N12" s="616">
        <v>1.28</v>
      </c>
      <c r="O12" s="616">
        <v>131.88</v>
      </c>
      <c r="P12" s="616">
        <v>160.93</v>
      </c>
    </row>
    <row r="13" spans="1:18" x14ac:dyDescent="0.3">
      <c r="A13" s="615">
        <v>41002</v>
      </c>
      <c r="B13" s="614" t="s">
        <v>2530</v>
      </c>
      <c r="C13" s="614" t="s">
        <v>197</v>
      </c>
      <c r="D13" s="614">
        <v>100</v>
      </c>
      <c r="E13" s="616">
        <v>199.65</v>
      </c>
      <c r="F13" s="616">
        <v>19965</v>
      </c>
      <c r="G13" s="614" t="s">
        <v>2965</v>
      </c>
      <c r="H13" s="614">
        <v>201213004</v>
      </c>
      <c r="I13" s="614" t="s">
        <v>199</v>
      </c>
      <c r="J13" s="614" t="s">
        <v>200</v>
      </c>
      <c r="K13" s="614" t="s">
        <v>204</v>
      </c>
      <c r="L13" s="616">
        <v>25</v>
      </c>
      <c r="M13" s="616">
        <v>0.72</v>
      </c>
      <c r="N13" s="616">
        <v>1.2</v>
      </c>
      <c r="O13" s="616">
        <v>123.38</v>
      </c>
      <c r="P13" s="616">
        <v>150.30000000000001</v>
      </c>
    </row>
    <row r="14" spans="1:18" x14ac:dyDescent="0.3">
      <c r="A14" s="615">
        <v>41002</v>
      </c>
      <c r="B14" s="614" t="s">
        <v>282</v>
      </c>
      <c r="C14" s="614" t="s">
        <v>197</v>
      </c>
      <c r="D14" s="614">
        <v>1000</v>
      </c>
      <c r="E14" s="616">
        <v>40.5</v>
      </c>
      <c r="F14" s="616">
        <v>40500</v>
      </c>
      <c r="G14" s="614" t="s">
        <v>2966</v>
      </c>
      <c r="H14" s="614">
        <v>2012064</v>
      </c>
      <c r="I14" s="614" t="s">
        <v>199</v>
      </c>
      <c r="J14" s="614" t="s">
        <v>200</v>
      </c>
      <c r="K14" s="614" t="s">
        <v>201</v>
      </c>
      <c r="L14" s="616">
        <v>51</v>
      </c>
      <c r="M14" s="616">
        <v>1.46</v>
      </c>
      <c r="N14" s="616">
        <v>2.4300000000000002</v>
      </c>
      <c r="O14" s="616">
        <v>250.28</v>
      </c>
      <c r="P14" s="616">
        <v>305.17</v>
      </c>
    </row>
    <row r="15" spans="1:18" x14ac:dyDescent="0.3">
      <c r="A15" s="615">
        <v>40996</v>
      </c>
      <c r="B15" s="614" t="s">
        <v>282</v>
      </c>
      <c r="C15" s="614" t="s">
        <v>197</v>
      </c>
      <c r="D15" s="614">
        <v>250</v>
      </c>
      <c r="E15" s="616">
        <v>39.5</v>
      </c>
      <c r="F15" s="616">
        <v>9875</v>
      </c>
      <c r="G15" s="614" t="s">
        <v>3858</v>
      </c>
      <c r="H15" s="614">
        <v>201112249</v>
      </c>
      <c r="I15" s="614" t="s">
        <v>199</v>
      </c>
      <c r="J15" s="614" t="s">
        <v>200</v>
      </c>
      <c r="K15" s="614" t="s">
        <v>204</v>
      </c>
      <c r="L15" s="616">
        <v>12</v>
      </c>
      <c r="M15" s="616">
        <v>0.36</v>
      </c>
      <c r="N15" s="616">
        <v>0.59</v>
      </c>
      <c r="O15" s="616">
        <v>59.91</v>
      </c>
      <c r="P15" s="616">
        <v>72.86</v>
      </c>
    </row>
    <row r="16" spans="1:18" x14ac:dyDescent="0.3">
      <c r="A16" s="615">
        <v>40967</v>
      </c>
      <c r="B16" s="614" t="s">
        <v>282</v>
      </c>
      <c r="C16" s="614" t="s">
        <v>197</v>
      </c>
      <c r="D16" s="614">
        <v>500</v>
      </c>
      <c r="E16" s="616">
        <v>40.5</v>
      </c>
      <c r="F16" s="616">
        <v>20250</v>
      </c>
      <c r="G16" s="614" t="s">
        <v>3860</v>
      </c>
      <c r="H16" s="614">
        <v>2012040</v>
      </c>
      <c r="I16" s="614" t="s">
        <v>199</v>
      </c>
      <c r="J16" s="614" t="s">
        <v>200</v>
      </c>
      <c r="K16" s="614" t="s">
        <v>201</v>
      </c>
      <c r="L16" s="616">
        <v>25</v>
      </c>
      <c r="M16" s="616">
        <v>0.71</v>
      </c>
      <c r="N16" s="616">
        <v>2.0299999999999998</v>
      </c>
      <c r="O16" s="616">
        <v>122.85</v>
      </c>
      <c r="P16" s="616">
        <v>150.58000000000001</v>
      </c>
    </row>
    <row r="17" spans="1:16" x14ac:dyDescent="0.3">
      <c r="A17" s="615">
        <v>40955</v>
      </c>
      <c r="B17" s="614" t="s">
        <v>2525</v>
      </c>
      <c r="C17" s="614" t="s">
        <v>197</v>
      </c>
      <c r="D17" s="614">
        <v>1000</v>
      </c>
      <c r="E17" s="616">
        <v>56.554900000000004</v>
      </c>
      <c r="F17" s="616">
        <v>56554.9</v>
      </c>
      <c r="G17" s="614" t="s">
        <v>3863</v>
      </c>
      <c r="H17" s="614">
        <v>2012033</v>
      </c>
      <c r="I17" s="614" t="s">
        <v>199</v>
      </c>
      <c r="J17" s="614" t="s">
        <v>200</v>
      </c>
      <c r="K17" s="614" t="s">
        <v>201</v>
      </c>
      <c r="L17" s="616">
        <v>70.69</v>
      </c>
      <c r="M17" s="616">
        <v>1.98</v>
      </c>
      <c r="N17" s="616">
        <v>5.66</v>
      </c>
      <c r="O17" s="616">
        <v>343.1</v>
      </c>
      <c r="P17" s="616">
        <v>421.43</v>
      </c>
    </row>
    <row r="18" spans="1:16" x14ac:dyDescent="0.3">
      <c r="A18" s="615">
        <v>40949</v>
      </c>
      <c r="B18" s="614" t="s">
        <v>1697</v>
      </c>
      <c r="C18" s="614" t="s">
        <v>197</v>
      </c>
      <c r="D18" s="614">
        <v>300</v>
      </c>
      <c r="E18" s="616">
        <v>352.94130000000001</v>
      </c>
      <c r="F18" s="616">
        <v>105882.4</v>
      </c>
      <c r="G18" s="614" t="s">
        <v>3864</v>
      </c>
      <c r="H18" s="614">
        <v>201112217</v>
      </c>
      <c r="I18" s="614" t="s">
        <v>199</v>
      </c>
      <c r="J18" s="614" t="s">
        <v>200</v>
      </c>
      <c r="K18" s="614" t="s">
        <v>204</v>
      </c>
      <c r="L18" s="616">
        <v>132</v>
      </c>
      <c r="M18" s="616">
        <v>3.81</v>
      </c>
      <c r="N18" s="616">
        <v>10.59</v>
      </c>
      <c r="O18" s="616">
        <v>642.34</v>
      </c>
      <c r="P18" s="616">
        <v>788.74</v>
      </c>
    </row>
    <row r="19" spans="1:16" x14ac:dyDescent="0.3">
      <c r="A19" s="615">
        <v>40938</v>
      </c>
      <c r="B19" s="614" t="s">
        <v>2532</v>
      </c>
      <c r="C19" s="614" t="s">
        <v>197</v>
      </c>
      <c r="D19" s="614">
        <v>5000</v>
      </c>
      <c r="E19" s="616">
        <v>15.35</v>
      </c>
      <c r="F19" s="616">
        <v>76750</v>
      </c>
      <c r="G19" s="614" t="s">
        <v>3868</v>
      </c>
      <c r="H19" s="614">
        <v>2012020</v>
      </c>
      <c r="I19" s="614" t="s">
        <v>199</v>
      </c>
      <c r="J19" s="614" t="s">
        <v>200</v>
      </c>
      <c r="K19" s="614" t="s">
        <v>201</v>
      </c>
      <c r="L19" s="616">
        <v>95.91</v>
      </c>
      <c r="M19" s="616">
        <v>2.69</v>
      </c>
      <c r="N19" s="616">
        <v>7.68</v>
      </c>
      <c r="O19" s="616">
        <v>465.6</v>
      </c>
      <c r="P19" s="616">
        <v>571.87</v>
      </c>
    </row>
    <row r="20" spans="1:16" x14ac:dyDescent="0.3">
      <c r="A20" s="615">
        <v>40938</v>
      </c>
      <c r="B20" s="614" t="s">
        <v>2532</v>
      </c>
      <c r="C20" s="614" t="s">
        <v>197</v>
      </c>
      <c r="D20" s="614">
        <v>500</v>
      </c>
      <c r="E20" s="616">
        <v>15.3</v>
      </c>
      <c r="F20" s="616">
        <v>7650</v>
      </c>
      <c r="G20" s="614" t="s">
        <v>3869</v>
      </c>
      <c r="H20" s="614">
        <v>2012020</v>
      </c>
      <c r="I20" s="614" t="s">
        <v>199</v>
      </c>
      <c r="J20" s="614" t="s">
        <v>200</v>
      </c>
      <c r="K20" s="614" t="s">
        <v>201</v>
      </c>
      <c r="L20" s="616">
        <v>9.59</v>
      </c>
      <c r="M20" s="616">
        <v>0.27</v>
      </c>
      <c r="N20" s="616">
        <v>0.77</v>
      </c>
      <c r="O20" s="616">
        <v>46.41</v>
      </c>
      <c r="P20" s="616">
        <v>57.03</v>
      </c>
    </row>
    <row r="21" spans="1:16" x14ac:dyDescent="0.3">
      <c r="A21" s="615">
        <v>40932</v>
      </c>
      <c r="B21" s="614" t="s">
        <v>2534</v>
      </c>
      <c r="C21" s="614" t="s">
        <v>197</v>
      </c>
      <c r="D21" s="614">
        <v>450</v>
      </c>
      <c r="E21" s="616">
        <v>181.19409999999999</v>
      </c>
      <c r="F21" s="616">
        <v>81537.350000000006</v>
      </c>
      <c r="G21" s="614" t="s">
        <v>3871</v>
      </c>
      <c r="H21" s="614">
        <v>2012017</v>
      </c>
      <c r="I21" s="614" t="s">
        <v>199</v>
      </c>
      <c r="J21" s="614" t="s">
        <v>200</v>
      </c>
      <c r="K21" s="614" t="s">
        <v>201</v>
      </c>
      <c r="L21" s="616">
        <v>102.17</v>
      </c>
      <c r="M21" s="616">
        <v>2.85</v>
      </c>
      <c r="N21" s="616">
        <v>8.15</v>
      </c>
      <c r="O21" s="616">
        <v>494.65</v>
      </c>
      <c r="P21" s="616">
        <v>607.83000000000004</v>
      </c>
    </row>
    <row r="22" spans="1:16" x14ac:dyDescent="0.3">
      <c r="A22" s="615">
        <v>40918</v>
      </c>
      <c r="B22" s="614" t="s">
        <v>2538</v>
      </c>
      <c r="C22" s="614" t="s">
        <v>197</v>
      </c>
      <c r="D22" s="614">
        <v>1000</v>
      </c>
      <c r="E22" s="616">
        <v>34.725000000000001</v>
      </c>
      <c r="F22" s="616">
        <v>34725</v>
      </c>
      <c r="G22" s="614" t="s">
        <v>3872</v>
      </c>
      <c r="H22" s="614">
        <v>2012007</v>
      </c>
      <c r="I22" s="614" t="s">
        <v>199</v>
      </c>
      <c r="J22" s="614" t="s">
        <v>200</v>
      </c>
      <c r="K22" s="614" t="s">
        <v>201</v>
      </c>
      <c r="L22" s="616">
        <v>43.39</v>
      </c>
      <c r="M22" s="616">
        <v>1.22</v>
      </c>
      <c r="N22" s="616">
        <v>3.47</v>
      </c>
      <c r="O22" s="616">
        <v>210.65</v>
      </c>
      <c r="P22" s="616">
        <v>258.73</v>
      </c>
    </row>
    <row r="23" spans="1:16" x14ac:dyDescent="0.3">
      <c r="A23" s="615">
        <v>40918</v>
      </c>
      <c r="B23" s="614" t="s">
        <v>2538</v>
      </c>
      <c r="C23" s="614" t="s">
        <v>197</v>
      </c>
      <c r="D23" s="614">
        <v>1000</v>
      </c>
      <c r="E23" s="616">
        <v>34.700000000000003</v>
      </c>
      <c r="F23" s="616">
        <v>34700</v>
      </c>
      <c r="G23" s="614" t="s">
        <v>3873</v>
      </c>
      <c r="H23" s="614">
        <v>2012007</v>
      </c>
      <c r="I23" s="614" t="s">
        <v>199</v>
      </c>
      <c r="J23" s="614" t="s">
        <v>200</v>
      </c>
      <c r="K23" s="614" t="s">
        <v>201</v>
      </c>
      <c r="L23" s="616">
        <v>43.61</v>
      </c>
      <c r="M23" s="616">
        <v>1.21</v>
      </c>
      <c r="N23" s="616">
        <v>3.47</v>
      </c>
      <c r="O23" s="616">
        <v>210.52</v>
      </c>
      <c r="P23" s="616">
        <v>258.81</v>
      </c>
    </row>
    <row r="24" spans="1:16" x14ac:dyDescent="0.3">
      <c r="A24" s="615">
        <v>40856</v>
      </c>
      <c r="B24" s="614" t="s">
        <v>242</v>
      </c>
      <c r="C24" s="614" t="s">
        <v>197</v>
      </c>
      <c r="D24" s="614">
        <v>1000</v>
      </c>
      <c r="E24" s="616">
        <v>27.25</v>
      </c>
      <c r="F24" s="616">
        <v>27250</v>
      </c>
      <c r="G24" s="614" t="s">
        <v>3878</v>
      </c>
      <c r="H24" s="614">
        <v>201112152</v>
      </c>
      <c r="I24" s="614" t="s">
        <v>199</v>
      </c>
      <c r="J24" s="614" t="s">
        <v>200</v>
      </c>
      <c r="K24" s="614" t="s">
        <v>204</v>
      </c>
      <c r="L24" s="616">
        <v>34</v>
      </c>
      <c r="M24" s="616">
        <v>0.98</v>
      </c>
      <c r="N24" s="616">
        <v>2.73</v>
      </c>
      <c r="O24" s="616">
        <v>165.31</v>
      </c>
      <c r="P24" s="616">
        <v>203.02</v>
      </c>
    </row>
    <row r="25" spans="1:16" x14ac:dyDescent="0.3">
      <c r="A25" s="615">
        <v>40856</v>
      </c>
      <c r="B25" s="614" t="s">
        <v>2546</v>
      </c>
      <c r="C25" s="614" t="s">
        <v>197</v>
      </c>
      <c r="D25" s="614">
        <v>100</v>
      </c>
      <c r="E25" s="616">
        <v>155.21899999999999</v>
      </c>
      <c r="F25" s="616">
        <v>15521.9</v>
      </c>
      <c r="G25" s="614" t="s">
        <v>3879</v>
      </c>
      <c r="H25" s="614">
        <v>2011212</v>
      </c>
      <c r="I25" s="614" t="s">
        <v>199</v>
      </c>
      <c r="J25" s="614" t="s">
        <v>200</v>
      </c>
      <c r="K25" s="614" t="s">
        <v>201</v>
      </c>
      <c r="L25" s="616">
        <v>19.84</v>
      </c>
      <c r="M25" s="616">
        <v>0.54</v>
      </c>
      <c r="N25" s="616">
        <v>1.55</v>
      </c>
      <c r="O25" s="616">
        <v>94.16</v>
      </c>
      <c r="P25" s="616">
        <v>116.1</v>
      </c>
    </row>
    <row r="26" spans="1:16" x14ac:dyDescent="0.3">
      <c r="A26" s="615">
        <v>40856</v>
      </c>
      <c r="B26" s="614" t="s">
        <v>1559</v>
      </c>
      <c r="C26" s="614" t="s">
        <v>197</v>
      </c>
      <c r="D26" s="614">
        <v>13</v>
      </c>
      <c r="E26" s="616">
        <v>1904.9</v>
      </c>
      <c r="F26" s="616">
        <v>24763.7</v>
      </c>
      <c r="G26" s="614" t="s">
        <v>3880</v>
      </c>
      <c r="H26" s="614">
        <v>2011212</v>
      </c>
      <c r="I26" s="614" t="s">
        <v>199</v>
      </c>
      <c r="J26" s="614" t="s">
        <v>200</v>
      </c>
      <c r="K26" s="614" t="s">
        <v>201</v>
      </c>
      <c r="L26" s="616">
        <v>0</v>
      </c>
      <c r="M26" s="616">
        <v>0.87</v>
      </c>
      <c r="N26" s="616">
        <v>0.5</v>
      </c>
      <c r="O26" s="616">
        <v>150.22999999999999</v>
      </c>
      <c r="P26" s="616">
        <v>151.59</v>
      </c>
    </row>
    <row r="27" spans="1:16" x14ac:dyDescent="0.3">
      <c r="A27" s="615">
        <v>40849</v>
      </c>
      <c r="B27" s="614" t="s">
        <v>242</v>
      </c>
      <c r="C27" s="614" t="s">
        <v>197</v>
      </c>
      <c r="D27" s="614">
        <v>1000</v>
      </c>
      <c r="E27" s="616">
        <v>26.7</v>
      </c>
      <c r="F27" s="616">
        <v>26700</v>
      </c>
      <c r="G27" s="614" t="s">
        <v>3886</v>
      </c>
      <c r="H27" s="614">
        <v>2011208</v>
      </c>
      <c r="I27" s="614" t="s">
        <v>199</v>
      </c>
      <c r="J27" s="614" t="s">
        <v>200</v>
      </c>
      <c r="K27" s="614" t="s">
        <v>201</v>
      </c>
      <c r="L27" s="616">
        <v>33.72</v>
      </c>
      <c r="M27" s="616">
        <v>0.93</v>
      </c>
      <c r="N27" s="616">
        <v>2.67</v>
      </c>
      <c r="O27" s="616">
        <v>161.97999999999999</v>
      </c>
      <c r="P27" s="616">
        <v>199.3</v>
      </c>
    </row>
    <row r="28" spans="1:16" x14ac:dyDescent="0.3">
      <c r="A28" s="615">
        <v>40847</v>
      </c>
      <c r="B28" s="614" t="s">
        <v>2556</v>
      </c>
      <c r="C28" s="614" t="s">
        <v>197</v>
      </c>
      <c r="D28" s="614">
        <v>50</v>
      </c>
      <c r="E28" s="616">
        <v>581.9</v>
      </c>
      <c r="F28" s="616">
        <v>29095</v>
      </c>
      <c r="G28" s="614" t="s">
        <v>3887</v>
      </c>
      <c r="H28" s="614">
        <v>2011206</v>
      </c>
      <c r="I28" s="614" t="s">
        <v>199</v>
      </c>
      <c r="J28" s="614" t="s">
        <v>200</v>
      </c>
      <c r="K28" s="614" t="s">
        <v>201</v>
      </c>
      <c r="L28" s="616">
        <v>36</v>
      </c>
      <c r="M28" s="616">
        <v>1.02</v>
      </c>
      <c r="N28" s="616">
        <v>2.91</v>
      </c>
      <c r="O28" s="616">
        <v>176.5</v>
      </c>
      <c r="P28" s="616">
        <v>216.43</v>
      </c>
    </row>
    <row r="29" spans="1:16" x14ac:dyDescent="0.3">
      <c r="A29" s="615">
        <v>40841</v>
      </c>
      <c r="B29" s="614" t="s">
        <v>2543</v>
      </c>
      <c r="C29" s="614" t="s">
        <v>197</v>
      </c>
      <c r="D29" s="614">
        <v>10</v>
      </c>
      <c r="E29" s="616">
        <v>1335</v>
      </c>
      <c r="F29" s="616">
        <v>13350</v>
      </c>
      <c r="G29" s="614" t="s">
        <v>3889</v>
      </c>
      <c r="H29" s="614">
        <v>2011203</v>
      </c>
      <c r="I29" s="614" t="s">
        <v>199</v>
      </c>
      <c r="J29" s="614" t="s">
        <v>200</v>
      </c>
      <c r="K29" s="614" t="s">
        <v>201</v>
      </c>
      <c r="L29" s="616">
        <v>16.829999999999998</v>
      </c>
      <c r="M29" s="616">
        <v>0.47</v>
      </c>
      <c r="N29" s="616">
        <v>1.34</v>
      </c>
      <c r="O29" s="616">
        <v>80.989999999999995</v>
      </c>
      <c r="P29" s="616">
        <v>99.62</v>
      </c>
    </row>
    <row r="30" spans="1:16" x14ac:dyDescent="0.3">
      <c r="A30" s="615">
        <v>40836</v>
      </c>
      <c r="B30" s="614" t="s">
        <v>2560</v>
      </c>
      <c r="C30" s="614" t="s">
        <v>197</v>
      </c>
      <c r="D30" s="614">
        <v>100</v>
      </c>
      <c r="E30" s="616">
        <v>141.5</v>
      </c>
      <c r="F30" s="616">
        <v>14150</v>
      </c>
      <c r="G30" s="614" t="s">
        <v>3890</v>
      </c>
      <c r="H30" s="614">
        <v>201112140</v>
      </c>
      <c r="I30" s="614" t="s">
        <v>199</v>
      </c>
      <c r="J30" s="614" t="s">
        <v>200</v>
      </c>
      <c r="K30" s="614" t="s">
        <v>204</v>
      </c>
      <c r="L30" s="616">
        <v>18</v>
      </c>
      <c r="M30" s="616">
        <v>0.51</v>
      </c>
      <c r="N30" s="616">
        <v>1.42</v>
      </c>
      <c r="O30" s="616">
        <v>85.84</v>
      </c>
      <c r="P30" s="616">
        <v>105.76</v>
      </c>
    </row>
    <row r="31" spans="1:16" x14ac:dyDescent="0.3">
      <c r="A31" s="615">
        <v>40835</v>
      </c>
      <c r="B31" s="614" t="s">
        <v>2543</v>
      </c>
      <c r="C31" s="614" t="s">
        <v>197</v>
      </c>
      <c r="D31" s="614">
        <v>40</v>
      </c>
      <c r="E31" s="616">
        <v>1390</v>
      </c>
      <c r="F31" s="616">
        <v>55600</v>
      </c>
      <c r="G31" s="614" t="s">
        <v>3892</v>
      </c>
      <c r="H31" s="614">
        <v>2011199</v>
      </c>
      <c r="I31" s="614" t="s">
        <v>199</v>
      </c>
      <c r="J31" s="614" t="s">
        <v>200</v>
      </c>
      <c r="K31" s="614" t="s">
        <v>201</v>
      </c>
      <c r="L31" s="616">
        <v>69.62</v>
      </c>
      <c r="M31" s="616">
        <v>1.95</v>
      </c>
      <c r="N31" s="616">
        <v>5.56</v>
      </c>
      <c r="O31" s="616">
        <v>337.3</v>
      </c>
      <c r="P31" s="616">
        <v>414.43</v>
      </c>
    </row>
    <row r="32" spans="1:16" x14ac:dyDescent="0.3">
      <c r="A32" s="615">
        <v>40821</v>
      </c>
      <c r="B32" s="614" t="s">
        <v>2564</v>
      </c>
      <c r="C32" s="614" t="s">
        <v>197</v>
      </c>
      <c r="D32" s="614">
        <v>300</v>
      </c>
      <c r="E32" s="616">
        <v>41.512700000000002</v>
      </c>
      <c r="F32" s="616">
        <v>12453.8</v>
      </c>
      <c r="G32" s="614" t="s">
        <v>3893</v>
      </c>
      <c r="H32" s="614">
        <v>2011190</v>
      </c>
      <c r="I32" s="614" t="s">
        <v>199</v>
      </c>
      <c r="J32" s="614" t="s">
        <v>200</v>
      </c>
      <c r="K32" s="614" t="s">
        <v>201</v>
      </c>
      <c r="L32" s="616">
        <v>16</v>
      </c>
      <c r="M32" s="616">
        <v>0.44</v>
      </c>
      <c r="N32" s="616">
        <v>1.25</v>
      </c>
      <c r="O32" s="616">
        <v>75.56</v>
      </c>
      <c r="P32" s="616">
        <v>93.24</v>
      </c>
    </row>
    <row r="33" spans="1:16" x14ac:dyDescent="0.3">
      <c r="A33" s="615">
        <v>40799</v>
      </c>
      <c r="B33" s="614" t="s">
        <v>2569</v>
      </c>
      <c r="C33" s="614" t="s">
        <v>197</v>
      </c>
      <c r="D33" s="614">
        <v>1200</v>
      </c>
      <c r="E33" s="616">
        <v>30.05</v>
      </c>
      <c r="F33" s="616">
        <v>36060</v>
      </c>
      <c r="G33" s="614" t="s">
        <v>3896</v>
      </c>
      <c r="H33" s="614">
        <v>201112114</v>
      </c>
      <c r="I33" s="614" t="s">
        <v>199</v>
      </c>
      <c r="J33" s="614" t="s">
        <v>200</v>
      </c>
      <c r="K33" s="614" t="s">
        <v>204</v>
      </c>
      <c r="L33" s="616">
        <v>45</v>
      </c>
      <c r="M33" s="616">
        <v>1.3</v>
      </c>
      <c r="N33" s="616">
        <v>3.61</v>
      </c>
      <c r="O33" s="616">
        <v>218.76</v>
      </c>
      <c r="P33" s="616">
        <v>268.66000000000003</v>
      </c>
    </row>
    <row r="34" spans="1:16" x14ac:dyDescent="0.3">
      <c r="A34" s="615">
        <v>40798</v>
      </c>
      <c r="B34" s="614" t="s">
        <v>2530</v>
      </c>
      <c r="C34" s="614" t="s">
        <v>197</v>
      </c>
      <c r="D34" s="614">
        <v>100</v>
      </c>
      <c r="E34" s="616">
        <v>187.45650000000001</v>
      </c>
      <c r="F34" s="616">
        <v>18745.650000000001</v>
      </c>
      <c r="G34" s="614" t="s">
        <v>3897</v>
      </c>
      <c r="H34" s="614">
        <v>201112113</v>
      </c>
      <c r="I34" s="614" t="s">
        <v>199</v>
      </c>
      <c r="J34" s="614" t="s">
        <v>200</v>
      </c>
      <c r="K34" s="614" t="s">
        <v>204</v>
      </c>
      <c r="L34" s="616">
        <v>23</v>
      </c>
      <c r="M34" s="616">
        <v>0.67</v>
      </c>
      <c r="N34" s="616">
        <v>1.87</v>
      </c>
      <c r="O34" s="616">
        <v>113.73</v>
      </c>
      <c r="P34" s="616">
        <v>139.28</v>
      </c>
    </row>
    <row r="35" spans="1:16" x14ac:dyDescent="0.3">
      <c r="A35" s="615">
        <v>40795</v>
      </c>
      <c r="B35" s="614" t="s">
        <v>308</v>
      </c>
      <c r="C35" s="614" t="s">
        <v>197</v>
      </c>
      <c r="D35" s="614">
        <v>250</v>
      </c>
      <c r="E35" s="616">
        <v>89.699799999999996</v>
      </c>
      <c r="F35" s="616">
        <v>22424.95</v>
      </c>
      <c r="G35" s="614" t="s">
        <v>3898</v>
      </c>
      <c r="H35" s="614">
        <v>2011172</v>
      </c>
      <c r="I35" s="614" t="s">
        <v>199</v>
      </c>
      <c r="J35" s="614" t="s">
        <v>200</v>
      </c>
      <c r="K35" s="614" t="s">
        <v>201</v>
      </c>
      <c r="L35" s="616">
        <v>28</v>
      </c>
      <c r="M35" s="616">
        <v>0.79</v>
      </c>
      <c r="N35" s="616">
        <v>2.2400000000000002</v>
      </c>
      <c r="O35" s="616">
        <v>136.05000000000001</v>
      </c>
      <c r="P35" s="616">
        <v>167.08</v>
      </c>
    </row>
    <row r="36" spans="1:16" x14ac:dyDescent="0.3">
      <c r="A36" s="615">
        <v>40792</v>
      </c>
      <c r="B36" s="614" t="s">
        <v>2564</v>
      </c>
      <c r="C36" s="614" t="s">
        <v>197</v>
      </c>
      <c r="D36" s="614">
        <v>350</v>
      </c>
      <c r="E36" s="616">
        <v>50.25</v>
      </c>
      <c r="F36" s="616">
        <v>17587.5</v>
      </c>
      <c r="G36" s="614" t="s">
        <v>3905</v>
      </c>
      <c r="H36" s="614">
        <v>2011169</v>
      </c>
      <c r="I36" s="614" t="s">
        <v>199</v>
      </c>
      <c r="J36" s="614" t="s">
        <v>200</v>
      </c>
      <c r="K36" s="614" t="s">
        <v>201</v>
      </c>
      <c r="L36" s="616">
        <v>21.98</v>
      </c>
      <c r="M36" s="616">
        <v>0.62</v>
      </c>
      <c r="N36" s="616">
        <v>1.76</v>
      </c>
      <c r="O36" s="616">
        <v>106.69</v>
      </c>
      <c r="P36" s="616">
        <v>131.04</v>
      </c>
    </row>
    <row r="37" spans="1:16" x14ac:dyDescent="0.3">
      <c r="A37" s="615">
        <v>40781</v>
      </c>
      <c r="B37" s="614" t="s">
        <v>2587</v>
      </c>
      <c r="C37" s="614" t="s">
        <v>197</v>
      </c>
      <c r="D37" s="614">
        <v>50</v>
      </c>
      <c r="E37" s="616">
        <v>723</v>
      </c>
      <c r="F37" s="616">
        <v>36150</v>
      </c>
      <c r="G37" s="614" t="s">
        <v>3908</v>
      </c>
      <c r="H37" s="614">
        <v>2011164</v>
      </c>
      <c r="I37" s="614" t="s">
        <v>199</v>
      </c>
      <c r="J37" s="614" t="s">
        <v>200</v>
      </c>
      <c r="K37" s="614" t="s">
        <v>201</v>
      </c>
      <c r="L37" s="616">
        <v>45</v>
      </c>
      <c r="M37" s="616">
        <v>1.27</v>
      </c>
      <c r="N37" s="616">
        <v>3.62</v>
      </c>
      <c r="O37" s="616">
        <v>219.31</v>
      </c>
      <c r="P37" s="616">
        <v>269.19</v>
      </c>
    </row>
    <row r="38" spans="1:16" x14ac:dyDescent="0.3">
      <c r="A38" s="615">
        <v>40779</v>
      </c>
      <c r="B38" s="614" t="s">
        <v>2575</v>
      </c>
      <c r="C38" s="614" t="s">
        <v>197</v>
      </c>
      <c r="D38" s="614">
        <v>50</v>
      </c>
      <c r="E38" s="616">
        <v>111.94</v>
      </c>
      <c r="F38" s="616">
        <v>5597</v>
      </c>
      <c r="G38" s="614" t="s">
        <v>3909</v>
      </c>
      <c r="H38" s="614">
        <v>201112102</v>
      </c>
      <c r="I38" s="614" t="s">
        <v>199</v>
      </c>
      <c r="J38" s="614" t="s">
        <v>200</v>
      </c>
      <c r="K38" s="614" t="s">
        <v>204</v>
      </c>
      <c r="L38" s="616">
        <v>7</v>
      </c>
      <c r="M38" s="616">
        <v>0.2</v>
      </c>
      <c r="N38" s="616">
        <v>0.56000000000000005</v>
      </c>
      <c r="O38" s="616">
        <v>33.96</v>
      </c>
      <c r="P38" s="616">
        <v>41.72</v>
      </c>
    </row>
    <row r="39" spans="1:16" x14ac:dyDescent="0.3">
      <c r="A39" s="615">
        <v>40779</v>
      </c>
      <c r="B39" s="614" t="s">
        <v>2579</v>
      </c>
      <c r="C39" s="614" t="s">
        <v>197</v>
      </c>
      <c r="D39" s="614">
        <v>15</v>
      </c>
      <c r="E39" s="616">
        <v>413</v>
      </c>
      <c r="F39" s="616">
        <v>6195</v>
      </c>
      <c r="G39" s="614" t="s">
        <v>3911</v>
      </c>
      <c r="H39" s="614">
        <v>2011162</v>
      </c>
      <c r="I39" s="614" t="s">
        <v>199</v>
      </c>
      <c r="J39" s="614" t="s">
        <v>200</v>
      </c>
      <c r="K39" s="614" t="s">
        <v>201</v>
      </c>
      <c r="L39" s="616">
        <v>7.74</v>
      </c>
      <c r="M39" s="616">
        <v>0.22</v>
      </c>
      <c r="N39" s="616">
        <v>0.62</v>
      </c>
      <c r="O39" s="616">
        <v>37.58</v>
      </c>
      <c r="P39" s="616">
        <v>46.16</v>
      </c>
    </row>
    <row r="40" spans="1:16" x14ac:dyDescent="0.3">
      <c r="A40" s="615">
        <v>40779</v>
      </c>
      <c r="B40" s="614" t="s">
        <v>2581</v>
      </c>
      <c r="C40" s="614" t="s">
        <v>197</v>
      </c>
      <c r="D40" s="614">
        <v>2</v>
      </c>
      <c r="E40" s="616">
        <v>692</v>
      </c>
      <c r="F40" s="616">
        <v>1384</v>
      </c>
      <c r="G40" s="614" t="s">
        <v>3912</v>
      </c>
      <c r="H40" s="614">
        <v>2011162</v>
      </c>
      <c r="I40" s="614" t="s">
        <v>199</v>
      </c>
      <c r="J40" s="614" t="s">
        <v>200</v>
      </c>
      <c r="K40" s="614" t="s">
        <v>201</v>
      </c>
      <c r="L40" s="616">
        <v>1.73</v>
      </c>
      <c r="M40" s="616">
        <v>0.05</v>
      </c>
      <c r="N40" s="616">
        <v>0.14000000000000001</v>
      </c>
      <c r="O40" s="616">
        <v>27.58</v>
      </c>
      <c r="P40" s="616">
        <v>29.5</v>
      </c>
    </row>
    <row r="41" spans="1:16" x14ac:dyDescent="0.3">
      <c r="A41" s="615">
        <v>40779</v>
      </c>
      <c r="B41" s="614" t="s">
        <v>2554</v>
      </c>
      <c r="C41" s="614" t="s">
        <v>197</v>
      </c>
      <c r="D41" s="614">
        <v>25</v>
      </c>
      <c r="E41" s="616">
        <v>63.85</v>
      </c>
      <c r="F41" s="616">
        <v>1596.25</v>
      </c>
      <c r="G41" s="614" t="s">
        <v>3913</v>
      </c>
      <c r="H41" s="614">
        <v>2011162</v>
      </c>
      <c r="I41" s="614" t="s">
        <v>199</v>
      </c>
      <c r="J41" s="614" t="s">
        <v>200</v>
      </c>
      <c r="K41" s="614" t="s">
        <v>201</v>
      </c>
      <c r="L41" s="616">
        <v>2</v>
      </c>
      <c r="M41" s="616">
        <v>0.06</v>
      </c>
      <c r="N41" s="616">
        <v>0.16</v>
      </c>
      <c r="O41" s="616">
        <v>27.58</v>
      </c>
      <c r="P41" s="616">
        <v>29.8</v>
      </c>
    </row>
    <row r="42" spans="1:16" x14ac:dyDescent="0.3">
      <c r="A42" s="615">
        <v>40779</v>
      </c>
      <c r="B42" s="614" t="s">
        <v>361</v>
      </c>
      <c r="C42" s="614" t="s">
        <v>197</v>
      </c>
      <c r="D42" s="614">
        <v>50</v>
      </c>
      <c r="E42" s="616">
        <v>38.799999999999997</v>
      </c>
      <c r="F42" s="616">
        <v>1940</v>
      </c>
      <c r="G42" s="614" t="s">
        <v>3914</v>
      </c>
      <c r="H42" s="614">
        <v>2011162</v>
      </c>
      <c r="I42" s="614" t="s">
        <v>199</v>
      </c>
      <c r="J42" s="614" t="s">
        <v>200</v>
      </c>
      <c r="K42" s="614" t="s">
        <v>201</v>
      </c>
      <c r="L42" s="616">
        <v>2.54</v>
      </c>
      <c r="M42" s="616">
        <v>7.0000000000000007E-2</v>
      </c>
      <c r="N42" s="616">
        <v>0.19</v>
      </c>
      <c r="O42" s="616">
        <v>27.58</v>
      </c>
      <c r="P42" s="616">
        <v>30.38</v>
      </c>
    </row>
    <row r="43" spans="1:16" x14ac:dyDescent="0.3">
      <c r="A43" s="615">
        <v>40779</v>
      </c>
      <c r="B43" s="614" t="s">
        <v>222</v>
      </c>
      <c r="C43" s="614" t="s">
        <v>197</v>
      </c>
      <c r="D43" s="614">
        <v>15</v>
      </c>
      <c r="E43" s="616">
        <v>165.9</v>
      </c>
      <c r="F43" s="616">
        <v>2488.5</v>
      </c>
      <c r="G43" s="614" t="s">
        <v>3915</v>
      </c>
      <c r="H43" s="614">
        <v>2011162</v>
      </c>
      <c r="I43" s="614" t="s">
        <v>199</v>
      </c>
      <c r="J43" s="614" t="s">
        <v>200</v>
      </c>
      <c r="K43" s="614" t="s">
        <v>201</v>
      </c>
      <c r="L43" s="616">
        <v>3.11</v>
      </c>
      <c r="M43" s="616">
        <v>0.09</v>
      </c>
      <c r="N43" s="616">
        <v>0.25</v>
      </c>
      <c r="O43" s="616">
        <v>27.58</v>
      </c>
      <c r="P43" s="616">
        <v>31.03</v>
      </c>
    </row>
    <row r="44" spans="1:16" x14ac:dyDescent="0.3">
      <c r="A44" s="615">
        <v>40774</v>
      </c>
      <c r="B44" s="614" t="s">
        <v>1510</v>
      </c>
      <c r="C44" s="614" t="s">
        <v>197</v>
      </c>
      <c r="D44" s="614">
        <v>15</v>
      </c>
      <c r="E44" s="616">
        <v>708.7</v>
      </c>
      <c r="F44" s="616">
        <v>10630.5</v>
      </c>
      <c r="G44" s="614" t="s">
        <v>3916</v>
      </c>
      <c r="H44" s="614">
        <v>201112099</v>
      </c>
      <c r="I44" s="614" t="s">
        <v>199</v>
      </c>
      <c r="J44" s="614" t="s">
        <v>200</v>
      </c>
      <c r="K44" s="614" t="s">
        <v>204</v>
      </c>
      <c r="L44" s="616">
        <v>13.29</v>
      </c>
      <c r="M44" s="616">
        <v>0.38</v>
      </c>
      <c r="N44" s="616">
        <v>1.06</v>
      </c>
      <c r="O44" s="616">
        <v>64.489999999999995</v>
      </c>
      <c r="P44" s="616">
        <v>79.23</v>
      </c>
    </row>
    <row r="45" spans="1:16" x14ac:dyDescent="0.3">
      <c r="A45" s="615">
        <v>40774</v>
      </c>
      <c r="B45" s="614" t="s">
        <v>2530</v>
      </c>
      <c r="C45" s="614" t="s">
        <v>197</v>
      </c>
      <c r="D45" s="614">
        <v>25</v>
      </c>
      <c r="E45" s="616">
        <v>192.73</v>
      </c>
      <c r="F45" s="616">
        <v>4818.25</v>
      </c>
      <c r="G45" s="614" t="s">
        <v>3917</v>
      </c>
      <c r="H45" s="614">
        <v>201112099</v>
      </c>
      <c r="I45" s="614" t="s">
        <v>199</v>
      </c>
      <c r="J45" s="614" t="s">
        <v>200</v>
      </c>
      <c r="K45" s="614" t="s">
        <v>204</v>
      </c>
      <c r="L45" s="616">
        <v>6.02</v>
      </c>
      <c r="M45" s="616">
        <v>0.17</v>
      </c>
      <c r="N45" s="616">
        <v>0.48</v>
      </c>
      <c r="O45" s="616">
        <v>29.23</v>
      </c>
      <c r="P45" s="616">
        <v>35.909999999999997</v>
      </c>
    </row>
    <row r="46" spans="1:16" x14ac:dyDescent="0.3">
      <c r="A46" s="615">
        <v>40774</v>
      </c>
      <c r="B46" s="614" t="s">
        <v>2585</v>
      </c>
      <c r="C46" s="614" t="s">
        <v>197</v>
      </c>
      <c r="D46" s="614">
        <v>60</v>
      </c>
      <c r="E46" s="616">
        <v>189.1</v>
      </c>
      <c r="F46" s="616">
        <v>11346</v>
      </c>
      <c r="G46" s="614" t="s">
        <v>3918</v>
      </c>
      <c r="H46" s="614">
        <v>201112099</v>
      </c>
      <c r="I46" s="614" t="s">
        <v>199</v>
      </c>
      <c r="J46" s="614" t="s">
        <v>200</v>
      </c>
      <c r="K46" s="614" t="s">
        <v>204</v>
      </c>
      <c r="L46" s="616">
        <v>13.69</v>
      </c>
      <c r="M46" s="616">
        <v>0.41</v>
      </c>
      <c r="N46" s="616">
        <v>1.1299999999999999</v>
      </c>
      <c r="O46" s="616">
        <v>68.83</v>
      </c>
      <c r="P46" s="616">
        <v>84.06</v>
      </c>
    </row>
    <row r="47" spans="1:16" x14ac:dyDescent="0.3">
      <c r="A47" s="615">
        <v>40774</v>
      </c>
      <c r="B47" s="614" t="s">
        <v>361</v>
      </c>
      <c r="C47" s="614" t="s">
        <v>197</v>
      </c>
      <c r="D47" s="614">
        <v>75</v>
      </c>
      <c r="E47" s="616">
        <v>39.5</v>
      </c>
      <c r="F47" s="616">
        <v>2962.5</v>
      </c>
      <c r="G47" s="614" t="s">
        <v>3919</v>
      </c>
      <c r="H47" s="614">
        <v>2011159</v>
      </c>
      <c r="I47" s="614" t="s">
        <v>199</v>
      </c>
      <c r="J47" s="614" t="s">
        <v>200</v>
      </c>
      <c r="K47" s="614" t="s">
        <v>201</v>
      </c>
      <c r="L47" s="616">
        <v>3.7</v>
      </c>
      <c r="M47" s="616">
        <v>0.1</v>
      </c>
      <c r="N47" s="616">
        <v>0.3</v>
      </c>
      <c r="O47" s="616">
        <v>27.58</v>
      </c>
      <c r="P47" s="616">
        <v>31.68</v>
      </c>
    </row>
    <row r="48" spans="1:16" x14ac:dyDescent="0.3">
      <c r="A48" s="615">
        <v>40774</v>
      </c>
      <c r="B48" s="614" t="s">
        <v>2585</v>
      </c>
      <c r="C48" s="614" t="s">
        <v>197</v>
      </c>
      <c r="D48" s="614">
        <v>15</v>
      </c>
      <c r="E48" s="616">
        <v>189.7</v>
      </c>
      <c r="F48" s="616">
        <v>2845.5</v>
      </c>
      <c r="G48" s="614" t="s">
        <v>3920</v>
      </c>
      <c r="H48" s="614">
        <v>2011159</v>
      </c>
      <c r="I48" s="614" t="s">
        <v>199</v>
      </c>
      <c r="J48" s="614" t="s">
        <v>200</v>
      </c>
      <c r="K48" s="614" t="s">
        <v>201</v>
      </c>
      <c r="L48" s="616">
        <v>3.89</v>
      </c>
      <c r="M48" s="616">
        <v>0.1</v>
      </c>
      <c r="N48" s="616">
        <v>0.28000000000000003</v>
      </c>
      <c r="O48" s="616">
        <v>27.58</v>
      </c>
      <c r="P48" s="616">
        <v>31.85</v>
      </c>
    </row>
    <row r="49" spans="1:16" x14ac:dyDescent="0.3">
      <c r="A49" s="615">
        <v>40774</v>
      </c>
      <c r="B49" s="614" t="s">
        <v>1510</v>
      </c>
      <c r="C49" s="614" t="s">
        <v>197</v>
      </c>
      <c r="D49" s="614">
        <v>5</v>
      </c>
      <c r="E49" s="616">
        <v>704.65</v>
      </c>
      <c r="F49" s="616">
        <v>3523.25</v>
      </c>
      <c r="G49" s="614" t="s">
        <v>3921</v>
      </c>
      <c r="H49" s="614">
        <v>2011159</v>
      </c>
      <c r="I49" s="614" t="s">
        <v>199</v>
      </c>
      <c r="J49" s="614" t="s">
        <v>200</v>
      </c>
      <c r="K49" s="614" t="s">
        <v>201</v>
      </c>
      <c r="L49" s="616">
        <v>4.4000000000000004</v>
      </c>
      <c r="M49" s="616">
        <v>0.12</v>
      </c>
      <c r="N49" s="616">
        <v>0.35</v>
      </c>
      <c r="O49" s="616">
        <v>27.58</v>
      </c>
      <c r="P49" s="616">
        <v>32.46</v>
      </c>
    </row>
    <row r="50" spans="1:16" x14ac:dyDescent="0.3">
      <c r="A50" s="615">
        <v>40773</v>
      </c>
      <c r="B50" s="614" t="s">
        <v>2530</v>
      </c>
      <c r="C50" s="614" t="s">
        <v>197</v>
      </c>
      <c r="D50" s="614">
        <v>25</v>
      </c>
      <c r="E50" s="616">
        <v>199.5</v>
      </c>
      <c r="F50" s="616">
        <v>4987.5</v>
      </c>
      <c r="G50" s="614" t="s">
        <v>3922</v>
      </c>
      <c r="H50" s="614">
        <v>201112098</v>
      </c>
      <c r="I50" s="614" t="s">
        <v>199</v>
      </c>
      <c r="J50" s="614" t="s">
        <v>200</v>
      </c>
      <c r="K50" s="614" t="s">
        <v>204</v>
      </c>
      <c r="L50" s="616">
        <v>6.23</v>
      </c>
      <c r="M50" s="616">
        <v>0.18</v>
      </c>
      <c r="N50" s="616">
        <v>0.5</v>
      </c>
      <c r="O50" s="616">
        <v>30.26</v>
      </c>
      <c r="P50" s="616">
        <v>37.17</v>
      </c>
    </row>
    <row r="51" spans="1:16" x14ac:dyDescent="0.3">
      <c r="A51" s="615">
        <v>40773</v>
      </c>
      <c r="B51" s="614" t="s">
        <v>2575</v>
      </c>
      <c r="C51" s="614" t="s">
        <v>197</v>
      </c>
      <c r="D51" s="614">
        <v>25</v>
      </c>
      <c r="E51" s="616">
        <v>120.85</v>
      </c>
      <c r="F51" s="616">
        <v>3021.25</v>
      </c>
      <c r="G51" s="614" t="s">
        <v>3923</v>
      </c>
      <c r="H51" s="614">
        <v>201112098</v>
      </c>
      <c r="I51" s="614" t="s">
        <v>199</v>
      </c>
      <c r="J51" s="614" t="s">
        <v>200</v>
      </c>
      <c r="K51" s="614" t="s">
        <v>204</v>
      </c>
      <c r="L51" s="616">
        <v>3.78</v>
      </c>
      <c r="M51" s="616">
        <v>0.11</v>
      </c>
      <c r="N51" s="616">
        <v>0.3</v>
      </c>
      <c r="O51" s="616">
        <v>27.58</v>
      </c>
      <c r="P51" s="616">
        <v>31.77</v>
      </c>
    </row>
    <row r="52" spans="1:16" x14ac:dyDescent="0.3">
      <c r="A52" s="615">
        <v>40773</v>
      </c>
      <c r="B52" s="614" t="s">
        <v>222</v>
      </c>
      <c r="C52" s="614" t="s">
        <v>197</v>
      </c>
      <c r="D52" s="614">
        <v>25</v>
      </c>
      <c r="E52" s="616">
        <v>162.27000000000001</v>
      </c>
      <c r="F52" s="616">
        <v>4056.75</v>
      </c>
      <c r="G52" s="614" t="s">
        <v>3924</v>
      </c>
      <c r="H52" s="614">
        <v>201112098</v>
      </c>
      <c r="I52" s="614" t="s">
        <v>199</v>
      </c>
      <c r="J52" s="614" t="s">
        <v>200</v>
      </c>
      <c r="K52" s="614" t="s">
        <v>204</v>
      </c>
      <c r="L52" s="616">
        <v>4.99</v>
      </c>
      <c r="M52" s="616">
        <v>0.15</v>
      </c>
      <c r="N52" s="616">
        <v>0.41</v>
      </c>
      <c r="O52" s="616">
        <v>27.57</v>
      </c>
      <c r="P52" s="616">
        <v>33.11</v>
      </c>
    </row>
    <row r="53" spans="1:16" x14ac:dyDescent="0.3">
      <c r="A53" s="615">
        <v>40773</v>
      </c>
      <c r="B53" s="614" t="s">
        <v>2579</v>
      </c>
      <c r="C53" s="614" t="s">
        <v>197</v>
      </c>
      <c r="D53" s="614">
        <v>25</v>
      </c>
      <c r="E53" s="616">
        <v>464.37</v>
      </c>
      <c r="F53" s="616">
        <v>11609.25</v>
      </c>
      <c r="G53" s="614" t="s">
        <v>3925</v>
      </c>
      <c r="H53" s="614">
        <v>2011158</v>
      </c>
      <c r="I53" s="614" t="s">
        <v>199</v>
      </c>
      <c r="J53" s="614" t="s">
        <v>200</v>
      </c>
      <c r="K53" s="614" t="s">
        <v>201</v>
      </c>
      <c r="L53" s="616">
        <v>14.45</v>
      </c>
      <c r="M53" s="616">
        <v>0.41</v>
      </c>
      <c r="N53" s="616">
        <v>1.1599999999999999</v>
      </c>
      <c r="O53" s="616">
        <v>70.430000000000007</v>
      </c>
      <c r="P53" s="616">
        <v>86.45</v>
      </c>
    </row>
    <row r="54" spans="1:16" x14ac:dyDescent="0.3">
      <c r="A54" s="615">
        <v>40773</v>
      </c>
      <c r="B54" s="614" t="s">
        <v>2554</v>
      </c>
      <c r="C54" s="614" t="s">
        <v>197</v>
      </c>
      <c r="D54" s="614">
        <v>175</v>
      </c>
      <c r="E54" s="616">
        <v>69.8</v>
      </c>
      <c r="F54" s="616">
        <v>12215</v>
      </c>
      <c r="G54" s="614" t="s">
        <v>3926</v>
      </c>
      <c r="H54" s="614">
        <v>2011158</v>
      </c>
      <c r="I54" s="614" t="s">
        <v>199</v>
      </c>
      <c r="J54" s="614" t="s">
        <v>200</v>
      </c>
      <c r="K54" s="614" t="s">
        <v>201</v>
      </c>
      <c r="L54" s="616">
        <v>15.27</v>
      </c>
      <c r="M54" s="616">
        <v>0.43</v>
      </c>
      <c r="N54" s="616">
        <v>1.22</v>
      </c>
      <c r="O54" s="616">
        <v>74.09</v>
      </c>
      <c r="P54" s="616">
        <v>91.01</v>
      </c>
    </row>
    <row r="55" spans="1:16" x14ac:dyDescent="0.3">
      <c r="A55" s="615">
        <v>40773</v>
      </c>
      <c r="B55" s="614" t="s">
        <v>2581</v>
      </c>
      <c r="C55" s="614" t="s">
        <v>197</v>
      </c>
      <c r="D55" s="614">
        <v>5</v>
      </c>
      <c r="E55" s="616">
        <v>670</v>
      </c>
      <c r="F55" s="616">
        <v>3350</v>
      </c>
      <c r="G55" s="614" t="s">
        <v>3927</v>
      </c>
      <c r="H55" s="614">
        <v>2011158</v>
      </c>
      <c r="I55" s="614" t="s">
        <v>199</v>
      </c>
      <c r="J55" s="614" t="s">
        <v>200</v>
      </c>
      <c r="K55" s="614" t="s">
        <v>201</v>
      </c>
      <c r="L55" s="616">
        <v>4.1900000000000004</v>
      </c>
      <c r="M55" s="616">
        <v>0.12</v>
      </c>
      <c r="N55" s="616">
        <v>0.34</v>
      </c>
      <c r="O55" s="616">
        <v>27.58</v>
      </c>
      <c r="P55" s="616">
        <v>32.22</v>
      </c>
    </row>
    <row r="56" spans="1:16" x14ac:dyDescent="0.3">
      <c r="A56" s="615">
        <v>40773</v>
      </c>
      <c r="B56" s="614" t="s">
        <v>2564</v>
      </c>
      <c r="C56" s="614" t="s">
        <v>197</v>
      </c>
      <c r="D56" s="614">
        <v>150</v>
      </c>
      <c r="E56" s="616">
        <v>49.45</v>
      </c>
      <c r="F56" s="616">
        <v>7417.5</v>
      </c>
      <c r="G56" s="614" t="s">
        <v>3928</v>
      </c>
      <c r="H56" s="614">
        <v>2011158</v>
      </c>
      <c r="I56" s="614" t="s">
        <v>199</v>
      </c>
      <c r="J56" s="614" t="s">
        <v>200</v>
      </c>
      <c r="K56" s="614" t="s">
        <v>201</v>
      </c>
      <c r="L56" s="616">
        <v>9.27</v>
      </c>
      <c r="M56" s="616">
        <v>0.26</v>
      </c>
      <c r="N56" s="616">
        <v>0.74</v>
      </c>
      <c r="O56" s="616">
        <v>45</v>
      </c>
      <c r="P56" s="616">
        <v>55.27</v>
      </c>
    </row>
    <row r="57" spans="1:16" x14ac:dyDescent="0.3">
      <c r="A57" s="615">
        <v>40773</v>
      </c>
      <c r="B57" s="614" t="s">
        <v>2579</v>
      </c>
      <c r="C57" s="614" t="s">
        <v>197</v>
      </c>
      <c r="D57" s="614">
        <v>5</v>
      </c>
      <c r="E57" s="616">
        <v>451.94</v>
      </c>
      <c r="F57" s="616">
        <v>2259.6999999999998</v>
      </c>
      <c r="G57" s="614" t="s">
        <v>3929</v>
      </c>
      <c r="H57" s="614">
        <v>2011158</v>
      </c>
      <c r="I57" s="614" t="s">
        <v>199</v>
      </c>
      <c r="J57" s="614" t="s">
        <v>200</v>
      </c>
      <c r="K57" s="614" t="s">
        <v>201</v>
      </c>
      <c r="L57" s="616">
        <v>2.83</v>
      </c>
      <c r="M57" s="616">
        <v>0.08</v>
      </c>
      <c r="N57" s="616">
        <v>0.23</v>
      </c>
      <c r="O57" s="616">
        <v>27.57</v>
      </c>
      <c r="P57" s="616">
        <v>30.71</v>
      </c>
    </row>
    <row r="58" spans="1:16" x14ac:dyDescent="0.3">
      <c r="A58" s="615">
        <v>40771</v>
      </c>
      <c r="B58" s="614" t="s">
        <v>2575</v>
      </c>
      <c r="C58" s="614" t="s">
        <v>197</v>
      </c>
      <c r="D58" s="614">
        <v>75</v>
      </c>
      <c r="E58" s="616">
        <v>117.62</v>
      </c>
      <c r="F58" s="616">
        <v>8821.5</v>
      </c>
      <c r="G58" s="614" t="s">
        <v>3930</v>
      </c>
      <c r="H58" s="614">
        <v>201112096</v>
      </c>
      <c r="I58" s="614" t="s">
        <v>199</v>
      </c>
      <c r="J58" s="614" t="s">
        <v>200</v>
      </c>
      <c r="K58" s="614" t="s">
        <v>204</v>
      </c>
      <c r="L58" s="616">
        <v>11</v>
      </c>
      <c r="M58" s="616">
        <v>0.32</v>
      </c>
      <c r="N58" s="616">
        <v>0.88</v>
      </c>
      <c r="O58" s="616">
        <v>53.51</v>
      </c>
      <c r="P58" s="616">
        <v>65.709999999999994</v>
      </c>
    </row>
    <row r="59" spans="1:16" x14ac:dyDescent="0.3">
      <c r="A59" s="615">
        <v>40749</v>
      </c>
      <c r="B59" s="614" t="s">
        <v>2585</v>
      </c>
      <c r="C59" s="614" t="s">
        <v>197</v>
      </c>
      <c r="D59" s="614">
        <v>50</v>
      </c>
      <c r="E59" s="616">
        <v>225.2</v>
      </c>
      <c r="F59" s="616">
        <v>11260</v>
      </c>
      <c r="G59" s="614" t="s">
        <v>3937</v>
      </c>
      <c r="H59" s="614">
        <v>201112081</v>
      </c>
      <c r="I59" s="614" t="s">
        <v>199</v>
      </c>
      <c r="J59" s="614" t="s">
        <v>200</v>
      </c>
      <c r="K59" s="614" t="s">
        <v>204</v>
      </c>
      <c r="L59" s="616">
        <v>13.88</v>
      </c>
      <c r="M59" s="616">
        <v>0.41</v>
      </c>
      <c r="N59" s="616">
        <v>1.1299999999999999</v>
      </c>
      <c r="O59" s="616">
        <v>68.31</v>
      </c>
      <c r="P59" s="616">
        <v>83.72</v>
      </c>
    </row>
    <row r="60" spans="1:16" x14ac:dyDescent="0.3">
      <c r="A60" s="615">
        <v>40749</v>
      </c>
      <c r="B60" s="614" t="s">
        <v>2530</v>
      </c>
      <c r="C60" s="614" t="s">
        <v>197</v>
      </c>
      <c r="D60" s="614">
        <v>50</v>
      </c>
      <c r="E60" s="616">
        <v>210</v>
      </c>
      <c r="F60" s="616">
        <v>10500</v>
      </c>
      <c r="G60" s="614" t="s">
        <v>3938</v>
      </c>
      <c r="H60" s="614">
        <v>201112081</v>
      </c>
      <c r="I60" s="614" t="s">
        <v>199</v>
      </c>
      <c r="J60" s="614" t="s">
        <v>200</v>
      </c>
      <c r="K60" s="614" t="s">
        <v>204</v>
      </c>
      <c r="L60" s="616">
        <v>13.13</v>
      </c>
      <c r="M60" s="616">
        <v>0.38</v>
      </c>
      <c r="N60" s="616">
        <v>1.05</v>
      </c>
      <c r="O60" s="616">
        <v>63.7</v>
      </c>
      <c r="P60" s="616">
        <v>78.260000000000005</v>
      </c>
    </row>
    <row r="61" spans="1:16" x14ac:dyDescent="0.3">
      <c r="A61" s="615">
        <v>40749</v>
      </c>
      <c r="B61" s="614" t="s">
        <v>222</v>
      </c>
      <c r="C61" s="614" t="s">
        <v>197</v>
      </c>
      <c r="D61" s="614">
        <v>50</v>
      </c>
      <c r="E61" s="616">
        <v>161</v>
      </c>
      <c r="F61" s="616">
        <v>8050</v>
      </c>
      <c r="G61" s="614" t="s">
        <v>3941</v>
      </c>
      <c r="H61" s="614">
        <v>2011141</v>
      </c>
      <c r="I61" s="614" t="s">
        <v>199</v>
      </c>
      <c r="J61" s="614" t="s">
        <v>200</v>
      </c>
      <c r="K61" s="614" t="s">
        <v>201</v>
      </c>
      <c r="L61" s="616">
        <v>9.7799999999999994</v>
      </c>
      <c r="M61" s="616">
        <v>0.28000000000000003</v>
      </c>
      <c r="N61" s="616">
        <v>0.81</v>
      </c>
      <c r="O61" s="616">
        <v>48.84</v>
      </c>
      <c r="P61" s="616">
        <v>59.71</v>
      </c>
    </row>
    <row r="62" spans="1:16" x14ac:dyDescent="0.3">
      <c r="A62" s="615">
        <v>40749</v>
      </c>
      <c r="B62" s="614" t="s">
        <v>233</v>
      </c>
      <c r="C62" s="614" t="s">
        <v>197</v>
      </c>
      <c r="D62" s="614">
        <v>75</v>
      </c>
      <c r="E62" s="616">
        <v>138.9</v>
      </c>
      <c r="F62" s="616">
        <v>10417.5</v>
      </c>
      <c r="G62" s="614" t="s">
        <v>3942</v>
      </c>
      <c r="H62" s="614">
        <v>2011141</v>
      </c>
      <c r="I62" s="614" t="s">
        <v>199</v>
      </c>
      <c r="J62" s="614" t="s">
        <v>200</v>
      </c>
      <c r="K62" s="614" t="s">
        <v>201</v>
      </c>
      <c r="L62" s="616">
        <v>13.02</v>
      </c>
      <c r="M62" s="616">
        <v>0.36</v>
      </c>
      <c r="N62" s="616">
        <v>1.04</v>
      </c>
      <c r="O62" s="616">
        <v>63.19</v>
      </c>
      <c r="P62" s="616">
        <v>77.62</v>
      </c>
    </row>
    <row r="63" spans="1:16" x14ac:dyDescent="0.3">
      <c r="A63" s="615">
        <v>40749</v>
      </c>
      <c r="B63" s="614" t="s">
        <v>361</v>
      </c>
      <c r="C63" s="614" t="s">
        <v>197</v>
      </c>
      <c r="D63" s="614">
        <v>225</v>
      </c>
      <c r="E63" s="616">
        <v>44.1</v>
      </c>
      <c r="F63" s="616">
        <v>9922.5</v>
      </c>
      <c r="G63" s="614" t="s">
        <v>3943</v>
      </c>
      <c r="H63" s="614">
        <v>2011141</v>
      </c>
      <c r="I63" s="614" t="s">
        <v>199</v>
      </c>
      <c r="J63" s="614" t="s">
        <v>200</v>
      </c>
      <c r="K63" s="614" t="s">
        <v>201</v>
      </c>
      <c r="L63" s="616">
        <v>12.4</v>
      </c>
      <c r="M63" s="616">
        <v>0.35</v>
      </c>
      <c r="N63" s="616">
        <v>0.99</v>
      </c>
      <c r="O63" s="616">
        <v>60.19</v>
      </c>
      <c r="P63" s="616">
        <v>73.930000000000007</v>
      </c>
    </row>
    <row r="64" spans="1:16" x14ac:dyDescent="0.3">
      <c r="A64" s="615">
        <v>40749</v>
      </c>
      <c r="B64" s="614" t="s">
        <v>2612</v>
      </c>
      <c r="C64" s="614" t="s">
        <v>197</v>
      </c>
      <c r="D64" s="614">
        <v>75</v>
      </c>
      <c r="E64" s="616">
        <v>159.9</v>
      </c>
      <c r="F64" s="616">
        <v>11992.5</v>
      </c>
      <c r="G64" s="614" t="s">
        <v>3944</v>
      </c>
      <c r="H64" s="614">
        <v>2011141</v>
      </c>
      <c r="I64" s="614" t="s">
        <v>199</v>
      </c>
      <c r="J64" s="614" t="s">
        <v>200</v>
      </c>
      <c r="K64" s="614" t="s">
        <v>201</v>
      </c>
      <c r="L64" s="616">
        <v>14.99</v>
      </c>
      <c r="M64" s="616">
        <v>0.42</v>
      </c>
      <c r="N64" s="616">
        <v>1.2</v>
      </c>
      <c r="O64" s="616">
        <v>72.75</v>
      </c>
      <c r="P64" s="616">
        <v>89.36</v>
      </c>
    </row>
    <row r="65" spans="1:16" x14ac:dyDescent="0.3">
      <c r="A65" s="615">
        <v>40749</v>
      </c>
      <c r="B65" s="614" t="s">
        <v>238</v>
      </c>
      <c r="C65" s="614" t="s">
        <v>197</v>
      </c>
      <c r="D65" s="614">
        <v>75</v>
      </c>
      <c r="E65" s="616">
        <v>131.34270000000001</v>
      </c>
      <c r="F65" s="616">
        <v>9850.7000000000007</v>
      </c>
      <c r="G65" s="614" t="s">
        <v>3945</v>
      </c>
      <c r="H65" s="614">
        <v>2011141</v>
      </c>
      <c r="I65" s="614" t="s">
        <v>199</v>
      </c>
      <c r="J65" s="614" t="s">
        <v>200</v>
      </c>
      <c r="K65" s="614" t="s">
        <v>201</v>
      </c>
      <c r="L65" s="616">
        <v>12.31</v>
      </c>
      <c r="M65" s="616">
        <v>0.34</v>
      </c>
      <c r="N65" s="616">
        <v>0.99</v>
      </c>
      <c r="O65" s="616">
        <v>59.76</v>
      </c>
      <c r="P65" s="616">
        <v>73.400000000000006</v>
      </c>
    </row>
    <row r="66" spans="1:16" x14ac:dyDescent="0.3">
      <c r="A66" s="615">
        <v>40749</v>
      </c>
      <c r="B66" s="614" t="s">
        <v>2614</v>
      </c>
      <c r="C66" s="614" t="s">
        <v>197</v>
      </c>
      <c r="D66" s="614">
        <v>50</v>
      </c>
      <c r="E66" s="616">
        <v>215</v>
      </c>
      <c r="F66" s="616">
        <v>10750</v>
      </c>
      <c r="G66" s="614" t="s">
        <v>3946</v>
      </c>
      <c r="H66" s="614">
        <v>2011141</v>
      </c>
      <c r="I66" s="614" t="s">
        <v>199</v>
      </c>
      <c r="J66" s="614" t="s">
        <v>200</v>
      </c>
      <c r="K66" s="614" t="s">
        <v>201</v>
      </c>
      <c r="L66" s="616">
        <v>13.44</v>
      </c>
      <c r="M66" s="616">
        <v>0.38</v>
      </c>
      <c r="N66" s="616">
        <v>1.08</v>
      </c>
      <c r="O66" s="616">
        <v>65.209999999999994</v>
      </c>
      <c r="P66" s="616">
        <v>80.099999999999994</v>
      </c>
    </row>
    <row r="67" spans="1:16" x14ac:dyDescent="0.3">
      <c r="A67" s="615">
        <v>40716</v>
      </c>
      <c r="B67" s="614" t="s">
        <v>2622</v>
      </c>
      <c r="C67" s="614" t="s">
        <v>197</v>
      </c>
      <c r="D67" s="614">
        <v>75</v>
      </c>
      <c r="E67" s="616">
        <v>80.2</v>
      </c>
      <c r="F67" s="616">
        <v>6015</v>
      </c>
      <c r="G67" s="614" t="s">
        <v>3953</v>
      </c>
      <c r="H67" s="614">
        <v>2011118</v>
      </c>
      <c r="I67" s="614" t="s">
        <v>199</v>
      </c>
      <c r="J67" s="614" t="s">
        <v>200</v>
      </c>
      <c r="K67" s="614" t="s">
        <v>201</v>
      </c>
      <c r="L67" s="616">
        <v>8</v>
      </c>
      <c r="M67" s="616">
        <v>0.21</v>
      </c>
      <c r="N67" s="616">
        <v>0.6</v>
      </c>
      <c r="O67" s="616">
        <v>36.49</v>
      </c>
      <c r="P67" s="616">
        <v>45.3</v>
      </c>
    </row>
    <row r="68" spans="1:16" x14ac:dyDescent="0.3">
      <c r="A68" s="615">
        <v>40715</v>
      </c>
      <c r="B68" s="614" t="s">
        <v>2564</v>
      </c>
      <c r="C68" s="614" t="s">
        <v>197</v>
      </c>
      <c r="D68" s="614">
        <v>100</v>
      </c>
      <c r="E68" s="616">
        <v>64</v>
      </c>
      <c r="F68" s="616">
        <v>6400</v>
      </c>
      <c r="G68" s="614" t="s">
        <v>3955</v>
      </c>
      <c r="H68" s="614">
        <v>2011117</v>
      </c>
      <c r="I68" s="614" t="s">
        <v>199</v>
      </c>
      <c r="J68" s="614" t="s">
        <v>200</v>
      </c>
      <c r="K68" s="614" t="s">
        <v>201</v>
      </c>
      <c r="L68" s="616">
        <v>8</v>
      </c>
      <c r="M68" s="616">
        <v>0.22</v>
      </c>
      <c r="N68" s="616">
        <v>0.64</v>
      </c>
      <c r="O68" s="616">
        <v>38.83</v>
      </c>
      <c r="P68" s="616">
        <v>47.69</v>
      </c>
    </row>
    <row r="69" spans="1:16" x14ac:dyDescent="0.3">
      <c r="A69" s="615">
        <v>40710</v>
      </c>
      <c r="B69" s="614" t="s">
        <v>2581</v>
      </c>
      <c r="C69" s="614" t="s">
        <v>197</v>
      </c>
      <c r="D69" s="614">
        <v>15</v>
      </c>
      <c r="E69" s="616">
        <v>663.14</v>
      </c>
      <c r="F69" s="616">
        <v>9947.1</v>
      </c>
      <c r="G69" s="614" t="s">
        <v>3956</v>
      </c>
      <c r="H69" s="614">
        <v>2011114</v>
      </c>
      <c r="I69" s="614" t="s">
        <v>199</v>
      </c>
      <c r="J69" s="614" t="s">
        <v>200</v>
      </c>
      <c r="K69" s="614" t="s">
        <v>201</v>
      </c>
      <c r="L69" s="616">
        <v>12</v>
      </c>
      <c r="M69" s="616">
        <v>0.35</v>
      </c>
      <c r="N69" s="616">
        <v>0.99</v>
      </c>
      <c r="O69" s="616">
        <v>60.34</v>
      </c>
      <c r="P69" s="616">
        <v>73.680000000000007</v>
      </c>
    </row>
    <row r="70" spans="1:16" x14ac:dyDescent="0.3">
      <c r="A70" s="615">
        <v>40703</v>
      </c>
      <c r="B70" s="614" t="s">
        <v>2622</v>
      </c>
      <c r="C70" s="614" t="s">
        <v>197</v>
      </c>
      <c r="D70" s="614">
        <v>150</v>
      </c>
      <c r="E70" s="616">
        <v>98.35</v>
      </c>
      <c r="F70" s="616">
        <v>14752.5</v>
      </c>
      <c r="G70" s="614" t="s">
        <v>3959</v>
      </c>
      <c r="H70" s="614">
        <v>2011109</v>
      </c>
      <c r="I70" s="614" t="s">
        <v>199</v>
      </c>
      <c r="J70" s="614" t="s">
        <v>200</v>
      </c>
      <c r="K70" s="614" t="s">
        <v>201</v>
      </c>
      <c r="L70" s="616">
        <v>18</v>
      </c>
      <c r="M70" s="616">
        <v>0.52</v>
      </c>
      <c r="N70" s="616">
        <v>1.48</v>
      </c>
      <c r="O70" s="616">
        <v>89.49</v>
      </c>
      <c r="P70" s="616">
        <v>109.48</v>
      </c>
    </row>
    <row r="71" spans="1:16" x14ac:dyDescent="0.3">
      <c r="A71" s="615">
        <v>40697</v>
      </c>
      <c r="B71" s="614" t="s">
        <v>2622</v>
      </c>
      <c r="C71" s="614" t="s">
        <v>197</v>
      </c>
      <c r="D71" s="614">
        <v>150</v>
      </c>
      <c r="E71" s="616">
        <v>89.263999999999996</v>
      </c>
      <c r="F71" s="616">
        <v>13389.6</v>
      </c>
      <c r="G71" s="614" t="s">
        <v>3960</v>
      </c>
      <c r="H71" s="614">
        <v>201112045</v>
      </c>
      <c r="I71" s="614" t="s">
        <v>199</v>
      </c>
      <c r="J71" s="614" t="s">
        <v>200</v>
      </c>
      <c r="K71" s="614" t="s">
        <v>204</v>
      </c>
      <c r="L71" s="616">
        <v>17</v>
      </c>
      <c r="M71" s="616">
        <v>0.48</v>
      </c>
      <c r="N71" s="616">
        <v>1.34</v>
      </c>
      <c r="O71" s="616">
        <v>81.23</v>
      </c>
      <c r="P71" s="616">
        <v>100.05</v>
      </c>
    </row>
    <row r="72" spans="1:16" x14ac:dyDescent="0.3">
      <c r="A72" s="615">
        <v>40690</v>
      </c>
      <c r="B72" s="614" t="s">
        <v>2622</v>
      </c>
      <c r="C72" s="614" t="s">
        <v>197</v>
      </c>
      <c r="D72" s="614">
        <v>200</v>
      </c>
      <c r="E72" s="616">
        <v>87.75</v>
      </c>
      <c r="F72" s="616">
        <v>17550</v>
      </c>
      <c r="G72" s="614" t="s">
        <v>3967</v>
      </c>
      <c r="H72" s="614">
        <v>2011100</v>
      </c>
      <c r="I72" s="614" t="s">
        <v>199</v>
      </c>
      <c r="J72" s="614" t="s">
        <v>200</v>
      </c>
      <c r="K72" s="614" t="s">
        <v>201</v>
      </c>
      <c r="L72" s="616">
        <v>21.47</v>
      </c>
      <c r="M72" s="616">
        <v>0.61</v>
      </c>
      <c r="N72" s="616">
        <v>1.76</v>
      </c>
      <c r="O72" s="616">
        <v>106.46</v>
      </c>
      <c r="P72" s="616">
        <v>130.30000000000001</v>
      </c>
    </row>
    <row r="73" spans="1:16" x14ac:dyDescent="0.3">
      <c r="A73" s="615">
        <v>40690</v>
      </c>
      <c r="B73" s="614" t="s">
        <v>2564</v>
      </c>
      <c r="C73" s="614" t="s">
        <v>197</v>
      </c>
      <c r="D73" s="614">
        <v>100</v>
      </c>
      <c r="E73" s="616">
        <v>62.35</v>
      </c>
      <c r="F73" s="616">
        <v>6235</v>
      </c>
      <c r="G73" s="614" t="s">
        <v>3968</v>
      </c>
      <c r="H73" s="614">
        <v>2011100</v>
      </c>
      <c r="I73" s="614" t="s">
        <v>199</v>
      </c>
      <c r="J73" s="614" t="s">
        <v>200</v>
      </c>
      <c r="K73" s="614" t="s">
        <v>201</v>
      </c>
      <c r="L73" s="616">
        <v>7.79</v>
      </c>
      <c r="M73" s="616">
        <v>0.22</v>
      </c>
      <c r="N73" s="616">
        <v>0.62</v>
      </c>
      <c r="O73" s="616">
        <v>37.82</v>
      </c>
      <c r="P73" s="616">
        <v>46.45</v>
      </c>
    </row>
    <row r="74" spans="1:16" x14ac:dyDescent="0.3">
      <c r="A74" s="615">
        <v>40690</v>
      </c>
      <c r="B74" s="614" t="s">
        <v>219</v>
      </c>
      <c r="C74" s="614" t="s">
        <v>197</v>
      </c>
      <c r="D74" s="614">
        <v>70</v>
      </c>
      <c r="E74" s="616">
        <v>129.55000000000001</v>
      </c>
      <c r="F74" s="616">
        <v>9068.5</v>
      </c>
      <c r="G74" s="614" t="s">
        <v>3969</v>
      </c>
      <c r="H74" s="614">
        <v>2011100</v>
      </c>
      <c r="I74" s="614" t="s">
        <v>199</v>
      </c>
      <c r="J74" s="614" t="s">
        <v>200</v>
      </c>
      <c r="K74" s="614" t="s">
        <v>201</v>
      </c>
      <c r="L74" s="616">
        <v>11.34</v>
      </c>
      <c r="M74" s="616">
        <v>0.32</v>
      </c>
      <c r="N74" s="616">
        <v>0.91</v>
      </c>
      <c r="O74" s="616">
        <v>55.01</v>
      </c>
      <c r="P74" s="616">
        <v>67.569999999999993</v>
      </c>
    </row>
    <row r="75" spans="1:16" x14ac:dyDescent="0.3">
      <c r="A75" s="615">
        <v>40687</v>
      </c>
      <c r="B75" s="614" t="s">
        <v>217</v>
      </c>
      <c r="C75" s="614" t="s">
        <v>197</v>
      </c>
      <c r="D75" s="614">
        <v>250</v>
      </c>
      <c r="E75" s="616">
        <v>36.200000000000003</v>
      </c>
      <c r="F75" s="616">
        <v>9050</v>
      </c>
      <c r="G75" s="614" t="s">
        <v>3971</v>
      </c>
      <c r="H75" s="614">
        <v>2011097</v>
      </c>
      <c r="I75" s="614" t="s">
        <v>199</v>
      </c>
      <c r="J75" s="614" t="s">
        <v>200</v>
      </c>
      <c r="K75" s="614" t="s">
        <v>201</v>
      </c>
      <c r="L75" s="616">
        <v>11</v>
      </c>
      <c r="M75" s="616">
        <v>0.32</v>
      </c>
      <c r="N75" s="616">
        <v>0.91</v>
      </c>
      <c r="O75" s="616">
        <v>54.9</v>
      </c>
      <c r="P75" s="616">
        <v>67.12</v>
      </c>
    </row>
    <row r="76" spans="1:16" x14ac:dyDescent="0.3">
      <c r="A76" s="615">
        <v>40686</v>
      </c>
      <c r="B76" s="614" t="s">
        <v>2564</v>
      </c>
      <c r="C76" s="614" t="s">
        <v>197</v>
      </c>
      <c r="D76" s="614">
        <v>150</v>
      </c>
      <c r="E76" s="616">
        <v>61.75</v>
      </c>
      <c r="F76" s="616">
        <v>9262.5</v>
      </c>
      <c r="G76" s="614" t="s">
        <v>3975</v>
      </c>
      <c r="H76" s="614">
        <v>2011096</v>
      </c>
      <c r="I76" s="614" t="s">
        <v>199</v>
      </c>
      <c r="J76" s="614" t="s">
        <v>200</v>
      </c>
      <c r="K76" s="614" t="s">
        <v>201</v>
      </c>
      <c r="L76" s="616">
        <v>11.58</v>
      </c>
      <c r="M76" s="616">
        <v>0.32</v>
      </c>
      <c r="N76" s="616">
        <v>0.93</v>
      </c>
      <c r="O76" s="616">
        <v>56.19</v>
      </c>
      <c r="P76" s="616">
        <v>69.02</v>
      </c>
    </row>
    <row r="77" spans="1:16" x14ac:dyDescent="0.3">
      <c r="A77" s="615">
        <v>40681</v>
      </c>
      <c r="B77" s="614" t="s">
        <v>2047</v>
      </c>
      <c r="C77" s="614" t="s">
        <v>197</v>
      </c>
      <c r="D77" s="614">
        <v>25</v>
      </c>
      <c r="E77" s="616">
        <v>347.5</v>
      </c>
      <c r="F77" s="616">
        <v>8687.5</v>
      </c>
      <c r="G77" s="614" t="s">
        <v>3976</v>
      </c>
      <c r="H77" s="614">
        <v>201112033</v>
      </c>
      <c r="I77" s="614" t="s">
        <v>199</v>
      </c>
      <c r="J77" s="614" t="s">
        <v>200</v>
      </c>
      <c r="K77" s="614" t="s">
        <v>204</v>
      </c>
      <c r="L77" s="616">
        <v>11</v>
      </c>
      <c r="M77" s="616">
        <v>0.31</v>
      </c>
      <c r="N77" s="616">
        <v>0.87</v>
      </c>
      <c r="O77" s="616">
        <v>52.71</v>
      </c>
      <c r="P77" s="616">
        <v>64.89</v>
      </c>
    </row>
    <row r="78" spans="1:16" x14ac:dyDescent="0.3">
      <c r="A78" s="615">
        <v>40681</v>
      </c>
      <c r="B78" s="614" t="s">
        <v>207</v>
      </c>
      <c r="C78" s="614" t="s">
        <v>197</v>
      </c>
      <c r="D78" s="614">
        <v>210</v>
      </c>
      <c r="E78" s="616">
        <v>46.65</v>
      </c>
      <c r="F78" s="616">
        <v>9796.5</v>
      </c>
      <c r="G78" s="614" t="s">
        <v>3977</v>
      </c>
      <c r="H78" s="614">
        <v>2011093</v>
      </c>
      <c r="I78" s="614" t="s">
        <v>199</v>
      </c>
      <c r="J78" s="614" t="s">
        <v>200</v>
      </c>
      <c r="K78" s="614" t="s">
        <v>201</v>
      </c>
      <c r="L78" s="616">
        <v>12.25</v>
      </c>
      <c r="M78" s="616">
        <v>0.34</v>
      </c>
      <c r="N78" s="616">
        <v>0.98</v>
      </c>
      <c r="O78" s="616">
        <v>59.43</v>
      </c>
      <c r="P78" s="616">
        <v>73</v>
      </c>
    </row>
    <row r="79" spans="1:16" x14ac:dyDescent="0.3">
      <c r="A79" s="615">
        <v>40681</v>
      </c>
      <c r="B79" s="614" t="s">
        <v>2665</v>
      </c>
      <c r="C79" s="614" t="s">
        <v>197</v>
      </c>
      <c r="D79" s="614">
        <v>12</v>
      </c>
      <c r="E79" s="616">
        <v>239.5</v>
      </c>
      <c r="F79" s="616">
        <v>2874</v>
      </c>
      <c r="G79" s="614" t="s">
        <v>3978</v>
      </c>
      <c r="H79" s="614">
        <v>2011093</v>
      </c>
      <c r="I79" s="614" t="s">
        <v>199</v>
      </c>
      <c r="J79" s="614" t="s">
        <v>200</v>
      </c>
      <c r="K79" s="614" t="s">
        <v>201</v>
      </c>
      <c r="L79" s="616">
        <v>3.31</v>
      </c>
      <c r="M79" s="616">
        <v>0.1</v>
      </c>
      <c r="N79" s="616">
        <v>0.28999999999999998</v>
      </c>
      <c r="O79" s="616">
        <v>27.57</v>
      </c>
      <c r="P79" s="616">
        <v>31.27</v>
      </c>
    </row>
    <row r="80" spans="1:16" x14ac:dyDescent="0.3">
      <c r="A80" s="615">
        <v>40681</v>
      </c>
      <c r="B80" s="614" t="s">
        <v>2648</v>
      </c>
      <c r="C80" s="614" t="s">
        <v>197</v>
      </c>
      <c r="D80" s="614">
        <v>10</v>
      </c>
      <c r="E80" s="616">
        <v>478.9</v>
      </c>
      <c r="F80" s="616">
        <v>4789</v>
      </c>
      <c r="G80" s="614" t="s">
        <v>3979</v>
      </c>
      <c r="H80" s="614">
        <v>2011093</v>
      </c>
      <c r="I80" s="614" t="s">
        <v>199</v>
      </c>
      <c r="J80" s="614" t="s">
        <v>200</v>
      </c>
      <c r="K80" s="614" t="s">
        <v>201</v>
      </c>
      <c r="L80" s="616">
        <v>5.99</v>
      </c>
      <c r="M80" s="616">
        <v>0.17</v>
      </c>
      <c r="N80" s="616">
        <v>0.48</v>
      </c>
      <c r="O80" s="616">
        <v>29.05</v>
      </c>
      <c r="P80" s="616">
        <v>35.69</v>
      </c>
    </row>
    <row r="81" spans="1:16" x14ac:dyDescent="0.3">
      <c r="A81" s="615">
        <v>40681</v>
      </c>
      <c r="B81" s="614" t="s">
        <v>196</v>
      </c>
      <c r="C81" s="614" t="s">
        <v>197</v>
      </c>
      <c r="D81" s="614">
        <v>9</v>
      </c>
      <c r="E81" s="616">
        <v>645.4</v>
      </c>
      <c r="F81" s="616">
        <v>5808.6</v>
      </c>
      <c r="G81" s="614" t="s">
        <v>3980</v>
      </c>
      <c r="H81" s="614">
        <v>2011093</v>
      </c>
      <c r="I81" s="614" t="s">
        <v>199</v>
      </c>
      <c r="J81" s="614" t="s">
        <v>200</v>
      </c>
      <c r="K81" s="614" t="s">
        <v>201</v>
      </c>
      <c r="L81" s="616">
        <v>7.26</v>
      </c>
      <c r="M81" s="616">
        <v>0.2</v>
      </c>
      <c r="N81" s="616">
        <v>0.57999999999999996</v>
      </c>
      <c r="O81" s="616">
        <v>35.24</v>
      </c>
      <c r="P81" s="616">
        <v>43.28</v>
      </c>
    </row>
    <row r="82" spans="1:16" x14ac:dyDescent="0.3">
      <c r="A82" s="615">
        <v>40681</v>
      </c>
      <c r="B82" s="614" t="s">
        <v>202</v>
      </c>
      <c r="C82" s="614" t="s">
        <v>197</v>
      </c>
      <c r="D82" s="614">
        <v>17</v>
      </c>
      <c r="E82" s="616">
        <v>338.75</v>
      </c>
      <c r="F82" s="616">
        <v>5758.75</v>
      </c>
      <c r="G82" s="614" t="s">
        <v>3981</v>
      </c>
      <c r="H82" s="614">
        <v>2011093</v>
      </c>
      <c r="I82" s="614" t="s">
        <v>199</v>
      </c>
      <c r="J82" s="614" t="s">
        <v>200</v>
      </c>
      <c r="K82" s="614" t="s">
        <v>201</v>
      </c>
      <c r="L82" s="616">
        <v>7.2</v>
      </c>
      <c r="M82" s="616">
        <v>0.2</v>
      </c>
      <c r="N82" s="616">
        <v>0.57999999999999996</v>
      </c>
      <c r="O82" s="616">
        <v>34.94</v>
      </c>
      <c r="P82" s="616">
        <v>42.92</v>
      </c>
    </row>
    <row r="83" spans="1:16" x14ac:dyDescent="0.3">
      <c r="A83" s="615">
        <v>40672</v>
      </c>
      <c r="B83" s="614" t="s">
        <v>217</v>
      </c>
      <c r="C83" s="614" t="s">
        <v>197</v>
      </c>
      <c r="D83" s="614">
        <v>125</v>
      </c>
      <c r="E83" s="616">
        <v>39.25</v>
      </c>
      <c r="F83" s="616">
        <v>4906.25</v>
      </c>
      <c r="G83" s="614" t="s">
        <v>3986</v>
      </c>
      <c r="H83" s="614">
        <v>2011086</v>
      </c>
      <c r="I83" s="614" t="s">
        <v>199</v>
      </c>
      <c r="J83" s="614" t="s">
        <v>200</v>
      </c>
      <c r="K83" s="614" t="s">
        <v>201</v>
      </c>
      <c r="L83" s="616">
        <v>5.82</v>
      </c>
      <c r="M83" s="616">
        <v>0.17</v>
      </c>
      <c r="N83" s="616">
        <v>0.49</v>
      </c>
      <c r="O83" s="616">
        <v>29.76</v>
      </c>
      <c r="P83" s="616">
        <v>36.24</v>
      </c>
    </row>
    <row r="84" spans="1:16" x14ac:dyDescent="0.3">
      <c r="A84" s="615">
        <v>40672</v>
      </c>
      <c r="B84" s="614" t="s">
        <v>219</v>
      </c>
      <c r="C84" s="614" t="s">
        <v>197</v>
      </c>
      <c r="D84" s="614">
        <v>40</v>
      </c>
      <c r="E84" s="616">
        <v>135.05000000000001</v>
      </c>
      <c r="F84" s="616">
        <v>5402</v>
      </c>
      <c r="G84" s="614" t="s">
        <v>3987</v>
      </c>
      <c r="H84" s="614">
        <v>2011086</v>
      </c>
      <c r="I84" s="614" t="s">
        <v>199</v>
      </c>
      <c r="J84" s="614" t="s">
        <v>200</v>
      </c>
      <c r="K84" s="614" t="s">
        <v>201</v>
      </c>
      <c r="L84" s="616">
        <v>6.75</v>
      </c>
      <c r="M84" s="616">
        <v>0.19</v>
      </c>
      <c r="N84" s="616">
        <v>0.54</v>
      </c>
      <c r="O84" s="616">
        <v>32.770000000000003</v>
      </c>
      <c r="P84" s="616">
        <v>40.25</v>
      </c>
    </row>
    <row r="85" spans="1:16" x14ac:dyDescent="0.3">
      <c r="A85" s="615">
        <v>40672</v>
      </c>
      <c r="B85" s="614" t="s">
        <v>211</v>
      </c>
      <c r="C85" s="614" t="s">
        <v>197</v>
      </c>
      <c r="D85" s="614">
        <v>10</v>
      </c>
      <c r="E85" s="616">
        <v>434.45</v>
      </c>
      <c r="F85" s="616">
        <v>4344.5</v>
      </c>
      <c r="G85" s="614" t="s">
        <v>3988</v>
      </c>
      <c r="H85" s="614">
        <v>2011086</v>
      </c>
      <c r="I85" s="614" t="s">
        <v>199</v>
      </c>
      <c r="J85" s="614" t="s">
        <v>200</v>
      </c>
      <c r="K85" s="614" t="s">
        <v>201</v>
      </c>
      <c r="L85" s="616">
        <v>5.43</v>
      </c>
      <c r="M85" s="616">
        <v>0.15</v>
      </c>
      <c r="N85" s="616">
        <v>0.43</v>
      </c>
      <c r="O85" s="616">
        <v>27.58</v>
      </c>
      <c r="P85" s="616">
        <v>33.6</v>
      </c>
    </row>
    <row r="86" spans="1:16" x14ac:dyDescent="0.3">
      <c r="A86" s="615">
        <v>40669</v>
      </c>
      <c r="B86" s="614" t="s">
        <v>205</v>
      </c>
      <c r="C86" s="614" t="s">
        <v>197</v>
      </c>
      <c r="D86" s="614">
        <v>7</v>
      </c>
      <c r="E86" s="616">
        <v>954.2</v>
      </c>
      <c r="F86" s="616">
        <v>6679.4</v>
      </c>
      <c r="G86" s="614" t="s">
        <v>3989</v>
      </c>
      <c r="H86" s="614">
        <v>2011085</v>
      </c>
      <c r="I86" s="614" t="s">
        <v>199</v>
      </c>
      <c r="J86" s="614" t="s">
        <v>200</v>
      </c>
      <c r="K86" s="614" t="s">
        <v>201</v>
      </c>
      <c r="L86" s="616">
        <v>8</v>
      </c>
      <c r="M86" s="616">
        <v>0.23</v>
      </c>
      <c r="N86" s="616">
        <v>0.67</v>
      </c>
      <c r="O86" s="616">
        <v>40.520000000000003</v>
      </c>
      <c r="P86" s="616">
        <v>49.42</v>
      </c>
    </row>
    <row r="87" spans="1:16" x14ac:dyDescent="0.3">
      <c r="A87" s="615">
        <v>40668</v>
      </c>
      <c r="B87" s="614" t="s">
        <v>2662</v>
      </c>
      <c r="C87" s="614" t="s">
        <v>197</v>
      </c>
      <c r="D87" s="614">
        <v>75</v>
      </c>
      <c r="E87" s="616">
        <v>145.2713</v>
      </c>
      <c r="F87" s="616">
        <v>10895.35</v>
      </c>
      <c r="G87" s="614" t="s">
        <v>3990</v>
      </c>
      <c r="H87" s="614">
        <v>201112024</v>
      </c>
      <c r="I87" s="614" t="s">
        <v>199</v>
      </c>
      <c r="J87" s="614" t="s">
        <v>200</v>
      </c>
      <c r="K87" s="614" t="s">
        <v>204</v>
      </c>
      <c r="L87" s="616">
        <v>14</v>
      </c>
      <c r="M87" s="616">
        <v>0.39</v>
      </c>
      <c r="N87" s="616">
        <v>1.0900000000000001</v>
      </c>
      <c r="O87" s="616">
        <v>66.099999999999994</v>
      </c>
      <c r="P87" s="616">
        <v>81.58</v>
      </c>
    </row>
    <row r="88" spans="1:16" x14ac:dyDescent="0.3">
      <c r="A88" s="615">
        <v>40668</v>
      </c>
      <c r="B88" s="614" t="s">
        <v>211</v>
      </c>
      <c r="C88" s="614" t="s">
        <v>197</v>
      </c>
      <c r="D88" s="614">
        <v>12</v>
      </c>
      <c r="E88" s="616">
        <v>428.9</v>
      </c>
      <c r="F88" s="616">
        <v>5146.8</v>
      </c>
      <c r="G88" s="614" t="s">
        <v>3991</v>
      </c>
      <c r="H88" s="614">
        <v>2011084</v>
      </c>
      <c r="I88" s="614" t="s">
        <v>199</v>
      </c>
      <c r="J88" s="614" t="s">
        <v>200</v>
      </c>
      <c r="K88" s="614" t="s">
        <v>201</v>
      </c>
      <c r="L88" s="616">
        <v>6</v>
      </c>
      <c r="M88" s="616">
        <v>0.18</v>
      </c>
      <c r="N88" s="616">
        <v>0.51</v>
      </c>
      <c r="O88" s="616">
        <v>31.22</v>
      </c>
      <c r="P88" s="616">
        <v>37.909999999999997</v>
      </c>
    </row>
    <row r="89" spans="1:16" x14ac:dyDescent="0.3">
      <c r="A89" s="615">
        <v>40667</v>
      </c>
      <c r="B89" s="614" t="s">
        <v>207</v>
      </c>
      <c r="C89" s="614" t="s">
        <v>197</v>
      </c>
      <c r="D89" s="614">
        <v>105</v>
      </c>
      <c r="E89" s="616">
        <v>48</v>
      </c>
      <c r="F89" s="616">
        <v>5040</v>
      </c>
      <c r="G89" s="614" t="s">
        <v>3995</v>
      </c>
      <c r="H89" s="614">
        <v>201112023</v>
      </c>
      <c r="I89" s="614" t="s">
        <v>199</v>
      </c>
      <c r="J89" s="614" t="s">
        <v>200</v>
      </c>
      <c r="K89" s="614" t="s">
        <v>204</v>
      </c>
      <c r="L89" s="616">
        <v>6.3</v>
      </c>
      <c r="M89" s="616">
        <v>0.18</v>
      </c>
      <c r="N89" s="616">
        <v>0.5</v>
      </c>
      <c r="O89" s="616">
        <v>30.58</v>
      </c>
      <c r="P89" s="616">
        <v>37.57</v>
      </c>
    </row>
    <row r="90" spans="1:16" x14ac:dyDescent="0.3">
      <c r="A90" s="615">
        <v>40667</v>
      </c>
      <c r="B90" s="614" t="s">
        <v>2665</v>
      </c>
      <c r="C90" s="614" t="s">
        <v>197</v>
      </c>
      <c r="D90" s="614">
        <v>30</v>
      </c>
      <c r="E90" s="616">
        <v>252.5</v>
      </c>
      <c r="F90" s="616">
        <v>7575</v>
      </c>
      <c r="G90" s="614" t="s">
        <v>3996</v>
      </c>
      <c r="H90" s="614">
        <v>201112023</v>
      </c>
      <c r="I90" s="614" t="s">
        <v>199</v>
      </c>
      <c r="J90" s="614" t="s">
        <v>200</v>
      </c>
      <c r="K90" s="614" t="s">
        <v>204</v>
      </c>
      <c r="L90" s="616">
        <v>9.4700000000000006</v>
      </c>
      <c r="M90" s="616">
        <v>0.27</v>
      </c>
      <c r="N90" s="616">
        <v>0.76</v>
      </c>
      <c r="O90" s="616">
        <v>45.95</v>
      </c>
      <c r="P90" s="616">
        <v>56.45</v>
      </c>
    </row>
    <row r="91" spans="1:16" x14ac:dyDescent="0.3">
      <c r="A91" s="615">
        <v>40667</v>
      </c>
      <c r="B91" s="614" t="s">
        <v>2648</v>
      </c>
      <c r="C91" s="614" t="s">
        <v>197</v>
      </c>
      <c r="D91" s="614">
        <v>10</v>
      </c>
      <c r="E91" s="616">
        <v>505.95</v>
      </c>
      <c r="F91" s="616">
        <v>5059.5</v>
      </c>
      <c r="G91" s="614" t="s">
        <v>3997</v>
      </c>
      <c r="H91" s="614">
        <v>201112023</v>
      </c>
      <c r="I91" s="614" t="s">
        <v>199</v>
      </c>
      <c r="J91" s="614" t="s">
        <v>200</v>
      </c>
      <c r="K91" s="614" t="s">
        <v>204</v>
      </c>
      <c r="L91" s="616">
        <v>6.32</v>
      </c>
      <c r="M91" s="616">
        <v>0.18</v>
      </c>
      <c r="N91" s="616">
        <v>0.51</v>
      </c>
      <c r="O91" s="616">
        <v>30.69</v>
      </c>
      <c r="P91" s="616">
        <v>37.700000000000003</v>
      </c>
    </row>
    <row r="92" spans="1:16" x14ac:dyDescent="0.3">
      <c r="A92" s="615">
        <v>40667</v>
      </c>
      <c r="B92" s="614" t="s">
        <v>196</v>
      </c>
      <c r="C92" s="614" t="s">
        <v>197</v>
      </c>
      <c r="D92" s="614">
        <v>10</v>
      </c>
      <c r="E92" s="616">
        <v>670.95</v>
      </c>
      <c r="F92" s="616">
        <v>6709.5</v>
      </c>
      <c r="G92" s="614" t="s">
        <v>3998</v>
      </c>
      <c r="H92" s="614">
        <v>201112023</v>
      </c>
      <c r="I92" s="614" t="s">
        <v>199</v>
      </c>
      <c r="J92" s="614" t="s">
        <v>200</v>
      </c>
      <c r="K92" s="614" t="s">
        <v>204</v>
      </c>
      <c r="L92" s="616">
        <v>8.69</v>
      </c>
      <c r="M92" s="616">
        <v>0.24</v>
      </c>
      <c r="N92" s="616">
        <v>0.67</v>
      </c>
      <c r="O92" s="616">
        <v>40.700000000000003</v>
      </c>
      <c r="P92" s="616">
        <v>50.3</v>
      </c>
    </row>
    <row r="93" spans="1:16" x14ac:dyDescent="0.3">
      <c r="A93" s="615">
        <v>40667</v>
      </c>
      <c r="B93" s="614" t="s">
        <v>202</v>
      </c>
      <c r="C93" s="614" t="s">
        <v>197</v>
      </c>
      <c r="D93" s="614">
        <v>17</v>
      </c>
      <c r="E93" s="616">
        <v>321</v>
      </c>
      <c r="F93" s="616">
        <v>5457</v>
      </c>
      <c r="G93" s="614" t="s">
        <v>3999</v>
      </c>
      <c r="H93" s="614">
        <v>201112023</v>
      </c>
      <c r="I93" s="614" t="s">
        <v>199</v>
      </c>
      <c r="J93" s="614" t="s">
        <v>200</v>
      </c>
      <c r="K93" s="614" t="s">
        <v>204</v>
      </c>
      <c r="L93" s="616">
        <v>6.82</v>
      </c>
      <c r="M93" s="616">
        <v>0.2</v>
      </c>
      <c r="N93" s="616">
        <v>0.55000000000000004</v>
      </c>
      <c r="O93" s="616">
        <v>33.1</v>
      </c>
      <c r="P93" s="616">
        <v>40.659999999999997</v>
      </c>
    </row>
    <row r="94" spans="1:16" x14ac:dyDescent="0.3">
      <c r="A94" s="615">
        <v>40667</v>
      </c>
      <c r="B94" s="614" t="s">
        <v>2679</v>
      </c>
      <c r="C94" s="614" t="s">
        <v>197</v>
      </c>
      <c r="D94" s="614">
        <v>10</v>
      </c>
      <c r="E94" s="616">
        <v>703.29</v>
      </c>
      <c r="F94" s="616">
        <v>7032.9</v>
      </c>
      <c r="G94" s="614" t="s">
        <v>4000</v>
      </c>
      <c r="H94" s="614">
        <v>201112023</v>
      </c>
      <c r="I94" s="614" t="s">
        <v>199</v>
      </c>
      <c r="J94" s="614" t="s">
        <v>200</v>
      </c>
      <c r="K94" s="614" t="s">
        <v>204</v>
      </c>
      <c r="L94" s="616">
        <v>8.7899999999999991</v>
      </c>
      <c r="M94" s="616">
        <v>0.25</v>
      </c>
      <c r="N94" s="616">
        <v>0.7</v>
      </c>
      <c r="O94" s="616">
        <v>42.66</v>
      </c>
      <c r="P94" s="616">
        <v>52.41</v>
      </c>
    </row>
    <row r="95" spans="1:16" x14ac:dyDescent="0.3">
      <c r="A95" s="615">
        <v>40667</v>
      </c>
      <c r="B95" s="614" t="s">
        <v>217</v>
      </c>
      <c r="C95" s="614" t="s">
        <v>197</v>
      </c>
      <c r="D95" s="614">
        <v>125</v>
      </c>
      <c r="E95" s="616">
        <v>40.1</v>
      </c>
      <c r="F95" s="616">
        <v>5012.5</v>
      </c>
      <c r="G95" s="614" t="s">
        <v>4001</v>
      </c>
      <c r="H95" s="614">
        <v>201112023</v>
      </c>
      <c r="I95" s="614" t="s">
        <v>199</v>
      </c>
      <c r="J95" s="614" t="s">
        <v>200</v>
      </c>
      <c r="K95" s="614" t="s">
        <v>204</v>
      </c>
      <c r="L95" s="616">
        <v>6.27</v>
      </c>
      <c r="M95" s="616">
        <v>0.18</v>
      </c>
      <c r="N95" s="616">
        <v>0.5</v>
      </c>
      <c r="O95" s="616">
        <v>30.42</v>
      </c>
      <c r="P95" s="616">
        <v>37.369999999999997</v>
      </c>
    </row>
    <row r="96" spans="1:16" x14ac:dyDescent="0.3">
      <c r="A96" s="615">
        <v>40667</v>
      </c>
      <c r="B96" s="614" t="s">
        <v>205</v>
      </c>
      <c r="C96" s="614" t="s">
        <v>197</v>
      </c>
      <c r="D96" s="614">
        <v>8</v>
      </c>
      <c r="E96" s="616">
        <v>946.75</v>
      </c>
      <c r="F96" s="616">
        <v>7574</v>
      </c>
      <c r="G96" s="614" t="s">
        <v>4002</v>
      </c>
      <c r="H96" s="614">
        <v>201112023</v>
      </c>
      <c r="I96" s="614" t="s">
        <v>199</v>
      </c>
      <c r="J96" s="614" t="s">
        <v>200</v>
      </c>
      <c r="K96" s="614" t="s">
        <v>204</v>
      </c>
      <c r="L96" s="616">
        <v>9.4700000000000006</v>
      </c>
      <c r="M96" s="616">
        <v>0.27</v>
      </c>
      <c r="N96" s="616">
        <v>0.76</v>
      </c>
      <c r="O96" s="616">
        <v>45.95</v>
      </c>
      <c r="P96" s="616">
        <v>56.45</v>
      </c>
    </row>
    <row r="97" spans="1:16" x14ac:dyDescent="0.3">
      <c r="A97" s="615">
        <v>40667</v>
      </c>
      <c r="B97" s="614" t="s">
        <v>219</v>
      </c>
      <c r="C97" s="614" t="s">
        <v>197</v>
      </c>
      <c r="D97" s="614">
        <v>40</v>
      </c>
      <c r="E97" s="616">
        <v>135.15</v>
      </c>
      <c r="F97" s="616">
        <v>5406</v>
      </c>
      <c r="G97" s="614" t="s">
        <v>4003</v>
      </c>
      <c r="H97" s="614">
        <v>2011083</v>
      </c>
      <c r="I97" s="614" t="s">
        <v>199</v>
      </c>
      <c r="J97" s="614" t="s">
        <v>200</v>
      </c>
      <c r="K97" s="614" t="s">
        <v>201</v>
      </c>
      <c r="L97" s="616">
        <v>7</v>
      </c>
      <c r="M97" s="616">
        <v>0.19</v>
      </c>
      <c r="N97" s="616">
        <v>0.54</v>
      </c>
      <c r="O97" s="616">
        <v>32.799999999999997</v>
      </c>
      <c r="P97" s="616">
        <v>40.53</v>
      </c>
    </row>
    <row r="98" spans="1:16" x14ac:dyDescent="0.3">
      <c r="A98" s="615">
        <v>40665</v>
      </c>
      <c r="B98" s="614" t="s">
        <v>2662</v>
      </c>
      <c r="C98" s="614" t="s">
        <v>197</v>
      </c>
      <c r="D98" s="614">
        <v>25</v>
      </c>
      <c r="E98" s="616">
        <v>166</v>
      </c>
      <c r="F98" s="616">
        <v>4150</v>
      </c>
      <c r="G98" s="614" t="s">
        <v>4004</v>
      </c>
      <c r="H98" s="614">
        <v>201112021</v>
      </c>
      <c r="I98" s="614" t="s">
        <v>199</v>
      </c>
      <c r="J98" s="614" t="s">
        <v>200</v>
      </c>
      <c r="K98" s="614" t="s">
        <v>204</v>
      </c>
      <c r="L98" s="616">
        <v>5</v>
      </c>
      <c r="M98" s="616">
        <v>0.15</v>
      </c>
      <c r="N98" s="616">
        <v>0.42</v>
      </c>
      <c r="O98" s="616">
        <v>27.58</v>
      </c>
      <c r="P98" s="616">
        <v>33.14</v>
      </c>
    </row>
    <row r="99" spans="1:16" x14ac:dyDescent="0.3">
      <c r="A99" s="615">
        <v>40662</v>
      </c>
      <c r="B99" s="614" t="s">
        <v>2662</v>
      </c>
      <c r="C99" s="614" t="s">
        <v>197</v>
      </c>
      <c r="D99" s="614">
        <v>75</v>
      </c>
      <c r="E99" s="616">
        <v>175.05</v>
      </c>
      <c r="F99" s="616">
        <v>13128.75</v>
      </c>
      <c r="G99" s="614" t="s">
        <v>4005</v>
      </c>
      <c r="H99" s="614">
        <v>201112020</v>
      </c>
      <c r="I99" s="614" t="s">
        <v>199</v>
      </c>
      <c r="J99" s="614" t="s">
        <v>200</v>
      </c>
      <c r="K99" s="614" t="s">
        <v>204</v>
      </c>
      <c r="L99" s="616">
        <v>16</v>
      </c>
      <c r="M99" s="616">
        <v>0.47</v>
      </c>
      <c r="N99" s="616">
        <v>1.31</v>
      </c>
      <c r="O99" s="616">
        <v>79.650000000000006</v>
      </c>
      <c r="P99" s="616">
        <v>97.44</v>
      </c>
    </row>
    <row r="100" spans="1:16" x14ac:dyDescent="0.3">
      <c r="A100" s="615">
        <v>40661</v>
      </c>
      <c r="B100" s="614" t="s">
        <v>1115</v>
      </c>
      <c r="C100" s="614" t="s">
        <v>197</v>
      </c>
      <c r="D100" s="614">
        <v>200</v>
      </c>
      <c r="E100" s="616">
        <v>85.95</v>
      </c>
      <c r="F100" s="616">
        <v>17190</v>
      </c>
      <c r="G100" s="614" t="s">
        <v>4006</v>
      </c>
      <c r="H100" s="614">
        <v>201112019</v>
      </c>
      <c r="I100" s="614" t="s">
        <v>199</v>
      </c>
      <c r="J100" s="614" t="s">
        <v>200</v>
      </c>
      <c r="K100" s="614" t="s">
        <v>204</v>
      </c>
      <c r="L100" s="616">
        <v>21</v>
      </c>
      <c r="M100" s="616">
        <v>0.62</v>
      </c>
      <c r="N100" s="616">
        <v>1.72</v>
      </c>
      <c r="O100" s="616">
        <v>104.28</v>
      </c>
      <c r="P100" s="616">
        <v>127.62</v>
      </c>
    </row>
    <row r="101" spans="1:16" x14ac:dyDescent="0.3">
      <c r="A101" s="615">
        <v>40661</v>
      </c>
      <c r="B101" s="614" t="s">
        <v>2687</v>
      </c>
      <c r="C101" s="614" t="s">
        <v>197</v>
      </c>
      <c r="D101" s="614">
        <v>25</v>
      </c>
      <c r="E101" s="616">
        <v>624.5</v>
      </c>
      <c r="F101" s="616">
        <v>15612.5</v>
      </c>
      <c r="G101" s="614" t="s">
        <v>4007</v>
      </c>
      <c r="H101" s="614">
        <v>2011079</v>
      </c>
      <c r="I101" s="614" t="s">
        <v>199</v>
      </c>
      <c r="J101" s="614" t="s">
        <v>200</v>
      </c>
      <c r="K101" s="614" t="s">
        <v>201</v>
      </c>
      <c r="L101" s="616">
        <v>20</v>
      </c>
      <c r="M101" s="616">
        <v>0.55000000000000004</v>
      </c>
      <c r="N101" s="616">
        <v>1.56</v>
      </c>
      <c r="O101" s="616">
        <v>94.72</v>
      </c>
      <c r="P101" s="616">
        <v>116.83</v>
      </c>
    </row>
    <row r="102" spans="1:16" x14ac:dyDescent="0.3">
      <c r="A102" s="615">
        <v>40648</v>
      </c>
      <c r="B102" s="614" t="s">
        <v>2538</v>
      </c>
      <c r="C102" s="614" t="s">
        <v>197</v>
      </c>
      <c r="D102" s="614">
        <v>175</v>
      </c>
      <c r="E102" s="616">
        <v>66.5</v>
      </c>
      <c r="F102" s="616">
        <v>11637.5</v>
      </c>
      <c r="G102" s="614" t="s">
        <v>4010</v>
      </c>
      <c r="H102" s="614">
        <v>201112011</v>
      </c>
      <c r="I102" s="614" t="s">
        <v>199</v>
      </c>
      <c r="J102" s="614" t="s">
        <v>200</v>
      </c>
      <c r="K102" s="614" t="s">
        <v>204</v>
      </c>
      <c r="L102" s="616">
        <v>15</v>
      </c>
      <c r="M102" s="616">
        <v>0.42</v>
      </c>
      <c r="N102" s="616">
        <v>1.1599999999999999</v>
      </c>
      <c r="O102" s="616">
        <v>70.61</v>
      </c>
      <c r="P102" s="616">
        <v>87.19</v>
      </c>
    </row>
    <row r="103" spans="1:16" x14ac:dyDescent="0.3">
      <c r="A103" s="615">
        <v>40644</v>
      </c>
      <c r="B103" s="614" t="s">
        <v>2642</v>
      </c>
      <c r="C103" s="614" t="s">
        <v>197</v>
      </c>
      <c r="D103" s="614">
        <v>100</v>
      </c>
      <c r="E103" s="616">
        <v>117.4</v>
      </c>
      <c r="F103" s="616">
        <v>11740</v>
      </c>
      <c r="G103" s="614" t="s">
        <v>4012</v>
      </c>
      <c r="H103" s="614">
        <v>2011069</v>
      </c>
      <c r="I103" s="614" t="s">
        <v>199</v>
      </c>
      <c r="J103" s="614" t="s">
        <v>200</v>
      </c>
      <c r="K103" s="614" t="s">
        <v>201</v>
      </c>
      <c r="L103" s="616">
        <v>15</v>
      </c>
      <c r="M103" s="616">
        <v>0.41</v>
      </c>
      <c r="N103" s="616">
        <v>1.17</v>
      </c>
      <c r="O103" s="616">
        <v>71.22</v>
      </c>
      <c r="P103" s="616">
        <v>87.8</v>
      </c>
    </row>
    <row r="104" spans="1:16" x14ac:dyDescent="0.3">
      <c r="A104" s="615">
        <v>40641</v>
      </c>
      <c r="B104" s="614" t="s">
        <v>2642</v>
      </c>
      <c r="C104" s="614" t="s">
        <v>197</v>
      </c>
      <c r="D104" s="614">
        <v>150</v>
      </c>
      <c r="E104" s="616">
        <v>119.4667</v>
      </c>
      <c r="F104" s="616">
        <v>17920</v>
      </c>
      <c r="G104" s="614" t="s">
        <v>4016</v>
      </c>
      <c r="H104" s="614">
        <v>2011068</v>
      </c>
      <c r="I104" s="614" t="s">
        <v>199</v>
      </c>
      <c r="J104" s="614" t="s">
        <v>200</v>
      </c>
      <c r="K104" s="614" t="s">
        <v>201</v>
      </c>
      <c r="L104" s="616">
        <v>22.7</v>
      </c>
      <c r="M104" s="616">
        <v>0.63</v>
      </c>
      <c r="N104" s="616">
        <v>1.79</v>
      </c>
      <c r="O104" s="616">
        <v>108.73</v>
      </c>
      <c r="P104" s="616">
        <v>133.85</v>
      </c>
    </row>
    <row r="105" spans="1:16" x14ac:dyDescent="0.3">
      <c r="A105" s="615">
        <v>40640</v>
      </c>
      <c r="B105" s="614" t="s">
        <v>2724</v>
      </c>
      <c r="C105" s="614" t="s">
        <v>197</v>
      </c>
      <c r="D105" s="614">
        <v>150</v>
      </c>
      <c r="E105" s="616">
        <v>175</v>
      </c>
      <c r="F105" s="616">
        <v>26250</v>
      </c>
      <c r="G105" s="614" t="s">
        <v>4019</v>
      </c>
      <c r="H105" s="614">
        <v>2011067</v>
      </c>
      <c r="I105" s="614" t="s">
        <v>199</v>
      </c>
      <c r="J105" s="614" t="s">
        <v>200</v>
      </c>
      <c r="K105" s="614" t="s">
        <v>201</v>
      </c>
      <c r="L105" s="616">
        <v>32.81</v>
      </c>
      <c r="M105" s="616">
        <v>0.92</v>
      </c>
      <c r="N105" s="616">
        <v>2.63</v>
      </c>
      <c r="O105" s="616">
        <v>159.24</v>
      </c>
      <c r="P105" s="616">
        <v>195.59</v>
      </c>
    </row>
    <row r="106" spans="1:16" x14ac:dyDescent="0.3">
      <c r="A106" s="615">
        <v>40639</v>
      </c>
      <c r="B106" s="614" t="s">
        <v>2722</v>
      </c>
      <c r="C106" s="614" t="s">
        <v>197</v>
      </c>
      <c r="D106" s="614">
        <v>150</v>
      </c>
      <c r="E106" s="616">
        <v>170</v>
      </c>
      <c r="F106" s="616">
        <v>25500</v>
      </c>
      <c r="G106" s="614" t="s">
        <v>4021</v>
      </c>
      <c r="H106" s="614">
        <v>2011066</v>
      </c>
      <c r="I106" s="614" t="s">
        <v>199</v>
      </c>
      <c r="J106" s="614" t="s">
        <v>200</v>
      </c>
      <c r="K106" s="614" t="s">
        <v>201</v>
      </c>
      <c r="L106" s="616">
        <v>31.74</v>
      </c>
      <c r="M106" s="616">
        <v>0.89</v>
      </c>
      <c r="N106" s="616">
        <v>2.5499999999999998</v>
      </c>
      <c r="O106" s="616">
        <v>154.69999999999999</v>
      </c>
      <c r="P106" s="616">
        <v>189.88</v>
      </c>
    </row>
    <row r="107" spans="1:16" x14ac:dyDescent="0.3">
      <c r="A107" s="615">
        <v>40638</v>
      </c>
      <c r="B107" s="614" t="s">
        <v>1105</v>
      </c>
      <c r="C107" s="614" t="s">
        <v>197</v>
      </c>
      <c r="D107" s="614">
        <v>1000</v>
      </c>
      <c r="E107" s="616">
        <v>28.6</v>
      </c>
      <c r="F107" s="616">
        <v>28600</v>
      </c>
      <c r="G107" s="614" t="s">
        <v>4022</v>
      </c>
      <c r="H107" s="614">
        <v>2011065</v>
      </c>
      <c r="I107" s="614" t="s">
        <v>199</v>
      </c>
      <c r="J107" s="614" t="s">
        <v>200</v>
      </c>
      <c r="K107" s="614" t="s">
        <v>201</v>
      </c>
      <c r="L107" s="616">
        <v>35.94</v>
      </c>
      <c r="M107" s="616">
        <v>1</v>
      </c>
      <c r="N107" s="616">
        <v>2.86</v>
      </c>
      <c r="O107" s="616">
        <v>173.5</v>
      </c>
      <c r="P107" s="616">
        <v>213.3</v>
      </c>
    </row>
    <row r="108" spans="1:16" x14ac:dyDescent="0.3">
      <c r="A108" s="615">
        <v>40638</v>
      </c>
      <c r="B108" s="614" t="s">
        <v>2731</v>
      </c>
      <c r="C108" s="614" t="s">
        <v>197</v>
      </c>
      <c r="D108" s="614">
        <v>100</v>
      </c>
      <c r="E108" s="616">
        <v>288.5</v>
      </c>
      <c r="F108" s="616">
        <v>28850</v>
      </c>
      <c r="G108" s="614" t="s">
        <v>4023</v>
      </c>
      <c r="H108" s="614">
        <v>2011065</v>
      </c>
      <c r="I108" s="614" t="s">
        <v>199</v>
      </c>
      <c r="J108" s="614" t="s">
        <v>200</v>
      </c>
      <c r="K108" s="614" t="s">
        <v>201</v>
      </c>
      <c r="L108" s="616">
        <v>36.06</v>
      </c>
      <c r="M108" s="616">
        <v>1.01</v>
      </c>
      <c r="N108" s="616">
        <v>2.89</v>
      </c>
      <c r="O108" s="616">
        <v>175.02</v>
      </c>
      <c r="P108" s="616">
        <v>214.98</v>
      </c>
    </row>
    <row r="109" spans="1:16" x14ac:dyDescent="0.3">
      <c r="A109" s="615">
        <v>40611</v>
      </c>
      <c r="B109" s="614" t="s">
        <v>196</v>
      </c>
      <c r="C109" s="614" t="s">
        <v>197</v>
      </c>
      <c r="D109" s="614">
        <v>4</v>
      </c>
      <c r="E109" s="616">
        <v>672.75</v>
      </c>
      <c r="F109" s="616">
        <v>2691</v>
      </c>
      <c r="G109" s="614" t="s">
        <v>198</v>
      </c>
      <c r="H109" s="614">
        <v>2011046</v>
      </c>
      <c r="I109" s="614" t="s">
        <v>199</v>
      </c>
      <c r="J109" s="614" t="s">
        <v>200</v>
      </c>
      <c r="K109" s="614" t="s">
        <v>201</v>
      </c>
      <c r="L109" s="616">
        <v>3.46</v>
      </c>
      <c r="M109" s="616">
        <v>0.09</v>
      </c>
      <c r="N109" s="616">
        <v>0.27</v>
      </c>
      <c r="O109" s="616">
        <v>27.58</v>
      </c>
      <c r="P109" s="616">
        <v>31.4</v>
      </c>
    </row>
    <row r="110" spans="1:16" x14ac:dyDescent="0.3">
      <c r="A110" s="615">
        <v>40609</v>
      </c>
      <c r="B110" s="614" t="s">
        <v>202</v>
      </c>
      <c r="C110" s="614" t="s">
        <v>197</v>
      </c>
      <c r="D110" s="614">
        <v>10</v>
      </c>
      <c r="E110" s="616">
        <v>293</v>
      </c>
      <c r="F110" s="616">
        <v>2930</v>
      </c>
      <c r="G110" s="614" t="s">
        <v>203</v>
      </c>
      <c r="H110" s="614">
        <v>201011238</v>
      </c>
      <c r="I110" s="614" t="s">
        <v>199</v>
      </c>
      <c r="J110" s="614" t="s">
        <v>200</v>
      </c>
      <c r="K110" s="614" t="s">
        <v>204</v>
      </c>
      <c r="L110" s="616">
        <v>4</v>
      </c>
      <c r="M110" s="616">
        <v>0.11</v>
      </c>
      <c r="N110" s="616">
        <v>0.28999999999999998</v>
      </c>
      <c r="O110" s="616">
        <v>27.58</v>
      </c>
      <c r="P110" s="616">
        <v>31.98</v>
      </c>
    </row>
    <row r="111" spans="1:16" x14ac:dyDescent="0.3">
      <c r="A111" s="615">
        <v>40609</v>
      </c>
      <c r="B111" s="614" t="s">
        <v>205</v>
      </c>
      <c r="C111" s="614" t="s">
        <v>197</v>
      </c>
      <c r="D111" s="614">
        <v>5</v>
      </c>
      <c r="E111" s="616">
        <v>968</v>
      </c>
      <c r="F111" s="616">
        <v>4840</v>
      </c>
      <c r="G111" s="614" t="s">
        <v>206</v>
      </c>
      <c r="H111" s="614">
        <v>2011044</v>
      </c>
      <c r="I111" s="614" t="s">
        <v>199</v>
      </c>
      <c r="J111" s="614" t="s">
        <v>200</v>
      </c>
      <c r="K111" s="614" t="s">
        <v>201</v>
      </c>
      <c r="L111" s="616">
        <v>5.79</v>
      </c>
      <c r="M111" s="616">
        <v>0.17</v>
      </c>
      <c r="N111" s="616">
        <v>0.48</v>
      </c>
      <c r="O111" s="616">
        <v>29.36</v>
      </c>
      <c r="P111" s="616">
        <v>35.799999999999997</v>
      </c>
    </row>
    <row r="112" spans="1:16" x14ac:dyDescent="0.3">
      <c r="A112" s="615">
        <v>40609</v>
      </c>
      <c r="B112" s="614" t="s">
        <v>207</v>
      </c>
      <c r="C112" s="614" t="s">
        <v>197</v>
      </c>
      <c r="D112" s="614">
        <v>70</v>
      </c>
      <c r="E112" s="616">
        <v>51.15</v>
      </c>
      <c r="F112" s="616">
        <v>3580.5</v>
      </c>
      <c r="G112" s="614" t="s">
        <v>208</v>
      </c>
      <c r="H112" s="614">
        <v>2011044</v>
      </c>
      <c r="I112" s="614" t="s">
        <v>199</v>
      </c>
      <c r="J112" s="614" t="s">
        <v>200</v>
      </c>
      <c r="K112" s="614" t="s">
        <v>201</v>
      </c>
      <c r="L112" s="616">
        <v>4.4800000000000004</v>
      </c>
      <c r="M112" s="616">
        <v>0.13</v>
      </c>
      <c r="N112" s="616">
        <v>0.36</v>
      </c>
      <c r="O112" s="616">
        <v>27.57</v>
      </c>
      <c r="P112" s="616">
        <v>32.53</v>
      </c>
    </row>
    <row r="113" spans="1:16" x14ac:dyDescent="0.3">
      <c r="A113" s="615">
        <v>40606</v>
      </c>
      <c r="B113" s="614" t="s">
        <v>205</v>
      </c>
      <c r="C113" s="614" t="s">
        <v>197</v>
      </c>
      <c r="D113" s="614">
        <v>4</v>
      </c>
      <c r="E113" s="616">
        <v>982.5</v>
      </c>
      <c r="F113" s="616">
        <v>3930</v>
      </c>
      <c r="G113" s="614" t="s">
        <v>209</v>
      </c>
      <c r="H113" s="614">
        <v>2011043</v>
      </c>
      <c r="I113" s="614" t="s">
        <v>199</v>
      </c>
      <c r="J113" s="614" t="s">
        <v>200</v>
      </c>
      <c r="K113" s="614" t="s">
        <v>201</v>
      </c>
      <c r="L113" s="616">
        <v>4.91</v>
      </c>
      <c r="M113" s="616">
        <v>0.14000000000000001</v>
      </c>
      <c r="N113" s="616">
        <v>0.39</v>
      </c>
      <c r="O113" s="616">
        <v>27.58</v>
      </c>
      <c r="P113" s="616">
        <v>33.020000000000003</v>
      </c>
    </row>
    <row r="114" spans="1:16" x14ac:dyDescent="0.3">
      <c r="A114" s="615">
        <v>40606</v>
      </c>
      <c r="B114" s="614" t="s">
        <v>196</v>
      </c>
      <c r="C114" s="614" t="s">
        <v>197</v>
      </c>
      <c r="D114" s="614">
        <v>8</v>
      </c>
      <c r="E114" s="616">
        <v>682</v>
      </c>
      <c r="F114" s="616">
        <v>5456</v>
      </c>
      <c r="G114" s="614" t="s">
        <v>210</v>
      </c>
      <c r="H114" s="614">
        <v>2011043</v>
      </c>
      <c r="I114" s="614" t="s">
        <v>199</v>
      </c>
      <c r="J114" s="614" t="s">
        <v>200</v>
      </c>
      <c r="K114" s="614" t="s">
        <v>201</v>
      </c>
      <c r="L114" s="616">
        <v>7.09</v>
      </c>
      <c r="M114" s="616">
        <v>0.19</v>
      </c>
      <c r="N114" s="616">
        <v>0.55000000000000004</v>
      </c>
      <c r="O114" s="616">
        <v>33.1</v>
      </c>
      <c r="P114" s="616">
        <v>40.93</v>
      </c>
    </row>
    <row r="115" spans="1:16" x14ac:dyDescent="0.3">
      <c r="A115" s="615">
        <v>40605</v>
      </c>
      <c r="B115" s="614" t="s">
        <v>211</v>
      </c>
      <c r="C115" s="614" t="s">
        <v>197</v>
      </c>
      <c r="D115" s="614">
        <v>10</v>
      </c>
      <c r="E115" s="616">
        <v>460.25</v>
      </c>
      <c r="F115" s="616">
        <v>4602.5</v>
      </c>
      <c r="G115" s="614" t="s">
        <v>212</v>
      </c>
      <c r="H115" s="614">
        <v>201011236</v>
      </c>
      <c r="I115" s="614" t="s">
        <v>199</v>
      </c>
      <c r="J115" s="614" t="s">
        <v>200</v>
      </c>
      <c r="K115" s="614" t="s">
        <v>204</v>
      </c>
      <c r="L115" s="616">
        <v>6</v>
      </c>
      <c r="M115" s="616">
        <v>0.17</v>
      </c>
      <c r="N115" s="616">
        <v>0.46</v>
      </c>
      <c r="O115" s="616">
        <v>27.92</v>
      </c>
      <c r="P115" s="616">
        <v>34.549999999999997</v>
      </c>
    </row>
    <row r="116" spans="1:16" x14ac:dyDescent="0.3">
      <c r="A116" s="615">
        <v>40603</v>
      </c>
      <c r="B116" s="614" t="s">
        <v>202</v>
      </c>
      <c r="C116" s="614" t="s">
        <v>197</v>
      </c>
      <c r="D116" s="614">
        <v>12</v>
      </c>
      <c r="E116" s="616">
        <v>291.8</v>
      </c>
      <c r="F116" s="616">
        <v>3501.6</v>
      </c>
      <c r="G116" s="614" t="s">
        <v>213</v>
      </c>
      <c r="H116" s="614">
        <v>2011041</v>
      </c>
      <c r="I116" s="614" t="s">
        <v>199</v>
      </c>
      <c r="J116" s="614" t="s">
        <v>200</v>
      </c>
      <c r="K116" s="614" t="s">
        <v>201</v>
      </c>
      <c r="L116" s="616">
        <v>4.38</v>
      </c>
      <c r="M116" s="616">
        <v>0.12</v>
      </c>
      <c r="N116" s="616">
        <v>0.35</v>
      </c>
      <c r="O116" s="616">
        <v>27.57</v>
      </c>
      <c r="P116" s="616">
        <v>32.42</v>
      </c>
    </row>
    <row r="117" spans="1:16" x14ac:dyDescent="0.3">
      <c r="A117" s="615">
        <v>40603</v>
      </c>
      <c r="B117" s="614" t="s">
        <v>196</v>
      </c>
      <c r="C117" s="614" t="s">
        <v>197</v>
      </c>
      <c r="D117" s="614">
        <v>7</v>
      </c>
      <c r="E117" s="616">
        <v>646.85</v>
      </c>
      <c r="F117" s="616">
        <v>4527.95</v>
      </c>
      <c r="G117" s="614" t="s">
        <v>214</v>
      </c>
      <c r="H117" s="614">
        <v>2011041</v>
      </c>
      <c r="I117" s="614" t="s">
        <v>199</v>
      </c>
      <c r="J117" s="614" t="s">
        <v>200</v>
      </c>
      <c r="K117" s="614" t="s">
        <v>201</v>
      </c>
      <c r="L117" s="616">
        <v>5.62</v>
      </c>
      <c r="M117" s="616">
        <v>0.16</v>
      </c>
      <c r="N117" s="616">
        <v>0.45</v>
      </c>
      <c r="O117" s="616">
        <v>27.58</v>
      </c>
      <c r="P117" s="616">
        <v>33.81</v>
      </c>
    </row>
    <row r="118" spans="1:16" x14ac:dyDescent="0.3">
      <c r="A118" s="615">
        <v>40602</v>
      </c>
      <c r="B118" s="614" t="s">
        <v>207</v>
      </c>
      <c r="C118" s="614" t="s">
        <v>197</v>
      </c>
      <c r="D118" s="614">
        <v>80</v>
      </c>
      <c r="E118" s="616">
        <v>47</v>
      </c>
      <c r="F118" s="616">
        <v>3760</v>
      </c>
      <c r="G118" s="614" t="s">
        <v>215</v>
      </c>
      <c r="H118" s="614">
        <v>2011040</v>
      </c>
      <c r="I118" s="614" t="s">
        <v>199</v>
      </c>
      <c r="J118" s="614" t="s">
        <v>200</v>
      </c>
      <c r="K118" s="614" t="s">
        <v>201</v>
      </c>
      <c r="L118" s="616">
        <v>4.7</v>
      </c>
      <c r="M118" s="616">
        <v>0.13</v>
      </c>
      <c r="N118" s="616">
        <v>0.38</v>
      </c>
      <c r="O118" s="616">
        <v>27.58</v>
      </c>
      <c r="P118" s="616">
        <v>32.79</v>
      </c>
    </row>
    <row r="119" spans="1:16" x14ac:dyDescent="0.3">
      <c r="A119" s="615">
        <v>40602</v>
      </c>
      <c r="B119" s="614" t="s">
        <v>211</v>
      </c>
      <c r="C119" s="614" t="s">
        <v>197</v>
      </c>
      <c r="D119" s="614">
        <v>12</v>
      </c>
      <c r="E119" s="616">
        <v>440.4</v>
      </c>
      <c r="F119" s="616">
        <v>5284.8</v>
      </c>
      <c r="G119" s="614" t="s">
        <v>216</v>
      </c>
      <c r="H119" s="614">
        <v>2011040</v>
      </c>
      <c r="I119" s="614" t="s">
        <v>199</v>
      </c>
      <c r="J119" s="614" t="s">
        <v>200</v>
      </c>
      <c r="K119" s="614" t="s">
        <v>201</v>
      </c>
      <c r="L119" s="616">
        <v>6.3</v>
      </c>
      <c r="M119" s="616">
        <v>0.19</v>
      </c>
      <c r="N119" s="616">
        <v>0.53</v>
      </c>
      <c r="O119" s="616">
        <v>32.06</v>
      </c>
      <c r="P119" s="616">
        <v>39.07</v>
      </c>
    </row>
    <row r="120" spans="1:16" x14ac:dyDescent="0.3">
      <c r="A120" s="615">
        <v>40598</v>
      </c>
      <c r="B120" s="614" t="s">
        <v>217</v>
      </c>
      <c r="C120" s="614" t="s">
        <v>197</v>
      </c>
      <c r="D120" s="614">
        <v>75</v>
      </c>
      <c r="E120" s="616">
        <v>40.549999999999997</v>
      </c>
      <c r="F120" s="616">
        <v>3041.25</v>
      </c>
      <c r="G120" s="614" t="s">
        <v>218</v>
      </c>
      <c r="H120" s="614">
        <v>2011038</v>
      </c>
      <c r="I120" s="614" t="s">
        <v>199</v>
      </c>
      <c r="J120" s="614" t="s">
        <v>200</v>
      </c>
      <c r="K120" s="614" t="s">
        <v>201</v>
      </c>
      <c r="L120" s="616">
        <v>3.8</v>
      </c>
      <c r="M120" s="616">
        <v>0.11</v>
      </c>
      <c r="N120" s="616">
        <v>0.3</v>
      </c>
      <c r="O120" s="616">
        <v>27.57</v>
      </c>
      <c r="P120" s="616">
        <v>31.78</v>
      </c>
    </row>
    <row r="121" spans="1:16" x14ac:dyDescent="0.3">
      <c r="A121" s="615">
        <v>40597</v>
      </c>
      <c r="B121" s="614" t="s">
        <v>219</v>
      </c>
      <c r="C121" s="614" t="s">
        <v>197</v>
      </c>
      <c r="D121" s="614">
        <v>26</v>
      </c>
      <c r="E121" s="616">
        <v>134.4</v>
      </c>
      <c r="F121" s="616">
        <v>3494.4</v>
      </c>
      <c r="G121" s="614" t="s">
        <v>220</v>
      </c>
      <c r="H121" s="614">
        <v>2011037</v>
      </c>
      <c r="I121" s="614" t="s">
        <v>199</v>
      </c>
      <c r="J121" s="614" t="s">
        <v>200</v>
      </c>
      <c r="K121" s="614" t="s">
        <v>201</v>
      </c>
      <c r="L121" s="616">
        <v>4</v>
      </c>
      <c r="M121" s="616">
        <v>0.12</v>
      </c>
      <c r="N121" s="616">
        <v>0.35</v>
      </c>
      <c r="O121" s="616">
        <v>27.57</v>
      </c>
      <c r="P121" s="616">
        <v>32.04</v>
      </c>
    </row>
    <row r="122" spans="1:16" x14ac:dyDescent="0.3">
      <c r="A122" s="615">
        <v>40596</v>
      </c>
      <c r="B122" s="614" t="s">
        <v>217</v>
      </c>
      <c r="C122" s="614" t="s">
        <v>197</v>
      </c>
      <c r="D122" s="614">
        <v>85</v>
      </c>
      <c r="E122" s="616">
        <v>43.1</v>
      </c>
      <c r="F122" s="616">
        <v>3663.5</v>
      </c>
      <c r="G122" s="614" t="s">
        <v>221</v>
      </c>
      <c r="H122" s="614">
        <v>201011230</v>
      </c>
      <c r="I122" s="614" t="s">
        <v>199</v>
      </c>
      <c r="J122" s="614" t="s">
        <v>200</v>
      </c>
      <c r="K122" s="614" t="s">
        <v>204</v>
      </c>
      <c r="L122" s="616">
        <v>4.58</v>
      </c>
      <c r="M122" s="616">
        <v>0.13</v>
      </c>
      <c r="N122" s="616">
        <v>0.37</v>
      </c>
      <c r="O122" s="616">
        <v>27.57</v>
      </c>
      <c r="P122" s="616">
        <v>32.65</v>
      </c>
    </row>
    <row r="123" spans="1:16" x14ac:dyDescent="0.3">
      <c r="A123" s="615">
        <v>40596</v>
      </c>
      <c r="B123" s="614" t="s">
        <v>222</v>
      </c>
      <c r="C123" s="614" t="s">
        <v>197</v>
      </c>
      <c r="D123" s="614">
        <v>30</v>
      </c>
      <c r="E123" s="616">
        <v>130.25</v>
      </c>
      <c r="F123" s="616">
        <v>3907.5</v>
      </c>
      <c r="G123" s="614" t="s">
        <v>223</v>
      </c>
      <c r="H123" s="614">
        <v>201011230</v>
      </c>
      <c r="I123" s="614" t="s">
        <v>199</v>
      </c>
      <c r="J123" s="614" t="s">
        <v>200</v>
      </c>
      <c r="K123" s="614" t="s">
        <v>204</v>
      </c>
      <c r="L123" s="616">
        <v>4.42</v>
      </c>
      <c r="M123" s="616">
        <v>0.14000000000000001</v>
      </c>
      <c r="N123" s="616">
        <v>0.39</v>
      </c>
      <c r="O123" s="616">
        <v>27.57</v>
      </c>
      <c r="P123" s="616">
        <v>32.520000000000003</v>
      </c>
    </row>
    <row r="124" spans="1:16" x14ac:dyDescent="0.3">
      <c r="A124" s="615">
        <v>40596</v>
      </c>
      <c r="B124" s="614" t="s">
        <v>224</v>
      </c>
      <c r="C124" s="614" t="s">
        <v>197</v>
      </c>
      <c r="D124" s="614">
        <v>80</v>
      </c>
      <c r="E124" s="616">
        <v>45.25</v>
      </c>
      <c r="F124" s="616">
        <v>3620</v>
      </c>
      <c r="G124" s="614" t="s">
        <v>225</v>
      </c>
      <c r="H124" s="614">
        <v>2011036</v>
      </c>
      <c r="I124" s="614" t="s">
        <v>199</v>
      </c>
      <c r="J124" s="614" t="s">
        <v>200</v>
      </c>
      <c r="K124" s="614" t="s">
        <v>201</v>
      </c>
      <c r="L124" s="616">
        <v>5</v>
      </c>
      <c r="M124" s="616">
        <v>0.13</v>
      </c>
      <c r="N124" s="616">
        <v>0.36</v>
      </c>
      <c r="O124" s="616">
        <v>27.58</v>
      </c>
      <c r="P124" s="616">
        <v>33.07</v>
      </c>
    </row>
    <row r="125" spans="1:16" x14ac:dyDescent="0.3">
      <c r="A125" s="615">
        <v>40595</v>
      </c>
      <c r="B125" s="614" t="s">
        <v>219</v>
      </c>
      <c r="C125" s="614" t="s">
        <v>197</v>
      </c>
      <c r="D125" s="614">
        <v>24</v>
      </c>
      <c r="E125" s="616">
        <v>132.69999999999999</v>
      </c>
      <c r="F125" s="616">
        <v>3184.8</v>
      </c>
      <c r="G125" s="614" t="s">
        <v>226</v>
      </c>
      <c r="H125" s="614">
        <v>2011035</v>
      </c>
      <c r="I125" s="614" t="s">
        <v>199</v>
      </c>
      <c r="J125" s="614" t="s">
        <v>200</v>
      </c>
      <c r="K125" s="614" t="s">
        <v>201</v>
      </c>
      <c r="L125" s="616">
        <v>3.98</v>
      </c>
      <c r="M125" s="616">
        <v>0.11</v>
      </c>
      <c r="N125" s="616">
        <v>0.32</v>
      </c>
      <c r="O125" s="616">
        <v>27.58</v>
      </c>
      <c r="P125" s="616">
        <v>31.99</v>
      </c>
    </row>
    <row r="126" spans="1:16" x14ac:dyDescent="0.3">
      <c r="A126" s="615">
        <v>40592</v>
      </c>
      <c r="B126" s="614" t="s">
        <v>224</v>
      </c>
      <c r="C126" s="614" t="s">
        <v>197</v>
      </c>
      <c r="D126" s="614">
        <v>70</v>
      </c>
      <c r="E126" s="616">
        <v>46.15</v>
      </c>
      <c r="F126" s="616">
        <v>3230.5</v>
      </c>
      <c r="G126" s="614" t="s">
        <v>227</v>
      </c>
      <c r="H126" s="614">
        <v>2011034</v>
      </c>
      <c r="I126" s="614" t="s">
        <v>199</v>
      </c>
      <c r="J126" s="614" t="s">
        <v>200</v>
      </c>
      <c r="K126" s="614" t="s">
        <v>201</v>
      </c>
      <c r="L126" s="616">
        <v>4.04</v>
      </c>
      <c r="M126" s="616">
        <v>0.11</v>
      </c>
      <c r="N126" s="616">
        <v>0.32</v>
      </c>
      <c r="O126" s="616">
        <v>27.57</v>
      </c>
      <c r="P126" s="616">
        <v>32.049999999999997</v>
      </c>
    </row>
    <row r="127" spans="1:16" x14ac:dyDescent="0.3">
      <c r="A127" s="615">
        <v>40591</v>
      </c>
      <c r="B127" s="614" t="s">
        <v>222</v>
      </c>
      <c r="C127" s="614" t="s">
        <v>197</v>
      </c>
      <c r="D127" s="614">
        <v>25</v>
      </c>
      <c r="E127" s="616">
        <v>128.05000000000001</v>
      </c>
      <c r="F127" s="616">
        <v>3201.25</v>
      </c>
      <c r="G127" s="614" t="s">
        <v>228</v>
      </c>
      <c r="H127" s="614">
        <v>2011033</v>
      </c>
      <c r="I127" s="614" t="s">
        <v>199</v>
      </c>
      <c r="J127" s="614" t="s">
        <v>200</v>
      </c>
      <c r="K127" s="614" t="s">
        <v>201</v>
      </c>
      <c r="L127" s="616">
        <v>4.24</v>
      </c>
      <c r="M127" s="616">
        <v>0.11</v>
      </c>
      <c r="N127" s="616">
        <v>0.32</v>
      </c>
      <c r="O127" s="616">
        <v>27.57</v>
      </c>
      <c r="P127" s="616">
        <v>32.24</v>
      </c>
    </row>
    <row r="128" spans="1:16" x14ac:dyDescent="0.3">
      <c r="A128" s="615">
        <v>40590</v>
      </c>
      <c r="B128" s="614" t="s">
        <v>217</v>
      </c>
      <c r="C128" s="614" t="s">
        <v>197</v>
      </c>
      <c r="D128" s="614">
        <v>90</v>
      </c>
      <c r="E128" s="616">
        <v>42.4</v>
      </c>
      <c r="F128" s="616">
        <v>3816</v>
      </c>
      <c r="G128" s="614" t="s">
        <v>229</v>
      </c>
      <c r="H128" s="614">
        <v>2011032</v>
      </c>
      <c r="I128" s="614" t="s">
        <v>199</v>
      </c>
      <c r="J128" s="614" t="s">
        <v>200</v>
      </c>
      <c r="K128" s="614" t="s">
        <v>201</v>
      </c>
      <c r="L128" s="616">
        <v>4.7699999999999996</v>
      </c>
      <c r="M128" s="616">
        <v>0.13</v>
      </c>
      <c r="N128" s="616">
        <v>0.38</v>
      </c>
      <c r="O128" s="616">
        <v>27.58</v>
      </c>
      <c r="P128" s="616">
        <v>32.869999999999997</v>
      </c>
    </row>
    <row r="129" spans="1:16" x14ac:dyDescent="0.3">
      <c r="A129" s="615">
        <v>40590</v>
      </c>
      <c r="B129" s="614" t="s">
        <v>219</v>
      </c>
      <c r="C129" s="614" t="s">
        <v>197</v>
      </c>
      <c r="D129" s="614">
        <v>26</v>
      </c>
      <c r="E129" s="616">
        <v>136.9</v>
      </c>
      <c r="F129" s="616">
        <v>3559.4</v>
      </c>
      <c r="G129" s="614" t="s">
        <v>230</v>
      </c>
      <c r="H129" s="614">
        <v>2011032</v>
      </c>
      <c r="I129" s="614" t="s">
        <v>199</v>
      </c>
      <c r="J129" s="614" t="s">
        <v>200</v>
      </c>
      <c r="K129" s="614" t="s">
        <v>201</v>
      </c>
      <c r="L129" s="616">
        <v>4.2300000000000004</v>
      </c>
      <c r="M129" s="616">
        <v>0.12</v>
      </c>
      <c r="N129" s="616">
        <v>0.36</v>
      </c>
      <c r="O129" s="616">
        <v>27.57</v>
      </c>
      <c r="P129" s="616">
        <v>32.28</v>
      </c>
    </row>
    <row r="130" spans="1:16" x14ac:dyDescent="0.3">
      <c r="A130" s="615">
        <v>40588</v>
      </c>
      <c r="B130" s="614" t="s">
        <v>224</v>
      </c>
      <c r="C130" s="614" t="s">
        <v>197</v>
      </c>
      <c r="D130" s="614">
        <v>88</v>
      </c>
      <c r="E130" s="616">
        <v>43.15</v>
      </c>
      <c r="F130" s="616">
        <v>3797.2</v>
      </c>
      <c r="G130" s="614" t="s">
        <v>231</v>
      </c>
      <c r="H130" s="614">
        <v>2011030</v>
      </c>
      <c r="I130" s="614" t="s">
        <v>199</v>
      </c>
      <c r="J130" s="614" t="s">
        <v>200</v>
      </c>
      <c r="K130" s="614" t="s">
        <v>201</v>
      </c>
      <c r="L130" s="616">
        <v>4.43</v>
      </c>
      <c r="M130" s="616">
        <v>0.13</v>
      </c>
      <c r="N130" s="616">
        <v>0.38</v>
      </c>
      <c r="O130" s="616">
        <v>27.58</v>
      </c>
      <c r="P130" s="616">
        <v>32.520000000000003</v>
      </c>
    </row>
    <row r="131" spans="1:16" x14ac:dyDescent="0.3">
      <c r="A131" s="615">
        <v>40588</v>
      </c>
      <c r="B131" s="614" t="s">
        <v>222</v>
      </c>
      <c r="C131" s="614" t="s">
        <v>197</v>
      </c>
      <c r="D131" s="614">
        <v>30</v>
      </c>
      <c r="E131" s="616">
        <v>120.45</v>
      </c>
      <c r="F131" s="616">
        <v>3613.5</v>
      </c>
      <c r="G131" s="614" t="s">
        <v>232</v>
      </c>
      <c r="H131" s="614">
        <v>2011030</v>
      </c>
      <c r="I131" s="614" t="s">
        <v>199</v>
      </c>
      <c r="J131" s="614" t="s">
        <v>200</v>
      </c>
      <c r="K131" s="614" t="s">
        <v>201</v>
      </c>
      <c r="L131" s="616">
        <v>4.5199999999999996</v>
      </c>
      <c r="M131" s="616">
        <v>0.13</v>
      </c>
      <c r="N131" s="616">
        <v>0.36</v>
      </c>
      <c r="O131" s="616">
        <v>27.57</v>
      </c>
      <c r="P131" s="616">
        <v>32.58</v>
      </c>
    </row>
    <row r="132" spans="1:16" x14ac:dyDescent="0.3">
      <c r="A132" s="615">
        <v>40584</v>
      </c>
      <c r="B132" s="614" t="s">
        <v>233</v>
      </c>
      <c r="C132" s="614" t="s">
        <v>197</v>
      </c>
      <c r="D132" s="614">
        <v>50</v>
      </c>
      <c r="E132" s="616">
        <v>127</v>
      </c>
      <c r="F132" s="616">
        <v>6350</v>
      </c>
      <c r="G132" s="614" t="s">
        <v>234</v>
      </c>
      <c r="H132" s="614">
        <v>2011028</v>
      </c>
      <c r="I132" s="614" t="s">
        <v>199</v>
      </c>
      <c r="J132" s="614" t="s">
        <v>200</v>
      </c>
      <c r="K132" s="614" t="s">
        <v>201</v>
      </c>
      <c r="L132" s="616">
        <v>8</v>
      </c>
      <c r="M132" s="616">
        <v>0.22</v>
      </c>
      <c r="N132" s="616">
        <v>0.64</v>
      </c>
      <c r="O132" s="616">
        <v>38.53</v>
      </c>
      <c r="P132" s="616">
        <v>47.39</v>
      </c>
    </row>
    <row r="133" spans="1:16" x14ac:dyDescent="0.3">
      <c r="A133" s="615">
        <v>40582</v>
      </c>
      <c r="B133" s="614" t="s">
        <v>235</v>
      </c>
      <c r="C133" s="614" t="s">
        <v>197</v>
      </c>
      <c r="D133" s="614">
        <v>500</v>
      </c>
      <c r="E133" s="616">
        <v>24.25</v>
      </c>
      <c r="F133" s="616">
        <v>12125</v>
      </c>
      <c r="G133" s="614" t="s">
        <v>236</v>
      </c>
      <c r="H133" s="614">
        <v>2011026</v>
      </c>
      <c r="I133" s="614" t="s">
        <v>199</v>
      </c>
      <c r="J133" s="614" t="s">
        <v>200</v>
      </c>
      <c r="K133" s="614" t="s">
        <v>201</v>
      </c>
      <c r="L133" s="616">
        <v>15.16</v>
      </c>
      <c r="M133" s="616">
        <v>0.42</v>
      </c>
      <c r="N133" s="616">
        <v>1.21</v>
      </c>
      <c r="O133" s="616">
        <v>73.55</v>
      </c>
      <c r="P133" s="616">
        <v>90.35</v>
      </c>
    </row>
    <row r="134" spans="1:16" x14ac:dyDescent="0.3">
      <c r="A134" s="615">
        <v>40582</v>
      </c>
      <c r="B134" s="614" t="s">
        <v>233</v>
      </c>
      <c r="C134" s="614" t="s">
        <v>197</v>
      </c>
      <c r="D134" s="614">
        <v>50</v>
      </c>
      <c r="E134" s="616">
        <v>146.94999999999999</v>
      </c>
      <c r="F134" s="616">
        <v>7347.5</v>
      </c>
      <c r="G134" s="614" t="s">
        <v>237</v>
      </c>
      <c r="H134" s="614">
        <v>2011026</v>
      </c>
      <c r="I134" s="614" t="s">
        <v>199</v>
      </c>
      <c r="J134" s="614" t="s">
        <v>200</v>
      </c>
      <c r="K134" s="614" t="s">
        <v>201</v>
      </c>
      <c r="L134" s="616">
        <v>9.18</v>
      </c>
      <c r="M134" s="616">
        <v>0.26</v>
      </c>
      <c r="N134" s="616">
        <v>0.73</v>
      </c>
      <c r="O134" s="616">
        <v>44.58</v>
      </c>
      <c r="P134" s="616">
        <v>54.75</v>
      </c>
    </row>
    <row r="135" spans="1:16" x14ac:dyDescent="0.3">
      <c r="A135" s="615">
        <v>40582</v>
      </c>
      <c r="B135" s="614" t="s">
        <v>238</v>
      </c>
      <c r="C135" s="614" t="s">
        <v>197</v>
      </c>
      <c r="D135" s="614">
        <v>50</v>
      </c>
      <c r="E135" s="616">
        <v>123.8</v>
      </c>
      <c r="F135" s="616">
        <v>6190</v>
      </c>
      <c r="G135" s="614" t="s">
        <v>239</v>
      </c>
      <c r="H135" s="614">
        <v>2011026</v>
      </c>
      <c r="I135" s="614" t="s">
        <v>199</v>
      </c>
      <c r="J135" s="614" t="s">
        <v>200</v>
      </c>
      <c r="K135" s="614" t="s">
        <v>201</v>
      </c>
      <c r="L135" s="616">
        <v>7.74</v>
      </c>
      <c r="M135" s="616">
        <v>0.22</v>
      </c>
      <c r="N135" s="616">
        <v>0.62</v>
      </c>
      <c r="O135" s="616">
        <v>37.549999999999997</v>
      </c>
      <c r="P135" s="616">
        <v>46.13</v>
      </c>
    </row>
    <row r="136" spans="1:16" x14ac:dyDescent="0.3">
      <c r="A136" s="615">
        <v>40576</v>
      </c>
      <c r="B136" s="614" t="s">
        <v>240</v>
      </c>
      <c r="C136" s="614" t="s">
        <v>197</v>
      </c>
      <c r="D136" s="614">
        <v>50</v>
      </c>
      <c r="E136" s="616">
        <v>142.4</v>
      </c>
      <c r="F136" s="616">
        <v>7120</v>
      </c>
      <c r="G136" s="614" t="s">
        <v>241</v>
      </c>
      <c r="H136" s="614">
        <v>2011022</v>
      </c>
      <c r="I136" s="614" t="s">
        <v>199</v>
      </c>
      <c r="J136" s="614" t="s">
        <v>200</v>
      </c>
      <c r="K136" s="614" t="s">
        <v>201</v>
      </c>
      <c r="L136" s="616">
        <v>9</v>
      </c>
      <c r="M136" s="616">
        <v>0.25</v>
      </c>
      <c r="N136" s="616">
        <v>0.71</v>
      </c>
      <c r="O136" s="616">
        <v>43.19</v>
      </c>
      <c r="P136" s="616">
        <v>53.15</v>
      </c>
    </row>
    <row r="137" spans="1:16" x14ac:dyDescent="0.3">
      <c r="A137" s="615">
        <v>40574</v>
      </c>
      <c r="B137" s="614" t="s">
        <v>242</v>
      </c>
      <c r="C137" s="614" t="s">
        <v>197</v>
      </c>
      <c r="D137" s="614">
        <v>100</v>
      </c>
      <c r="E137" s="616">
        <v>36.450000000000003</v>
      </c>
      <c r="F137" s="616">
        <v>3645</v>
      </c>
      <c r="G137" s="614" t="s">
        <v>243</v>
      </c>
      <c r="H137" s="614">
        <v>2011020</v>
      </c>
      <c r="I137" s="614" t="s">
        <v>199</v>
      </c>
      <c r="J137" s="614" t="s">
        <v>200</v>
      </c>
      <c r="K137" s="614" t="s">
        <v>201</v>
      </c>
      <c r="L137" s="616">
        <v>5</v>
      </c>
      <c r="M137" s="616">
        <v>0.13</v>
      </c>
      <c r="N137" s="616">
        <v>0.36</v>
      </c>
      <c r="O137" s="616">
        <v>27.58</v>
      </c>
      <c r="P137" s="616">
        <v>33.07</v>
      </c>
    </row>
    <row r="138" spans="1:16" x14ac:dyDescent="0.3">
      <c r="A138" s="615">
        <v>40571</v>
      </c>
      <c r="B138" s="614" t="s">
        <v>244</v>
      </c>
      <c r="C138" s="614" t="s">
        <v>197</v>
      </c>
      <c r="D138" s="614">
        <v>100</v>
      </c>
      <c r="E138" s="616">
        <v>38.6</v>
      </c>
      <c r="F138" s="616">
        <v>3860</v>
      </c>
      <c r="G138" s="614" t="s">
        <v>245</v>
      </c>
      <c r="H138" s="614">
        <v>201011213</v>
      </c>
      <c r="I138" s="614" t="s">
        <v>199</v>
      </c>
      <c r="J138" s="614" t="s">
        <v>200</v>
      </c>
      <c r="K138" s="614" t="s">
        <v>204</v>
      </c>
      <c r="L138" s="616">
        <v>5</v>
      </c>
      <c r="M138" s="616">
        <v>0.14000000000000001</v>
      </c>
      <c r="N138" s="616">
        <v>0.39</v>
      </c>
      <c r="O138" s="616">
        <v>27.59</v>
      </c>
      <c r="P138" s="616">
        <v>33.11</v>
      </c>
    </row>
    <row r="139" spans="1:16" x14ac:dyDescent="0.3">
      <c r="A139" s="615">
        <v>40571</v>
      </c>
      <c r="B139" s="614" t="s">
        <v>238</v>
      </c>
      <c r="C139" s="614" t="s">
        <v>197</v>
      </c>
      <c r="D139" s="614">
        <v>50</v>
      </c>
      <c r="E139" s="616">
        <v>137.1</v>
      </c>
      <c r="F139" s="616">
        <v>6855</v>
      </c>
      <c r="G139" s="614" t="s">
        <v>246</v>
      </c>
      <c r="H139" s="614">
        <v>2011019</v>
      </c>
      <c r="I139" s="614" t="s">
        <v>199</v>
      </c>
      <c r="J139" s="614" t="s">
        <v>200</v>
      </c>
      <c r="K139" s="614" t="s">
        <v>201</v>
      </c>
      <c r="L139" s="616">
        <v>8.2100000000000009</v>
      </c>
      <c r="M139" s="616">
        <v>0.24</v>
      </c>
      <c r="N139" s="616">
        <v>0.69</v>
      </c>
      <c r="O139" s="616">
        <v>41.59</v>
      </c>
      <c r="P139" s="616">
        <v>50.73</v>
      </c>
    </row>
    <row r="140" spans="1:16" x14ac:dyDescent="0.3">
      <c r="A140" s="615">
        <v>40571</v>
      </c>
      <c r="B140" s="614" t="s">
        <v>242</v>
      </c>
      <c r="C140" s="614" t="s">
        <v>197</v>
      </c>
      <c r="D140" s="614">
        <v>100</v>
      </c>
      <c r="E140" s="616">
        <v>38.1</v>
      </c>
      <c r="F140" s="616">
        <v>3810</v>
      </c>
      <c r="G140" s="614" t="s">
        <v>247</v>
      </c>
      <c r="H140" s="614">
        <v>2011019</v>
      </c>
      <c r="I140" s="614" t="s">
        <v>199</v>
      </c>
      <c r="J140" s="614" t="s">
        <v>200</v>
      </c>
      <c r="K140" s="614" t="s">
        <v>201</v>
      </c>
      <c r="L140" s="616">
        <v>4.76</v>
      </c>
      <c r="M140" s="616">
        <v>0.13</v>
      </c>
      <c r="N140" s="616">
        <v>0.38</v>
      </c>
      <c r="O140" s="616">
        <v>27.58</v>
      </c>
      <c r="P140" s="616">
        <v>32.85</v>
      </c>
    </row>
    <row r="141" spans="1:16" x14ac:dyDescent="0.3">
      <c r="A141" s="615">
        <v>40571</v>
      </c>
      <c r="B141" s="614" t="s">
        <v>233</v>
      </c>
      <c r="C141" s="614" t="s">
        <v>197</v>
      </c>
      <c r="D141" s="614">
        <v>25</v>
      </c>
      <c r="E141" s="616">
        <v>161</v>
      </c>
      <c r="F141" s="616">
        <v>4025</v>
      </c>
      <c r="G141" s="614" t="s">
        <v>248</v>
      </c>
      <c r="H141" s="614">
        <v>2011019</v>
      </c>
      <c r="I141" s="614" t="s">
        <v>199</v>
      </c>
      <c r="J141" s="614" t="s">
        <v>200</v>
      </c>
      <c r="K141" s="614" t="s">
        <v>201</v>
      </c>
      <c r="L141" s="616">
        <v>5.03</v>
      </c>
      <c r="M141" s="616">
        <v>0.14000000000000001</v>
      </c>
      <c r="N141" s="616">
        <v>0.4</v>
      </c>
      <c r="O141" s="616">
        <v>27.58</v>
      </c>
      <c r="P141" s="616">
        <v>33.15</v>
      </c>
    </row>
    <row r="142" spans="1:16" x14ac:dyDescent="0.3">
      <c r="A142" s="615">
        <v>40555</v>
      </c>
      <c r="B142" s="614" t="s">
        <v>249</v>
      </c>
      <c r="C142" s="614" t="s">
        <v>197</v>
      </c>
      <c r="D142" s="614">
        <v>250</v>
      </c>
      <c r="E142" s="616">
        <v>17.108000000000001</v>
      </c>
      <c r="F142" s="616">
        <v>4277</v>
      </c>
      <c r="G142" s="614" t="s">
        <v>250</v>
      </c>
      <c r="H142" s="614">
        <v>2011008</v>
      </c>
      <c r="I142" s="614" t="s">
        <v>199</v>
      </c>
      <c r="J142" s="614" t="s">
        <v>200</v>
      </c>
      <c r="K142" s="614" t="s">
        <v>201</v>
      </c>
      <c r="L142" s="616">
        <v>5</v>
      </c>
      <c r="M142" s="616">
        <v>0.15</v>
      </c>
      <c r="N142" s="616">
        <v>0.43</v>
      </c>
      <c r="O142" s="616">
        <v>27.57</v>
      </c>
      <c r="P142" s="616">
        <v>33.15</v>
      </c>
    </row>
    <row r="143" spans="1:16" x14ac:dyDescent="0.3">
      <c r="A143" s="615">
        <v>40554</v>
      </c>
      <c r="B143" s="614" t="s">
        <v>244</v>
      </c>
      <c r="C143" s="614" t="s">
        <v>197</v>
      </c>
      <c r="D143" s="614">
        <v>200</v>
      </c>
      <c r="E143" s="616">
        <v>41.25</v>
      </c>
      <c r="F143" s="616">
        <v>8250</v>
      </c>
      <c r="G143" s="614" t="s">
        <v>251</v>
      </c>
      <c r="H143" s="614">
        <v>2011007</v>
      </c>
      <c r="I143" s="614" t="s">
        <v>199</v>
      </c>
      <c r="J143" s="614" t="s">
        <v>200</v>
      </c>
      <c r="K143" s="614" t="s">
        <v>201</v>
      </c>
      <c r="L143" s="616">
        <v>10.31</v>
      </c>
      <c r="M143" s="616">
        <v>0.28999999999999998</v>
      </c>
      <c r="N143" s="616">
        <v>0.83</v>
      </c>
      <c r="O143" s="616">
        <v>50.06</v>
      </c>
      <c r="P143" s="616">
        <v>61.48</v>
      </c>
    </row>
    <row r="144" spans="1:16" x14ac:dyDescent="0.3">
      <c r="A144" s="615">
        <v>40554</v>
      </c>
      <c r="B144" s="614" t="s">
        <v>238</v>
      </c>
      <c r="C144" s="614" t="s">
        <v>197</v>
      </c>
      <c r="D144" s="614">
        <v>50</v>
      </c>
      <c r="E144" s="616">
        <v>159.9</v>
      </c>
      <c r="F144" s="616">
        <v>7995</v>
      </c>
      <c r="G144" s="614" t="s">
        <v>252</v>
      </c>
      <c r="H144" s="614">
        <v>2011007</v>
      </c>
      <c r="I144" s="614" t="s">
        <v>199</v>
      </c>
      <c r="J144" s="614" t="s">
        <v>200</v>
      </c>
      <c r="K144" s="614" t="s">
        <v>201</v>
      </c>
      <c r="L144" s="616">
        <v>9.69</v>
      </c>
      <c r="M144" s="616">
        <v>0.28000000000000003</v>
      </c>
      <c r="N144" s="616">
        <v>0.8</v>
      </c>
      <c r="O144" s="616">
        <v>48.51</v>
      </c>
      <c r="P144" s="616">
        <v>59.28</v>
      </c>
    </row>
    <row r="145" spans="1:16" x14ac:dyDescent="0.3">
      <c r="A145" s="615">
        <v>40553</v>
      </c>
      <c r="B145" s="614" t="s">
        <v>235</v>
      </c>
      <c r="C145" s="614" t="s">
        <v>197</v>
      </c>
      <c r="D145" s="614">
        <v>500</v>
      </c>
      <c r="E145" s="616">
        <v>25.65</v>
      </c>
      <c r="F145" s="616">
        <v>12825</v>
      </c>
      <c r="G145" s="614" t="s">
        <v>253</v>
      </c>
      <c r="H145" s="614">
        <v>2011006</v>
      </c>
      <c r="I145" s="614" t="s">
        <v>199</v>
      </c>
      <c r="J145" s="614" t="s">
        <v>200</v>
      </c>
      <c r="K145" s="614" t="s">
        <v>201</v>
      </c>
      <c r="L145" s="616">
        <v>16</v>
      </c>
      <c r="M145" s="616">
        <v>0.45</v>
      </c>
      <c r="N145" s="616">
        <v>1.28</v>
      </c>
      <c r="O145" s="616">
        <v>77.8</v>
      </c>
      <c r="P145" s="616">
        <v>95.53</v>
      </c>
    </row>
    <row r="146" spans="1:16" x14ac:dyDescent="0.3">
      <c r="A146" s="615">
        <v>40543</v>
      </c>
      <c r="B146" s="614" t="s">
        <v>233</v>
      </c>
      <c r="C146" s="614" t="s">
        <v>197</v>
      </c>
      <c r="D146" s="614">
        <v>75</v>
      </c>
      <c r="E146" s="616">
        <v>169</v>
      </c>
      <c r="F146" s="616">
        <v>12675</v>
      </c>
      <c r="G146" s="614" t="s">
        <v>254</v>
      </c>
      <c r="H146" s="614">
        <v>201011194</v>
      </c>
      <c r="I146" s="614" t="s">
        <v>199</v>
      </c>
      <c r="J146" s="614" t="s">
        <v>200</v>
      </c>
      <c r="K146" s="614" t="s">
        <v>204</v>
      </c>
      <c r="L146" s="616">
        <v>16</v>
      </c>
      <c r="M146" s="616">
        <v>0.46</v>
      </c>
      <c r="N146" s="616">
        <v>1.27</v>
      </c>
      <c r="O146" s="616">
        <v>76.89</v>
      </c>
      <c r="P146" s="616">
        <v>94.61</v>
      </c>
    </row>
    <row r="147" spans="1:16" x14ac:dyDescent="0.3">
      <c r="A147" s="615">
        <v>40536</v>
      </c>
      <c r="B147" s="614" t="s">
        <v>255</v>
      </c>
      <c r="C147" s="614" t="s">
        <v>197</v>
      </c>
      <c r="D147" s="614">
        <v>500</v>
      </c>
      <c r="E147" s="616">
        <v>12.0427</v>
      </c>
      <c r="F147" s="616">
        <v>6021.35</v>
      </c>
      <c r="G147" s="614" t="s">
        <v>256</v>
      </c>
      <c r="H147" s="614">
        <v>2010246</v>
      </c>
      <c r="I147" s="614" t="s">
        <v>199</v>
      </c>
      <c r="J147" s="614" t="s">
        <v>200</v>
      </c>
      <c r="K147" s="614" t="s">
        <v>201</v>
      </c>
      <c r="L147" s="616">
        <v>8</v>
      </c>
      <c r="M147" s="616">
        <v>0.21</v>
      </c>
      <c r="N147" s="616">
        <v>0.6</v>
      </c>
      <c r="O147" s="616">
        <v>36.5</v>
      </c>
      <c r="P147" s="616">
        <v>45.31</v>
      </c>
    </row>
    <row r="148" spans="1:16" x14ac:dyDescent="0.3">
      <c r="A148" s="615">
        <v>40526</v>
      </c>
      <c r="B148" s="614" t="s">
        <v>257</v>
      </c>
      <c r="C148" s="614" t="s">
        <v>197</v>
      </c>
      <c r="D148" s="614">
        <v>100</v>
      </c>
      <c r="E148" s="616">
        <v>83.85</v>
      </c>
      <c r="F148" s="616">
        <v>8385</v>
      </c>
      <c r="G148" s="614" t="s">
        <v>258</v>
      </c>
      <c r="H148" s="614">
        <v>2010239</v>
      </c>
      <c r="I148" s="614" t="s">
        <v>199</v>
      </c>
      <c r="J148" s="614" t="s">
        <v>200</v>
      </c>
      <c r="K148" s="614" t="s">
        <v>201</v>
      </c>
      <c r="L148" s="616">
        <v>10</v>
      </c>
      <c r="M148" s="616">
        <v>0.28999999999999998</v>
      </c>
      <c r="N148" s="616">
        <v>0.84</v>
      </c>
      <c r="O148" s="616">
        <v>50.87</v>
      </c>
      <c r="P148" s="616">
        <v>62</v>
      </c>
    </row>
    <row r="149" spans="1:16" x14ac:dyDescent="0.3">
      <c r="A149" s="615">
        <v>40518</v>
      </c>
      <c r="B149" s="614" t="s">
        <v>257</v>
      </c>
      <c r="C149" s="614" t="s">
        <v>197</v>
      </c>
      <c r="D149" s="614">
        <v>100</v>
      </c>
      <c r="E149" s="616">
        <v>110.75</v>
      </c>
      <c r="F149" s="616">
        <v>11075</v>
      </c>
      <c r="G149" s="614" t="s">
        <v>259</v>
      </c>
      <c r="H149" s="614">
        <v>2010233</v>
      </c>
      <c r="I149" s="614" t="s">
        <v>199</v>
      </c>
      <c r="J149" s="614" t="s">
        <v>200</v>
      </c>
      <c r="K149" s="614" t="s">
        <v>201</v>
      </c>
      <c r="L149" s="616">
        <v>14</v>
      </c>
      <c r="M149" s="616">
        <v>0.39</v>
      </c>
      <c r="N149" s="616">
        <v>1.1100000000000001</v>
      </c>
      <c r="O149" s="616">
        <v>67.180000000000007</v>
      </c>
      <c r="P149" s="616">
        <v>82.68</v>
      </c>
    </row>
    <row r="150" spans="1:16" x14ac:dyDescent="0.3">
      <c r="A150" s="615">
        <v>40511</v>
      </c>
      <c r="B150" s="614" t="s">
        <v>255</v>
      </c>
      <c r="C150" s="614" t="s">
        <v>197</v>
      </c>
      <c r="D150" s="614">
        <v>500</v>
      </c>
      <c r="E150" s="616">
        <v>12.65</v>
      </c>
      <c r="F150" s="616">
        <v>6325</v>
      </c>
      <c r="G150" s="614" t="s">
        <v>260</v>
      </c>
      <c r="H150" s="614">
        <v>2010228</v>
      </c>
      <c r="I150" s="614" t="s">
        <v>199</v>
      </c>
      <c r="J150" s="614" t="s">
        <v>200</v>
      </c>
      <c r="K150" s="614" t="s">
        <v>201</v>
      </c>
      <c r="L150" s="616">
        <v>7.91</v>
      </c>
      <c r="M150" s="616">
        <v>0.22</v>
      </c>
      <c r="N150" s="616">
        <v>0.63</v>
      </c>
      <c r="O150" s="616">
        <v>38.4</v>
      </c>
      <c r="P150" s="616">
        <v>47.16</v>
      </c>
    </row>
    <row r="151" spans="1:16" x14ac:dyDescent="0.3">
      <c r="A151" s="615">
        <v>40511</v>
      </c>
      <c r="B151" s="614" t="s">
        <v>257</v>
      </c>
      <c r="C151" s="614" t="s">
        <v>197</v>
      </c>
      <c r="D151" s="614">
        <v>100</v>
      </c>
      <c r="E151" s="616">
        <v>150</v>
      </c>
      <c r="F151" s="616">
        <v>15000</v>
      </c>
      <c r="G151" s="614" t="s">
        <v>261</v>
      </c>
      <c r="H151" s="614">
        <v>2010228</v>
      </c>
      <c r="I151" s="614" t="s">
        <v>199</v>
      </c>
      <c r="J151" s="614" t="s">
        <v>200</v>
      </c>
      <c r="K151" s="614" t="s">
        <v>201</v>
      </c>
      <c r="L151" s="616">
        <v>0</v>
      </c>
      <c r="M151" s="616">
        <v>0.53</v>
      </c>
      <c r="N151" s="616">
        <v>0.3</v>
      </c>
      <c r="O151" s="616">
        <v>0</v>
      </c>
      <c r="P151" s="616">
        <v>0.83</v>
      </c>
    </row>
    <row r="152" spans="1:16" x14ac:dyDescent="0.3">
      <c r="A152" s="615">
        <v>40508</v>
      </c>
      <c r="B152" s="614" t="s">
        <v>242</v>
      </c>
      <c r="C152" s="614" t="s">
        <v>197</v>
      </c>
      <c r="D152" s="614">
        <v>300</v>
      </c>
      <c r="E152" s="616">
        <v>41.25</v>
      </c>
      <c r="F152" s="616">
        <v>12375</v>
      </c>
      <c r="G152" s="614" t="s">
        <v>262</v>
      </c>
      <c r="H152" s="614">
        <v>2010227</v>
      </c>
      <c r="I152" s="614" t="s">
        <v>199</v>
      </c>
      <c r="J152" s="614" t="s">
        <v>200</v>
      </c>
      <c r="K152" s="614" t="s">
        <v>201</v>
      </c>
      <c r="L152" s="616">
        <v>15</v>
      </c>
      <c r="M152" s="616">
        <v>0.43</v>
      </c>
      <c r="N152" s="616">
        <v>1.24</v>
      </c>
      <c r="O152" s="616">
        <v>75.09</v>
      </c>
      <c r="P152" s="616">
        <v>91.76</v>
      </c>
    </row>
    <row r="153" spans="1:16" x14ac:dyDescent="0.3">
      <c r="A153" s="615">
        <v>40501</v>
      </c>
      <c r="B153" s="614" t="s">
        <v>255</v>
      </c>
      <c r="C153" s="614" t="s">
        <v>197</v>
      </c>
      <c r="D153" s="614">
        <v>1000</v>
      </c>
      <c r="E153" s="616">
        <v>13.5</v>
      </c>
      <c r="F153" s="616">
        <v>13500</v>
      </c>
      <c r="G153" s="614" t="s">
        <v>263</v>
      </c>
      <c r="H153" s="614">
        <v>201011165</v>
      </c>
      <c r="I153" s="614" t="s">
        <v>199</v>
      </c>
      <c r="J153" s="614" t="s">
        <v>200</v>
      </c>
      <c r="K153" s="614" t="s">
        <v>204</v>
      </c>
      <c r="L153" s="616">
        <v>16.88</v>
      </c>
      <c r="M153" s="616">
        <v>0.5</v>
      </c>
      <c r="N153" s="616">
        <v>1.4</v>
      </c>
      <c r="O153" s="616">
        <v>82</v>
      </c>
      <c r="P153" s="616">
        <v>100.78</v>
      </c>
    </row>
    <row r="154" spans="1:16" x14ac:dyDescent="0.3">
      <c r="A154" s="615">
        <v>40497</v>
      </c>
      <c r="B154" s="614" t="s">
        <v>264</v>
      </c>
      <c r="C154" s="614" t="s">
        <v>197</v>
      </c>
      <c r="D154" s="614">
        <v>700</v>
      </c>
      <c r="E154" s="616">
        <v>34.35</v>
      </c>
      <c r="F154" s="616">
        <v>24045</v>
      </c>
      <c r="G154" s="614" t="s">
        <v>265</v>
      </c>
      <c r="H154" s="614">
        <v>201011162</v>
      </c>
      <c r="I154" s="614" t="s">
        <v>199</v>
      </c>
      <c r="J154" s="614" t="s">
        <v>200</v>
      </c>
      <c r="K154" s="614" t="s">
        <v>204</v>
      </c>
      <c r="L154" s="616">
        <v>30.06</v>
      </c>
      <c r="M154" s="616">
        <v>0.84</v>
      </c>
      <c r="N154" s="616">
        <v>2.38</v>
      </c>
      <c r="O154" s="616">
        <v>145.88</v>
      </c>
      <c r="P154" s="616">
        <v>179.16</v>
      </c>
    </row>
    <row r="155" spans="1:16" x14ac:dyDescent="0.3">
      <c r="A155" s="615">
        <v>40494</v>
      </c>
      <c r="B155" s="614" t="s">
        <v>266</v>
      </c>
      <c r="C155" s="614" t="s">
        <v>197</v>
      </c>
      <c r="D155" s="614">
        <v>50</v>
      </c>
      <c r="E155" s="616">
        <v>285.5</v>
      </c>
      <c r="F155" s="616">
        <v>14275</v>
      </c>
      <c r="G155" s="614" t="s">
        <v>267</v>
      </c>
      <c r="H155" s="614">
        <v>2010218</v>
      </c>
      <c r="I155" s="614" t="s">
        <v>199</v>
      </c>
      <c r="J155" s="614" t="s">
        <v>200</v>
      </c>
      <c r="K155" s="614" t="s">
        <v>201</v>
      </c>
      <c r="L155" s="616">
        <v>17.84</v>
      </c>
      <c r="M155" s="616">
        <v>0.5</v>
      </c>
      <c r="N155" s="616">
        <v>1.44</v>
      </c>
      <c r="O155" s="616">
        <v>86.6</v>
      </c>
      <c r="P155" s="616">
        <v>106.38</v>
      </c>
    </row>
    <row r="156" spans="1:16" x14ac:dyDescent="0.3">
      <c r="A156" s="615">
        <v>40494</v>
      </c>
      <c r="B156" s="614" t="s">
        <v>268</v>
      </c>
      <c r="C156" s="614" t="s">
        <v>197</v>
      </c>
      <c r="D156" s="614">
        <v>2000</v>
      </c>
      <c r="E156" s="616">
        <v>5.35</v>
      </c>
      <c r="F156" s="616">
        <v>10700</v>
      </c>
      <c r="G156" s="614" t="s">
        <v>269</v>
      </c>
      <c r="H156" s="614">
        <v>2010218</v>
      </c>
      <c r="I156" s="614" t="s">
        <v>199</v>
      </c>
      <c r="J156" s="614" t="s">
        <v>200</v>
      </c>
      <c r="K156" s="614" t="s">
        <v>201</v>
      </c>
      <c r="L156" s="616">
        <v>13.38</v>
      </c>
      <c r="M156" s="616">
        <v>0.4</v>
      </c>
      <c r="N156" s="616">
        <v>1</v>
      </c>
      <c r="O156" s="616">
        <v>64.790000000000006</v>
      </c>
      <c r="P156" s="616">
        <v>79.569999999999993</v>
      </c>
    </row>
    <row r="157" spans="1:16" x14ac:dyDescent="0.3">
      <c r="A157" s="615">
        <v>40494</v>
      </c>
      <c r="B157" s="614" t="s">
        <v>266</v>
      </c>
      <c r="C157" s="614" t="s">
        <v>197</v>
      </c>
      <c r="D157" s="614">
        <v>75</v>
      </c>
      <c r="E157" s="616">
        <v>268.5</v>
      </c>
      <c r="F157" s="616">
        <v>20137.5</v>
      </c>
      <c r="G157" s="614" t="s">
        <v>270</v>
      </c>
      <c r="H157" s="614">
        <v>2010218</v>
      </c>
      <c r="I157" s="614" t="s">
        <v>199</v>
      </c>
      <c r="J157" s="614" t="s">
        <v>200</v>
      </c>
      <c r="K157" s="614" t="s">
        <v>201</v>
      </c>
      <c r="L157" s="616">
        <v>25.17</v>
      </c>
      <c r="M157" s="616">
        <v>0.71</v>
      </c>
      <c r="N157" s="616">
        <v>2.02</v>
      </c>
      <c r="O157" s="616">
        <v>122.17</v>
      </c>
      <c r="P157" s="616">
        <v>150.06</v>
      </c>
    </row>
    <row r="158" spans="1:16" x14ac:dyDescent="0.3">
      <c r="A158" s="615">
        <v>40491</v>
      </c>
      <c r="B158" s="614" t="s">
        <v>238</v>
      </c>
      <c r="C158" s="614" t="s">
        <v>197</v>
      </c>
      <c r="D158" s="614">
        <v>50</v>
      </c>
      <c r="E158" s="616">
        <v>172</v>
      </c>
      <c r="F158" s="616">
        <v>8600</v>
      </c>
      <c r="G158" s="614" t="s">
        <v>271</v>
      </c>
      <c r="H158" s="614">
        <v>201011158</v>
      </c>
      <c r="I158" s="614" t="s">
        <v>199</v>
      </c>
      <c r="J158" s="614" t="s">
        <v>200</v>
      </c>
      <c r="K158" s="614" t="s">
        <v>204</v>
      </c>
      <c r="L158" s="616">
        <v>10.75</v>
      </c>
      <c r="M158" s="616">
        <v>0.31</v>
      </c>
      <c r="N158" s="616">
        <v>0.86</v>
      </c>
      <c r="O158" s="616">
        <v>52.17</v>
      </c>
      <c r="P158" s="616">
        <v>64.09</v>
      </c>
    </row>
    <row r="159" spans="1:16" x14ac:dyDescent="0.3">
      <c r="A159" s="615">
        <v>40491</v>
      </c>
      <c r="B159" s="614" t="s">
        <v>242</v>
      </c>
      <c r="C159" s="614" t="s">
        <v>197</v>
      </c>
      <c r="D159" s="614">
        <v>250</v>
      </c>
      <c r="E159" s="616">
        <v>62.8</v>
      </c>
      <c r="F159" s="616">
        <v>15700</v>
      </c>
      <c r="G159" s="614" t="s">
        <v>272</v>
      </c>
      <c r="H159" s="614">
        <v>2010215</v>
      </c>
      <c r="I159" s="614" t="s">
        <v>199</v>
      </c>
      <c r="J159" s="614" t="s">
        <v>200</v>
      </c>
      <c r="K159" s="614" t="s">
        <v>201</v>
      </c>
      <c r="L159" s="616">
        <v>19.63</v>
      </c>
      <c r="M159" s="616">
        <v>0.55000000000000004</v>
      </c>
      <c r="N159" s="616">
        <v>1.58</v>
      </c>
      <c r="O159" s="616">
        <v>95.25</v>
      </c>
      <c r="P159" s="616">
        <v>117.01</v>
      </c>
    </row>
    <row r="160" spans="1:16" x14ac:dyDescent="0.3">
      <c r="A160" s="615">
        <v>40490</v>
      </c>
      <c r="B160" s="614" t="s">
        <v>238</v>
      </c>
      <c r="C160" s="614" t="s">
        <v>197</v>
      </c>
      <c r="D160" s="614">
        <v>100</v>
      </c>
      <c r="E160" s="616">
        <v>173.2</v>
      </c>
      <c r="F160" s="616">
        <v>17320</v>
      </c>
      <c r="G160" s="614" t="s">
        <v>273</v>
      </c>
      <c r="H160" s="614">
        <v>2010214</v>
      </c>
      <c r="I160" s="614" t="s">
        <v>199</v>
      </c>
      <c r="J160" s="614" t="s">
        <v>200</v>
      </c>
      <c r="K160" s="614" t="s">
        <v>201</v>
      </c>
      <c r="L160" s="616">
        <v>21.65</v>
      </c>
      <c r="M160" s="616">
        <v>0.61</v>
      </c>
      <c r="N160" s="616">
        <v>1.73</v>
      </c>
      <c r="O160" s="616">
        <v>105.07</v>
      </c>
      <c r="P160" s="616">
        <v>129.06</v>
      </c>
    </row>
    <row r="161" spans="1:16" x14ac:dyDescent="0.3">
      <c r="A161" s="615">
        <v>40490</v>
      </c>
      <c r="B161" s="614" t="s">
        <v>242</v>
      </c>
      <c r="C161" s="614" t="s">
        <v>197</v>
      </c>
      <c r="D161" s="614">
        <v>250</v>
      </c>
      <c r="E161" s="616">
        <v>63.25</v>
      </c>
      <c r="F161" s="616">
        <v>15812.5</v>
      </c>
      <c r="G161" s="614" t="s">
        <v>274</v>
      </c>
      <c r="H161" s="614">
        <v>2010214</v>
      </c>
      <c r="I161" s="614" t="s">
        <v>199</v>
      </c>
      <c r="J161" s="614" t="s">
        <v>200</v>
      </c>
      <c r="K161" s="614" t="s">
        <v>201</v>
      </c>
      <c r="L161" s="616">
        <v>19.77</v>
      </c>
      <c r="M161" s="616">
        <v>0.55000000000000004</v>
      </c>
      <c r="N161" s="616">
        <v>1.58</v>
      </c>
      <c r="O161" s="616">
        <v>95.93</v>
      </c>
      <c r="P161" s="616">
        <v>117.83</v>
      </c>
    </row>
    <row r="162" spans="1:16" x14ac:dyDescent="0.3">
      <c r="A162" s="615">
        <v>40484</v>
      </c>
      <c r="B162" s="614" t="s">
        <v>257</v>
      </c>
      <c r="C162" s="614" t="s">
        <v>197</v>
      </c>
      <c r="D162" s="614">
        <v>100</v>
      </c>
      <c r="E162" s="616">
        <v>136.30000000000001</v>
      </c>
      <c r="F162" s="616">
        <v>13630</v>
      </c>
      <c r="G162" s="614" t="s">
        <v>275</v>
      </c>
      <c r="H162" s="614">
        <v>201011153</v>
      </c>
      <c r="I162" s="614" t="s">
        <v>199</v>
      </c>
      <c r="J162" s="614" t="s">
        <v>200</v>
      </c>
      <c r="K162" s="614" t="s">
        <v>204</v>
      </c>
      <c r="L162" s="616">
        <v>17.04</v>
      </c>
      <c r="M162" s="616">
        <v>0.49</v>
      </c>
      <c r="N162" s="616">
        <v>1.36</v>
      </c>
      <c r="O162" s="616">
        <v>82.69</v>
      </c>
      <c r="P162" s="616">
        <v>101.58</v>
      </c>
    </row>
    <row r="163" spans="1:16" x14ac:dyDescent="0.3">
      <c r="A163" s="615">
        <v>40479</v>
      </c>
      <c r="B163" s="614" t="s">
        <v>257</v>
      </c>
      <c r="C163" s="614" t="s">
        <v>197</v>
      </c>
      <c r="D163" s="614">
        <v>51</v>
      </c>
      <c r="E163" s="616">
        <v>138.44999999999999</v>
      </c>
      <c r="F163" s="616">
        <v>7060.95</v>
      </c>
      <c r="G163" s="614" t="s">
        <v>276</v>
      </c>
      <c r="H163" s="614">
        <v>2010207</v>
      </c>
      <c r="I163" s="614" t="s">
        <v>199</v>
      </c>
      <c r="J163" s="614" t="s">
        <v>200</v>
      </c>
      <c r="K163" s="614" t="s">
        <v>201</v>
      </c>
      <c r="L163" s="616">
        <v>8.83</v>
      </c>
      <c r="M163" s="616">
        <v>0.24</v>
      </c>
      <c r="N163" s="616">
        <v>0.7</v>
      </c>
      <c r="O163" s="616">
        <v>42.83</v>
      </c>
      <c r="P163" s="616">
        <v>52.61</v>
      </c>
    </row>
    <row r="164" spans="1:16" x14ac:dyDescent="0.3">
      <c r="A164" s="615">
        <v>40478</v>
      </c>
      <c r="B164" s="614" t="s">
        <v>266</v>
      </c>
      <c r="C164" s="614" t="s">
        <v>197</v>
      </c>
      <c r="D164" s="614">
        <v>100</v>
      </c>
      <c r="E164" s="616">
        <v>264</v>
      </c>
      <c r="F164" s="616">
        <v>26400</v>
      </c>
      <c r="G164" s="614" t="s">
        <v>277</v>
      </c>
      <c r="H164" s="614">
        <v>201011149</v>
      </c>
      <c r="I164" s="614" t="s">
        <v>199</v>
      </c>
      <c r="J164" s="614" t="s">
        <v>200</v>
      </c>
      <c r="K164" s="614" t="s">
        <v>204</v>
      </c>
      <c r="L164" s="616">
        <v>33</v>
      </c>
      <c r="M164" s="616">
        <v>0.95</v>
      </c>
      <c r="N164" s="616">
        <v>2.64</v>
      </c>
      <c r="O164" s="616">
        <v>160.16</v>
      </c>
      <c r="P164" s="616">
        <v>196.75</v>
      </c>
    </row>
    <row r="165" spans="1:16" x14ac:dyDescent="0.3">
      <c r="A165" s="615">
        <v>40478</v>
      </c>
      <c r="B165" s="614" t="s">
        <v>257</v>
      </c>
      <c r="C165" s="614" t="s">
        <v>197</v>
      </c>
      <c r="D165" s="614">
        <v>49</v>
      </c>
      <c r="E165" s="616">
        <v>139.5</v>
      </c>
      <c r="F165" s="616">
        <v>6835.5</v>
      </c>
      <c r="G165" s="614" t="s">
        <v>280</v>
      </c>
      <c r="H165" s="614">
        <v>201011149</v>
      </c>
      <c r="I165" s="614" t="s">
        <v>199</v>
      </c>
      <c r="J165" s="614" t="s">
        <v>200</v>
      </c>
      <c r="K165" s="614" t="s">
        <v>204</v>
      </c>
      <c r="L165" s="616">
        <v>8.5399999999999991</v>
      </c>
      <c r="M165" s="616">
        <v>0.25</v>
      </c>
      <c r="N165" s="616">
        <v>0.69</v>
      </c>
      <c r="O165" s="616">
        <v>41.47</v>
      </c>
      <c r="P165" s="616">
        <v>50.94</v>
      </c>
    </row>
    <row r="166" spans="1:16" x14ac:dyDescent="0.3">
      <c r="A166" s="615">
        <v>40477</v>
      </c>
      <c r="B166" s="614" t="s">
        <v>235</v>
      </c>
      <c r="C166" s="614" t="s">
        <v>197</v>
      </c>
      <c r="D166" s="614">
        <v>3000</v>
      </c>
      <c r="E166" s="616">
        <v>25.65</v>
      </c>
      <c r="F166" s="616">
        <v>76950</v>
      </c>
      <c r="G166" s="614" t="s">
        <v>281</v>
      </c>
      <c r="H166" s="614">
        <v>201011148</v>
      </c>
      <c r="I166" s="614" t="s">
        <v>199</v>
      </c>
      <c r="J166" s="614" t="s">
        <v>200</v>
      </c>
      <c r="K166" s="614" t="s">
        <v>204</v>
      </c>
      <c r="L166" s="616">
        <v>96.19</v>
      </c>
      <c r="M166" s="616">
        <v>2.7</v>
      </c>
      <c r="N166" s="616">
        <v>7.8</v>
      </c>
      <c r="O166" s="616">
        <v>466.8</v>
      </c>
      <c r="P166" s="616">
        <v>573.49</v>
      </c>
    </row>
    <row r="167" spans="1:16" x14ac:dyDescent="0.3">
      <c r="A167" s="615">
        <v>40470</v>
      </c>
      <c r="B167" s="614" t="s">
        <v>282</v>
      </c>
      <c r="C167" s="614" t="s">
        <v>197</v>
      </c>
      <c r="D167" s="614">
        <v>1000</v>
      </c>
      <c r="E167" s="616">
        <v>39.9</v>
      </c>
      <c r="F167" s="616">
        <v>39900</v>
      </c>
      <c r="G167" s="614" t="s">
        <v>283</v>
      </c>
      <c r="H167" s="614">
        <v>2010200</v>
      </c>
      <c r="I167" s="614" t="s">
        <v>199</v>
      </c>
      <c r="J167" s="614" t="s">
        <v>200</v>
      </c>
      <c r="K167" s="614" t="s">
        <v>201</v>
      </c>
      <c r="L167" s="616">
        <v>49.88</v>
      </c>
      <c r="M167" s="616">
        <v>1.4</v>
      </c>
      <c r="N167" s="616">
        <v>4</v>
      </c>
      <c r="O167" s="616">
        <v>242.1</v>
      </c>
      <c r="P167" s="616">
        <v>297.38</v>
      </c>
    </row>
    <row r="168" spans="1:16" x14ac:dyDescent="0.3">
      <c r="A168" s="615">
        <v>40457</v>
      </c>
      <c r="B168" s="614" t="s">
        <v>284</v>
      </c>
      <c r="C168" s="614" t="s">
        <v>197</v>
      </c>
      <c r="D168" s="614">
        <v>100</v>
      </c>
      <c r="E168" s="616">
        <v>791</v>
      </c>
      <c r="F168" s="616">
        <v>79100</v>
      </c>
      <c r="G168" s="614" t="s">
        <v>285</v>
      </c>
      <c r="H168" s="614">
        <v>201011134</v>
      </c>
      <c r="I168" s="614" t="s">
        <v>199</v>
      </c>
      <c r="J168" s="614" t="s">
        <v>200</v>
      </c>
      <c r="K168" s="614" t="s">
        <v>204</v>
      </c>
      <c r="L168" s="616">
        <v>98.88</v>
      </c>
      <c r="M168" s="616">
        <v>2.85</v>
      </c>
      <c r="N168" s="616">
        <v>7.91</v>
      </c>
      <c r="O168" s="616">
        <v>479.86</v>
      </c>
      <c r="P168" s="616">
        <v>589.5</v>
      </c>
    </row>
    <row r="169" spans="1:16" x14ac:dyDescent="0.3">
      <c r="A169" s="615">
        <v>40457</v>
      </c>
      <c r="B169" s="614" t="s">
        <v>284</v>
      </c>
      <c r="C169" s="614" t="s">
        <v>197</v>
      </c>
      <c r="D169" s="614">
        <v>50</v>
      </c>
      <c r="E169" s="616">
        <v>789.66</v>
      </c>
      <c r="F169" s="616">
        <v>39483</v>
      </c>
      <c r="G169" s="614" t="s">
        <v>286</v>
      </c>
      <c r="H169" s="614">
        <v>2010191</v>
      </c>
      <c r="I169" s="614" t="s">
        <v>199</v>
      </c>
      <c r="J169" s="614" t="s">
        <v>200</v>
      </c>
      <c r="K169" s="614" t="s">
        <v>201</v>
      </c>
      <c r="L169" s="616">
        <v>49.35</v>
      </c>
      <c r="M169" s="616">
        <v>1.38</v>
      </c>
      <c r="N169" s="616">
        <v>3.95</v>
      </c>
      <c r="O169" s="616">
        <v>239.52</v>
      </c>
      <c r="P169" s="616">
        <v>294.2</v>
      </c>
    </row>
    <row r="170" spans="1:16" x14ac:dyDescent="0.3">
      <c r="A170" s="615">
        <v>40457</v>
      </c>
      <c r="B170" s="614" t="s">
        <v>235</v>
      </c>
      <c r="C170" s="614" t="s">
        <v>197</v>
      </c>
      <c r="D170" s="614">
        <v>500</v>
      </c>
      <c r="E170" s="616">
        <v>21.7</v>
      </c>
      <c r="F170" s="616">
        <v>10850</v>
      </c>
      <c r="G170" s="614" t="s">
        <v>287</v>
      </c>
      <c r="H170" s="614">
        <v>2010191</v>
      </c>
      <c r="I170" s="614" t="s">
        <v>199</v>
      </c>
      <c r="J170" s="614" t="s">
        <v>200</v>
      </c>
      <c r="K170" s="614" t="s">
        <v>201</v>
      </c>
      <c r="L170" s="616">
        <v>0</v>
      </c>
      <c r="M170" s="616">
        <v>0.4</v>
      </c>
      <c r="N170" s="616">
        <v>0.2</v>
      </c>
      <c r="O170" s="616">
        <v>0</v>
      </c>
      <c r="P170" s="616">
        <v>0.6</v>
      </c>
    </row>
    <row r="171" spans="1:16" x14ac:dyDescent="0.3">
      <c r="A171" s="615">
        <v>40457</v>
      </c>
      <c r="B171" s="614" t="s">
        <v>235</v>
      </c>
      <c r="C171" s="614" t="s">
        <v>197</v>
      </c>
      <c r="D171" s="614">
        <v>500</v>
      </c>
      <c r="E171" s="616">
        <v>21.7</v>
      </c>
      <c r="F171" s="616">
        <v>10850</v>
      </c>
      <c r="G171" s="614" t="s">
        <v>288</v>
      </c>
      <c r="H171" s="614">
        <v>2010191</v>
      </c>
      <c r="I171" s="614" t="s">
        <v>199</v>
      </c>
      <c r="J171" s="614" t="s">
        <v>200</v>
      </c>
      <c r="K171" s="614" t="s">
        <v>201</v>
      </c>
      <c r="L171" s="616">
        <v>0</v>
      </c>
      <c r="M171" s="616">
        <v>0.4</v>
      </c>
      <c r="N171" s="616">
        <v>0.2</v>
      </c>
      <c r="O171" s="616">
        <v>0</v>
      </c>
      <c r="P171" s="616">
        <v>0.6</v>
      </c>
    </row>
    <row r="172" spans="1:16" x14ac:dyDescent="0.3">
      <c r="A172" s="615">
        <v>40444</v>
      </c>
      <c r="B172" s="614" t="s">
        <v>235</v>
      </c>
      <c r="C172" s="614" t="s">
        <v>197</v>
      </c>
      <c r="D172" s="614">
        <v>500</v>
      </c>
      <c r="E172" s="616">
        <v>21.15</v>
      </c>
      <c r="F172" s="616">
        <v>10575</v>
      </c>
      <c r="G172" s="614" t="s">
        <v>289</v>
      </c>
      <c r="H172" s="614">
        <v>201011125</v>
      </c>
      <c r="I172" s="614" t="s">
        <v>199</v>
      </c>
      <c r="J172" s="614" t="s">
        <v>200</v>
      </c>
      <c r="K172" s="614" t="s">
        <v>204</v>
      </c>
      <c r="L172" s="616">
        <v>13.22</v>
      </c>
      <c r="M172" s="616">
        <v>0.4</v>
      </c>
      <c r="N172" s="616">
        <v>1.05</v>
      </c>
      <c r="O172" s="616">
        <v>64.150000000000006</v>
      </c>
      <c r="P172" s="616">
        <v>78.819999999999993</v>
      </c>
    </row>
    <row r="173" spans="1:16" x14ac:dyDescent="0.3">
      <c r="A173" s="615">
        <v>40442</v>
      </c>
      <c r="B173" s="614" t="s">
        <v>235</v>
      </c>
      <c r="C173" s="614" t="s">
        <v>197</v>
      </c>
      <c r="D173" s="614">
        <v>300</v>
      </c>
      <c r="E173" s="616">
        <v>21</v>
      </c>
      <c r="F173" s="616">
        <v>6300</v>
      </c>
      <c r="G173" s="614" t="s">
        <v>290</v>
      </c>
      <c r="H173" s="614">
        <v>2010180</v>
      </c>
      <c r="I173" s="614" t="s">
        <v>199</v>
      </c>
      <c r="J173" s="614" t="s">
        <v>200</v>
      </c>
      <c r="K173" s="614" t="s">
        <v>201</v>
      </c>
      <c r="L173" s="616">
        <v>7.88</v>
      </c>
      <c r="M173" s="616">
        <v>0.21</v>
      </c>
      <c r="N173" s="616">
        <v>0.63</v>
      </c>
      <c r="O173" s="616">
        <v>38.22</v>
      </c>
      <c r="P173" s="616">
        <v>46.94</v>
      </c>
    </row>
    <row r="174" spans="1:16" x14ac:dyDescent="0.3">
      <c r="A174" s="615">
        <v>40438</v>
      </c>
      <c r="B174" s="614" t="s">
        <v>235</v>
      </c>
      <c r="C174" s="614" t="s">
        <v>197</v>
      </c>
      <c r="D174" s="614">
        <v>1200</v>
      </c>
      <c r="E174" s="616">
        <v>22</v>
      </c>
      <c r="F174" s="616">
        <v>26400</v>
      </c>
      <c r="G174" s="614" t="s">
        <v>291</v>
      </c>
      <c r="H174" s="614">
        <v>2010178</v>
      </c>
      <c r="I174" s="614" t="s">
        <v>199</v>
      </c>
      <c r="J174" s="614" t="s">
        <v>200</v>
      </c>
      <c r="K174" s="614" t="s">
        <v>201</v>
      </c>
      <c r="L174" s="616">
        <v>33</v>
      </c>
      <c r="M174" s="616">
        <v>0.96</v>
      </c>
      <c r="N174" s="616">
        <v>2.64</v>
      </c>
      <c r="O174" s="616">
        <v>160.19999999999999</v>
      </c>
      <c r="P174" s="616">
        <v>196.8</v>
      </c>
    </row>
    <row r="175" spans="1:16" x14ac:dyDescent="0.3">
      <c r="A175" s="615">
        <v>40434</v>
      </c>
      <c r="B175" s="614" t="s">
        <v>292</v>
      </c>
      <c r="C175" s="614" t="s">
        <v>197</v>
      </c>
      <c r="D175" s="614">
        <v>250</v>
      </c>
      <c r="E175" s="616">
        <v>44.15</v>
      </c>
      <c r="F175" s="616">
        <v>11037.5</v>
      </c>
      <c r="G175" s="614" t="s">
        <v>293</v>
      </c>
      <c r="H175" s="614">
        <v>201011117</v>
      </c>
      <c r="I175" s="614" t="s">
        <v>199</v>
      </c>
      <c r="J175" s="614" t="s">
        <v>200</v>
      </c>
      <c r="K175" s="614" t="s">
        <v>204</v>
      </c>
      <c r="L175" s="616">
        <v>13.8</v>
      </c>
      <c r="M175" s="616">
        <v>0.4</v>
      </c>
      <c r="N175" s="616">
        <v>1.1100000000000001</v>
      </c>
      <c r="O175" s="616">
        <v>66.95</v>
      </c>
      <c r="P175" s="616">
        <v>82.26</v>
      </c>
    </row>
    <row r="176" spans="1:16" x14ac:dyDescent="0.3">
      <c r="A176" s="615">
        <v>40434</v>
      </c>
      <c r="B176" s="614" t="s">
        <v>294</v>
      </c>
      <c r="C176" s="614" t="s">
        <v>197</v>
      </c>
      <c r="D176" s="614">
        <v>40</v>
      </c>
      <c r="E176" s="616">
        <v>664.2</v>
      </c>
      <c r="F176" s="616">
        <v>26568</v>
      </c>
      <c r="G176" s="614" t="s">
        <v>295</v>
      </c>
      <c r="H176" s="614">
        <v>2010174</v>
      </c>
      <c r="I176" s="614" t="s">
        <v>199</v>
      </c>
      <c r="J176" s="614" t="s">
        <v>200</v>
      </c>
      <c r="K176" s="614" t="s">
        <v>201</v>
      </c>
      <c r="L176" s="616">
        <v>0</v>
      </c>
      <c r="M176" s="616">
        <v>0.93</v>
      </c>
      <c r="N176" s="616">
        <v>0.53</v>
      </c>
      <c r="O176" s="616">
        <v>161.18</v>
      </c>
      <c r="P176" s="616">
        <v>162.63999999999999</v>
      </c>
    </row>
    <row r="177" spans="1:16" x14ac:dyDescent="0.3">
      <c r="A177" s="615">
        <v>40424</v>
      </c>
      <c r="B177" s="614" t="s">
        <v>296</v>
      </c>
      <c r="C177" s="614" t="s">
        <v>197</v>
      </c>
      <c r="D177" s="614">
        <v>60</v>
      </c>
      <c r="E177" s="616">
        <v>182</v>
      </c>
      <c r="F177" s="616">
        <v>10920</v>
      </c>
      <c r="G177" s="614" t="s">
        <v>297</v>
      </c>
      <c r="H177" s="614">
        <v>201011112</v>
      </c>
      <c r="I177" s="614" t="s">
        <v>199</v>
      </c>
      <c r="J177" s="614" t="s">
        <v>200</v>
      </c>
      <c r="K177" s="614" t="s">
        <v>204</v>
      </c>
      <c r="L177" s="616">
        <v>13.65</v>
      </c>
      <c r="M177" s="616">
        <v>0.4</v>
      </c>
      <c r="N177" s="616">
        <v>1.1000000000000001</v>
      </c>
      <c r="O177" s="616">
        <v>66.25</v>
      </c>
      <c r="P177" s="616">
        <v>81.39</v>
      </c>
    </row>
    <row r="178" spans="1:16" x14ac:dyDescent="0.3">
      <c r="A178" s="615">
        <v>40417</v>
      </c>
      <c r="B178" s="614" t="s">
        <v>298</v>
      </c>
      <c r="C178" s="614" t="s">
        <v>197</v>
      </c>
      <c r="D178" s="614">
        <v>1000</v>
      </c>
      <c r="E178" s="616">
        <v>20.45</v>
      </c>
      <c r="F178" s="616">
        <v>20450</v>
      </c>
      <c r="G178" s="614" t="s">
        <v>299</v>
      </c>
      <c r="H178" s="614">
        <v>201011107</v>
      </c>
      <c r="I178" s="614" t="s">
        <v>199</v>
      </c>
      <c r="J178" s="614" t="s">
        <v>200</v>
      </c>
      <c r="K178" s="614" t="s">
        <v>204</v>
      </c>
      <c r="L178" s="616">
        <v>25.56</v>
      </c>
      <c r="M178" s="616">
        <v>0.7</v>
      </c>
      <c r="N178" s="616">
        <v>2</v>
      </c>
      <c r="O178" s="616">
        <v>124.1</v>
      </c>
      <c r="P178" s="616">
        <v>152.36000000000001</v>
      </c>
    </row>
    <row r="179" spans="1:16" x14ac:dyDescent="0.3">
      <c r="A179" s="615">
        <v>40417</v>
      </c>
      <c r="B179" s="614" t="s">
        <v>292</v>
      </c>
      <c r="C179" s="614" t="s">
        <v>197</v>
      </c>
      <c r="D179" s="614">
        <v>250</v>
      </c>
      <c r="E179" s="616">
        <v>44.7</v>
      </c>
      <c r="F179" s="616">
        <v>11175</v>
      </c>
      <c r="G179" s="614" t="s">
        <v>300</v>
      </c>
      <c r="H179" s="614">
        <v>2010164</v>
      </c>
      <c r="I179" s="614" t="s">
        <v>199</v>
      </c>
      <c r="J179" s="614" t="s">
        <v>200</v>
      </c>
      <c r="K179" s="614" t="s">
        <v>201</v>
      </c>
      <c r="L179" s="616">
        <v>13.97</v>
      </c>
      <c r="M179" s="616">
        <v>0.4</v>
      </c>
      <c r="N179" s="616">
        <v>1.1299999999999999</v>
      </c>
      <c r="O179" s="616">
        <v>67.8</v>
      </c>
      <c r="P179" s="616">
        <v>83.3</v>
      </c>
    </row>
    <row r="180" spans="1:16" x14ac:dyDescent="0.3">
      <c r="A180" s="615">
        <v>40417</v>
      </c>
      <c r="B180" s="614" t="s">
        <v>292</v>
      </c>
      <c r="C180" s="614" t="s">
        <v>197</v>
      </c>
      <c r="D180" s="614">
        <v>250</v>
      </c>
      <c r="E180" s="616">
        <v>44.3</v>
      </c>
      <c r="F180" s="616">
        <v>11075</v>
      </c>
      <c r="G180" s="614" t="s">
        <v>301</v>
      </c>
      <c r="H180" s="614">
        <v>2010164</v>
      </c>
      <c r="I180" s="614" t="s">
        <v>199</v>
      </c>
      <c r="J180" s="614" t="s">
        <v>200</v>
      </c>
      <c r="K180" s="614" t="s">
        <v>201</v>
      </c>
      <c r="L180" s="616">
        <v>13.84</v>
      </c>
      <c r="M180" s="616">
        <v>0.4</v>
      </c>
      <c r="N180" s="616">
        <v>1.1100000000000001</v>
      </c>
      <c r="O180" s="616">
        <v>67.2</v>
      </c>
      <c r="P180" s="616">
        <v>82.55</v>
      </c>
    </row>
    <row r="181" spans="1:16" x14ac:dyDescent="0.3">
      <c r="A181" s="615">
        <v>40416</v>
      </c>
      <c r="B181" s="614" t="s">
        <v>296</v>
      </c>
      <c r="C181" s="614" t="s">
        <v>197</v>
      </c>
      <c r="D181" s="614">
        <v>40</v>
      </c>
      <c r="E181" s="616">
        <v>187.5</v>
      </c>
      <c r="F181" s="616">
        <v>7500</v>
      </c>
      <c r="G181" s="614" t="s">
        <v>302</v>
      </c>
      <c r="H181" s="614">
        <v>201011106</v>
      </c>
      <c r="I181" s="614" t="s">
        <v>199</v>
      </c>
      <c r="J181" s="614" t="s">
        <v>200</v>
      </c>
      <c r="K181" s="614" t="s">
        <v>204</v>
      </c>
      <c r="L181" s="616">
        <v>9.3800000000000008</v>
      </c>
      <c r="M181" s="616">
        <v>0.27</v>
      </c>
      <c r="N181" s="616">
        <v>0.75</v>
      </c>
      <c r="O181" s="616">
        <v>45.5</v>
      </c>
      <c r="P181" s="616">
        <v>55.9</v>
      </c>
    </row>
    <row r="182" spans="1:16" x14ac:dyDescent="0.3">
      <c r="A182" s="615">
        <v>40414</v>
      </c>
      <c r="B182" s="614" t="s">
        <v>303</v>
      </c>
      <c r="C182" s="614" t="s">
        <v>197</v>
      </c>
      <c r="D182" s="614">
        <v>750</v>
      </c>
      <c r="E182" s="616">
        <v>20.2</v>
      </c>
      <c r="F182" s="616">
        <v>15150</v>
      </c>
      <c r="G182" s="614" t="s">
        <v>304</v>
      </c>
      <c r="H182" s="614">
        <v>201011104</v>
      </c>
      <c r="I182" s="614" t="s">
        <v>199</v>
      </c>
      <c r="J182" s="614" t="s">
        <v>200</v>
      </c>
      <c r="K182" s="614" t="s">
        <v>204</v>
      </c>
      <c r="L182" s="616">
        <v>18.940000000000001</v>
      </c>
      <c r="M182" s="616">
        <v>0.53</v>
      </c>
      <c r="N182" s="616">
        <v>1.5</v>
      </c>
      <c r="O182" s="616">
        <v>91.89</v>
      </c>
      <c r="P182" s="616">
        <v>112.86</v>
      </c>
    </row>
    <row r="183" spans="1:16" x14ac:dyDescent="0.3">
      <c r="A183" s="615">
        <v>40413</v>
      </c>
      <c r="B183" s="614" t="s">
        <v>305</v>
      </c>
      <c r="C183" s="614" t="s">
        <v>197</v>
      </c>
      <c r="D183" s="614">
        <v>1000</v>
      </c>
      <c r="E183" s="616">
        <v>19.2</v>
      </c>
      <c r="F183" s="616">
        <v>19200</v>
      </c>
      <c r="G183" s="614" t="s">
        <v>306</v>
      </c>
      <c r="H183" s="614">
        <v>2010160</v>
      </c>
      <c r="I183" s="614" t="s">
        <v>307</v>
      </c>
      <c r="J183" s="614" t="s">
        <v>200</v>
      </c>
      <c r="K183" s="614" t="s">
        <v>201</v>
      </c>
      <c r="L183" s="616">
        <v>24</v>
      </c>
      <c r="M183" s="616">
        <v>0.7</v>
      </c>
      <c r="N183" s="616">
        <v>1.9</v>
      </c>
      <c r="O183" s="616">
        <v>116.5</v>
      </c>
      <c r="P183" s="616">
        <v>143.1</v>
      </c>
    </row>
    <row r="184" spans="1:16" x14ac:dyDescent="0.3">
      <c r="A184" s="615">
        <v>40402</v>
      </c>
      <c r="B184" s="614" t="s">
        <v>308</v>
      </c>
      <c r="C184" s="614" t="s">
        <v>197</v>
      </c>
      <c r="D184" s="614">
        <v>100</v>
      </c>
      <c r="E184" s="616">
        <v>78.349999999999994</v>
      </c>
      <c r="F184" s="616">
        <v>7835</v>
      </c>
      <c r="G184" s="614" t="s">
        <v>309</v>
      </c>
      <c r="H184" s="614">
        <v>201011096</v>
      </c>
      <c r="I184" s="614" t="s">
        <v>199</v>
      </c>
      <c r="J184" s="614" t="s">
        <v>200</v>
      </c>
      <c r="K184" s="614" t="s">
        <v>204</v>
      </c>
      <c r="L184" s="616">
        <v>9.7899999999999991</v>
      </c>
      <c r="M184" s="616">
        <v>0.28000000000000003</v>
      </c>
      <c r="N184" s="616">
        <v>0.78</v>
      </c>
      <c r="O184" s="616">
        <v>47.53</v>
      </c>
      <c r="P184" s="616">
        <v>58.38</v>
      </c>
    </row>
    <row r="185" spans="1:16" x14ac:dyDescent="0.3">
      <c r="A185" s="615">
        <v>40401</v>
      </c>
      <c r="B185" s="614" t="s">
        <v>310</v>
      </c>
      <c r="C185" s="614" t="s">
        <v>197</v>
      </c>
      <c r="D185" s="614">
        <v>40</v>
      </c>
      <c r="E185" s="616">
        <v>258.5</v>
      </c>
      <c r="F185" s="616">
        <v>10340</v>
      </c>
      <c r="G185" s="614" t="s">
        <v>311</v>
      </c>
      <c r="H185" s="614">
        <v>2010152</v>
      </c>
      <c r="I185" s="614" t="s">
        <v>199</v>
      </c>
      <c r="J185" s="614" t="s">
        <v>200</v>
      </c>
      <c r="K185" s="614" t="s">
        <v>201</v>
      </c>
      <c r="L185" s="616">
        <v>12.93</v>
      </c>
      <c r="M185" s="616">
        <v>0.36</v>
      </c>
      <c r="N185" s="616">
        <v>1.04</v>
      </c>
      <c r="O185" s="616">
        <v>62.73</v>
      </c>
      <c r="P185" s="616">
        <v>77.06</v>
      </c>
    </row>
    <row r="186" spans="1:16" x14ac:dyDescent="0.3">
      <c r="A186" s="615">
        <v>40395</v>
      </c>
      <c r="B186" s="614" t="s">
        <v>312</v>
      </c>
      <c r="C186" s="614" t="s">
        <v>197</v>
      </c>
      <c r="D186" s="614">
        <v>22</v>
      </c>
      <c r="E186" s="616">
        <v>473.05</v>
      </c>
      <c r="F186" s="616">
        <v>10407.1</v>
      </c>
      <c r="G186" s="614" t="s">
        <v>313</v>
      </c>
      <c r="H186" s="614">
        <v>2010148</v>
      </c>
      <c r="I186" s="614" t="s">
        <v>199</v>
      </c>
      <c r="J186" s="614" t="s">
        <v>200</v>
      </c>
      <c r="K186" s="614" t="s">
        <v>201</v>
      </c>
      <c r="L186" s="616">
        <v>13.01</v>
      </c>
      <c r="M186" s="616">
        <v>0.37</v>
      </c>
      <c r="N186" s="616">
        <v>1.04</v>
      </c>
      <c r="O186" s="616">
        <v>63.14</v>
      </c>
      <c r="P186" s="616">
        <v>77.55</v>
      </c>
    </row>
    <row r="187" spans="1:16" x14ac:dyDescent="0.3">
      <c r="A187" s="615">
        <v>40392</v>
      </c>
      <c r="B187" s="614" t="s">
        <v>314</v>
      </c>
      <c r="C187" s="614" t="s">
        <v>197</v>
      </c>
      <c r="D187" s="614">
        <v>25</v>
      </c>
      <c r="E187" s="616">
        <v>433</v>
      </c>
      <c r="F187" s="616">
        <v>10825</v>
      </c>
      <c r="G187" s="614" t="s">
        <v>315</v>
      </c>
      <c r="H187" s="614">
        <v>2010145</v>
      </c>
      <c r="I187" s="614" t="s">
        <v>199</v>
      </c>
      <c r="J187" s="614" t="s">
        <v>200</v>
      </c>
      <c r="K187" s="614" t="s">
        <v>201</v>
      </c>
      <c r="L187" s="616">
        <v>13.53</v>
      </c>
      <c r="M187" s="616">
        <v>0.38</v>
      </c>
      <c r="N187" s="616">
        <v>1.0900000000000001</v>
      </c>
      <c r="O187" s="616">
        <v>65.67</v>
      </c>
      <c r="P187" s="616">
        <v>80.67</v>
      </c>
    </row>
    <row r="188" spans="1:16" x14ac:dyDescent="0.3">
      <c r="A188" s="615">
        <v>40387</v>
      </c>
      <c r="B188" s="614" t="s">
        <v>316</v>
      </c>
      <c r="C188" s="614" t="s">
        <v>197</v>
      </c>
      <c r="D188" s="614">
        <v>20</v>
      </c>
      <c r="E188" s="616">
        <v>496.2</v>
      </c>
      <c r="F188" s="616">
        <v>9924</v>
      </c>
      <c r="G188" s="614" t="s">
        <v>317</v>
      </c>
      <c r="H188" s="614">
        <v>201011085</v>
      </c>
      <c r="I188" s="614" t="s">
        <v>199</v>
      </c>
      <c r="J188" s="614" t="s">
        <v>200</v>
      </c>
      <c r="K188" s="614" t="s">
        <v>204</v>
      </c>
      <c r="L188" s="616">
        <v>12.41</v>
      </c>
      <c r="M188" s="616">
        <v>0.36</v>
      </c>
      <c r="N188" s="616">
        <v>0.99</v>
      </c>
      <c r="O188" s="616">
        <v>60.2</v>
      </c>
      <c r="P188" s="616">
        <v>73.959999999999994</v>
      </c>
    </row>
    <row r="189" spans="1:16" x14ac:dyDescent="0.3">
      <c r="A189" s="615">
        <v>40385</v>
      </c>
      <c r="B189" s="614" t="s">
        <v>318</v>
      </c>
      <c r="C189" s="614" t="s">
        <v>197</v>
      </c>
      <c r="D189" s="614">
        <v>6</v>
      </c>
      <c r="E189" s="616">
        <v>1800.5</v>
      </c>
      <c r="F189" s="616">
        <v>10803</v>
      </c>
      <c r="G189" s="614" t="s">
        <v>319</v>
      </c>
      <c r="H189" s="614">
        <v>201011083</v>
      </c>
      <c r="I189" s="614" t="s">
        <v>199</v>
      </c>
      <c r="J189" s="614" t="s">
        <v>200</v>
      </c>
      <c r="K189" s="614" t="s">
        <v>204</v>
      </c>
      <c r="L189" s="616">
        <v>13.5</v>
      </c>
      <c r="M189" s="616">
        <v>0.39</v>
      </c>
      <c r="N189" s="616">
        <v>1.08</v>
      </c>
      <c r="O189" s="616">
        <v>65.540000000000006</v>
      </c>
      <c r="P189" s="616">
        <v>80.5</v>
      </c>
    </row>
    <row r="190" spans="1:16" x14ac:dyDescent="0.3">
      <c r="A190" s="615">
        <v>40380</v>
      </c>
      <c r="B190" s="614" t="s">
        <v>320</v>
      </c>
      <c r="C190" s="614" t="s">
        <v>197</v>
      </c>
      <c r="D190" s="614">
        <v>100</v>
      </c>
      <c r="E190" s="616">
        <v>72.5</v>
      </c>
      <c r="F190" s="616">
        <v>7250</v>
      </c>
      <c r="G190" s="614" t="s">
        <v>321</v>
      </c>
      <c r="H190" s="614">
        <v>201011080</v>
      </c>
      <c r="I190" s="614" t="s">
        <v>199</v>
      </c>
      <c r="J190" s="614" t="s">
        <v>200</v>
      </c>
      <c r="K190" s="614" t="s">
        <v>204</v>
      </c>
      <c r="L190" s="616">
        <v>9.06</v>
      </c>
      <c r="M190" s="616">
        <v>0.26</v>
      </c>
      <c r="N190" s="616">
        <v>0.73</v>
      </c>
      <c r="O190" s="616">
        <v>43.99</v>
      </c>
      <c r="P190" s="616">
        <v>54.04</v>
      </c>
    </row>
    <row r="191" spans="1:16" x14ac:dyDescent="0.3">
      <c r="A191" s="615">
        <v>40379</v>
      </c>
      <c r="B191" s="614" t="s">
        <v>322</v>
      </c>
      <c r="C191" s="614" t="s">
        <v>197</v>
      </c>
      <c r="D191" s="614">
        <v>85</v>
      </c>
      <c r="E191" s="616">
        <v>85.65</v>
      </c>
      <c r="F191" s="616">
        <v>7280.25</v>
      </c>
      <c r="G191" s="614" t="s">
        <v>323</v>
      </c>
      <c r="H191" s="614">
        <v>201011079</v>
      </c>
      <c r="I191" s="614" t="s">
        <v>199</v>
      </c>
      <c r="J191" s="614" t="s">
        <v>200</v>
      </c>
      <c r="K191" s="614" t="s">
        <v>204</v>
      </c>
      <c r="L191" s="616">
        <v>9.1</v>
      </c>
      <c r="M191" s="616">
        <v>0.26</v>
      </c>
      <c r="N191" s="616">
        <v>0.73</v>
      </c>
      <c r="O191" s="616">
        <v>44.17</v>
      </c>
      <c r="P191" s="616">
        <v>54.27</v>
      </c>
    </row>
    <row r="192" spans="1:16" x14ac:dyDescent="0.3">
      <c r="A192" s="615">
        <v>40378</v>
      </c>
      <c r="B192" s="614" t="s">
        <v>324</v>
      </c>
      <c r="C192" s="614" t="s">
        <v>197</v>
      </c>
      <c r="D192" s="614">
        <v>35</v>
      </c>
      <c r="E192" s="616">
        <v>225.6</v>
      </c>
      <c r="F192" s="616">
        <v>7896</v>
      </c>
      <c r="G192" s="614" t="s">
        <v>325</v>
      </c>
      <c r="H192" s="614">
        <v>201011078</v>
      </c>
      <c r="I192" s="614" t="s">
        <v>199</v>
      </c>
      <c r="J192" s="614" t="s">
        <v>200</v>
      </c>
      <c r="K192" s="614" t="s">
        <v>204</v>
      </c>
      <c r="L192" s="616">
        <v>9.8699999999999992</v>
      </c>
      <c r="M192" s="616">
        <v>0.28000000000000003</v>
      </c>
      <c r="N192" s="616">
        <v>0.79</v>
      </c>
      <c r="O192" s="616">
        <v>47.9</v>
      </c>
      <c r="P192" s="616">
        <v>58.84</v>
      </c>
    </row>
    <row r="193" spans="1:16" x14ac:dyDescent="0.3">
      <c r="A193" s="615">
        <v>40375</v>
      </c>
      <c r="B193" s="614" t="s">
        <v>308</v>
      </c>
      <c r="C193" s="614" t="s">
        <v>197</v>
      </c>
      <c r="D193" s="614">
        <v>100</v>
      </c>
      <c r="E193" s="616">
        <v>79.900000000000006</v>
      </c>
      <c r="F193" s="616">
        <v>7990</v>
      </c>
      <c r="G193" s="614" t="s">
        <v>326</v>
      </c>
      <c r="H193" s="614">
        <v>201011077</v>
      </c>
      <c r="I193" s="614" t="s">
        <v>199</v>
      </c>
      <c r="J193" s="614" t="s">
        <v>200</v>
      </c>
      <c r="K193" s="614" t="s">
        <v>204</v>
      </c>
      <c r="L193" s="616">
        <v>9.99</v>
      </c>
      <c r="M193" s="616">
        <v>0.28999999999999998</v>
      </c>
      <c r="N193" s="616">
        <v>0.8</v>
      </c>
      <c r="O193" s="616">
        <v>48.48</v>
      </c>
      <c r="P193" s="616">
        <v>59.56</v>
      </c>
    </row>
    <row r="194" spans="1:16" x14ac:dyDescent="0.3">
      <c r="A194" s="615">
        <v>40375</v>
      </c>
      <c r="B194" s="614" t="s">
        <v>327</v>
      </c>
      <c r="C194" s="614" t="s">
        <v>197</v>
      </c>
      <c r="D194" s="614">
        <v>120</v>
      </c>
      <c r="E194" s="616">
        <v>56.7</v>
      </c>
      <c r="F194" s="616">
        <v>6804</v>
      </c>
      <c r="G194" s="614" t="s">
        <v>328</v>
      </c>
      <c r="H194" s="614">
        <v>201011077</v>
      </c>
      <c r="I194" s="614" t="s">
        <v>199</v>
      </c>
      <c r="J194" s="614" t="s">
        <v>200</v>
      </c>
      <c r="K194" s="614" t="s">
        <v>204</v>
      </c>
      <c r="L194" s="616">
        <v>8.51</v>
      </c>
      <c r="M194" s="616">
        <v>0.24</v>
      </c>
      <c r="N194" s="616">
        <v>0.68</v>
      </c>
      <c r="O194" s="616">
        <v>41.28</v>
      </c>
      <c r="P194" s="616">
        <v>50.71</v>
      </c>
    </row>
    <row r="195" spans="1:16" x14ac:dyDescent="0.3">
      <c r="A195" s="615">
        <v>40374</v>
      </c>
      <c r="B195" s="614" t="s">
        <v>329</v>
      </c>
      <c r="C195" s="614" t="s">
        <v>197</v>
      </c>
      <c r="D195" s="614">
        <v>15</v>
      </c>
      <c r="E195" s="616">
        <v>448</v>
      </c>
      <c r="F195" s="616">
        <v>6720</v>
      </c>
      <c r="G195" s="614" t="s">
        <v>330</v>
      </c>
      <c r="H195" s="614">
        <v>201011076</v>
      </c>
      <c r="I195" s="614" t="s">
        <v>199</v>
      </c>
      <c r="J195" s="614" t="s">
        <v>200</v>
      </c>
      <c r="K195" s="614" t="s">
        <v>204</v>
      </c>
      <c r="L195" s="616">
        <v>8.4</v>
      </c>
      <c r="M195" s="616">
        <v>0.24</v>
      </c>
      <c r="N195" s="616">
        <v>0.68</v>
      </c>
      <c r="O195" s="616">
        <v>40.770000000000003</v>
      </c>
      <c r="P195" s="616">
        <v>50.09</v>
      </c>
    </row>
    <row r="196" spans="1:16" x14ac:dyDescent="0.3">
      <c r="A196" s="615">
        <v>40373</v>
      </c>
      <c r="B196" s="614" t="s">
        <v>331</v>
      </c>
      <c r="C196" s="614" t="s">
        <v>197</v>
      </c>
      <c r="D196" s="614">
        <v>500</v>
      </c>
      <c r="E196" s="616">
        <v>18.8</v>
      </c>
      <c r="F196" s="616">
        <v>9400</v>
      </c>
      <c r="G196" s="614" t="s">
        <v>332</v>
      </c>
      <c r="H196" s="614">
        <v>2010132</v>
      </c>
      <c r="I196" s="614" t="s">
        <v>199</v>
      </c>
      <c r="J196" s="614" t="s">
        <v>200</v>
      </c>
      <c r="K196" s="614" t="s">
        <v>201</v>
      </c>
      <c r="L196" s="616">
        <v>11.75</v>
      </c>
      <c r="M196" s="616">
        <v>0.35</v>
      </c>
      <c r="N196" s="616">
        <v>0.95</v>
      </c>
      <c r="O196" s="616">
        <v>57.05</v>
      </c>
      <c r="P196" s="616">
        <v>70.099999999999994</v>
      </c>
    </row>
    <row r="197" spans="1:16" x14ac:dyDescent="0.3">
      <c r="A197" s="615">
        <v>40372</v>
      </c>
      <c r="B197" s="614" t="s">
        <v>329</v>
      </c>
      <c r="C197" s="614" t="s">
        <v>197</v>
      </c>
      <c r="D197" s="614">
        <v>20</v>
      </c>
      <c r="E197" s="616">
        <v>460.1</v>
      </c>
      <c r="F197" s="616">
        <v>9202</v>
      </c>
      <c r="G197" s="614" t="s">
        <v>333</v>
      </c>
      <c r="H197" s="614">
        <v>2010131</v>
      </c>
      <c r="I197" s="614" t="s">
        <v>199</v>
      </c>
      <c r="J197" s="614" t="s">
        <v>200</v>
      </c>
      <c r="K197" s="614" t="s">
        <v>201</v>
      </c>
      <c r="L197" s="616">
        <v>11.5</v>
      </c>
      <c r="M197" s="616">
        <v>0.32</v>
      </c>
      <c r="N197" s="616">
        <v>0.92</v>
      </c>
      <c r="O197" s="616">
        <v>55.83</v>
      </c>
      <c r="P197" s="616">
        <v>68.58</v>
      </c>
    </row>
    <row r="198" spans="1:16" x14ac:dyDescent="0.3">
      <c r="A198" s="615">
        <v>40368</v>
      </c>
      <c r="B198" s="614" t="s">
        <v>334</v>
      </c>
      <c r="C198" s="614" t="s">
        <v>197</v>
      </c>
      <c r="D198" s="614">
        <v>200</v>
      </c>
      <c r="E198" s="616">
        <v>33.4</v>
      </c>
      <c r="F198" s="616">
        <v>6680</v>
      </c>
      <c r="G198" s="614" t="s">
        <v>335</v>
      </c>
      <c r="H198" s="614">
        <v>201011072</v>
      </c>
      <c r="I198" s="614" t="s">
        <v>199</v>
      </c>
      <c r="J198" s="614" t="s">
        <v>200</v>
      </c>
      <c r="K198" s="614" t="s">
        <v>204</v>
      </c>
      <c r="L198" s="616">
        <v>8.35</v>
      </c>
      <c r="M198" s="616">
        <v>0.24</v>
      </c>
      <c r="N198" s="616">
        <v>0.66</v>
      </c>
      <c r="O198" s="616">
        <v>40.520000000000003</v>
      </c>
      <c r="P198" s="616">
        <v>49.77</v>
      </c>
    </row>
    <row r="199" spans="1:16" x14ac:dyDescent="0.3">
      <c r="A199" s="615">
        <v>40366</v>
      </c>
      <c r="B199" s="614" t="s">
        <v>336</v>
      </c>
      <c r="C199" s="614" t="s">
        <v>197</v>
      </c>
      <c r="D199" s="614">
        <v>20</v>
      </c>
      <c r="E199" s="616">
        <v>352</v>
      </c>
      <c r="F199" s="616">
        <v>7040</v>
      </c>
      <c r="G199" s="614" t="s">
        <v>345</v>
      </c>
      <c r="H199" s="614">
        <v>2010127</v>
      </c>
      <c r="I199" s="614" t="s">
        <v>199</v>
      </c>
      <c r="J199" s="614" t="s">
        <v>200</v>
      </c>
      <c r="K199" s="614" t="s">
        <v>201</v>
      </c>
      <c r="L199" s="616">
        <v>8.8000000000000007</v>
      </c>
      <c r="M199" s="616">
        <v>0.25</v>
      </c>
      <c r="N199" s="616">
        <v>0.7</v>
      </c>
      <c r="O199" s="616">
        <v>42.71</v>
      </c>
      <c r="P199" s="616">
        <v>52.46</v>
      </c>
    </row>
    <row r="200" spans="1:16" x14ac:dyDescent="0.3">
      <c r="A200" s="615">
        <v>40366</v>
      </c>
      <c r="B200" s="614" t="s">
        <v>346</v>
      </c>
      <c r="C200" s="614" t="s">
        <v>197</v>
      </c>
      <c r="D200" s="614">
        <v>250</v>
      </c>
      <c r="E200" s="616">
        <v>28.15</v>
      </c>
      <c r="F200" s="616">
        <v>7037.5</v>
      </c>
      <c r="G200" s="614" t="s">
        <v>347</v>
      </c>
      <c r="H200" s="614">
        <v>2010127</v>
      </c>
      <c r="I200" s="614" t="s">
        <v>199</v>
      </c>
      <c r="J200" s="614" t="s">
        <v>200</v>
      </c>
      <c r="K200" s="614" t="s">
        <v>201</v>
      </c>
      <c r="L200" s="616">
        <v>8.8000000000000007</v>
      </c>
      <c r="M200" s="616">
        <v>0.25</v>
      </c>
      <c r="N200" s="616">
        <v>0.7</v>
      </c>
      <c r="O200" s="616">
        <v>42.68</v>
      </c>
      <c r="P200" s="616">
        <v>52.43</v>
      </c>
    </row>
    <row r="201" spans="1:16" x14ac:dyDescent="0.3">
      <c r="A201" s="615">
        <v>40365</v>
      </c>
      <c r="B201" s="614" t="s">
        <v>348</v>
      </c>
      <c r="C201" s="614" t="s">
        <v>197</v>
      </c>
      <c r="D201" s="614">
        <v>50</v>
      </c>
      <c r="E201" s="616">
        <v>136.5</v>
      </c>
      <c r="F201" s="616">
        <v>6825</v>
      </c>
      <c r="G201" s="614" t="s">
        <v>349</v>
      </c>
      <c r="H201" s="614">
        <v>201011069</v>
      </c>
      <c r="I201" s="614" t="s">
        <v>199</v>
      </c>
      <c r="J201" s="614" t="s">
        <v>200</v>
      </c>
      <c r="K201" s="614" t="s">
        <v>204</v>
      </c>
      <c r="L201" s="616">
        <v>8.5299999999999994</v>
      </c>
      <c r="M201" s="616">
        <v>0.25</v>
      </c>
      <c r="N201" s="616">
        <v>0.69</v>
      </c>
      <c r="O201" s="616">
        <v>41.4</v>
      </c>
      <c r="P201" s="616">
        <v>50.86</v>
      </c>
    </row>
    <row r="202" spans="1:16" x14ac:dyDescent="0.3">
      <c r="A202" s="615">
        <v>40365</v>
      </c>
      <c r="B202" s="614" t="s">
        <v>350</v>
      </c>
      <c r="C202" s="614" t="s">
        <v>197</v>
      </c>
      <c r="D202" s="614">
        <v>30</v>
      </c>
      <c r="E202" s="616">
        <v>241.05</v>
      </c>
      <c r="F202" s="616">
        <v>7231.5</v>
      </c>
      <c r="G202" s="614" t="s">
        <v>351</v>
      </c>
      <c r="H202" s="614">
        <v>201011069</v>
      </c>
      <c r="I202" s="614" t="s">
        <v>199</v>
      </c>
      <c r="J202" s="614" t="s">
        <v>200</v>
      </c>
      <c r="K202" s="614" t="s">
        <v>204</v>
      </c>
      <c r="L202" s="616">
        <v>9.0399999999999991</v>
      </c>
      <c r="M202" s="616">
        <v>0.26</v>
      </c>
      <c r="N202" s="616">
        <v>0.72</v>
      </c>
      <c r="O202" s="616">
        <v>43.87</v>
      </c>
      <c r="P202" s="616">
        <v>53.9</v>
      </c>
    </row>
    <row r="203" spans="1:16" x14ac:dyDescent="0.3">
      <c r="A203" s="615">
        <v>40365</v>
      </c>
      <c r="B203" s="614" t="s">
        <v>249</v>
      </c>
      <c r="C203" s="614" t="s">
        <v>197</v>
      </c>
      <c r="D203" s="614">
        <v>400</v>
      </c>
      <c r="E203" s="616">
        <v>18.45</v>
      </c>
      <c r="F203" s="616">
        <v>7380</v>
      </c>
      <c r="G203" s="614" t="s">
        <v>352</v>
      </c>
      <c r="H203" s="614">
        <v>201011069</v>
      </c>
      <c r="I203" s="614" t="s">
        <v>199</v>
      </c>
      <c r="J203" s="614" t="s">
        <v>200</v>
      </c>
      <c r="K203" s="614" t="s">
        <v>204</v>
      </c>
      <c r="L203" s="616">
        <v>9.23</v>
      </c>
      <c r="M203" s="616">
        <v>0.28000000000000003</v>
      </c>
      <c r="N203" s="616">
        <v>0.72</v>
      </c>
      <c r="O203" s="616">
        <v>44.8</v>
      </c>
      <c r="P203" s="616">
        <v>55.03</v>
      </c>
    </row>
    <row r="204" spans="1:16" x14ac:dyDescent="0.3">
      <c r="A204" s="615">
        <v>40365</v>
      </c>
      <c r="B204" s="614" t="s">
        <v>348</v>
      </c>
      <c r="C204" s="614" t="s">
        <v>197</v>
      </c>
      <c r="D204" s="614">
        <v>25</v>
      </c>
      <c r="E204" s="616">
        <v>134.5</v>
      </c>
      <c r="F204" s="616">
        <v>3362.5</v>
      </c>
      <c r="G204" s="614" t="s">
        <v>353</v>
      </c>
      <c r="H204" s="614">
        <v>2010126</v>
      </c>
      <c r="I204" s="614" t="s">
        <v>199</v>
      </c>
      <c r="J204" s="614" t="s">
        <v>200</v>
      </c>
      <c r="K204" s="614" t="s">
        <v>201</v>
      </c>
      <c r="L204" s="616">
        <v>4.2</v>
      </c>
      <c r="M204" s="616">
        <v>0.12</v>
      </c>
      <c r="N204" s="616">
        <v>0.34</v>
      </c>
      <c r="O204" s="616">
        <v>27.58</v>
      </c>
      <c r="P204" s="616">
        <v>32.24</v>
      </c>
    </row>
    <row r="205" spans="1:16" x14ac:dyDescent="0.3">
      <c r="A205" s="615">
        <v>40361</v>
      </c>
      <c r="B205" s="614" t="s">
        <v>354</v>
      </c>
      <c r="C205" s="614" t="s">
        <v>197</v>
      </c>
      <c r="D205" s="614">
        <v>200</v>
      </c>
      <c r="E205" s="616">
        <v>34.299999999999997</v>
      </c>
      <c r="F205" s="616">
        <v>6860</v>
      </c>
      <c r="G205" s="614" t="s">
        <v>355</v>
      </c>
      <c r="H205" s="614">
        <v>201011067</v>
      </c>
      <c r="I205" s="614" t="s">
        <v>199</v>
      </c>
      <c r="J205" s="614" t="s">
        <v>200</v>
      </c>
      <c r="K205" s="614" t="s">
        <v>204</v>
      </c>
      <c r="L205" s="616">
        <v>8.58</v>
      </c>
      <c r="M205" s="616">
        <v>0.24</v>
      </c>
      <c r="N205" s="616">
        <v>0.68</v>
      </c>
      <c r="O205" s="616">
        <v>41.62</v>
      </c>
      <c r="P205" s="616">
        <v>51.12</v>
      </c>
    </row>
    <row r="206" spans="1:16" x14ac:dyDescent="0.3">
      <c r="A206" s="615">
        <v>40350</v>
      </c>
      <c r="B206" s="614" t="s">
        <v>356</v>
      </c>
      <c r="C206" s="614" t="s">
        <v>197</v>
      </c>
      <c r="D206" s="614">
        <v>75</v>
      </c>
      <c r="E206" s="616">
        <v>78.5</v>
      </c>
      <c r="F206" s="616">
        <v>5887.5</v>
      </c>
      <c r="G206" s="614" t="s">
        <v>357</v>
      </c>
      <c r="H206" s="614">
        <v>2010115</v>
      </c>
      <c r="I206" s="614" t="s">
        <v>307</v>
      </c>
      <c r="J206" s="614" t="s">
        <v>200</v>
      </c>
      <c r="K206" s="614" t="s">
        <v>201</v>
      </c>
      <c r="L206" s="616">
        <v>7.36</v>
      </c>
      <c r="M206" s="616">
        <v>0.2</v>
      </c>
      <c r="N206" s="616">
        <v>0.59</v>
      </c>
      <c r="O206" s="616">
        <v>35.72</v>
      </c>
      <c r="P206" s="616">
        <v>43.88</v>
      </c>
    </row>
    <row r="207" spans="1:16" x14ac:dyDescent="0.3">
      <c r="A207" s="615">
        <v>40339</v>
      </c>
      <c r="B207" s="614" t="s">
        <v>255</v>
      </c>
      <c r="C207" s="614" t="s">
        <v>197</v>
      </c>
      <c r="D207" s="614">
        <v>1000</v>
      </c>
      <c r="E207" s="616">
        <v>8.8477999999999994</v>
      </c>
      <c r="F207" s="616">
        <v>8847.75</v>
      </c>
      <c r="G207" s="614" t="s">
        <v>358</v>
      </c>
      <c r="H207" s="614">
        <v>2010108</v>
      </c>
      <c r="I207" s="614" t="s">
        <v>199</v>
      </c>
      <c r="J207" s="614" t="s">
        <v>200</v>
      </c>
      <c r="K207" s="614" t="s">
        <v>201</v>
      </c>
      <c r="L207" s="616">
        <v>11.06</v>
      </c>
      <c r="M207" s="616">
        <v>0.3</v>
      </c>
      <c r="N207" s="616">
        <v>0.9</v>
      </c>
      <c r="O207" s="616">
        <v>53.7</v>
      </c>
      <c r="P207" s="616">
        <v>65.959999999999994</v>
      </c>
    </row>
    <row r="208" spans="1:16" x14ac:dyDescent="0.3">
      <c r="A208" s="615">
        <v>40337</v>
      </c>
      <c r="B208" s="614" t="s">
        <v>359</v>
      </c>
      <c r="C208" s="614" t="s">
        <v>197</v>
      </c>
      <c r="D208" s="614">
        <v>150</v>
      </c>
      <c r="E208" s="616">
        <v>70.7</v>
      </c>
      <c r="F208" s="616">
        <v>10605</v>
      </c>
      <c r="G208" s="614" t="s">
        <v>360</v>
      </c>
      <c r="H208" s="614">
        <v>2010106</v>
      </c>
      <c r="I208" s="614" t="s">
        <v>199</v>
      </c>
      <c r="J208" s="614" t="s">
        <v>200</v>
      </c>
      <c r="K208" s="614" t="s">
        <v>201</v>
      </c>
      <c r="L208" s="616">
        <v>13.26</v>
      </c>
      <c r="M208" s="616">
        <v>0.38</v>
      </c>
      <c r="N208" s="616">
        <v>1.07</v>
      </c>
      <c r="O208" s="616">
        <v>64.349999999999994</v>
      </c>
      <c r="P208" s="616">
        <v>79.06</v>
      </c>
    </row>
    <row r="209" spans="1:16" x14ac:dyDescent="0.3">
      <c r="A209" s="615">
        <v>40332</v>
      </c>
      <c r="B209" s="614" t="s">
        <v>361</v>
      </c>
      <c r="C209" s="614" t="s">
        <v>197</v>
      </c>
      <c r="D209" s="614">
        <v>100</v>
      </c>
      <c r="E209" s="616">
        <v>62.7</v>
      </c>
      <c r="F209" s="616">
        <v>6270</v>
      </c>
      <c r="G209" s="614" t="s">
        <v>362</v>
      </c>
      <c r="H209" s="614">
        <v>2010103</v>
      </c>
      <c r="I209" s="614" t="s">
        <v>199</v>
      </c>
      <c r="J209" s="614" t="s">
        <v>200</v>
      </c>
      <c r="K209" s="614" t="s">
        <v>201</v>
      </c>
      <c r="L209" s="616">
        <v>7.84</v>
      </c>
      <c r="M209" s="616">
        <v>0.22</v>
      </c>
      <c r="N209" s="616">
        <v>0.63</v>
      </c>
      <c r="O209" s="616">
        <v>38.04</v>
      </c>
      <c r="P209" s="616">
        <v>46.73</v>
      </c>
    </row>
    <row r="210" spans="1:16" x14ac:dyDescent="0.3">
      <c r="A210" s="615">
        <v>40302</v>
      </c>
      <c r="B210" s="614" t="s">
        <v>361</v>
      </c>
      <c r="C210" s="614" t="s">
        <v>197</v>
      </c>
      <c r="D210" s="614">
        <v>80</v>
      </c>
      <c r="E210" s="616">
        <v>69</v>
      </c>
      <c r="F210" s="616">
        <v>5520</v>
      </c>
      <c r="G210" s="614" t="s">
        <v>363</v>
      </c>
      <c r="H210" s="614">
        <v>2010081</v>
      </c>
      <c r="I210" s="614" t="s">
        <v>199</v>
      </c>
      <c r="J210" s="614" t="s">
        <v>200</v>
      </c>
      <c r="K210" s="614" t="s">
        <v>201</v>
      </c>
      <c r="L210" s="616">
        <v>6.9</v>
      </c>
      <c r="M210" s="616">
        <v>0.19</v>
      </c>
      <c r="N210" s="616">
        <v>0.55000000000000004</v>
      </c>
      <c r="O210" s="616">
        <v>33.49</v>
      </c>
      <c r="P210" s="616">
        <v>41.13</v>
      </c>
    </row>
    <row r="211" spans="1:16" x14ac:dyDescent="0.3">
      <c r="A211" s="615">
        <v>40288</v>
      </c>
      <c r="B211" s="614" t="s">
        <v>364</v>
      </c>
      <c r="C211" s="614" t="s">
        <v>197</v>
      </c>
      <c r="D211" s="614">
        <v>100</v>
      </c>
      <c r="E211" s="616">
        <v>56.95</v>
      </c>
      <c r="F211" s="616">
        <v>5695</v>
      </c>
      <c r="G211" s="614" t="s">
        <v>365</v>
      </c>
      <c r="H211" s="614">
        <v>201011014</v>
      </c>
      <c r="I211" s="614" t="s">
        <v>199</v>
      </c>
      <c r="J211" s="614" t="s">
        <v>200</v>
      </c>
      <c r="K211" s="614" t="s">
        <v>204</v>
      </c>
      <c r="L211" s="616">
        <v>7.12</v>
      </c>
      <c r="M211" s="616">
        <v>0.21</v>
      </c>
      <c r="N211" s="616">
        <v>0.56999999999999995</v>
      </c>
      <c r="O211" s="616">
        <v>34.549999999999997</v>
      </c>
      <c r="P211" s="616">
        <v>42.45</v>
      </c>
    </row>
    <row r="212" spans="1:16" x14ac:dyDescent="0.3">
      <c r="A212" s="615">
        <v>40288</v>
      </c>
      <c r="B212" s="614" t="s">
        <v>364</v>
      </c>
      <c r="C212" s="614" t="s">
        <v>197</v>
      </c>
      <c r="D212" s="614">
        <v>100</v>
      </c>
      <c r="E212" s="616">
        <v>56.3</v>
      </c>
      <c r="F212" s="616">
        <v>5630</v>
      </c>
      <c r="G212" s="614" t="s">
        <v>366</v>
      </c>
      <c r="H212" s="614">
        <v>2010071</v>
      </c>
      <c r="I212" s="614" t="s">
        <v>199</v>
      </c>
      <c r="J212" s="614" t="s">
        <v>200</v>
      </c>
      <c r="K212" s="614" t="s">
        <v>201</v>
      </c>
      <c r="L212" s="616">
        <v>7.04</v>
      </c>
      <c r="M212" s="616">
        <v>0.2</v>
      </c>
      <c r="N212" s="616">
        <v>0.56000000000000005</v>
      </c>
      <c r="O212" s="616">
        <v>34.159999999999997</v>
      </c>
      <c r="P212" s="616">
        <v>41.96</v>
      </c>
    </row>
    <row r="213" spans="1:16" x14ac:dyDescent="0.3">
      <c r="A213" s="615">
        <v>40280</v>
      </c>
      <c r="B213" s="614" t="s">
        <v>367</v>
      </c>
      <c r="C213" s="614" t="s">
        <v>197</v>
      </c>
      <c r="D213" s="614">
        <v>65</v>
      </c>
      <c r="E213" s="616">
        <v>78.05</v>
      </c>
      <c r="F213" s="616">
        <v>5073.25</v>
      </c>
      <c r="G213" s="614" t="s">
        <v>368</v>
      </c>
      <c r="H213" s="614">
        <v>2010066</v>
      </c>
      <c r="I213" s="614" t="s">
        <v>199</v>
      </c>
      <c r="J213" s="614" t="s">
        <v>200</v>
      </c>
      <c r="K213" s="614" t="s">
        <v>201</v>
      </c>
      <c r="L213" s="616">
        <v>6.34</v>
      </c>
      <c r="M213" s="616">
        <v>0.18</v>
      </c>
      <c r="N213" s="616">
        <v>0.5</v>
      </c>
      <c r="O213" s="616">
        <v>30.78</v>
      </c>
      <c r="P213" s="616">
        <v>37.799999999999997</v>
      </c>
    </row>
    <row r="214" spans="1:16" x14ac:dyDescent="0.3">
      <c r="A214" s="615">
        <v>40268</v>
      </c>
      <c r="B214" s="614" t="s">
        <v>465</v>
      </c>
      <c r="C214" s="614" t="s">
        <v>197</v>
      </c>
      <c r="D214" s="614">
        <v>10000</v>
      </c>
      <c r="E214" s="616">
        <v>0.51</v>
      </c>
      <c r="F214" s="616">
        <v>5100</v>
      </c>
      <c r="G214" s="614" t="s">
        <v>1291</v>
      </c>
      <c r="H214" s="614">
        <v>201011002</v>
      </c>
      <c r="I214" s="614" t="s">
        <v>307</v>
      </c>
      <c r="J214" s="614" t="s">
        <v>200</v>
      </c>
      <c r="K214" s="614" t="s">
        <v>204</v>
      </c>
      <c r="L214" s="616">
        <v>6.38</v>
      </c>
      <c r="M214" s="616">
        <v>0</v>
      </c>
      <c r="N214" s="616">
        <v>1</v>
      </c>
      <c r="O214" s="616">
        <v>31</v>
      </c>
      <c r="P214" s="616">
        <v>38.380000000000003</v>
      </c>
    </row>
    <row r="215" spans="1:16" x14ac:dyDescent="0.3">
      <c r="A215" s="615">
        <v>40267</v>
      </c>
      <c r="B215" s="614" t="s">
        <v>255</v>
      </c>
      <c r="C215" s="614" t="s">
        <v>197</v>
      </c>
      <c r="D215" s="614">
        <v>1000</v>
      </c>
      <c r="E215" s="616">
        <v>9.0500000000000007</v>
      </c>
      <c r="F215" s="616">
        <v>9050</v>
      </c>
      <c r="G215" s="614" t="s">
        <v>1288</v>
      </c>
      <c r="H215" s="614">
        <v>2010058</v>
      </c>
      <c r="I215" s="614" t="s">
        <v>199</v>
      </c>
      <c r="J215" s="614" t="s">
        <v>200</v>
      </c>
      <c r="K215" s="614" t="s">
        <v>201</v>
      </c>
      <c r="L215" s="616">
        <v>11.31</v>
      </c>
      <c r="M215" s="616">
        <v>0.3</v>
      </c>
      <c r="N215" s="616">
        <v>0.9</v>
      </c>
      <c r="O215" s="616">
        <v>54.9</v>
      </c>
      <c r="P215" s="616">
        <v>67.41</v>
      </c>
    </row>
    <row r="216" spans="1:16" x14ac:dyDescent="0.3">
      <c r="A216" s="615">
        <v>40252</v>
      </c>
      <c r="B216" s="614" t="s">
        <v>255</v>
      </c>
      <c r="C216" s="614" t="s">
        <v>197</v>
      </c>
      <c r="D216" s="614">
        <v>1000</v>
      </c>
      <c r="E216" s="616">
        <v>10.65</v>
      </c>
      <c r="F216" s="616">
        <v>10650</v>
      </c>
      <c r="G216" s="614" t="s">
        <v>1289</v>
      </c>
      <c r="H216" s="614">
        <v>2010048</v>
      </c>
      <c r="I216" s="614" t="s">
        <v>199</v>
      </c>
      <c r="J216" s="614" t="s">
        <v>200</v>
      </c>
      <c r="K216" s="614" t="s">
        <v>201</v>
      </c>
      <c r="L216" s="616">
        <v>13.31</v>
      </c>
      <c r="M216" s="616">
        <v>0.4</v>
      </c>
      <c r="N216" s="616">
        <v>1.1000000000000001</v>
      </c>
      <c r="O216" s="616">
        <v>64.599999999999994</v>
      </c>
      <c r="P216" s="616">
        <v>79.41</v>
      </c>
    </row>
    <row r="217" spans="1:16" x14ac:dyDescent="0.3">
      <c r="A217" s="615">
        <v>40252</v>
      </c>
      <c r="B217" s="614" t="s">
        <v>255</v>
      </c>
      <c r="C217" s="614" t="s">
        <v>197</v>
      </c>
      <c r="D217" s="614">
        <v>1000</v>
      </c>
      <c r="E217" s="616">
        <v>10.65</v>
      </c>
      <c r="F217" s="616">
        <v>10650</v>
      </c>
      <c r="G217" s="614" t="s">
        <v>1290</v>
      </c>
      <c r="H217" s="614">
        <v>2010048</v>
      </c>
      <c r="I217" s="614" t="s">
        <v>199</v>
      </c>
      <c r="J217" s="614" t="s">
        <v>200</v>
      </c>
      <c r="K217" s="614" t="s">
        <v>201</v>
      </c>
      <c r="L217" s="616">
        <v>13.31</v>
      </c>
      <c r="M217" s="616">
        <v>0.4</v>
      </c>
      <c r="N217" s="616">
        <v>1.1000000000000001</v>
      </c>
      <c r="O217" s="616">
        <v>64.599999999999994</v>
      </c>
      <c r="P217" s="616">
        <v>79.41</v>
      </c>
    </row>
    <row r="218" spans="1:16" x14ac:dyDescent="0.3">
      <c r="A218" s="615">
        <v>40235</v>
      </c>
      <c r="B218" s="614" t="s">
        <v>1058</v>
      </c>
      <c r="C218" s="614" t="s">
        <v>197</v>
      </c>
      <c r="D218" s="614">
        <v>25</v>
      </c>
      <c r="E218" s="616">
        <v>138.30000000000001</v>
      </c>
      <c r="F218" s="616">
        <v>3457.5</v>
      </c>
      <c r="G218" s="614" t="s">
        <v>1059</v>
      </c>
      <c r="H218" s="614">
        <v>2010038</v>
      </c>
      <c r="I218" s="614" t="s">
        <v>199</v>
      </c>
      <c r="J218" s="614" t="s">
        <v>200</v>
      </c>
      <c r="K218" s="614" t="s">
        <v>201</v>
      </c>
      <c r="L218" s="616">
        <v>4.32</v>
      </c>
      <c r="M218" s="616">
        <v>0.12</v>
      </c>
      <c r="N218" s="616">
        <v>0.35</v>
      </c>
      <c r="O218" s="616">
        <v>27.58</v>
      </c>
      <c r="P218" s="616">
        <v>32.369999999999997</v>
      </c>
    </row>
    <row r="219" spans="1:16" x14ac:dyDescent="0.3">
      <c r="A219" s="615">
        <v>40226</v>
      </c>
      <c r="B219" s="614" t="s">
        <v>298</v>
      </c>
      <c r="C219" s="614" t="s">
        <v>197</v>
      </c>
      <c r="D219" s="614">
        <v>300</v>
      </c>
      <c r="E219" s="616">
        <v>21.5</v>
      </c>
      <c r="F219" s="616">
        <v>6450</v>
      </c>
      <c r="G219" s="614" t="s">
        <v>1060</v>
      </c>
      <c r="H219" s="614">
        <v>2010031</v>
      </c>
      <c r="I219" s="614" t="s">
        <v>199</v>
      </c>
      <c r="J219" s="614" t="s">
        <v>200</v>
      </c>
      <c r="K219" s="614" t="s">
        <v>201</v>
      </c>
      <c r="L219" s="616">
        <v>8.06</v>
      </c>
      <c r="M219" s="616">
        <v>0.24</v>
      </c>
      <c r="N219" s="616">
        <v>0.66</v>
      </c>
      <c r="O219" s="616">
        <v>39.15</v>
      </c>
      <c r="P219" s="616">
        <v>48.11</v>
      </c>
    </row>
    <row r="220" spans="1:16" x14ac:dyDescent="0.3">
      <c r="A220" s="615">
        <v>40206</v>
      </c>
      <c r="B220" s="614" t="s">
        <v>298</v>
      </c>
      <c r="C220" s="614" t="s">
        <v>197</v>
      </c>
      <c r="D220" s="614">
        <v>100</v>
      </c>
      <c r="E220" s="616">
        <v>24.4</v>
      </c>
      <c r="F220" s="616">
        <v>2440</v>
      </c>
      <c r="G220" s="614" t="s">
        <v>1061</v>
      </c>
      <c r="H220" s="614">
        <v>200910204</v>
      </c>
      <c r="I220" s="614" t="s">
        <v>199</v>
      </c>
      <c r="J220" s="614" t="s">
        <v>200</v>
      </c>
      <c r="K220" s="614" t="s">
        <v>204</v>
      </c>
      <c r="L220" s="616">
        <v>3.05</v>
      </c>
      <c r="M220" s="616">
        <v>0.09</v>
      </c>
      <c r="N220" s="616">
        <v>0.24</v>
      </c>
      <c r="O220" s="616">
        <v>27.58</v>
      </c>
      <c r="P220" s="616">
        <v>30.96</v>
      </c>
    </row>
    <row r="221" spans="1:16" x14ac:dyDescent="0.3">
      <c r="A221" s="615">
        <v>40205</v>
      </c>
      <c r="B221" s="614" t="s">
        <v>298</v>
      </c>
      <c r="C221" s="614" t="s">
        <v>197</v>
      </c>
      <c r="D221" s="614">
        <v>200</v>
      </c>
      <c r="E221" s="616">
        <v>24.05</v>
      </c>
      <c r="F221" s="616">
        <v>4810</v>
      </c>
      <c r="G221" s="614" t="s">
        <v>1062</v>
      </c>
      <c r="H221" s="614">
        <v>200910203</v>
      </c>
      <c r="I221" s="614" t="s">
        <v>199</v>
      </c>
      <c r="J221" s="614" t="s">
        <v>200</v>
      </c>
      <c r="K221" s="614" t="s">
        <v>204</v>
      </c>
      <c r="L221" s="616">
        <v>6.01</v>
      </c>
      <c r="M221" s="616">
        <v>0.18</v>
      </c>
      <c r="N221" s="616">
        <v>0.48</v>
      </c>
      <c r="O221" s="616">
        <v>29.18</v>
      </c>
      <c r="P221" s="616">
        <v>35.85</v>
      </c>
    </row>
    <row r="222" spans="1:16" x14ac:dyDescent="0.3">
      <c r="A222" s="615">
        <v>40200</v>
      </c>
      <c r="B222" s="614" t="s">
        <v>298</v>
      </c>
      <c r="C222" s="614" t="s">
        <v>197</v>
      </c>
      <c r="D222" s="614">
        <v>400</v>
      </c>
      <c r="E222" s="616">
        <v>25.9</v>
      </c>
      <c r="F222" s="616">
        <v>10360</v>
      </c>
      <c r="G222" s="614" t="s">
        <v>1064</v>
      </c>
      <c r="H222" s="614">
        <v>2010015</v>
      </c>
      <c r="I222" s="614" t="s">
        <v>199</v>
      </c>
      <c r="J222" s="614" t="s">
        <v>200</v>
      </c>
      <c r="K222" s="614" t="s">
        <v>201</v>
      </c>
      <c r="L222" s="616">
        <v>12.95</v>
      </c>
      <c r="M222" s="616">
        <v>0.36</v>
      </c>
      <c r="N222" s="616">
        <v>1.04</v>
      </c>
      <c r="O222" s="616">
        <v>62.88</v>
      </c>
      <c r="P222" s="616">
        <v>77.23</v>
      </c>
    </row>
    <row r="223" spans="1:16" x14ac:dyDescent="0.3">
      <c r="A223" s="615">
        <v>40200</v>
      </c>
      <c r="B223" s="614" t="s">
        <v>1058</v>
      </c>
      <c r="C223" s="614" t="s">
        <v>197</v>
      </c>
      <c r="D223" s="614">
        <v>50</v>
      </c>
      <c r="E223" s="616">
        <v>149.65</v>
      </c>
      <c r="F223" s="616">
        <v>7482.5</v>
      </c>
      <c r="G223" s="614" t="s">
        <v>1065</v>
      </c>
      <c r="H223" s="614">
        <v>2010015</v>
      </c>
      <c r="I223" s="614" t="s">
        <v>199</v>
      </c>
      <c r="J223" s="614" t="s">
        <v>200</v>
      </c>
      <c r="K223" s="614" t="s">
        <v>201</v>
      </c>
      <c r="L223" s="616">
        <v>9.35</v>
      </c>
      <c r="M223" s="616">
        <v>0.26</v>
      </c>
      <c r="N223" s="616">
        <v>0.75</v>
      </c>
      <c r="O223" s="616">
        <v>45.4</v>
      </c>
      <c r="P223" s="616">
        <v>55.76</v>
      </c>
    </row>
    <row r="224" spans="1:16" x14ac:dyDescent="0.3">
      <c r="A224" s="615">
        <v>40192</v>
      </c>
      <c r="B224" s="614" t="s">
        <v>1058</v>
      </c>
      <c r="C224" s="614" t="s">
        <v>197</v>
      </c>
      <c r="D224" s="614">
        <v>50</v>
      </c>
      <c r="E224" s="616">
        <v>158.24100000000001</v>
      </c>
      <c r="F224" s="616">
        <v>7912.05</v>
      </c>
      <c r="G224" s="614" t="s">
        <v>1066</v>
      </c>
      <c r="H224" s="614">
        <v>2010009</v>
      </c>
      <c r="I224" s="614" t="s">
        <v>199</v>
      </c>
      <c r="J224" s="614" t="s">
        <v>200</v>
      </c>
      <c r="K224" s="614" t="s">
        <v>201</v>
      </c>
      <c r="L224" s="616">
        <v>9.89</v>
      </c>
      <c r="M224" s="616">
        <v>0.28000000000000003</v>
      </c>
      <c r="N224" s="616">
        <v>0.79</v>
      </c>
      <c r="O224" s="616">
        <v>48</v>
      </c>
      <c r="P224" s="616">
        <v>58.96</v>
      </c>
    </row>
    <row r="225" spans="1:16" x14ac:dyDescent="0.3">
      <c r="A225" s="615">
        <v>40186</v>
      </c>
      <c r="B225" s="614" t="s">
        <v>465</v>
      </c>
      <c r="C225" s="614" t="s">
        <v>197</v>
      </c>
      <c r="D225" s="614">
        <v>5000</v>
      </c>
      <c r="E225" s="616">
        <v>0.67</v>
      </c>
      <c r="F225" s="616">
        <v>3350</v>
      </c>
      <c r="G225" s="614" t="s">
        <v>1067</v>
      </c>
      <c r="H225" s="614">
        <v>200910191</v>
      </c>
      <c r="I225" s="614" t="s">
        <v>199</v>
      </c>
      <c r="J225" s="614" t="s">
        <v>200</v>
      </c>
      <c r="K225" s="614" t="s">
        <v>204</v>
      </c>
      <c r="L225" s="616">
        <v>4.1900000000000004</v>
      </c>
      <c r="M225" s="616">
        <v>0</v>
      </c>
      <c r="N225" s="616">
        <v>0.5</v>
      </c>
      <c r="O225" s="616">
        <v>27.5</v>
      </c>
      <c r="P225" s="616">
        <v>32.19</v>
      </c>
    </row>
    <row r="226" spans="1:16" x14ac:dyDescent="0.3">
      <c r="A226" s="615">
        <v>40170</v>
      </c>
      <c r="B226" s="614" t="s">
        <v>465</v>
      </c>
      <c r="C226" s="614" t="s">
        <v>197</v>
      </c>
      <c r="D226" s="614">
        <v>5000</v>
      </c>
      <c r="E226" s="616">
        <v>0.65300000000000002</v>
      </c>
      <c r="F226" s="616">
        <v>3264.94</v>
      </c>
      <c r="G226" s="614" t="s">
        <v>1068</v>
      </c>
      <c r="H226" s="614">
        <v>200910182</v>
      </c>
      <c r="I226" s="614" t="s">
        <v>199</v>
      </c>
      <c r="J226" s="614" t="s">
        <v>200</v>
      </c>
      <c r="K226" s="614" t="s">
        <v>204</v>
      </c>
      <c r="L226" s="616">
        <v>4.0599999999999996</v>
      </c>
      <c r="M226" s="616">
        <v>0</v>
      </c>
      <c r="N226" s="616">
        <v>0.5</v>
      </c>
      <c r="O226" s="616">
        <v>27.5</v>
      </c>
      <c r="P226" s="616">
        <v>32.06</v>
      </c>
    </row>
    <row r="227" spans="1:16" x14ac:dyDescent="0.3">
      <c r="A227" s="615">
        <v>40158</v>
      </c>
      <c r="B227" s="614" t="s">
        <v>1069</v>
      </c>
      <c r="C227" s="614" t="s">
        <v>197</v>
      </c>
      <c r="D227" s="614">
        <v>150</v>
      </c>
      <c r="E227" s="616">
        <v>75.599999999999994</v>
      </c>
      <c r="F227" s="616">
        <v>11340</v>
      </c>
      <c r="G227" s="614" t="s">
        <v>1070</v>
      </c>
      <c r="H227" s="614">
        <v>2009231</v>
      </c>
      <c r="I227" s="614" t="s">
        <v>199</v>
      </c>
      <c r="J227" s="614" t="s">
        <v>200</v>
      </c>
      <c r="K227" s="614" t="s">
        <v>201</v>
      </c>
      <c r="L227" s="616">
        <v>14.18</v>
      </c>
      <c r="M227" s="616">
        <v>0.39</v>
      </c>
      <c r="N227" s="616">
        <v>1.1499999999999999</v>
      </c>
      <c r="O227" s="616">
        <v>93.81</v>
      </c>
      <c r="P227" s="616">
        <v>109.53</v>
      </c>
    </row>
    <row r="228" spans="1:16" x14ac:dyDescent="0.3">
      <c r="A228" s="615">
        <v>40144</v>
      </c>
      <c r="B228" s="614" t="s">
        <v>1071</v>
      </c>
      <c r="C228" s="614" t="s">
        <v>197</v>
      </c>
      <c r="D228" s="614">
        <v>100</v>
      </c>
      <c r="E228" s="616">
        <v>48.25</v>
      </c>
      <c r="F228" s="616">
        <v>4825</v>
      </c>
      <c r="G228" s="614" t="s">
        <v>1072</v>
      </c>
      <c r="H228" s="614">
        <v>2009221</v>
      </c>
      <c r="I228" s="614" t="s">
        <v>199</v>
      </c>
      <c r="J228" s="614" t="s">
        <v>200</v>
      </c>
      <c r="K228" s="614" t="s">
        <v>201</v>
      </c>
      <c r="L228" s="616">
        <v>6.03</v>
      </c>
      <c r="M228" s="616">
        <v>0.17</v>
      </c>
      <c r="N228" s="616">
        <v>0.48</v>
      </c>
      <c r="O228" s="616">
        <v>39.92</v>
      </c>
      <c r="P228" s="616">
        <v>46.6</v>
      </c>
    </row>
    <row r="229" spans="1:16" x14ac:dyDescent="0.3">
      <c r="A229" s="615">
        <v>40144</v>
      </c>
      <c r="B229" s="614" t="s">
        <v>361</v>
      </c>
      <c r="C229" s="614" t="s">
        <v>197</v>
      </c>
      <c r="D229" s="614">
        <v>20</v>
      </c>
      <c r="E229" s="616">
        <v>123.6</v>
      </c>
      <c r="F229" s="616">
        <v>2472</v>
      </c>
      <c r="G229" s="614" t="s">
        <v>1282</v>
      </c>
      <c r="H229" s="614">
        <v>2009221</v>
      </c>
      <c r="I229" s="614" t="s">
        <v>199</v>
      </c>
      <c r="J229" s="614" t="s">
        <v>200</v>
      </c>
      <c r="K229" s="614" t="s">
        <v>201</v>
      </c>
      <c r="L229" s="616">
        <v>3.09</v>
      </c>
      <c r="M229" s="616">
        <v>0.09</v>
      </c>
      <c r="N229" s="616">
        <v>0.25</v>
      </c>
      <c r="O229" s="616">
        <v>27.58</v>
      </c>
      <c r="P229" s="616">
        <v>31.01</v>
      </c>
    </row>
    <row r="230" spans="1:16" x14ac:dyDescent="0.3">
      <c r="A230" s="615">
        <v>40129</v>
      </c>
      <c r="B230" s="614" t="s">
        <v>1071</v>
      </c>
      <c r="C230" s="614" t="s">
        <v>197</v>
      </c>
      <c r="D230" s="614">
        <v>100</v>
      </c>
      <c r="E230" s="616">
        <v>53</v>
      </c>
      <c r="F230" s="616">
        <v>5300</v>
      </c>
      <c r="G230" s="614" t="s">
        <v>1073</v>
      </c>
      <c r="H230" s="614">
        <v>2009210</v>
      </c>
      <c r="I230" s="614" t="s">
        <v>199</v>
      </c>
      <c r="J230" s="614" t="s">
        <v>200</v>
      </c>
      <c r="K230" s="614" t="s">
        <v>201</v>
      </c>
      <c r="L230" s="616">
        <v>6.63</v>
      </c>
      <c r="M230" s="616">
        <v>0.19</v>
      </c>
      <c r="N230" s="616">
        <v>0.53</v>
      </c>
      <c r="O230" s="616">
        <v>43.84</v>
      </c>
      <c r="P230" s="616">
        <v>51.19</v>
      </c>
    </row>
    <row r="231" spans="1:16" x14ac:dyDescent="0.3">
      <c r="A231" s="615">
        <v>40121</v>
      </c>
      <c r="B231" s="614" t="s">
        <v>1074</v>
      </c>
      <c r="C231" s="614" t="s">
        <v>197</v>
      </c>
      <c r="D231" s="614">
        <v>100</v>
      </c>
      <c r="E231" s="616">
        <v>39.4</v>
      </c>
      <c r="F231" s="616">
        <v>3940</v>
      </c>
      <c r="G231" s="614" t="s">
        <v>1075</v>
      </c>
      <c r="H231" s="614">
        <v>2009204</v>
      </c>
      <c r="I231" s="614" t="s">
        <v>199</v>
      </c>
      <c r="J231" s="614" t="s">
        <v>200</v>
      </c>
      <c r="K231" s="614" t="s">
        <v>201</v>
      </c>
      <c r="L231" s="616">
        <v>4.93</v>
      </c>
      <c r="M231" s="616">
        <v>0.14000000000000001</v>
      </c>
      <c r="N231" s="616">
        <v>0.39</v>
      </c>
      <c r="O231" s="616">
        <v>32.590000000000003</v>
      </c>
      <c r="P231" s="616">
        <v>38.049999999999997</v>
      </c>
    </row>
    <row r="232" spans="1:16" x14ac:dyDescent="0.3">
      <c r="A232" s="615">
        <v>40116</v>
      </c>
      <c r="B232" s="614" t="s">
        <v>235</v>
      </c>
      <c r="C232" s="614" t="s">
        <v>197</v>
      </c>
      <c r="D232" s="614">
        <v>100</v>
      </c>
      <c r="E232" s="616">
        <v>20.3</v>
      </c>
      <c r="F232" s="616">
        <v>2030</v>
      </c>
      <c r="G232" s="614" t="s">
        <v>1285</v>
      </c>
      <c r="H232" s="614">
        <v>200910145</v>
      </c>
      <c r="I232" s="614" t="s">
        <v>199</v>
      </c>
      <c r="J232" s="614" t="s">
        <v>200</v>
      </c>
      <c r="K232" s="614" t="s">
        <v>204</v>
      </c>
      <c r="L232" s="616">
        <v>2.54</v>
      </c>
      <c r="M232" s="616">
        <v>7.0000000000000007E-2</v>
      </c>
      <c r="N232" s="616">
        <v>0.2</v>
      </c>
      <c r="O232" s="616">
        <v>27.58</v>
      </c>
      <c r="P232" s="616">
        <v>30.39</v>
      </c>
    </row>
    <row r="233" spans="1:16" x14ac:dyDescent="0.3">
      <c r="A233" s="615">
        <v>40115</v>
      </c>
      <c r="B233" s="614" t="s">
        <v>235</v>
      </c>
      <c r="C233" s="614" t="s">
        <v>197</v>
      </c>
      <c r="D233" s="614">
        <v>400</v>
      </c>
      <c r="E233" s="616">
        <v>18.95</v>
      </c>
      <c r="F233" s="616">
        <v>7580</v>
      </c>
      <c r="G233" s="614" t="s">
        <v>1286</v>
      </c>
      <c r="H233" s="614">
        <v>2009201</v>
      </c>
      <c r="I233" s="614" t="s">
        <v>199</v>
      </c>
      <c r="J233" s="614" t="s">
        <v>200</v>
      </c>
      <c r="K233" s="614" t="s">
        <v>201</v>
      </c>
      <c r="L233" s="616">
        <v>9.48</v>
      </c>
      <c r="M233" s="616">
        <v>0.28000000000000003</v>
      </c>
      <c r="N233" s="616">
        <v>0.76</v>
      </c>
      <c r="O233" s="616">
        <v>62.68</v>
      </c>
      <c r="P233" s="616">
        <v>73.2</v>
      </c>
    </row>
    <row r="234" spans="1:16" x14ac:dyDescent="0.3">
      <c r="A234" s="615">
        <v>40102</v>
      </c>
      <c r="B234" s="614" t="s">
        <v>361</v>
      </c>
      <c r="C234" s="614" t="s">
        <v>197</v>
      </c>
      <c r="D234" s="614">
        <v>40</v>
      </c>
      <c r="E234" s="616">
        <v>137</v>
      </c>
      <c r="F234" s="616">
        <v>5480</v>
      </c>
      <c r="G234" s="614" t="s">
        <v>1283</v>
      </c>
      <c r="H234" s="614">
        <v>2009192</v>
      </c>
      <c r="I234" s="614" t="s">
        <v>199</v>
      </c>
      <c r="J234" s="614" t="s">
        <v>200</v>
      </c>
      <c r="K234" s="614" t="s">
        <v>201</v>
      </c>
      <c r="L234" s="616">
        <v>6.85</v>
      </c>
      <c r="M234" s="616">
        <v>0.19</v>
      </c>
      <c r="N234" s="616">
        <v>0.55000000000000004</v>
      </c>
      <c r="O234" s="616">
        <v>45.33</v>
      </c>
      <c r="P234" s="616">
        <v>52.92</v>
      </c>
    </row>
    <row r="235" spans="1:16" x14ac:dyDescent="0.3">
      <c r="A235" s="615">
        <v>40102</v>
      </c>
      <c r="B235" s="614" t="s">
        <v>361</v>
      </c>
      <c r="C235" s="614" t="s">
        <v>197</v>
      </c>
      <c r="D235" s="614">
        <v>40</v>
      </c>
      <c r="E235" s="616">
        <v>136.5</v>
      </c>
      <c r="F235" s="616">
        <v>5460</v>
      </c>
      <c r="G235" s="614" t="s">
        <v>1284</v>
      </c>
      <c r="H235" s="614">
        <v>2009192</v>
      </c>
      <c r="I235" s="614" t="s">
        <v>199</v>
      </c>
      <c r="J235" s="614" t="s">
        <v>200</v>
      </c>
      <c r="K235" s="614" t="s">
        <v>201</v>
      </c>
      <c r="L235" s="616">
        <v>6.83</v>
      </c>
      <c r="M235" s="616">
        <v>0.19</v>
      </c>
      <c r="N235" s="616">
        <v>0.55000000000000004</v>
      </c>
      <c r="O235" s="616">
        <v>45.17</v>
      </c>
      <c r="P235" s="616">
        <v>52.74</v>
      </c>
    </row>
    <row r="236" spans="1:16" x14ac:dyDescent="0.3">
      <c r="A236" s="615">
        <v>40102</v>
      </c>
      <c r="B236" s="614" t="s">
        <v>1076</v>
      </c>
      <c r="C236" s="614" t="s">
        <v>197</v>
      </c>
      <c r="D236" s="614">
        <v>60</v>
      </c>
      <c r="E236" s="616">
        <v>132</v>
      </c>
      <c r="F236" s="616">
        <v>7920</v>
      </c>
      <c r="G236" s="614" t="s">
        <v>1077</v>
      </c>
      <c r="H236" s="614">
        <v>2009192</v>
      </c>
      <c r="I236" s="614" t="s">
        <v>199</v>
      </c>
      <c r="J236" s="614" t="s">
        <v>200</v>
      </c>
      <c r="K236" s="614" t="s">
        <v>201</v>
      </c>
      <c r="L236" s="616">
        <v>9.9</v>
      </c>
      <c r="M236" s="616">
        <v>0.28000000000000003</v>
      </c>
      <c r="N236" s="616">
        <v>0.8</v>
      </c>
      <c r="O236" s="616">
        <v>65.52</v>
      </c>
      <c r="P236" s="616">
        <v>76.489999999999995</v>
      </c>
    </row>
    <row r="237" spans="1:16" x14ac:dyDescent="0.3">
      <c r="A237" s="615">
        <v>40098</v>
      </c>
      <c r="B237" s="614" t="s">
        <v>1078</v>
      </c>
      <c r="C237" s="614" t="s">
        <v>197</v>
      </c>
      <c r="D237" s="614">
        <v>50</v>
      </c>
      <c r="E237" s="616">
        <v>185</v>
      </c>
      <c r="F237" s="616">
        <v>9250</v>
      </c>
      <c r="G237" s="614" t="s">
        <v>1079</v>
      </c>
      <c r="H237" s="614">
        <v>2009189</v>
      </c>
      <c r="I237" s="614" t="s">
        <v>307</v>
      </c>
      <c r="J237" s="614" t="s">
        <v>200</v>
      </c>
      <c r="K237" s="614" t="s">
        <v>201</v>
      </c>
      <c r="L237" s="616">
        <v>11.56</v>
      </c>
      <c r="M237" s="616">
        <v>0.33</v>
      </c>
      <c r="N237" s="616">
        <v>0.93</v>
      </c>
      <c r="O237" s="616">
        <v>76.52</v>
      </c>
      <c r="P237" s="616">
        <v>89.33</v>
      </c>
    </row>
    <row r="238" spans="1:16" x14ac:dyDescent="0.3">
      <c r="A238" s="615">
        <v>40098</v>
      </c>
      <c r="B238" s="614" t="s">
        <v>235</v>
      </c>
      <c r="C238" s="614" t="s">
        <v>197</v>
      </c>
      <c r="D238" s="614">
        <v>500</v>
      </c>
      <c r="E238" s="616">
        <v>21.75</v>
      </c>
      <c r="F238" s="616">
        <v>10875</v>
      </c>
      <c r="G238" s="614" t="s">
        <v>1287</v>
      </c>
      <c r="H238" s="614">
        <v>2009189</v>
      </c>
      <c r="I238" s="614" t="s">
        <v>199</v>
      </c>
      <c r="J238" s="614" t="s">
        <v>200</v>
      </c>
      <c r="K238" s="614" t="s">
        <v>201</v>
      </c>
      <c r="L238" s="616">
        <v>13.59</v>
      </c>
      <c r="M238" s="616">
        <v>0.4</v>
      </c>
      <c r="N238" s="616">
        <v>1.1000000000000001</v>
      </c>
      <c r="O238" s="616">
        <v>89.95</v>
      </c>
      <c r="P238" s="616">
        <v>105.04</v>
      </c>
    </row>
    <row r="239" spans="1:16" x14ac:dyDescent="0.3">
      <c r="A239" s="615">
        <v>40095</v>
      </c>
      <c r="B239" s="614" t="s">
        <v>1080</v>
      </c>
      <c r="C239" s="614" t="s">
        <v>197</v>
      </c>
      <c r="D239" s="614">
        <v>200</v>
      </c>
      <c r="E239" s="616">
        <v>37.799999999999997</v>
      </c>
      <c r="F239" s="616">
        <v>7560</v>
      </c>
      <c r="G239" s="614" t="s">
        <v>1081</v>
      </c>
      <c r="H239" s="614">
        <v>2009188</v>
      </c>
      <c r="I239" s="614" t="s">
        <v>199</v>
      </c>
      <c r="J239" s="614" t="s">
        <v>200</v>
      </c>
      <c r="K239" s="614" t="s">
        <v>201</v>
      </c>
      <c r="L239" s="616">
        <v>9.4499999999999993</v>
      </c>
      <c r="M239" s="616">
        <v>0.26</v>
      </c>
      <c r="N239" s="616">
        <v>0.76</v>
      </c>
      <c r="O239" s="616">
        <v>62.54</v>
      </c>
      <c r="P239" s="616">
        <v>73.010000000000005</v>
      </c>
    </row>
    <row r="240" spans="1:16" x14ac:dyDescent="0.3">
      <c r="A240" s="615">
        <v>40095</v>
      </c>
      <c r="B240" s="614" t="s">
        <v>1074</v>
      </c>
      <c r="C240" s="614" t="s">
        <v>197</v>
      </c>
      <c r="D240" s="614">
        <v>100</v>
      </c>
      <c r="E240" s="616">
        <v>56.45</v>
      </c>
      <c r="F240" s="616">
        <v>5645</v>
      </c>
      <c r="G240" s="614" t="s">
        <v>1082</v>
      </c>
      <c r="H240" s="614">
        <v>2009188</v>
      </c>
      <c r="I240" s="614" t="s">
        <v>199</v>
      </c>
      <c r="J240" s="614" t="s">
        <v>200</v>
      </c>
      <c r="K240" s="614" t="s">
        <v>201</v>
      </c>
      <c r="L240" s="616">
        <v>7.06</v>
      </c>
      <c r="M240" s="616">
        <v>0.2</v>
      </c>
      <c r="N240" s="616">
        <v>0.56000000000000005</v>
      </c>
      <c r="O240" s="616">
        <v>46.71</v>
      </c>
      <c r="P240" s="616">
        <v>54.53</v>
      </c>
    </row>
    <row r="241" spans="1:16" x14ac:dyDescent="0.3">
      <c r="A241" s="615">
        <v>40094</v>
      </c>
      <c r="B241" s="614" t="s">
        <v>1074</v>
      </c>
      <c r="C241" s="614" t="s">
        <v>197</v>
      </c>
      <c r="D241" s="614">
        <v>100</v>
      </c>
      <c r="E241" s="616">
        <v>56.895000000000003</v>
      </c>
      <c r="F241" s="616">
        <v>5689.5</v>
      </c>
      <c r="G241" s="614" t="s">
        <v>1083</v>
      </c>
      <c r="H241" s="614">
        <v>2009187</v>
      </c>
      <c r="I241" s="614" t="s">
        <v>199</v>
      </c>
      <c r="J241" s="614" t="s">
        <v>200</v>
      </c>
      <c r="K241" s="614" t="s">
        <v>201</v>
      </c>
      <c r="L241" s="616">
        <v>7.11</v>
      </c>
      <c r="M241" s="616">
        <v>0.2</v>
      </c>
      <c r="N241" s="616">
        <v>0.56999999999999995</v>
      </c>
      <c r="O241" s="616">
        <v>47.08</v>
      </c>
      <c r="P241" s="616">
        <v>54.96</v>
      </c>
    </row>
    <row r="242" spans="1:16" x14ac:dyDescent="0.3">
      <c r="A242" s="615">
        <v>40091</v>
      </c>
      <c r="B242" s="614" t="s">
        <v>1084</v>
      </c>
      <c r="C242" s="614" t="s">
        <v>197</v>
      </c>
      <c r="D242" s="614">
        <v>200</v>
      </c>
      <c r="E242" s="616">
        <v>49.841000000000001</v>
      </c>
      <c r="F242" s="616">
        <v>9968.2000000000007</v>
      </c>
      <c r="G242" s="614" t="s">
        <v>1085</v>
      </c>
      <c r="H242" s="614">
        <v>2009184</v>
      </c>
      <c r="I242" s="614" t="s">
        <v>199</v>
      </c>
      <c r="J242" s="614" t="s">
        <v>200</v>
      </c>
      <c r="K242" s="614" t="s">
        <v>201</v>
      </c>
      <c r="L242" s="616">
        <v>12.46</v>
      </c>
      <c r="M242" s="616">
        <v>0.34</v>
      </c>
      <c r="N242" s="616">
        <v>1</v>
      </c>
      <c r="O242" s="616">
        <v>82.46</v>
      </c>
      <c r="P242" s="616">
        <v>96.26</v>
      </c>
    </row>
    <row r="243" spans="1:16" x14ac:dyDescent="0.3">
      <c r="A243" s="615">
        <v>40091</v>
      </c>
      <c r="B243" s="614" t="s">
        <v>1086</v>
      </c>
      <c r="C243" s="614" t="s">
        <v>197</v>
      </c>
      <c r="D243" s="614">
        <v>120</v>
      </c>
      <c r="E243" s="616">
        <v>80.650000000000006</v>
      </c>
      <c r="F243" s="616">
        <v>9678</v>
      </c>
      <c r="G243" s="614" t="s">
        <v>1087</v>
      </c>
      <c r="H243" s="614">
        <v>2009184</v>
      </c>
      <c r="I243" s="614" t="s">
        <v>199</v>
      </c>
      <c r="J243" s="614" t="s">
        <v>200</v>
      </c>
      <c r="K243" s="614" t="s">
        <v>201</v>
      </c>
      <c r="L243" s="616">
        <v>12.1</v>
      </c>
      <c r="M243" s="616">
        <v>0.34</v>
      </c>
      <c r="N243" s="616">
        <v>0.97</v>
      </c>
      <c r="O243" s="616">
        <v>80.06</v>
      </c>
      <c r="P243" s="616">
        <v>93.47</v>
      </c>
    </row>
    <row r="244" spans="1:16" x14ac:dyDescent="0.3">
      <c r="A244" s="615">
        <v>40080</v>
      </c>
      <c r="B244" s="614" t="s">
        <v>1086</v>
      </c>
      <c r="C244" s="614" t="s">
        <v>197</v>
      </c>
      <c r="D244" s="614">
        <v>300</v>
      </c>
      <c r="E244" s="616">
        <v>80.7</v>
      </c>
      <c r="F244" s="616">
        <v>24210</v>
      </c>
      <c r="G244" s="614" t="s">
        <v>1088</v>
      </c>
      <c r="H244" s="614">
        <v>2009179</v>
      </c>
      <c r="I244" s="614" t="s">
        <v>199</v>
      </c>
      <c r="J244" s="614" t="s">
        <v>200</v>
      </c>
      <c r="K244" s="614" t="s">
        <v>201</v>
      </c>
      <c r="L244" s="616">
        <v>30.26</v>
      </c>
      <c r="M244" s="616">
        <v>0.93</v>
      </c>
      <c r="N244" s="616">
        <v>2.4300000000000002</v>
      </c>
      <c r="O244" s="616">
        <v>200.28</v>
      </c>
      <c r="P244" s="616">
        <v>233.9</v>
      </c>
    </row>
    <row r="245" spans="1:16" x14ac:dyDescent="0.3">
      <c r="A245" s="615">
        <v>40079</v>
      </c>
      <c r="B245" s="614" t="s">
        <v>1089</v>
      </c>
      <c r="C245" s="614" t="s">
        <v>197</v>
      </c>
      <c r="D245" s="614">
        <v>100</v>
      </c>
      <c r="E245" s="616">
        <v>111.35</v>
      </c>
      <c r="F245" s="616">
        <v>11135</v>
      </c>
      <c r="G245" s="614" t="s">
        <v>1090</v>
      </c>
      <c r="H245" s="614">
        <v>2009178</v>
      </c>
      <c r="I245" s="614" t="s">
        <v>199</v>
      </c>
      <c r="J245" s="614" t="s">
        <v>200</v>
      </c>
      <c r="K245" s="614" t="s">
        <v>201</v>
      </c>
      <c r="L245" s="616">
        <v>13.92</v>
      </c>
      <c r="M245" s="616">
        <v>0.43</v>
      </c>
      <c r="N245" s="616">
        <v>1.1100000000000001</v>
      </c>
      <c r="O245" s="616">
        <v>92.11</v>
      </c>
      <c r="P245" s="616">
        <v>107.57</v>
      </c>
    </row>
    <row r="246" spans="1:16" x14ac:dyDescent="0.3">
      <c r="A246" s="615">
        <v>40079</v>
      </c>
      <c r="B246" s="614" t="s">
        <v>1089</v>
      </c>
      <c r="C246" s="614" t="s">
        <v>197</v>
      </c>
      <c r="D246" s="614">
        <v>100</v>
      </c>
      <c r="E246" s="616">
        <v>111.35</v>
      </c>
      <c r="F246" s="616">
        <v>11135</v>
      </c>
      <c r="G246" s="614" t="s">
        <v>1091</v>
      </c>
      <c r="H246" s="614">
        <v>2009178</v>
      </c>
      <c r="I246" s="614" t="s">
        <v>199</v>
      </c>
      <c r="J246" s="614" t="s">
        <v>200</v>
      </c>
      <c r="K246" s="614" t="s">
        <v>201</v>
      </c>
      <c r="L246" s="616">
        <v>13.92</v>
      </c>
      <c r="M246" s="616">
        <v>0.43</v>
      </c>
      <c r="N246" s="616">
        <v>1.1100000000000001</v>
      </c>
      <c r="O246" s="616">
        <v>92.11</v>
      </c>
      <c r="P246" s="616">
        <v>107.57</v>
      </c>
    </row>
    <row r="247" spans="1:16" x14ac:dyDescent="0.3">
      <c r="A247" s="615">
        <v>40067</v>
      </c>
      <c r="B247" s="614" t="s">
        <v>1092</v>
      </c>
      <c r="C247" s="614" t="s">
        <v>197</v>
      </c>
      <c r="D247" s="614">
        <v>700</v>
      </c>
      <c r="E247" s="616">
        <v>35.75</v>
      </c>
      <c r="F247" s="616">
        <v>25025</v>
      </c>
      <c r="G247" s="614" t="s">
        <v>1093</v>
      </c>
      <c r="H247" s="614">
        <v>2009171</v>
      </c>
      <c r="I247" s="614" t="s">
        <v>199</v>
      </c>
      <c r="J247" s="614" t="s">
        <v>200</v>
      </c>
      <c r="K247" s="614" t="s">
        <v>201</v>
      </c>
      <c r="L247" s="616">
        <v>31.28</v>
      </c>
      <c r="M247" s="616">
        <v>0.98</v>
      </c>
      <c r="N247" s="616">
        <v>2.52</v>
      </c>
      <c r="O247" s="616">
        <v>206.99</v>
      </c>
      <c r="P247" s="616">
        <v>241.77</v>
      </c>
    </row>
    <row r="248" spans="1:16" x14ac:dyDescent="0.3">
      <c r="A248" s="615">
        <v>40067</v>
      </c>
      <c r="B248" s="614" t="s">
        <v>1094</v>
      </c>
      <c r="C248" s="614" t="s">
        <v>197</v>
      </c>
      <c r="D248" s="614">
        <v>90</v>
      </c>
      <c r="E248" s="616">
        <v>257.45</v>
      </c>
      <c r="F248" s="616">
        <v>23170.5</v>
      </c>
      <c r="G248" s="614" t="s">
        <v>1095</v>
      </c>
      <c r="H248" s="614">
        <v>2009171</v>
      </c>
      <c r="I248" s="614" t="s">
        <v>199</v>
      </c>
      <c r="J248" s="614" t="s">
        <v>200</v>
      </c>
      <c r="K248" s="614" t="s">
        <v>201</v>
      </c>
      <c r="L248" s="616">
        <v>28.96</v>
      </c>
      <c r="M248" s="616">
        <v>0.9</v>
      </c>
      <c r="N248" s="616">
        <v>2.31</v>
      </c>
      <c r="O248" s="616">
        <v>191.68</v>
      </c>
      <c r="P248" s="616">
        <v>223.85</v>
      </c>
    </row>
    <row r="249" spans="1:16" x14ac:dyDescent="0.3">
      <c r="A249" s="615">
        <v>40064</v>
      </c>
      <c r="B249" s="614" t="s">
        <v>1096</v>
      </c>
      <c r="C249" s="614" t="s">
        <v>197</v>
      </c>
      <c r="D249" s="614">
        <v>300</v>
      </c>
      <c r="E249" s="616">
        <v>169.7</v>
      </c>
      <c r="F249" s="616">
        <v>50910</v>
      </c>
      <c r="G249" s="614" t="s">
        <v>1097</v>
      </c>
      <c r="H249" s="614">
        <v>2009168</v>
      </c>
      <c r="I249" s="614" t="s">
        <v>199</v>
      </c>
      <c r="J249" s="614" t="s">
        <v>200</v>
      </c>
      <c r="K249" s="614" t="s">
        <v>201</v>
      </c>
      <c r="L249" s="616">
        <v>0</v>
      </c>
      <c r="M249" s="616">
        <v>1.98</v>
      </c>
      <c r="N249" s="616">
        <v>1.02</v>
      </c>
      <c r="O249" s="616">
        <v>28.08</v>
      </c>
      <c r="P249" s="616">
        <v>31.08</v>
      </c>
    </row>
    <row r="250" spans="1:16" x14ac:dyDescent="0.3">
      <c r="A250" s="615">
        <v>40064</v>
      </c>
      <c r="B250" s="614" t="s">
        <v>1086</v>
      </c>
      <c r="C250" s="614" t="s">
        <v>197</v>
      </c>
      <c r="D250" s="614">
        <v>200</v>
      </c>
      <c r="E250" s="616">
        <v>85.6</v>
      </c>
      <c r="F250" s="616">
        <v>17120</v>
      </c>
      <c r="G250" s="614" t="s">
        <v>1099</v>
      </c>
      <c r="H250" s="614">
        <v>2009168</v>
      </c>
      <c r="I250" s="614" t="s">
        <v>199</v>
      </c>
      <c r="J250" s="614" t="s">
        <v>200</v>
      </c>
      <c r="K250" s="614" t="s">
        <v>201</v>
      </c>
      <c r="L250" s="616">
        <v>21.4</v>
      </c>
      <c r="M250" s="616">
        <v>0.66</v>
      </c>
      <c r="N250" s="616">
        <v>1.72</v>
      </c>
      <c r="O250" s="616">
        <v>141.62</v>
      </c>
      <c r="P250" s="616">
        <v>165.4</v>
      </c>
    </row>
    <row r="251" spans="1:16" x14ac:dyDescent="0.3">
      <c r="A251" s="615">
        <v>40063</v>
      </c>
      <c r="B251" s="614" t="s">
        <v>1086</v>
      </c>
      <c r="C251" s="614" t="s">
        <v>197</v>
      </c>
      <c r="D251" s="614">
        <v>200</v>
      </c>
      <c r="E251" s="616">
        <v>84.75</v>
      </c>
      <c r="F251" s="616">
        <v>16950</v>
      </c>
      <c r="G251" s="614" t="s">
        <v>1100</v>
      </c>
      <c r="H251" s="614">
        <v>2009167</v>
      </c>
      <c r="I251" s="614" t="s">
        <v>199</v>
      </c>
      <c r="J251" s="614" t="s">
        <v>200</v>
      </c>
      <c r="K251" s="614" t="s">
        <v>201</v>
      </c>
      <c r="L251" s="616">
        <v>21.19</v>
      </c>
      <c r="M251" s="616">
        <v>0.66</v>
      </c>
      <c r="N251" s="616">
        <v>1.7</v>
      </c>
      <c r="O251" s="616">
        <v>140.22</v>
      </c>
      <c r="P251" s="616">
        <v>163.77000000000001</v>
      </c>
    </row>
    <row r="252" spans="1:16" x14ac:dyDescent="0.3">
      <c r="A252" s="615">
        <v>40060</v>
      </c>
      <c r="B252" s="614" t="s">
        <v>1101</v>
      </c>
      <c r="C252" s="614" t="s">
        <v>197</v>
      </c>
      <c r="D252" s="614">
        <v>20</v>
      </c>
      <c r="E252" s="616">
        <v>552.6</v>
      </c>
      <c r="F252" s="616">
        <v>11052</v>
      </c>
      <c r="G252" s="614" t="s">
        <v>1102</v>
      </c>
      <c r="H252" s="614">
        <v>2009166</v>
      </c>
      <c r="I252" s="614" t="s">
        <v>199</v>
      </c>
      <c r="J252" s="614" t="s">
        <v>200</v>
      </c>
      <c r="K252" s="614" t="s">
        <v>201</v>
      </c>
      <c r="L252" s="616">
        <v>13.82</v>
      </c>
      <c r="M252" s="616">
        <v>0.43</v>
      </c>
      <c r="N252" s="616">
        <v>1.1000000000000001</v>
      </c>
      <c r="O252" s="616">
        <v>91.43</v>
      </c>
      <c r="P252" s="616">
        <v>106.78</v>
      </c>
    </row>
    <row r="253" spans="1:16" x14ac:dyDescent="0.3">
      <c r="A253" s="615">
        <v>40059</v>
      </c>
      <c r="B253" s="614" t="s">
        <v>1103</v>
      </c>
      <c r="C253" s="614" t="s">
        <v>197</v>
      </c>
      <c r="D253" s="614">
        <v>25</v>
      </c>
      <c r="E253" s="616">
        <v>420.6</v>
      </c>
      <c r="F253" s="616">
        <v>10515</v>
      </c>
      <c r="G253" s="614" t="s">
        <v>1104</v>
      </c>
      <c r="H253" s="614">
        <v>2009165</v>
      </c>
      <c r="I253" s="614" t="s">
        <v>199</v>
      </c>
      <c r="J253" s="614" t="s">
        <v>200</v>
      </c>
      <c r="K253" s="614" t="s">
        <v>201</v>
      </c>
      <c r="L253" s="616">
        <v>13.14</v>
      </c>
      <c r="M253" s="616">
        <v>0.41</v>
      </c>
      <c r="N253" s="616">
        <v>1.05</v>
      </c>
      <c r="O253" s="616">
        <v>86.99</v>
      </c>
      <c r="P253" s="616">
        <v>101.59</v>
      </c>
    </row>
    <row r="254" spans="1:16" x14ac:dyDescent="0.3">
      <c r="A254" s="615">
        <v>40057</v>
      </c>
      <c r="B254" s="614" t="s">
        <v>1105</v>
      </c>
      <c r="C254" s="614" t="s">
        <v>197</v>
      </c>
      <c r="D254" s="614">
        <v>200</v>
      </c>
      <c r="E254" s="616">
        <v>48.7</v>
      </c>
      <c r="F254" s="616">
        <v>9740</v>
      </c>
      <c r="G254" s="614" t="s">
        <v>1106</v>
      </c>
      <c r="H254" s="614">
        <v>2009163</v>
      </c>
      <c r="I254" s="614" t="s">
        <v>199</v>
      </c>
      <c r="J254" s="614" t="s">
        <v>200</v>
      </c>
      <c r="K254" s="614" t="s">
        <v>201</v>
      </c>
      <c r="L254" s="616">
        <v>12.18</v>
      </c>
      <c r="M254" s="616">
        <v>0.38</v>
      </c>
      <c r="N254" s="616">
        <v>0.98</v>
      </c>
      <c r="O254" s="616">
        <v>80.58</v>
      </c>
      <c r="P254" s="616">
        <v>94.12</v>
      </c>
    </row>
    <row r="255" spans="1:16" x14ac:dyDescent="0.3">
      <c r="A255" s="615">
        <v>40057</v>
      </c>
      <c r="B255" s="614" t="s">
        <v>1107</v>
      </c>
      <c r="C255" s="614" t="s">
        <v>197</v>
      </c>
      <c r="D255" s="614">
        <v>125</v>
      </c>
      <c r="E255" s="616">
        <v>81.8</v>
      </c>
      <c r="F255" s="616">
        <v>10225</v>
      </c>
      <c r="G255" s="614" t="s">
        <v>1108</v>
      </c>
      <c r="H255" s="614">
        <v>2009163</v>
      </c>
      <c r="I255" s="614" t="s">
        <v>199</v>
      </c>
      <c r="J255" s="614" t="s">
        <v>200</v>
      </c>
      <c r="K255" s="614" t="s">
        <v>201</v>
      </c>
      <c r="L255" s="616">
        <v>12.78</v>
      </c>
      <c r="M255" s="616">
        <v>0.4</v>
      </c>
      <c r="N255" s="616">
        <v>1.03</v>
      </c>
      <c r="O255" s="616">
        <v>84.59</v>
      </c>
      <c r="P255" s="616">
        <v>98.8</v>
      </c>
    </row>
    <row r="256" spans="1:16" x14ac:dyDescent="0.3">
      <c r="A256" s="615">
        <v>40057</v>
      </c>
      <c r="B256" s="614" t="s">
        <v>1109</v>
      </c>
      <c r="C256" s="614" t="s">
        <v>197</v>
      </c>
      <c r="D256" s="614">
        <v>100</v>
      </c>
      <c r="E256" s="616">
        <v>99.7</v>
      </c>
      <c r="F256" s="616">
        <v>9970</v>
      </c>
      <c r="G256" s="614" t="s">
        <v>1110</v>
      </c>
      <c r="H256" s="614">
        <v>2009163</v>
      </c>
      <c r="I256" s="614" t="s">
        <v>199</v>
      </c>
      <c r="J256" s="614" t="s">
        <v>200</v>
      </c>
      <c r="K256" s="614" t="s">
        <v>201</v>
      </c>
      <c r="L256" s="616">
        <v>12.46</v>
      </c>
      <c r="M256" s="616">
        <v>0.39</v>
      </c>
      <c r="N256" s="616">
        <v>1</v>
      </c>
      <c r="O256" s="616">
        <v>82.48</v>
      </c>
      <c r="P256" s="616">
        <v>96.33</v>
      </c>
    </row>
    <row r="257" spans="1:16" x14ac:dyDescent="0.3">
      <c r="A257" s="615">
        <v>40056</v>
      </c>
      <c r="B257" s="614" t="s">
        <v>1111</v>
      </c>
      <c r="C257" s="614" t="s">
        <v>197</v>
      </c>
      <c r="D257" s="614">
        <v>175</v>
      </c>
      <c r="E257" s="616">
        <v>57</v>
      </c>
      <c r="F257" s="616">
        <v>9975</v>
      </c>
      <c r="G257" s="614" t="s">
        <v>1112</v>
      </c>
      <c r="H257" s="614">
        <v>200910105</v>
      </c>
      <c r="I257" s="614" t="s">
        <v>199</v>
      </c>
      <c r="J257" s="614" t="s">
        <v>200</v>
      </c>
      <c r="K257" s="614" t="s">
        <v>204</v>
      </c>
      <c r="L257" s="616">
        <v>12.47</v>
      </c>
      <c r="M257" s="616">
        <v>0.39</v>
      </c>
      <c r="N257" s="616">
        <v>1</v>
      </c>
      <c r="O257" s="616">
        <v>82.51</v>
      </c>
      <c r="P257" s="616">
        <v>96.37</v>
      </c>
    </row>
    <row r="258" spans="1:16" x14ac:dyDescent="0.3">
      <c r="A258" s="615">
        <v>40039</v>
      </c>
      <c r="B258" s="614" t="s">
        <v>1113</v>
      </c>
      <c r="C258" s="614" t="s">
        <v>197</v>
      </c>
      <c r="D258" s="614">
        <v>50</v>
      </c>
      <c r="E258" s="616">
        <v>205.9</v>
      </c>
      <c r="F258" s="616">
        <v>10295</v>
      </c>
      <c r="G258" s="614" t="s">
        <v>1114</v>
      </c>
      <c r="H258" s="614">
        <v>2009151</v>
      </c>
      <c r="I258" s="614" t="s">
        <v>199</v>
      </c>
      <c r="J258" s="614" t="s">
        <v>200</v>
      </c>
      <c r="K258" s="614" t="s">
        <v>201</v>
      </c>
      <c r="L258" s="616">
        <v>12.87</v>
      </c>
      <c r="M258" s="616">
        <v>0.4</v>
      </c>
      <c r="N258" s="616">
        <v>1.04</v>
      </c>
      <c r="O258" s="616">
        <v>85.17</v>
      </c>
      <c r="P258" s="616">
        <v>99.48</v>
      </c>
    </row>
    <row r="259" spans="1:16" x14ac:dyDescent="0.3">
      <c r="A259" s="615">
        <v>40010</v>
      </c>
      <c r="B259" s="614" t="s">
        <v>1115</v>
      </c>
      <c r="C259" s="614" t="s">
        <v>197</v>
      </c>
      <c r="D259" s="614">
        <v>500</v>
      </c>
      <c r="E259" s="616">
        <v>57.5</v>
      </c>
      <c r="F259" s="616">
        <v>28750</v>
      </c>
      <c r="G259" s="614" t="s">
        <v>1116</v>
      </c>
      <c r="H259" s="614">
        <v>2009130</v>
      </c>
      <c r="I259" s="614" t="s">
        <v>199</v>
      </c>
      <c r="J259" s="614" t="s">
        <v>200</v>
      </c>
      <c r="K259" s="614" t="s">
        <v>201</v>
      </c>
      <c r="L259" s="616">
        <v>0</v>
      </c>
      <c r="M259" s="616">
        <v>1.1000000000000001</v>
      </c>
      <c r="N259" s="616">
        <v>0.6</v>
      </c>
      <c r="O259" s="616">
        <v>16.55</v>
      </c>
      <c r="P259" s="616">
        <v>18.25</v>
      </c>
    </row>
    <row r="260" spans="1:16" x14ac:dyDescent="0.3">
      <c r="A260" s="615">
        <v>40010</v>
      </c>
      <c r="B260" s="614" t="s">
        <v>1115</v>
      </c>
      <c r="C260" s="614" t="s">
        <v>197</v>
      </c>
      <c r="D260" s="614">
        <v>230</v>
      </c>
      <c r="E260" s="616">
        <v>57</v>
      </c>
      <c r="F260" s="616">
        <v>13110</v>
      </c>
      <c r="G260" s="614" t="s">
        <v>1117</v>
      </c>
      <c r="H260" s="614">
        <v>2009130</v>
      </c>
      <c r="I260" s="614" t="s">
        <v>199</v>
      </c>
      <c r="J260" s="614" t="s">
        <v>200</v>
      </c>
      <c r="K260" s="614" t="s">
        <v>201</v>
      </c>
      <c r="L260" s="616">
        <v>0</v>
      </c>
      <c r="M260" s="616">
        <v>0.51</v>
      </c>
      <c r="N260" s="616">
        <v>0.25</v>
      </c>
      <c r="O260" s="616">
        <v>16.54</v>
      </c>
      <c r="P260" s="616">
        <v>17.3</v>
      </c>
    </row>
    <row r="261" spans="1:16" x14ac:dyDescent="0.3">
      <c r="A261" s="615">
        <v>39989</v>
      </c>
      <c r="B261" s="614" t="s">
        <v>1111</v>
      </c>
      <c r="C261" s="614" t="s">
        <v>197</v>
      </c>
      <c r="D261" s="614">
        <v>75</v>
      </c>
      <c r="E261" s="616">
        <v>59.5</v>
      </c>
      <c r="F261" s="616">
        <v>4462.5</v>
      </c>
      <c r="G261" s="614" t="s">
        <v>1118</v>
      </c>
      <c r="H261" s="614">
        <v>200910058</v>
      </c>
      <c r="I261" s="614" t="s">
        <v>199</v>
      </c>
      <c r="J261" s="614" t="s">
        <v>200</v>
      </c>
      <c r="K261" s="614" t="s">
        <v>204</v>
      </c>
      <c r="L261" s="616">
        <v>5.58</v>
      </c>
      <c r="M261" s="616">
        <v>0.18</v>
      </c>
      <c r="N261" s="616">
        <v>0.45</v>
      </c>
      <c r="O261" s="616">
        <v>36.93</v>
      </c>
      <c r="P261" s="616">
        <v>43.14</v>
      </c>
    </row>
    <row r="262" spans="1:16" x14ac:dyDescent="0.3">
      <c r="A262" s="615">
        <v>39983</v>
      </c>
      <c r="B262" s="614" t="s">
        <v>1113</v>
      </c>
      <c r="C262" s="614" t="s">
        <v>197</v>
      </c>
      <c r="D262" s="614">
        <v>24</v>
      </c>
      <c r="E262" s="616">
        <v>194.1</v>
      </c>
      <c r="F262" s="616">
        <v>4658.3999999999996</v>
      </c>
      <c r="G262" s="614" t="s">
        <v>1119</v>
      </c>
      <c r="H262" s="614">
        <v>2009111</v>
      </c>
      <c r="I262" s="614" t="s">
        <v>199</v>
      </c>
      <c r="J262" s="614" t="s">
        <v>200</v>
      </c>
      <c r="K262" s="614" t="s">
        <v>201</v>
      </c>
      <c r="L262" s="616">
        <v>5.82</v>
      </c>
      <c r="M262" s="616">
        <v>0.19</v>
      </c>
      <c r="N262" s="616">
        <v>0.46</v>
      </c>
      <c r="O262" s="616">
        <v>38.54</v>
      </c>
      <c r="P262" s="616">
        <v>45.01</v>
      </c>
    </row>
    <row r="263" spans="1:16" x14ac:dyDescent="0.3">
      <c r="A263" s="615">
        <v>39980</v>
      </c>
      <c r="B263" s="614" t="s">
        <v>1120</v>
      </c>
      <c r="C263" s="614" t="s">
        <v>197</v>
      </c>
      <c r="D263" s="614">
        <v>210</v>
      </c>
      <c r="E263" s="616">
        <v>24</v>
      </c>
      <c r="F263" s="616">
        <v>5040</v>
      </c>
      <c r="G263" s="614" t="s">
        <v>1141</v>
      </c>
      <c r="H263" s="614">
        <v>2009108</v>
      </c>
      <c r="I263" s="614" t="s">
        <v>199</v>
      </c>
      <c r="J263" s="614" t="s">
        <v>200</v>
      </c>
      <c r="K263" s="614" t="s">
        <v>201</v>
      </c>
      <c r="L263" s="616">
        <v>6.3</v>
      </c>
      <c r="M263" s="616">
        <v>0.21</v>
      </c>
      <c r="N263" s="616">
        <v>0.51</v>
      </c>
      <c r="O263" s="616">
        <v>41.69</v>
      </c>
      <c r="P263" s="616">
        <v>48.71</v>
      </c>
    </row>
    <row r="264" spans="1:16" x14ac:dyDescent="0.3">
      <c r="A264" s="615">
        <v>39976</v>
      </c>
      <c r="B264" s="614" t="s">
        <v>1142</v>
      </c>
      <c r="C264" s="614" t="s">
        <v>197</v>
      </c>
      <c r="D264" s="614">
        <v>20</v>
      </c>
      <c r="E264" s="616">
        <v>134.19999999999999</v>
      </c>
      <c r="F264" s="616">
        <v>2684</v>
      </c>
      <c r="G264" s="614" t="s">
        <v>1143</v>
      </c>
      <c r="H264" s="614">
        <v>2009106</v>
      </c>
      <c r="I264" s="614" t="s">
        <v>199</v>
      </c>
      <c r="J264" s="614" t="s">
        <v>200</v>
      </c>
      <c r="K264" s="614" t="s">
        <v>201</v>
      </c>
      <c r="L264" s="616">
        <v>3.36</v>
      </c>
      <c r="M264" s="616">
        <v>0.11</v>
      </c>
      <c r="N264" s="616">
        <v>0.26</v>
      </c>
      <c r="O264" s="616">
        <v>27.58</v>
      </c>
      <c r="P264" s="616">
        <v>31.31</v>
      </c>
    </row>
    <row r="265" spans="1:16" x14ac:dyDescent="0.3">
      <c r="A265" s="615">
        <v>39975</v>
      </c>
      <c r="B265" s="614" t="s">
        <v>1142</v>
      </c>
      <c r="C265" s="614" t="s">
        <v>197</v>
      </c>
      <c r="D265" s="614">
        <v>60</v>
      </c>
      <c r="E265" s="616">
        <v>134</v>
      </c>
      <c r="F265" s="616">
        <v>8040</v>
      </c>
      <c r="G265" s="614" t="s">
        <v>1144</v>
      </c>
      <c r="H265" s="614">
        <v>2009105</v>
      </c>
      <c r="I265" s="614" t="s">
        <v>199</v>
      </c>
      <c r="J265" s="614" t="s">
        <v>200</v>
      </c>
      <c r="K265" s="614" t="s">
        <v>201</v>
      </c>
      <c r="L265" s="616">
        <v>10.050000000000001</v>
      </c>
      <c r="M265" s="616">
        <v>0.32</v>
      </c>
      <c r="N265" s="616">
        <v>0.8</v>
      </c>
      <c r="O265" s="616">
        <v>66.510000000000005</v>
      </c>
      <c r="P265" s="616">
        <v>77.69</v>
      </c>
    </row>
    <row r="266" spans="1:16" x14ac:dyDescent="0.3">
      <c r="A266" s="615">
        <v>39973</v>
      </c>
      <c r="B266" s="614" t="s">
        <v>1145</v>
      </c>
      <c r="C266" s="614" t="s">
        <v>197</v>
      </c>
      <c r="D266" s="614">
        <v>130</v>
      </c>
      <c r="E266" s="616">
        <v>30.15</v>
      </c>
      <c r="F266" s="616">
        <v>3919.5</v>
      </c>
      <c r="G266" s="614" t="s">
        <v>1146</v>
      </c>
      <c r="H266" s="614">
        <v>2009103</v>
      </c>
      <c r="I266" s="614" t="s">
        <v>199</v>
      </c>
      <c r="J266" s="614" t="s">
        <v>200</v>
      </c>
      <c r="K266" s="614" t="s">
        <v>201</v>
      </c>
      <c r="L266" s="616">
        <v>4.9000000000000004</v>
      </c>
      <c r="M266" s="616">
        <v>0.16</v>
      </c>
      <c r="N266" s="616">
        <v>0.39</v>
      </c>
      <c r="O266" s="616">
        <v>32.42</v>
      </c>
      <c r="P266" s="616">
        <v>37.86</v>
      </c>
    </row>
    <row r="267" spans="1:16" x14ac:dyDescent="0.3">
      <c r="A267" s="615">
        <v>39972</v>
      </c>
      <c r="B267" s="614" t="s">
        <v>1147</v>
      </c>
      <c r="C267" s="614" t="s">
        <v>197</v>
      </c>
      <c r="D267" s="614">
        <v>75</v>
      </c>
      <c r="E267" s="616">
        <v>63</v>
      </c>
      <c r="F267" s="616">
        <v>4725</v>
      </c>
      <c r="G267" s="614" t="s">
        <v>1148</v>
      </c>
      <c r="H267" s="614">
        <v>2009102</v>
      </c>
      <c r="I267" s="614" t="s">
        <v>199</v>
      </c>
      <c r="J267" s="614" t="s">
        <v>200</v>
      </c>
      <c r="K267" s="614" t="s">
        <v>201</v>
      </c>
      <c r="L267" s="616">
        <v>5.91</v>
      </c>
      <c r="M267" s="616">
        <v>0.19</v>
      </c>
      <c r="N267" s="616">
        <v>0.48</v>
      </c>
      <c r="O267" s="616">
        <v>39.090000000000003</v>
      </c>
      <c r="P267" s="616">
        <v>45.67</v>
      </c>
    </row>
    <row r="268" spans="1:16" x14ac:dyDescent="0.3">
      <c r="A268" s="615">
        <v>39972</v>
      </c>
      <c r="B268" s="614" t="s">
        <v>1149</v>
      </c>
      <c r="C268" s="614" t="s">
        <v>197</v>
      </c>
      <c r="D268" s="614">
        <v>18</v>
      </c>
      <c r="E268" s="616">
        <v>168.8</v>
      </c>
      <c r="F268" s="616">
        <v>3038.4</v>
      </c>
      <c r="G268" s="614" t="s">
        <v>1150</v>
      </c>
      <c r="H268" s="614">
        <v>2009102</v>
      </c>
      <c r="I268" s="614" t="s">
        <v>199</v>
      </c>
      <c r="J268" s="614" t="s">
        <v>200</v>
      </c>
      <c r="K268" s="614" t="s">
        <v>201</v>
      </c>
      <c r="L268" s="616">
        <v>3.8</v>
      </c>
      <c r="M268" s="616">
        <v>0.12</v>
      </c>
      <c r="N268" s="616">
        <v>0.3</v>
      </c>
      <c r="O268" s="616">
        <v>27.58</v>
      </c>
      <c r="P268" s="616">
        <v>31.8</v>
      </c>
    </row>
    <row r="269" spans="1:16" x14ac:dyDescent="0.3">
      <c r="A269" s="615">
        <v>39969</v>
      </c>
      <c r="B269" s="614" t="s">
        <v>1149</v>
      </c>
      <c r="C269" s="614" t="s">
        <v>197</v>
      </c>
      <c r="D269" s="614">
        <v>17</v>
      </c>
      <c r="E269" s="616">
        <v>176.3</v>
      </c>
      <c r="F269" s="616">
        <v>2997.1</v>
      </c>
      <c r="G269" s="614" t="s">
        <v>1151</v>
      </c>
      <c r="H269" s="614">
        <v>2009101</v>
      </c>
      <c r="I269" s="614" t="s">
        <v>199</v>
      </c>
      <c r="J269" s="614" t="s">
        <v>200</v>
      </c>
      <c r="K269" s="614" t="s">
        <v>201</v>
      </c>
      <c r="L269" s="616">
        <v>3.75</v>
      </c>
      <c r="M269" s="616">
        <v>0.12</v>
      </c>
      <c r="N269" s="616">
        <v>0.3</v>
      </c>
      <c r="O269" s="616">
        <v>27.58</v>
      </c>
      <c r="P269" s="616">
        <v>31.75</v>
      </c>
    </row>
    <row r="270" spans="1:16" x14ac:dyDescent="0.3">
      <c r="A270" s="615">
        <v>39969</v>
      </c>
      <c r="B270" s="614" t="s">
        <v>1147</v>
      </c>
      <c r="C270" s="614" t="s">
        <v>197</v>
      </c>
      <c r="D270" s="614">
        <v>100</v>
      </c>
      <c r="E270" s="616">
        <v>71.7</v>
      </c>
      <c r="F270" s="616">
        <v>7170</v>
      </c>
      <c r="G270" s="614" t="s">
        <v>1152</v>
      </c>
      <c r="H270" s="614">
        <v>2009101</v>
      </c>
      <c r="I270" s="614" t="s">
        <v>199</v>
      </c>
      <c r="J270" s="614" t="s">
        <v>200</v>
      </c>
      <c r="K270" s="614" t="s">
        <v>201</v>
      </c>
      <c r="L270" s="616">
        <v>8.9600000000000009</v>
      </c>
      <c r="M270" s="616">
        <v>0.28999999999999998</v>
      </c>
      <c r="N270" s="616">
        <v>0.72</v>
      </c>
      <c r="O270" s="616">
        <v>59.32</v>
      </c>
      <c r="P270" s="616">
        <v>69.290000000000006</v>
      </c>
    </row>
    <row r="271" spans="1:16" x14ac:dyDescent="0.3">
      <c r="A271" s="615">
        <v>39967</v>
      </c>
      <c r="B271" s="614" t="s">
        <v>1153</v>
      </c>
      <c r="C271" s="614" t="s">
        <v>197</v>
      </c>
      <c r="D271" s="614">
        <v>100</v>
      </c>
      <c r="E271" s="616">
        <v>71.7</v>
      </c>
      <c r="F271" s="616">
        <v>7170</v>
      </c>
      <c r="G271" s="614" t="s">
        <v>1154</v>
      </c>
      <c r="H271" s="614">
        <v>2009099</v>
      </c>
      <c r="I271" s="614" t="s">
        <v>199</v>
      </c>
      <c r="J271" s="614" t="s">
        <v>200</v>
      </c>
      <c r="K271" s="614" t="s">
        <v>201</v>
      </c>
      <c r="L271" s="616">
        <v>8.9600000000000009</v>
      </c>
      <c r="M271" s="616">
        <v>0.28999999999999998</v>
      </c>
      <c r="N271" s="616">
        <v>0.72</v>
      </c>
      <c r="O271" s="616">
        <v>59.32</v>
      </c>
      <c r="P271" s="616">
        <v>69.290000000000006</v>
      </c>
    </row>
    <row r="272" spans="1:16" x14ac:dyDescent="0.3">
      <c r="A272" s="615">
        <v>39967</v>
      </c>
      <c r="B272" s="614" t="s">
        <v>1153</v>
      </c>
      <c r="C272" s="614" t="s">
        <v>197</v>
      </c>
      <c r="D272" s="614">
        <v>50</v>
      </c>
      <c r="E272" s="616">
        <v>72</v>
      </c>
      <c r="F272" s="616">
        <v>3600</v>
      </c>
      <c r="G272" s="614" t="s">
        <v>1155</v>
      </c>
      <c r="H272" s="614">
        <v>2009099</v>
      </c>
      <c r="I272" s="614" t="s">
        <v>199</v>
      </c>
      <c r="J272" s="614" t="s">
        <v>200</v>
      </c>
      <c r="K272" s="614" t="s">
        <v>201</v>
      </c>
      <c r="L272" s="616">
        <v>4.5</v>
      </c>
      <c r="M272" s="616">
        <v>0.15</v>
      </c>
      <c r="N272" s="616">
        <v>0.36</v>
      </c>
      <c r="O272" s="616">
        <v>29.78</v>
      </c>
      <c r="P272" s="616">
        <v>34.79</v>
      </c>
    </row>
    <row r="273" spans="1:16" x14ac:dyDescent="0.3">
      <c r="A273" s="615">
        <v>39966</v>
      </c>
      <c r="B273" s="614" t="s">
        <v>1156</v>
      </c>
      <c r="C273" s="614" t="s">
        <v>197</v>
      </c>
      <c r="D273" s="614">
        <v>60</v>
      </c>
      <c r="E273" s="616">
        <v>131.94499999999999</v>
      </c>
      <c r="F273" s="616">
        <v>7916.7</v>
      </c>
      <c r="G273" s="614" t="s">
        <v>1157</v>
      </c>
      <c r="H273" s="614">
        <v>2009098</v>
      </c>
      <c r="I273" s="614" t="s">
        <v>199</v>
      </c>
      <c r="J273" s="614" t="s">
        <v>200</v>
      </c>
      <c r="K273" s="614" t="s">
        <v>201</v>
      </c>
      <c r="L273" s="616">
        <v>9.9</v>
      </c>
      <c r="M273" s="616">
        <v>0.32</v>
      </c>
      <c r="N273" s="616">
        <v>0.8</v>
      </c>
      <c r="O273" s="616">
        <v>65.5</v>
      </c>
      <c r="P273" s="616">
        <v>76.510000000000005</v>
      </c>
    </row>
    <row r="274" spans="1:16" x14ac:dyDescent="0.3">
      <c r="A274" s="615">
        <v>39962</v>
      </c>
      <c r="B274" s="614" t="s">
        <v>1158</v>
      </c>
      <c r="C274" s="614" t="s">
        <v>197</v>
      </c>
      <c r="D274" s="614">
        <v>30</v>
      </c>
      <c r="E274" s="616">
        <v>146.25</v>
      </c>
      <c r="F274" s="616">
        <v>4387.5</v>
      </c>
      <c r="G274" s="614" t="s">
        <v>1159</v>
      </c>
      <c r="H274" s="614">
        <v>200910039</v>
      </c>
      <c r="I274" s="614" t="s">
        <v>199</v>
      </c>
      <c r="J274" s="614" t="s">
        <v>200</v>
      </c>
      <c r="K274" s="614" t="s">
        <v>204</v>
      </c>
      <c r="L274" s="616">
        <v>0</v>
      </c>
      <c r="M274" s="616">
        <v>0.15</v>
      </c>
      <c r="N274" s="616">
        <v>0.09</v>
      </c>
      <c r="O274" s="616">
        <v>36.299999999999997</v>
      </c>
      <c r="P274" s="616">
        <v>36.54</v>
      </c>
    </row>
    <row r="275" spans="1:16" x14ac:dyDescent="0.3">
      <c r="A275" s="615">
        <v>39962</v>
      </c>
      <c r="B275" s="614" t="s">
        <v>1160</v>
      </c>
      <c r="C275" s="614" t="s">
        <v>197</v>
      </c>
      <c r="D275" s="614">
        <v>225</v>
      </c>
      <c r="E275" s="616">
        <v>41.977800000000002</v>
      </c>
      <c r="F275" s="616">
        <v>9445</v>
      </c>
      <c r="G275" s="614" t="s">
        <v>1161</v>
      </c>
      <c r="H275" s="614">
        <v>2009096</v>
      </c>
      <c r="I275" s="614" t="s">
        <v>199</v>
      </c>
      <c r="J275" s="614" t="s">
        <v>200</v>
      </c>
      <c r="K275" s="614" t="s">
        <v>201</v>
      </c>
      <c r="L275" s="616">
        <v>11.81</v>
      </c>
      <c r="M275" s="616">
        <v>0.34</v>
      </c>
      <c r="N275" s="616">
        <v>0.95</v>
      </c>
      <c r="O275" s="616">
        <v>78.12</v>
      </c>
      <c r="P275" s="616">
        <v>91.22</v>
      </c>
    </row>
    <row r="276" spans="1:16" x14ac:dyDescent="0.3">
      <c r="A276" s="615">
        <v>39962</v>
      </c>
      <c r="B276" s="614" t="s">
        <v>1149</v>
      </c>
      <c r="C276" s="614" t="s">
        <v>197</v>
      </c>
      <c r="D276" s="614">
        <v>25</v>
      </c>
      <c r="E276" s="616">
        <v>180.6</v>
      </c>
      <c r="F276" s="616">
        <v>4515</v>
      </c>
      <c r="G276" s="614" t="s">
        <v>1162</v>
      </c>
      <c r="H276" s="614">
        <v>2009096</v>
      </c>
      <c r="I276" s="614" t="s">
        <v>199</v>
      </c>
      <c r="J276" s="614" t="s">
        <v>200</v>
      </c>
      <c r="K276" s="614" t="s">
        <v>201</v>
      </c>
      <c r="L276" s="616">
        <v>0</v>
      </c>
      <c r="M276" s="616">
        <v>0.16</v>
      </c>
      <c r="N276" s="616">
        <v>0.09</v>
      </c>
      <c r="O276" s="616">
        <v>37.35</v>
      </c>
      <c r="P276" s="616">
        <v>37.6</v>
      </c>
    </row>
    <row r="277" spans="1:16" x14ac:dyDescent="0.3">
      <c r="A277" s="615">
        <v>39962</v>
      </c>
      <c r="B277" s="614" t="s">
        <v>1163</v>
      </c>
      <c r="C277" s="614" t="s">
        <v>197</v>
      </c>
      <c r="D277" s="614">
        <v>25</v>
      </c>
      <c r="E277" s="616">
        <v>371.2</v>
      </c>
      <c r="F277" s="616">
        <v>9280</v>
      </c>
      <c r="G277" s="614" t="s">
        <v>1164</v>
      </c>
      <c r="H277" s="614">
        <v>2009096</v>
      </c>
      <c r="I277" s="614" t="s">
        <v>199</v>
      </c>
      <c r="J277" s="614" t="s">
        <v>200</v>
      </c>
      <c r="K277" s="614" t="s">
        <v>201</v>
      </c>
      <c r="L277" s="616">
        <v>11.6</v>
      </c>
      <c r="M277" s="616">
        <v>0.33</v>
      </c>
      <c r="N277" s="616">
        <v>0.93</v>
      </c>
      <c r="O277" s="616">
        <v>76.77</v>
      </c>
      <c r="P277" s="616">
        <v>89.62</v>
      </c>
    </row>
    <row r="278" spans="1:16" x14ac:dyDescent="0.3">
      <c r="A278" s="615">
        <v>39939</v>
      </c>
      <c r="B278" s="614" t="s">
        <v>1086</v>
      </c>
      <c r="C278" s="614" t="s">
        <v>197</v>
      </c>
      <c r="D278" s="614">
        <v>100</v>
      </c>
      <c r="E278" s="616">
        <v>41.8</v>
      </c>
      <c r="F278" s="616">
        <v>4180</v>
      </c>
      <c r="G278" s="614" t="s">
        <v>1165</v>
      </c>
      <c r="H278" s="614">
        <v>200910022</v>
      </c>
      <c r="I278" s="614" t="s">
        <v>199</v>
      </c>
      <c r="J278" s="614" t="s">
        <v>200</v>
      </c>
      <c r="K278" s="614" t="s">
        <v>204</v>
      </c>
      <c r="L278" s="616">
        <v>5.23</v>
      </c>
      <c r="M278" s="616">
        <v>0.14000000000000001</v>
      </c>
      <c r="N278" s="616">
        <v>0.42</v>
      </c>
      <c r="O278" s="616">
        <v>34.58</v>
      </c>
      <c r="P278" s="616">
        <v>40.369999999999997</v>
      </c>
    </row>
    <row r="279" spans="1:16" x14ac:dyDescent="0.3">
      <c r="A279" s="615">
        <v>39937</v>
      </c>
      <c r="B279" s="614" t="s">
        <v>1166</v>
      </c>
      <c r="C279" s="614" t="s">
        <v>197</v>
      </c>
      <c r="D279" s="614">
        <v>10</v>
      </c>
      <c r="E279" s="616">
        <v>473.25</v>
      </c>
      <c r="F279" s="616">
        <v>4732.5</v>
      </c>
      <c r="G279" s="614" t="s">
        <v>1167</v>
      </c>
      <c r="H279" s="614">
        <v>2009077</v>
      </c>
      <c r="I279" s="614" t="s">
        <v>199</v>
      </c>
      <c r="J279" s="614" t="s">
        <v>200</v>
      </c>
      <c r="K279" s="614" t="s">
        <v>201</v>
      </c>
      <c r="L279" s="616">
        <v>5.92</v>
      </c>
      <c r="M279" s="616">
        <v>0.17</v>
      </c>
      <c r="N279" s="616">
        <v>0.48</v>
      </c>
      <c r="O279" s="616">
        <v>39.15</v>
      </c>
      <c r="P279" s="616">
        <v>45.71</v>
      </c>
    </row>
    <row r="280" spans="1:16" x14ac:dyDescent="0.3">
      <c r="A280" s="615">
        <v>39932</v>
      </c>
      <c r="B280" s="614" t="s">
        <v>1168</v>
      </c>
      <c r="C280" s="614" t="s">
        <v>197</v>
      </c>
      <c r="D280" s="614">
        <v>200</v>
      </c>
      <c r="E280" s="616">
        <v>25.175000000000001</v>
      </c>
      <c r="F280" s="616">
        <v>5035</v>
      </c>
      <c r="G280" s="614" t="s">
        <v>1169</v>
      </c>
      <c r="H280" s="614">
        <v>200910019</v>
      </c>
      <c r="I280" s="614" t="s">
        <v>199</v>
      </c>
      <c r="J280" s="614" t="s">
        <v>200</v>
      </c>
      <c r="K280" s="614" t="s">
        <v>204</v>
      </c>
      <c r="L280" s="616">
        <v>6.3</v>
      </c>
      <c r="M280" s="616">
        <v>0.18</v>
      </c>
      <c r="N280" s="616">
        <v>0.5</v>
      </c>
      <c r="O280" s="616">
        <v>41.68</v>
      </c>
      <c r="P280" s="616">
        <v>48.66</v>
      </c>
    </row>
    <row r="281" spans="1:16" x14ac:dyDescent="0.3">
      <c r="A281" s="615">
        <v>39909</v>
      </c>
      <c r="B281" s="614" t="s">
        <v>1170</v>
      </c>
      <c r="C281" s="614" t="s">
        <v>197</v>
      </c>
      <c r="D281" s="614">
        <v>200</v>
      </c>
      <c r="E281" s="616">
        <v>31.1998</v>
      </c>
      <c r="F281" s="616">
        <v>6239.95</v>
      </c>
      <c r="G281" s="614" t="s">
        <v>1171</v>
      </c>
      <c r="H281" s="614">
        <v>2009062</v>
      </c>
      <c r="I281" s="614" t="s">
        <v>199</v>
      </c>
      <c r="J281" s="614" t="s">
        <v>200</v>
      </c>
      <c r="K281" s="614" t="s">
        <v>201</v>
      </c>
      <c r="L281" s="616">
        <v>7.8</v>
      </c>
      <c r="M281" s="616">
        <v>0.22</v>
      </c>
      <c r="N281" s="616">
        <v>0.62</v>
      </c>
      <c r="O281" s="616">
        <v>51.62</v>
      </c>
      <c r="P281" s="616">
        <v>60.26</v>
      </c>
    </row>
    <row r="282" spans="1:16" x14ac:dyDescent="0.3">
      <c r="A282" s="615">
        <v>39904</v>
      </c>
      <c r="B282" s="614" t="s">
        <v>1055</v>
      </c>
      <c r="C282" s="614" t="s">
        <v>197</v>
      </c>
      <c r="D282" s="614">
        <v>125</v>
      </c>
      <c r="E282" s="616">
        <v>28.85</v>
      </c>
      <c r="F282" s="616">
        <v>3606.25</v>
      </c>
      <c r="G282" s="614" t="s">
        <v>1172</v>
      </c>
      <c r="H282" s="614">
        <v>2009060</v>
      </c>
      <c r="I282" s="614" t="s">
        <v>199</v>
      </c>
      <c r="J282" s="614" t="s">
        <v>200</v>
      </c>
      <c r="K282" s="614" t="s">
        <v>201</v>
      </c>
      <c r="L282" s="616">
        <v>4.51</v>
      </c>
      <c r="M282" s="616">
        <v>0.13</v>
      </c>
      <c r="N282" s="616">
        <v>0.37</v>
      </c>
      <c r="O282" s="616">
        <v>29.84</v>
      </c>
      <c r="P282" s="616">
        <v>34.840000000000003</v>
      </c>
    </row>
    <row r="283" spans="1:16" x14ac:dyDescent="0.3">
      <c r="A283" s="615">
        <v>39903</v>
      </c>
      <c r="B283" s="614" t="s">
        <v>1055</v>
      </c>
      <c r="C283" s="614" t="s">
        <v>197</v>
      </c>
      <c r="D283" s="614">
        <v>175</v>
      </c>
      <c r="E283" s="616">
        <v>29.4</v>
      </c>
      <c r="F283" s="616">
        <v>5145</v>
      </c>
      <c r="G283" s="614" t="s">
        <v>1056</v>
      </c>
      <c r="H283" s="614">
        <v>2009059</v>
      </c>
      <c r="I283" s="614" t="s">
        <v>199</v>
      </c>
      <c r="J283" s="614" t="s">
        <v>200</v>
      </c>
      <c r="K283" s="614" t="s">
        <v>201</v>
      </c>
      <c r="L283" s="616">
        <v>6.43</v>
      </c>
      <c r="M283" s="616">
        <v>0.18</v>
      </c>
      <c r="N283" s="616">
        <v>0.51</v>
      </c>
      <c r="O283" s="616">
        <v>42.56</v>
      </c>
      <c r="P283" s="616">
        <v>49.67</v>
      </c>
    </row>
    <row r="284" spans="1:16" x14ac:dyDescent="0.3">
      <c r="A284" s="615">
        <v>39896</v>
      </c>
      <c r="B284" s="614" t="s">
        <v>1539</v>
      </c>
      <c r="C284" s="614" t="s">
        <v>197</v>
      </c>
      <c r="D284" s="614">
        <v>100</v>
      </c>
      <c r="E284" s="616">
        <v>48.1</v>
      </c>
      <c r="F284" s="616">
        <v>4810</v>
      </c>
      <c r="G284" s="614" t="s">
        <v>1540</v>
      </c>
      <c r="H284" s="614">
        <v>2009054</v>
      </c>
      <c r="I284" s="614" t="s">
        <v>199</v>
      </c>
      <c r="J284" s="614" t="s">
        <v>200</v>
      </c>
      <c r="K284" s="614" t="s">
        <v>201</v>
      </c>
      <c r="L284" s="616">
        <v>6.01</v>
      </c>
      <c r="M284" s="616">
        <v>0.17</v>
      </c>
      <c r="N284" s="616">
        <v>0.48</v>
      </c>
      <c r="O284" s="616">
        <v>39.799999999999997</v>
      </c>
      <c r="P284" s="616">
        <v>46.46</v>
      </c>
    </row>
    <row r="285" spans="1:16" x14ac:dyDescent="0.3">
      <c r="A285" s="615">
        <v>39896</v>
      </c>
      <c r="B285" s="614" t="s">
        <v>1541</v>
      </c>
      <c r="C285" s="614" t="s">
        <v>197</v>
      </c>
      <c r="D285" s="614">
        <v>80</v>
      </c>
      <c r="E285" s="616">
        <v>54.7</v>
      </c>
      <c r="F285" s="616">
        <v>4376</v>
      </c>
      <c r="G285" s="614" t="s">
        <v>1542</v>
      </c>
      <c r="H285" s="614">
        <v>2009054</v>
      </c>
      <c r="I285" s="614" t="s">
        <v>199</v>
      </c>
      <c r="J285" s="614" t="s">
        <v>200</v>
      </c>
      <c r="K285" s="614" t="s">
        <v>201</v>
      </c>
      <c r="L285" s="616">
        <v>5.47</v>
      </c>
      <c r="M285" s="616">
        <v>0.15</v>
      </c>
      <c r="N285" s="616">
        <v>0.44</v>
      </c>
      <c r="O285" s="616">
        <v>36.21</v>
      </c>
      <c r="P285" s="616">
        <v>42.27</v>
      </c>
    </row>
    <row r="286" spans="1:16" x14ac:dyDescent="0.3">
      <c r="A286" s="615">
        <v>39827</v>
      </c>
      <c r="B286" s="614" t="s">
        <v>1543</v>
      </c>
      <c r="C286" s="614" t="s">
        <v>197</v>
      </c>
      <c r="D286" s="614">
        <v>20</v>
      </c>
      <c r="E286" s="616">
        <v>218</v>
      </c>
      <c r="F286" s="616">
        <v>4360</v>
      </c>
      <c r="G286" s="614" t="s">
        <v>1544</v>
      </c>
      <c r="H286" s="614">
        <v>2009009</v>
      </c>
      <c r="I286" s="614" t="s">
        <v>199</v>
      </c>
      <c r="J286" s="614" t="s">
        <v>200</v>
      </c>
      <c r="K286" s="614" t="s">
        <v>201</v>
      </c>
      <c r="L286" s="616">
        <v>5.45</v>
      </c>
      <c r="M286" s="616">
        <v>0.15</v>
      </c>
      <c r="N286" s="616">
        <v>0.44</v>
      </c>
      <c r="O286" s="616">
        <v>36.74</v>
      </c>
      <c r="P286" s="616">
        <v>42.78</v>
      </c>
    </row>
    <row r="287" spans="1:16" x14ac:dyDescent="0.3">
      <c r="A287" s="615">
        <v>39820</v>
      </c>
      <c r="B287" s="614" t="s">
        <v>1545</v>
      </c>
      <c r="C287" s="614" t="s">
        <v>197</v>
      </c>
      <c r="D287" s="614">
        <v>150</v>
      </c>
      <c r="E287" s="616">
        <v>62</v>
      </c>
      <c r="F287" s="616">
        <v>9300</v>
      </c>
      <c r="G287" s="614" t="s">
        <v>1546</v>
      </c>
      <c r="H287" s="614">
        <v>2009005</v>
      </c>
      <c r="I287" s="614" t="s">
        <v>199</v>
      </c>
      <c r="J287" s="614" t="s">
        <v>200</v>
      </c>
      <c r="K287" s="614" t="s">
        <v>201</v>
      </c>
      <c r="L287" s="616">
        <v>11.63</v>
      </c>
      <c r="M287" s="616">
        <v>0.33</v>
      </c>
      <c r="N287" s="616">
        <v>0.93</v>
      </c>
      <c r="O287" s="616">
        <v>78.38</v>
      </c>
      <c r="P287" s="616">
        <v>91.27</v>
      </c>
    </row>
    <row r="288" spans="1:16" x14ac:dyDescent="0.3">
      <c r="A288" s="615">
        <v>39814</v>
      </c>
      <c r="B288" s="614" t="s">
        <v>1547</v>
      </c>
      <c r="C288" s="614" t="s">
        <v>197</v>
      </c>
      <c r="D288" s="614">
        <v>100</v>
      </c>
      <c r="E288" s="616">
        <v>76.55</v>
      </c>
      <c r="F288" s="616">
        <v>7655</v>
      </c>
      <c r="G288" s="614" t="s">
        <v>1548</v>
      </c>
      <c r="H288" s="614">
        <v>2009001</v>
      </c>
      <c r="I288" s="614" t="s">
        <v>199</v>
      </c>
      <c r="J288" s="614" t="s">
        <v>200</v>
      </c>
      <c r="K288" s="614" t="s">
        <v>201</v>
      </c>
      <c r="L288" s="616">
        <v>9.57</v>
      </c>
      <c r="M288" s="616">
        <v>0.27</v>
      </c>
      <c r="N288" s="616">
        <v>0.77</v>
      </c>
      <c r="O288" s="616">
        <v>64.510000000000005</v>
      </c>
      <c r="P288" s="616">
        <v>75.12</v>
      </c>
    </row>
    <row r="289" spans="1:16" x14ac:dyDescent="0.3">
      <c r="A289" s="615">
        <v>39811</v>
      </c>
      <c r="B289" s="614" t="s">
        <v>1549</v>
      </c>
      <c r="C289" s="614" t="s">
        <v>197</v>
      </c>
      <c r="D289" s="614">
        <v>10</v>
      </c>
      <c r="E289" s="616">
        <v>730.3</v>
      </c>
      <c r="F289" s="616">
        <v>7303</v>
      </c>
      <c r="G289" s="614" t="s">
        <v>1550</v>
      </c>
      <c r="H289" s="614">
        <v>2008244</v>
      </c>
      <c r="I289" s="614" t="s">
        <v>199</v>
      </c>
      <c r="J289" s="614" t="s">
        <v>200</v>
      </c>
      <c r="K289" s="614" t="s">
        <v>201</v>
      </c>
      <c r="L289" s="616">
        <v>9.1300000000000008</v>
      </c>
      <c r="M289" s="616">
        <v>0.26</v>
      </c>
      <c r="N289" s="616">
        <v>0.73</v>
      </c>
      <c r="O289" s="616">
        <v>61.54</v>
      </c>
      <c r="P289" s="616">
        <v>71.650000000000006</v>
      </c>
    </row>
    <row r="290" spans="1:16" x14ac:dyDescent="0.3">
      <c r="A290" s="615">
        <v>39801</v>
      </c>
      <c r="B290" s="614" t="s">
        <v>1551</v>
      </c>
      <c r="C290" s="614" t="s">
        <v>197</v>
      </c>
      <c r="D290" s="614">
        <v>8</v>
      </c>
      <c r="E290" s="616">
        <v>1153.8</v>
      </c>
      <c r="F290" s="616">
        <v>9230.4</v>
      </c>
      <c r="G290" s="614" t="s">
        <v>1552</v>
      </c>
      <c r="H290" s="614">
        <v>2008239</v>
      </c>
      <c r="I290" s="614" t="s">
        <v>199</v>
      </c>
      <c r="J290" s="614" t="s">
        <v>200</v>
      </c>
      <c r="K290" s="614" t="s">
        <v>201</v>
      </c>
      <c r="L290" s="616">
        <v>11.54</v>
      </c>
      <c r="M290" s="616">
        <v>0.32</v>
      </c>
      <c r="N290" s="616">
        <v>0.92</v>
      </c>
      <c r="O290" s="616">
        <v>77.78</v>
      </c>
      <c r="P290" s="616">
        <v>90.57</v>
      </c>
    </row>
    <row r="291" spans="1:16" x14ac:dyDescent="0.3">
      <c r="A291" s="615">
        <v>39786</v>
      </c>
      <c r="B291" s="614" t="s">
        <v>1553</v>
      </c>
      <c r="C291" s="614" t="s">
        <v>197</v>
      </c>
      <c r="D291" s="614">
        <v>75</v>
      </c>
      <c r="E291" s="616">
        <v>88.25</v>
      </c>
      <c r="F291" s="616">
        <v>6618.75</v>
      </c>
      <c r="G291" s="614" t="s">
        <v>1554</v>
      </c>
      <c r="H291" s="614">
        <v>200809169</v>
      </c>
      <c r="I291" s="614" t="s">
        <v>199</v>
      </c>
      <c r="J291" s="614" t="s">
        <v>200</v>
      </c>
      <c r="K291" s="614" t="s">
        <v>204</v>
      </c>
      <c r="L291" s="616">
        <v>8.27</v>
      </c>
      <c r="M291" s="616">
        <v>0.23</v>
      </c>
      <c r="N291" s="616">
        <v>0.67</v>
      </c>
      <c r="O291" s="616">
        <v>55.77</v>
      </c>
      <c r="P291" s="616">
        <v>64.930000000000007</v>
      </c>
    </row>
    <row r="292" spans="1:16" x14ac:dyDescent="0.3">
      <c r="A292" s="615">
        <v>39785</v>
      </c>
      <c r="B292" s="614" t="s">
        <v>1555</v>
      </c>
      <c r="C292" s="614" t="s">
        <v>197</v>
      </c>
      <c r="D292" s="614">
        <v>100</v>
      </c>
      <c r="E292" s="616">
        <v>82.25</v>
      </c>
      <c r="F292" s="616">
        <v>8225</v>
      </c>
      <c r="G292" s="614" t="s">
        <v>1556</v>
      </c>
      <c r="H292" s="614">
        <v>2008228</v>
      </c>
      <c r="I292" s="614" t="s">
        <v>199</v>
      </c>
      <c r="J292" s="614" t="s">
        <v>200</v>
      </c>
      <c r="K292" s="614" t="s">
        <v>201</v>
      </c>
      <c r="L292" s="616">
        <v>10.28</v>
      </c>
      <c r="M292" s="616">
        <v>0.28999999999999998</v>
      </c>
      <c r="N292" s="616">
        <v>0.82</v>
      </c>
      <c r="O292" s="616">
        <v>69.31</v>
      </c>
      <c r="P292" s="616">
        <v>80.7</v>
      </c>
    </row>
    <row r="293" spans="1:16" x14ac:dyDescent="0.3">
      <c r="A293" s="615">
        <v>39785</v>
      </c>
      <c r="B293" s="614" t="s">
        <v>1539</v>
      </c>
      <c r="C293" s="614" t="s">
        <v>197</v>
      </c>
      <c r="D293" s="614">
        <v>150</v>
      </c>
      <c r="E293" s="616">
        <v>33.15</v>
      </c>
      <c r="F293" s="616">
        <v>4972.5</v>
      </c>
      <c r="G293" s="614" t="s">
        <v>1557</v>
      </c>
      <c r="H293" s="614">
        <v>2008228</v>
      </c>
      <c r="I293" s="614" t="s">
        <v>199</v>
      </c>
      <c r="J293" s="614" t="s">
        <v>200</v>
      </c>
      <c r="K293" s="614" t="s">
        <v>201</v>
      </c>
      <c r="L293" s="616">
        <v>6.22</v>
      </c>
      <c r="M293" s="616">
        <v>0.18</v>
      </c>
      <c r="N293" s="616">
        <v>0.5</v>
      </c>
      <c r="O293" s="616">
        <v>41.9</v>
      </c>
      <c r="P293" s="616">
        <v>48.8</v>
      </c>
    </row>
    <row r="294" spans="1:16" x14ac:dyDescent="0.3">
      <c r="A294" s="615">
        <v>39785</v>
      </c>
      <c r="B294" s="614" t="s">
        <v>1543</v>
      </c>
      <c r="C294" s="614" t="s">
        <v>197</v>
      </c>
      <c r="D294" s="614">
        <v>30</v>
      </c>
      <c r="E294" s="616">
        <v>224.56</v>
      </c>
      <c r="F294" s="616">
        <v>6736.8</v>
      </c>
      <c r="G294" s="614" t="s">
        <v>1558</v>
      </c>
      <c r="H294" s="614">
        <v>2008228</v>
      </c>
      <c r="I294" s="614" t="s">
        <v>199</v>
      </c>
      <c r="J294" s="614" t="s">
        <v>200</v>
      </c>
      <c r="K294" s="614" t="s">
        <v>201</v>
      </c>
      <c r="L294" s="616">
        <v>8.42</v>
      </c>
      <c r="M294" s="616">
        <v>0.24</v>
      </c>
      <c r="N294" s="616">
        <v>0.68</v>
      </c>
      <c r="O294" s="616">
        <v>56.77</v>
      </c>
      <c r="P294" s="616">
        <v>66.099999999999994</v>
      </c>
    </row>
    <row r="295" spans="1:16" x14ac:dyDescent="0.3">
      <c r="A295" s="615">
        <v>39785</v>
      </c>
      <c r="B295" s="614" t="s">
        <v>1559</v>
      </c>
      <c r="C295" s="614" t="s">
        <v>197</v>
      </c>
      <c r="D295" s="614">
        <v>7</v>
      </c>
      <c r="E295" s="616">
        <v>1095</v>
      </c>
      <c r="F295" s="616">
        <v>7665</v>
      </c>
      <c r="G295" s="614" t="s">
        <v>1560</v>
      </c>
      <c r="H295" s="614">
        <v>2008228</v>
      </c>
      <c r="I295" s="614" t="s">
        <v>199</v>
      </c>
      <c r="J295" s="614" t="s">
        <v>200</v>
      </c>
      <c r="K295" s="614" t="s">
        <v>201</v>
      </c>
      <c r="L295" s="616">
        <v>9.58</v>
      </c>
      <c r="M295" s="616">
        <v>0.27</v>
      </c>
      <c r="N295" s="616">
        <v>0.76</v>
      </c>
      <c r="O295" s="616">
        <v>64.59</v>
      </c>
      <c r="P295" s="616">
        <v>75.2</v>
      </c>
    </row>
    <row r="296" spans="1:16" x14ac:dyDescent="0.3">
      <c r="A296" s="615">
        <v>39783</v>
      </c>
      <c r="B296" s="614" t="s">
        <v>1561</v>
      </c>
      <c r="C296" s="614" t="s">
        <v>197</v>
      </c>
      <c r="D296" s="614">
        <v>50</v>
      </c>
      <c r="E296" s="616">
        <v>125</v>
      </c>
      <c r="F296" s="616">
        <v>6250</v>
      </c>
      <c r="G296" s="614" t="s">
        <v>1562</v>
      </c>
      <c r="H296" s="614">
        <v>2008226</v>
      </c>
      <c r="I296" s="614" t="s">
        <v>199</v>
      </c>
      <c r="J296" s="614" t="s">
        <v>200</v>
      </c>
      <c r="K296" s="614" t="s">
        <v>201</v>
      </c>
      <c r="L296" s="616">
        <v>7.81</v>
      </c>
      <c r="M296" s="616">
        <v>0.22</v>
      </c>
      <c r="N296" s="616">
        <v>0.63</v>
      </c>
      <c r="O296" s="616">
        <v>52.67</v>
      </c>
      <c r="P296" s="616">
        <v>61.33</v>
      </c>
    </row>
    <row r="297" spans="1:16" x14ac:dyDescent="0.3">
      <c r="A297" s="615">
        <v>39780</v>
      </c>
      <c r="B297" s="614" t="s">
        <v>1563</v>
      </c>
      <c r="C297" s="614" t="s">
        <v>197</v>
      </c>
      <c r="D297" s="614">
        <v>50</v>
      </c>
      <c r="E297" s="616">
        <v>120</v>
      </c>
      <c r="F297" s="616">
        <v>6000</v>
      </c>
      <c r="G297" s="614" t="s">
        <v>1564</v>
      </c>
      <c r="H297" s="614">
        <v>2008225</v>
      </c>
      <c r="I297" s="614" t="s">
        <v>199</v>
      </c>
      <c r="J297" s="614" t="s">
        <v>200</v>
      </c>
      <c r="K297" s="614" t="s">
        <v>201</v>
      </c>
      <c r="L297" s="616">
        <v>7.5</v>
      </c>
      <c r="M297" s="616">
        <v>0.21</v>
      </c>
      <c r="N297" s="616">
        <v>0.6</v>
      </c>
      <c r="O297" s="616">
        <v>50.56</v>
      </c>
      <c r="P297" s="616">
        <v>58.87</v>
      </c>
    </row>
    <row r="298" spans="1:16" x14ac:dyDescent="0.3">
      <c r="A298" s="615">
        <v>39777</v>
      </c>
      <c r="B298" s="614" t="s">
        <v>1585</v>
      </c>
      <c r="C298" s="614" t="s">
        <v>197</v>
      </c>
      <c r="D298" s="614">
        <v>100</v>
      </c>
      <c r="E298" s="616">
        <v>145.5</v>
      </c>
      <c r="F298" s="616">
        <v>14550</v>
      </c>
      <c r="G298" s="614" t="s">
        <v>1586</v>
      </c>
      <c r="H298" s="614">
        <v>2008223</v>
      </c>
      <c r="I298" s="614" t="s">
        <v>199</v>
      </c>
      <c r="J298" s="614" t="s">
        <v>200</v>
      </c>
      <c r="K298" s="614" t="s">
        <v>201</v>
      </c>
      <c r="L298" s="616">
        <v>18.190000000000001</v>
      </c>
      <c r="M298" s="616">
        <v>0.51</v>
      </c>
      <c r="N298" s="616">
        <v>1.46</v>
      </c>
      <c r="O298" s="616">
        <v>122.62</v>
      </c>
      <c r="P298" s="616">
        <v>142.78</v>
      </c>
    </row>
    <row r="299" spans="1:16" x14ac:dyDescent="0.3">
      <c r="A299" s="615">
        <v>39734</v>
      </c>
      <c r="B299" s="614" t="s">
        <v>1555</v>
      </c>
      <c r="C299" s="614" t="s">
        <v>197</v>
      </c>
      <c r="D299" s="614">
        <v>50</v>
      </c>
      <c r="E299" s="616">
        <v>145.16</v>
      </c>
      <c r="F299" s="616">
        <v>7258</v>
      </c>
      <c r="G299" s="614" t="s">
        <v>1587</v>
      </c>
      <c r="H299" s="614">
        <v>2008194</v>
      </c>
      <c r="I299" s="614" t="s">
        <v>199</v>
      </c>
      <c r="J299" s="614" t="s">
        <v>200</v>
      </c>
      <c r="K299" s="614" t="s">
        <v>201</v>
      </c>
      <c r="L299" s="616">
        <v>9.07</v>
      </c>
      <c r="M299" s="616">
        <v>0.26</v>
      </c>
      <c r="N299" s="616">
        <v>0.73</v>
      </c>
      <c r="O299" s="616">
        <v>61.17</v>
      </c>
      <c r="P299" s="616">
        <v>71.22</v>
      </c>
    </row>
    <row r="300" spans="1:16" x14ac:dyDescent="0.3">
      <c r="A300" s="615">
        <v>39729</v>
      </c>
      <c r="B300" s="614" t="s">
        <v>282</v>
      </c>
      <c r="C300" s="614" t="s">
        <v>197</v>
      </c>
      <c r="D300" s="614">
        <v>300</v>
      </c>
      <c r="E300" s="616">
        <v>12.35</v>
      </c>
      <c r="F300" s="616">
        <v>3705</v>
      </c>
      <c r="G300" s="614" t="s">
        <v>1050</v>
      </c>
      <c r="H300" s="614">
        <v>2008192</v>
      </c>
      <c r="I300" s="614" t="s">
        <v>199</v>
      </c>
      <c r="J300" s="614" t="s">
        <v>200</v>
      </c>
      <c r="K300" s="614" t="s">
        <v>201</v>
      </c>
      <c r="L300" s="616">
        <v>4.63</v>
      </c>
      <c r="M300" s="616">
        <v>0.12</v>
      </c>
      <c r="N300" s="616">
        <v>0.36</v>
      </c>
      <c r="O300" s="616">
        <v>31.2</v>
      </c>
      <c r="P300" s="616">
        <v>36.31</v>
      </c>
    </row>
    <row r="301" spans="1:16" x14ac:dyDescent="0.3">
      <c r="A301" s="615">
        <v>39728</v>
      </c>
      <c r="B301" s="614" t="s">
        <v>282</v>
      </c>
      <c r="C301" s="614" t="s">
        <v>197</v>
      </c>
      <c r="D301" s="614">
        <v>1000</v>
      </c>
      <c r="E301" s="616">
        <v>13.1</v>
      </c>
      <c r="F301" s="616">
        <v>13100</v>
      </c>
      <c r="G301" s="614" t="s">
        <v>1052</v>
      </c>
      <c r="H301" s="614">
        <v>2008191</v>
      </c>
      <c r="I301" s="614" t="s">
        <v>199</v>
      </c>
      <c r="J301" s="614" t="s">
        <v>200</v>
      </c>
      <c r="K301" s="614" t="s">
        <v>201</v>
      </c>
      <c r="L301" s="616">
        <v>16.38</v>
      </c>
      <c r="M301" s="616">
        <v>0.5</v>
      </c>
      <c r="N301" s="616">
        <v>1.3</v>
      </c>
      <c r="O301" s="616">
        <v>110.4</v>
      </c>
      <c r="P301" s="616">
        <v>128.58000000000001</v>
      </c>
    </row>
    <row r="302" spans="1:16" x14ac:dyDescent="0.3">
      <c r="A302" s="615">
        <v>39728</v>
      </c>
      <c r="B302" s="614" t="s">
        <v>282</v>
      </c>
      <c r="C302" s="614" t="s">
        <v>197</v>
      </c>
      <c r="D302" s="614">
        <v>700</v>
      </c>
      <c r="E302" s="616">
        <v>13.1</v>
      </c>
      <c r="F302" s="616">
        <v>9170</v>
      </c>
      <c r="G302" s="614" t="s">
        <v>1053</v>
      </c>
      <c r="H302" s="614">
        <v>2008191</v>
      </c>
      <c r="I302" s="614" t="s">
        <v>199</v>
      </c>
      <c r="J302" s="614" t="s">
        <v>200</v>
      </c>
      <c r="K302" s="614" t="s">
        <v>201</v>
      </c>
      <c r="L302" s="616">
        <v>11.46</v>
      </c>
      <c r="M302" s="616">
        <v>0.35</v>
      </c>
      <c r="N302" s="616">
        <v>0.91</v>
      </c>
      <c r="O302" s="616">
        <v>77.28</v>
      </c>
      <c r="P302" s="616">
        <v>90</v>
      </c>
    </row>
    <row r="303" spans="1:16" x14ac:dyDescent="0.3">
      <c r="A303" s="615">
        <v>39720</v>
      </c>
      <c r="B303" s="614" t="s">
        <v>1588</v>
      </c>
      <c r="C303" s="614" t="s">
        <v>197</v>
      </c>
      <c r="D303" s="614">
        <v>100</v>
      </c>
      <c r="E303" s="616">
        <v>96.15</v>
      </c>
      <c r="F303" s="616">
        <v>9615</v>
      </c>
      <c r="G303" s="614" t="s">
        <v>1589</v>
      </c>
      <c r="H303" s="614">
        <v>200809126</v>
      </c>
      <c r="I303" s="614" t="s">
        <v>199</v>
      </c>
      <c r="J303" s="614" t="s">
        <v>200</v>
      </c>
      <c r="K303" s="614" t="s">
        <v>204</v>
      </c>
      <c r="L303" s="616">
        <v>12.02</v>
      </c>
      <c r="M303" s="616">
        <v>0.33</v>
      </c>
      <c r="N303" s="616">
        <v>0.96</v>
      </c>
      <c r="O303" s="616">
        <v>81.02</v>
      </c>
      <c r="P303" s="616">
        <v>94.33</v>
      </c>
    </row>
    <row r="304" spans="1:16" x14ac:dyDescent="0.3">
      <c r="A304" s="615">
        <v>39720</v>
      </c>
      <c r="B304" s="614" t="s">
        <v>1532</v>
      </c>
      <c r="C304" s="614" t="s">
        <v>197</v>
      </c>
      <c r="D304" s="614">
        <v>50</v>
      </c>
      <c r="E304" s="616">
        <v>354.55200000000002</v>
      </c>
      <c r="F304" s="616">
        <v>17727.599999999999</v>
      </c>
      <c r="G304" s="614" t="s">
        <v>1590</v>
      </c>
      <c r="H304" s="614">
        <v>2008186</v>
      </c>
      <c r="I304" s="614" t="s">
        <v>199</v>
      </c>
      <c r="J304" s="614" t="s">
        <v>200</v>
      </c>
      <c r="K304" s="614" t="s">
        <v>201</v>
      </c>
      <c r="L304" s="616">
        <v>22.16</v>
      </c>
      <c r="M304" s="616">
        <v>0.62</v>
      </c>
      <c r="N304" s="616">
        <v>1.78</v>
      </c>
      <c r="O304" s="616">
        <v>149.38999999999999</v>
      </c>
      <c r="P304" s="616">
        <v>173.95</v>
      </c>
    </row>
    <row r="305" spans="1:16" x14ac:dyDescent="0.3">
      <c r="A305" s="615">
        <v>39720</v>
      </c>
      <c r="B305" s="614" t="s">
        <v>1532</v>
      </c>
      <c r="C305" s="614" t="s">
        <v>197</v>
      </c>
      <c r="D305" s="614">
        <v>25</v>
      </c>
      <c r="E305" s="616">
        <v>339.3</v>
      </c>
      <c r="F305" s="616">
        <v>8482.5</v>
      </c>
      <c r="G305" s="614" t="s">
        <v>1591</v>
      </c>
      <c r="H305" s="614">
        <v>2008186</v>
      </c>
      <c r="I305" s="614" t="s">
        <v>199</v>
      </c>
      <c r="J305" s="614" t="s">
        <v>200</v>
      </c>
      <c r="K305" s="614" t="s">
        <v>201</v>
      </c>
      <c r="L305" s="616">
        <v>10.6</v>
      </c>
      <c r="M305" s="616">
        <v>0.3</v>
      </c>
      <c r="N305" s="616">
        <v>0.85</v>
      </c>
      <c r="O305" s="616">
        <v>71.48</v>
      </c>
      <c r="P305" s="616">
        <v>83.23</v>
      </c>
    </row>
    <row r="306" spans="1:16" x14ac:dyDescent="0.3">
      <c r="A306" s="615">
        <v>39720</v>
      </c>
      <c r="B306" s="614" t="s">
        <v>1555</v>
      </c>
      <c r="C306" s="614" t="s">
        <v>197</v>
      </c>
      <c r="D306" s="614">
        <v>50</v>
      </c>
      <c r="E306" s="616">
        <v>206.3</v>
      </c>
      <c r="F306" s="616">
        <v>10315</v>
      </c>
      <c r="G306" s="614" t="s">
        <v>1592</v>
      </c>
      <c r="H306" s="614">
        <v>2008186</v>
      </c>
      <c r="I306" s="614" t="s">
        <v>199</v>
      </c>
      <c r="J306" s="614" t="s">
        <v>200</v>
      </c>
      <c r="K306" s="614" t="s">
        <v>201</v>
      </c>
      <c r="L306" s="616">
        <v>12.89</v>
      </c>
      <c r="M306" s="616">
        <v>0.36</v>
      </c>
      <c r="N306" s="616">
        <v>1.04</v>
      </c>
      <c r="O306" s="616">
        <v>86.93</v>
      </c>
      <c r="P306" s="616">
        <v>101.22</v>
      </c>
    </row>
    <row r="307" spans="1:16" x14ac:dyDescent="0.3">
      <c r="A307" s="615">
        <v>39720</v>
      </c>
      <c r="B307" s="614" t="s">
        <v>1532</v>
      </c>
      <c r="C307" s="614" t="s">
        <v>197</v>
      </c>
      <c r="D307" s="614">
        <v>15</v>
      </c>
      <c r="E307" s="616">
        <v>337</v>
      </c>
      <c r="F307" s="616">
        <v>5055</v>
      </c>
      <c r="G307" s="614" t="s">
        <v>1593</v>
      </c>
      <c r="H307" s="614">
        <v>2008186</v>
      </c>
      <c r="I307" s="614" t="s">
        <v>199</v>
      </c>
      <c r="J307" s="614" t="s">
        <v>200</v>
      </c>
      <c r="K307" s="614" t="s">
        <v>201</v>
      </c>
      <c r="L307" s="616">
        <v>6.32</v>
      </c>
      <c r="M307" s="616">
        <v>0.18</v>
      </c>
      <c r="N307" s="616">
        <v>0.51</v>
      </c>
      <c r="O307" s="616">
        <v>42.6</v>
      </c>
      <c r="P307" s="616">
        <v>49.61</v>
      </c>
    </row>
    <row r="308" spans="1:16" x14ac:dyDescent="0.3">
      <c r="A308" s="615">
        <v>39708</v>
      </c>
      <c r="B308" s="614" t="s">
        <v>1563</v>
      </c>
      <c r="C308" s="614" t="s">
        <v>197</v>
      </c>
      <c r="D308" s="614">
        <v>20</v>
      </c>
      <c r="E308" s="616">
        <v>310.93</v>
      </c>
      <c r="F308" s="616">
        <v>6218.6</v>
      </c>
      <c r="G308" s="614" t="s">
        <v>1594</v>
      </c>
      <c r="H308" s="614">
        <v>2008178</v>
      </c>
      <c r="I308" s="614" t="s">
        <v>199</v>
      </c>
      <c r="J308" s="614" t="s">
        <v>200</v>
      </c>
      <c r="K308" s="614" t="s">
        <v>201</v>
      </c>
      <c r="L308" s="616">
        <v>7.77</v>
      </c>
      <c r="M308" s="616">
        <v>0.22</v>
      </c>
      <c r="N308" s="616">
        <v>0.62</v>
      </c>
      <c r="O308" s="616">
        <v>52.4</v>
      </c>
      <c r="P308" s="616">
        <v>61.01</v>
      </c>
    </row>
    <row r="309" spans="1:16" x14ac:dyDescent="0.3">
      <c r="A309" s="615">
        <v>39708</v>
      </c>
      <c r="B309" s="614" t="s">
        <v>1588</v>
      </c>
      <c r="C309" s="614" t="s">
        <v>197</v>
      </c>
      <c r="D309" s="614">
        <v>100</v>
      </c>
      <c r="E309" s="616">
        <v>98.25</v>
      </c>
      <c r="F309" s="616">
        <v>9825</v>
      </c>
      <c r="G309" s="614" t="s">
        <v>1595</v>
      </c>
      <c r="H309" s="614">
        <v>2008178</v>
      </c>
      <c r="I309" s="614" t="s">
        <v>199</v>
      </c>
      <c r="J309" s="614" t="s">
        <v>200</v>
      </c>
      <c r="K309" s="614" t="s">
        <v>201</v>
      </c>
      <c r="L309" s="616">
        <v>12.28</v>
      </c>
      <c r="M309" s="616">
        <v>0.34</v>
      </c>
      <c r="N309" s="616">
        <v>0.98</v>
      </c>
      <c r="O309" s="616">
        <v>82.8</v>
      </c>
      <c r="P309" s="616">
        <v>96.4</v>
      </c>
    </row>
    <row r="310" spans="1:16" x14ac:dyDescent="0.3">
      <c r="A310" s="615">
        <v>39708</v>
      </c>
      <c r="B310" s="614" t="s">
        <v>1526</v>
      </c>
      <c r="C310" s="614" t="s">
        <v>197</v>
      </c>
      <c r="D310" s="614">
        <v>29</v>
      </c>
      <c r="E310" s="616">
        <v>137</v>
      </c>
      <c r="F310" s="616">
        <v>3973</v>
      </c>
      <c r="G310" s="614" t="s">
        <v>1596</v>
      </c>
      <c r="H310" s="614">
        <v>2008178</v>
      </c>
      <c r="I310" s="614" t="s">
        <v>199</v>
      </c>
      <c r="J310" s="614" t="s">
        <v>200</v>
      </c>
      <c r="K310" s="614" t="s">
        <v>201</v>
      </c>
      <c r="L310" s="616">
        <v>4.97</v>
      </c>
      <c r="M310" s="616">
        <v>0.14000000000000001</v>
      </c>
      <c r="N310" s="616">
        <v>0.4</v>
      </c>
      <c r="O310" s="616">
        <v>33.479999999999997</v>
      </c>
      <c r="P310" s="616">
        <v>38.99</v>
      </c>
    </row>
    <row r="311" spans="1:16" x14ac:dyDescent="0.3">
      <c r="A311" s="615">
        <v>39706</v>
      </c>
      <c r="B311" s="614" t="s">
        <v>1526</v>
      </c>
      <c r="C311" s="614" t="s">
        <v>197</v>
      </c>
      <c r="D311" s="614">
        <v>23</v>
      </c>
      <c r="E311" s="616">
        <v>145</v>
      </c>
      <c r="F311" s="616">
        <v>3335</v>
      </c>
      <c r="G311" s="614" t="s">
        <v>1597</v>
      </c>
      <c r="H311" s="614">
        <v>200809116</v>
      </c>
      <c r="I311" s="614" t="s">
        <v>199</v>
      </c>
      <c r="J311" s="614" t="s">
        <v>200</v>
      </c>
      <c r="K311" s="614" t="s">
        <v>204</v>
      </c>
      <c r="L311" s="616">
        <v>4.17</v>
      </c>
      <c r="M311" s="616">
        <v>0.11</v>
      </c>
      <c r="N311" s="616">
        <v>0.34</v>
      </c>
      <c r="O311" s="616">
        <v>28.1</v>
      </c>
      <c r="P311" s="616">
        <v>32.72</v>
      </c>
    </row>
    <row r="312" spans="1:16" x14ac:dyDescent="0.3">
      <c r="A312" s="615">
        <v>39703</v>
      </c>
      <c r="B312" s="614" t="s">
        <v>1526</v>
      </c>
      <c r="C312" s="614" t="s">
        <v>197</v>
      </c>
      <c r="D312" s="614">
        <v>38</v>
      </c>
      <c r="E312" s="616">
        <v>156.35</v>
      </c>
      <c r="F312" s="616">
        <v>5941.3</v>
      </c>
      <c r="G312" s="614" t="s">
        <v>1598</v>
      </c>
      <c r="H312" s="614">
        <v>200809115</v>
      </c>
      <c r="I312" s="614" t="s">
        <v>199</v>
      </c>
      <c r="J312" s="614" t="s">
        <v>200</v>
      </c>
      <c r="K312" s="614" t="s">
        <v>204</v>
      </c>
      <c r="L312" s="616">
        <v>7.43</v>
      </c>
      <c r="M312" s="616">
        <v>0</v>
      </c>
      <c r="N312" s="616">
        <v>0</v>
      </c>
      <c r="O312" s="616">
        <v>50.07</v>
      </c>
      <c r="P312" s="616">
        <v>57.5</v>
      </c>
    </row>
    <row r="313" spans="1:16" x14ac:dyDescent="0.3">
      <c r="A313" s="615">
        <v>39703</v>
      </c>
      <c r="B313" s="614" t="s">
        <v>1555</v>
      </c>
      <c r="C313" s="614" t="s">
        <v>197</v>
      </c>
      <c r="D313" s="614">
        <v>50</v>
      </c>
      <c r="E313" s="616">
        <v>270.10000000000002</v>
      </c>
      <c r="F313" s="616">
        <v>13505</v>
      </c>
      <c r="G313" s="614" t="s">
        <v>1599</v>
      </c>
      <c r="H313" s="614">
        <v>2008175</v>
      </c>
      <c r="I313" s="614" t="s">
        <v>199</v>
      </c>
      <c r="J313" s="614" t="s">
        <v>200</v>
      </c>
      <c r="K313" s="614" t="s">
        <v>201</v>
      </c>
      <c r="L313" s="616">
        <v>16.88</v>
      </c>
      <c r="M313" s="616">
        <v>0</v>
      </c>
      <c r="N313" s="616">
        <v>0</v>
      </c>
      <c r="O313" s="616">
        <v>113.81</v>
      </c>
      <c r="P313" s="616">
        <v>130.69</v>
      </c>
    </row>
    <row r="314" spans="1:16" x14ac:dyDescent="0.3">
      <c r="A314" s="615">
        <v>39700</v>
      </c>
      <c r="B314" s="614" t="s">
        <v>1563</v>
      </c>
      <c r="C314" s="614" t="s">
        <v>197</v>
      </c>
      <c r="D314" s="614">
        <v>30</v>
      </c>
      <c r="E314" s="616">
        <v>359.89670000000001</v>
      </c>
      <c r="F314" s="616">
        <v>10796.9</v>
      </c>
      <c r="G314" s="614" t="s">
        <v>1600</v>
      </c>
      <c r="H314" s="614">
        <v>2008172</v>
      </c>
      <c r="I314" s="614" t="s">
        <v>199</v>
      </c>
      <c r="J314" s="614" t="s">
        <v>200</v>
      </c>
      <c r="K314" s="614" t="s">
        <v>201</v>
      </c>
      <c r="L314" s="616">
        <v>13.5</v>
      </c>
      <c r="M314" s="616">
        <v>0</v>
      </c>
      <c r="N314" s="616">
        <v>0</v>
      </c>
      <c r="O314" s="616">
        <v>90.98</v>
      </c>
      <c r="P314" s="616">
        <v>104.48</v>
      </c>
    </row>
    <row r="315" spans="1:16" x14ac:dyDescent="0.3">
      <c r="A315" s="615">
        <v>39681</v>
      </c>
      <c r="B315" s="614" t="s">
        <v>1601</v>
      </c>
      <c r="C315" s="614" t="s">
        <v>197</v>
      </c>
      <c r="D315" s="614">
        <v>100</v>
      </c>
      <c r="E315" s="616">
        <v>77.150000000000006</v>
      </c>
      <c r="F315" s="616">
        <v>7715</v>
      </c>
      <c r="G315" s="614" t="s">
        <v>1602</v>
      </c>
      <c r="H315" s="614">
        <v>2008160</v>
      </c>
      <c r="I315" s="614" t="s">
        <v>199</v>
      </c>
      <c r="J315" s="614" t="s">
        <v>200</v>
      </c>
      <c r="K315" s="614" t="s">
        <v>201</v>
      </c>
      <c r="L315" s="616">
        <v>9.64</v>
      </c>
      <c r="M315" s="616">
        <v>0</v>
      </c>
      <c r="N315" s="616">
        <v>0</v>
      </c>
      <c r="O315" s="616">
        <v>65.010000000000005</v>
      </c>
      <c r="P315" s="616">
        <v>74.650000000000006</v>
      </c>
    </row>
    <row r="316" spans="1:16" x14ac:dyDescent="0.3">
      <c r="A316" s="615">
        <v>39680</v>
      </c>
      <c r="B316" s="614" t="s">
        <v>282</v>
      </c>
      <c r="C316" s="614" t="s">
        <v>197</v>
      </c>
      <c r="D316" s="614">
        <v>300</v>
      </c>
      <c r="E316" s="616">
        <v>23.5</v>
      </c>
      <c r="F316" s="616">
        <v>7050</v>
      </c>
      <c r="G316" s="614" t="s">
        <v>1603</v>
      </c>
      <c r="H316" s="614">
        <v>2008159</v>
      </c>
      <c r="I316" s="614" t="s">
        <v>199</v>
      </c>
      <c r="J316" s="614" t="s">
        <v>200</v>
      </c>
      <c r="K316" s="614" t="s">
        <v>201</v>
      </c>
      <c r="L316" s="616">
        <v>8.81</v>
      </c>
      <c r="M316" s="616">
        <v>0</v>
      </c>
      <c r="N316" s="616">
        <v>0</v>
      </c>
      <c r="O316" s="616">
        <v>59.43</v>
      </c>
      <c r="P316" s="616">
        <v>68.239999999999995</v>
      </c>
    </row>
    <row r="317" spans="1:16" x14ac:dyDescent="0.3">
      <c r="A317" s="615">
        <v>39679</v>
      </c>
      <c r="B317" s="614" t="s">
        <v>282</v>
      </c>
      <c r="C317" s="614" t="s">
        <v>197</v>
      </c>
      <c r="D317" s="614">
        <v>200</v>
      </c>
      <c r="E317" s="616">
        <v>22.35</v>
      </c>
      <c r="F317" s="616">
        <v>4470</v>
      </c>
      <c r="G317" s="614" t="s">
        <v>1604</v>
      </c>
      <c r="H317" s="614">
        <v>2008158</v>
      </c>
      <c r="I317" s="614" t="s">
        <v>199</v>
      </c>
      <c r="J317" s="614" t="s">
        <v>200</v>
      </c>
      <c r="K317" s="614" t="s">
        <v>201</v>
      </c>
      <c r="L317" s="616">
        <v>5.59</v>
      </c>
      <c r="M317" s="616">
        <v>0</v>
      </c>
      <c r="N317" s="616">
        <v>0</v>
      </c>
      <c r="O317" s="616">
        <v>37.659999999999997</v>
      </c>
      <c r="P317" s="616">
        <v>43.25</v>
      </c>
    </row>
    <row r="318" spans="1:16" x14ac:dyDescent="0.3">
      <c r="A318" s="615">
        <v>39668</v>
      </c>
      <c r="B318" s="614" t="s">
        <v>1605</v>
      </c>
      <c r="C318" s="614" t="s">
        <v>197</v>
      </c>
      <c r="D318" s="614">
        <v>5</v>
      </c>
      <c r="E318" s="616">
        <v>2491.0500000000002</v>
      </c>
      <c r="F318" s="616">
        <v>12455.25</v>
      </c>
      <c r="G318" s="614" t="s">
        <v>1606</v>
      </c>
      <c r="H318" s="614">
        <v>2008152</v>
      </c>
      <c r="I318" s="614" t="s">
        <v>199</v>
      </c>
      <c r="J318" s="614" t="s">
        <v>200</v>
      </c>
      <c r="K318" s="614" t="s">
        <v>201</v>
      </c>
      <c r="L318" s="616">
        <v>15.57</v>
      </c>
      <c r="M318" s="616">
        <v>0</v>
      </c>
      <c r="N318" s="616">
        <v>0</v>
      </c>
      <c r="O318" s="616">
        <v>104.96</v>
      </c>
      <c r="P318" s="616">
        <v>120.53</v>
      </c>
    </row>
    <row r="319" spans="1:16" x14ac:dyDescent="0.3">
      <c r="A319" s="615">
        <v>39667</v>
      </c>
      <c r="B319" s="614" t="s">
        <v>1601</v>
      </c>
      <c r="C319" s="614" t="s">
        <v>197</v>
      </c>
      <c r="D319" s="614">
        <v>100</v>
      </c>
      <c r="E319" s="616">
        <v>86.4</v>
      </c>
      <c r="F319" s="616">
        <v>8640</v>
      </c>
      <c r="G319" s="614" t="s">
        <v>1607</v>
      </c>
      <c r="H319" s="614">
        <v>2008151</v>
      </c>
      <c r="I319" s="614" t="s">
        <v>199</v>
      </c>
      <c r="J319" s="614" t="s">
        <v>200</v>
      </c>
      <c r="K319" s="614" t="s">
        <v>201</v>
      </c>
      <c r="L319" s="616">
        <v>10.8</v>
      </c>
      <c r="M319" s="616">
        <v>0</v>
      </c>
      <c r="N319" s="616">
        <v>0</v>
      </c>
      <c r="O319" s="616">
        <v>72.81</v>
      </c>
      <c r="P319" s="616">
        <v>83.61</v>
      </c>
    </row>
    <row r="320" spans="1:16" x14ac:dyDescent="0.3">
      <c r="A320" s="615">
        <v>39660</v>
      </c>
      <c r="B320" s="614" t="s">
        <v>1608</v>
      </c>
      <c r="C320" s="614" t="s">
        <v>197</v>
      </c>
      <c r="D320" s="614">
        <v>8</v>
      </c>
      <c r="E320" s="616">
        <v>350.2</v>
      </c>
      <c r="F320" s="616">
        <v>2801.6</v>
      </c>
      <c r="G320" s="614" t="s">
        <v>1609</v>
      </c>
      <c r="H320" s="614">
        <v>2008146</v>
      </c>
      <c r="I320" s="614" t="s">
        <v>199</v>
      </c>
      <c r="J320" s="614" t="s">
        <v>200</v>
      </c>
      <c r="K320" s="614" t="s">
        <v>201</v>
      </c>
      <c r="L320" s="616">
        <v>3.5</v>
      </c>
      <c r="M320" s="616">
        <v>0</v>
      </c>
      <c r="N320" s="616">
        <v>0</v>
      </c>
      <c r="O320" s="616">
        <v>28.09</v>
      </c>
      <c r="P320" s="616">
        <v>31.59</v>
      </c>
    </row>
    <row r="321" spans="1:16" x14ac:dyDescent="0.3">
      <c r="A321" s="615">
        <v>39659</v>
      </c>
      <c r="B321" s="614" t="s">
        <v>1608</v>
      </c>
      <c r="C321" s="614" t="s">
        <v>197</v>
      </c>
      <c r="D321" s="614">
        <v>20</v>
      </c>
      <c r="E321" s="616">
        <v>356</v>
      </c>
      <c r="F321" s="616">
        <v>7120</v>
      </c>
      <c r="G321" s="614" t="s">
        <v>1610</v>
      </c>
      <c r="H321" s="614">
        <v>2008145</v>
      </c>
      <c r="I321" s="614" t="s">
        <v>199</v>
      </c>
      <c r="J321" s="614" t="s">
        <v>200</v>
      </c>
      <c r="K321" s="614" t="s">
        <v>201</v>
      </c>
      <c r="L321" s="616">
        <v>8.9</v>
      </c>
      <c r="M321" s="616">
        <v>0</v>
      </c>
      <c r="N321" s="616">
        <v>0</v>
      </c>
      <c r="O321" s="616">
        <v>60</v>
      </c>
      <c r="P321" s="616">
        <v>68.900000000000006</v>
      </c>
    </row>
    <row r="322" spans="1:16" x14ac:dyDescent="0.3">
      <c r="A322" s="615">
        <v>39658</v>
      </c>
      <c r="B322" s="614" t="s">
        <v>1526</v>
      </c>
      <c r="C322" s="614" t="s">
        <v>197</v>
      </c>
      <c r="D322" s="614">
        <v>50</v>
      </c>
      <c r="E322" s="616">
        <v>153.69999999999999</v>
      </c>
      <c r="F322" s="616">
        <v>7685</v>
      </c>
      <c r="G322" s="614" t="s">
        <v>1611</v>
      </c>
      <c r="H322" s="614">
        <v>2008144</v>
      </c>
      <c r="I322" s="614" t="s">
        <v>199</v>
      </c>
      <c r="J322" s="614" t="s">
        <v>200</v>
      </c>
      <c r="K322" s="614" t="s">
        <v>201</v>
      </c>
      <c r="L322" s="616">
        <v>9.61</v>
      </c>
      <c r="M322" s="616">
        <v>0</v>
      </c>
      <c r="N322" s="616">
        <v>0</v>
      </c>
      <c r="O322" s="616">
        <v>64.77</v>
      </c>
      <c r="P322" s="616">
        <v>74.38</v>
      </c>
    </row>
    <row r="323" spans="1:16" x14ac:dyDescent="0.3">
      <c r="A323" s="615">
        <v>39658</v>
      </c>
      <c r="B323" s="614" t="s">
        <v>1526</v>
      </c>
      <c r="C323" s="614" t="s">
        <v>197</v>
      </c>
      <c r="D323" s="614">
        <v>50</v>
      </c>
      <c r="E323" s="616">
        <v>152.69999999999999</v>
      </c>
      <c r="F323" s="616">
        <v>7635</v>
      </c>
      <c r="G323" s="614" t="s">
        <v>1612</v>
      </c>
      <c r="H323" s="614">
        <v>2008144</v>
      </c>
      <c r="I323" s="614" t="s">
        <v>199</v>
      </c>
      <c r="J323" s="614" t="s">
        <v>200</v>
      </c>
      <c r="K323" s="614" t="s">
        <v>201</v>
      </c>
      <c r="L323" s="616">
        <v>9.5399999999999991</v>
      </c>
      <c r="M323" s="616">
        <v>0</v>
      </c>
      <c r="N323" s="616">
        <v>0</v>
      </c>
      <c r="O323" s="616">
        <v>64.349999999999994</v>
      </c>
      <c r="P323" s="616">
        <v>73.89</v>
      </c>
    </row>
    <row r="324" spans="1:16" x14ac:dyDescent="0.3">
      <c r="A324" s="615">
        <v>39654</v>
      </c>
      <c r="B324" s="614" t="s">
        <v>1553</v>
      </c>
      <c r="C324" s="614" t="s">
        <v>197</v>
      </c>
      <c r="D324" s="614">
        <v>50</v>
      </c>
      <c r="E324" s="616">
        <v>208</v>
      </c>
      <c r="F324" s="616">
        <v>10400</v>
      </c>
      <c r="G324" s="614" t="s">
        <v>1613</v>
      </c>
      <c r="H324" s="614">
        <v>2008142</v>
      </c>
      <c r="I324" s="614" t="s">
        <v>199</v>
      </c>
      <c r="J324" s="614" t="s">
        <v>200</v>
      </c>
      <c r="K324" s="614" t="s">
        <v>201</v>
      </c>
      <c r="L324" s="616">
        <v>13</v>
      </c>
      <c r="M324" s="616">
        <v>0</v>
      </c>
      <c r="N324" s="616">
        <v>0</v>
      </c>
      <c r="O324" s="616">
        <v>87.64</v>
      </c>
      <c r="P324" s="616">
        <v>100.64</v>
      </c>
    </row>
    <row r="325" spans="1:16" x14ac:dyDescent="0.3">
      <c r="A325" s="615">
        <v>39651</v>
      </c>
      <c r="B325" s="614" t="s">
        <v>1553</v>
      </c>
      <c r="C325" s="614" t="s">
        <v>197</v>
      </c>
      <c r="D325" s="614">
        <v>20</v>
      </c>
      <c r="E325" s="616">
        <v>208</v>
      </c>
      <c r="F325" s="616">
        <v>4160</v>
      </c>
      <c r="G325" s="614" t="s">
        <v>1630</v>
      </c>
      <c r="H325" s="614">
        <v>2008139</v>
      </c>
      <c r="I325" s="614" t="s">
        <v>199</v>
      </c>
      <c r="J325" s="614" t="s">
        <v>200</v>
      </c>
      <c r="K325" s="614" t="s">
        <v>201</v>
      </c>
      <c r="L325" s="616">
        <v>5.2</v>
      </c>
      <c r="M325" s="616">
        <v>0</v>
      </c>
      <c r="N325" s="616">
        <v>0</v>
      </c>
      <c r="O325" s="616">
        <v>35.06</v>
      </c>
      <c r="P325" s="616">
        <v>40.26</v>
      </c>
    </row>
    <row r="326" spans="1:16" x14ac:dyDescent="0.3">
      <c r="A326" s="615">
        <v>39651</v>
      </c>
      <c r="B326" s="614" t="s">
        <v>1526</v>
      </c>
      <c r="C326" s="614" t="s">
        <v>197</v>
      </c>
      <c r="D326" s="614">
        <v>50</v>
      </c>
      <c r="E326" s="616">
        <v>159.30000000000001</v>
      </c>
      <c r="F326" s="616">
        <v>7965</v>
      </c>
      <c r="G326" s="614" t="s">
        <v>1631</v>
      </c>
      <c r="H326" s="614">
        <v>2008139</v>
      </c>
      <c r="I326" s="614" t="s">
        <v>199</v>
      </c>
      <c r="J326" s="614" t="s">
        <v>200</v>
      </c>
      <c r="K326" s="614" t="s">
        <v>201</v>
      </c>
      <c r="L326" s="616">
        <v>9.9600000000000009</v>
      </c>
      <c r="M326" s="616">
        <v>0</v>
      </c>
      <c r="N326" s="616">
        <v>0</v>
      </c>
      <c r="O326" s="616">
        <v>67.13</v>
      </c>
      <c r="P326" s="616">
        <v>77.09</v>
      </c>
    </row>
    <row r="327" spans="1:16" x14ac:dyDescent="0.3">
      <c r="A327" s="615">
        <v>39645</v>
      </c>
      <c r="B327" s="614" t="s">
        <v>1526</v>
      </c>
      <c r="C327" s="614" t="s">
        <v>197</v>
      </c>
      <c r="D327" s="614">
        <v>50</v>
      </c>
      <c r="E327" s="616">
        <v>138.65</v>
      </c>
      <c r="F327" s="616">
        <v>6932.5</v>
      </c>
      <c r="G327" s="614" t="s">
        <v>1632</v>
      </c>
      <c r="H327" s="614">
        <v>200809075</v>
      </c>
      <c r="I327" s="614" t="s">
        <v>199</v>
      </c>
      <c r="J327" s="614" t="s">
        <v>200</v>
      </c>
      <c r="K327" s="614" t="s">
        <v>204</v>
      </c>
      <c r="L327" s="616">
        <v>8.67</v>
      </c>
      <c r="M327" s="616">
        <v>0</v>
      </c>
      <c r="N327" s="616">
        <v>0</v>
      </c>
      <c r="O327" s="616">
        <v>58.42</v>
      </c>
      <c r="P327" s="616">
        <v>67.09</v>
      </c>
    </row>
    <row r="328" spans="1:16" x14ac:dyDescent="0.3">
      <c r="A328" s="615">
        <v>39645</v>
      </c>
      <c r="B328" s="614" t="s">
        <v>1058</v>
      </c>
      <c r="C328" s="614" t="s">
        <v>197</v>
      </c>
      <c r="D328" s="614">
        <v>50</v>
      </c>
      <c r="E328" s="616">
        <v>130.25</v>
      </c>
      <c r="F328" s="616">
        <v>6512.5</v>
      </c>
      <c r="G328" s="614" t="s">
        <v>1633</v>
      </c>
      <c r="H328" s="614">
        <v>2008135</v>
      </c>
      <c r="I328" s="614" t="s">
        <v>199</v>
      </c>
      <c r="J328" s="614" t="s">
        <v>200</v>
      </c>
      <c r="K328" s="614" t="s">
        <v>201</v>
      </c>
      <c r="L328" s="616">
        <v>8.14</v>
      </c>
      <c r="M328" s="616">
        <v>0</v>
      </c>
      <c r="N328" s="616">
        <v>0</v>
      </c>
      <c r="O328" s="616">
        <v>54.88</v>
      </c>
      <c r="P328" s="616">
        <v>63.02</v>
      </c>
    </row>
    <row r="329" spans="1:16" x14ac:dyDescent="0.3">
      <c r="A329" s="615">
        <v>39645</v>
      </c>
      <c r="B329" s="614" t="s">
        <v>1526</v>
      </c>
      <c r="C329" s="614" t="s">
        <v>197</v>
      </c>
      <c r="D329" s="614">
        <v>50</v>
      </c>
      <c r="E329" s="616">
        <v>145.80000000000001</v>
      </c>
      <c r="F329" s="616">
        <v>7290</v>
      </c>
      <c r="G329" s="614" t="s">
        <v>1646</v>
      </c>
      <c r="H329" s="614">
        <v>2008135</v>
      </c>
      <c r="I329" s="614" t="s">
        <v>199</v>
      </c>
      <c r="J329" s="614" t="s">
        <v>200</v>
      </c>
      <c r="K329" s="614" t="s">
        <v>201</v>
      </c>
      <c r="L329" s="616">
        <v>9.11</v>
      </c>
      <c r="M329" s="616">
        <v>0</v>
      </c>
      <c r="N329" s="616">
        <v>0</v>
      </c>
      <c r="O329" s="616">
        <v>61.44</v>
      </c>
      <c r="P329" s="616">
        <v>70.55</v>
      </c>
    </row>
    <row r="330" spans="1:16" x14ac:dyDescent="0.3">
      <c r="A330" s="615">
        <v>39645</v>
      </c>
      <c r="B330" s="614" t="s">
        <v>1058</v>
      </c>
      <c r="C330" s="614" t="s">
        <v>197</v>
      </c>
      <c r="D330" s="614">
        <v>25</v>
      </c>
      <c r="E330" s="616">
        <v>130.19999999999999</v>
      </c>
      <c r="F330" s="616">
        <v>3255</v>
      </c>
      <c r="G330" s="614" t="s">
        <v>1647</v>
      </c>
      <c r="H330" s="614">
        <v>2008135</v>
      </c>
      <c r="I330" s="614" t="s">
        <v>199</v>
      </c>
      <c r="J330" s="614" t="s">
        <v>200</v>
      </c>
      <c r="K330" s="614" t="s">
        <v>201</v>
      </c>
      <c r="L330" s="616">
        <v>4.07</v>
      </c>
      <c r="M330" s="616">
        <v>0</v>
      </c>
      <c r="N330" s="616">
        <v>0</v>
      </c>
      <c r="O330" s="616">
        <v>28.09</v>
      </c>
      <c r="P330" s="616">
        <v>32.159999999999997</v>
      </c>
    </row>
    <row r="331" spans="1:16" x14ac:dyDescent="0.3">
      <c r="A331" s="615">
        <v>39645</v>
      </c>
      <c r="B331" s="614" t="s">
        <v>1510</v>
      </c>
      <c r="C331" s="614" t="s">
        <v>197</v>
      </c>
      <c r="D331" s="614">
        <v>5</v>
      </c>
      <c r="E331" s="616">
        <v>1249</v>
      </c>
      <c r="F331" s="616">
        <v>6245</v>
      </c>
      <c r="G331" s="614" t="s">
        <v>1648</v>
      </c>
      <c r="H331" s="614">
        <v>2008135</v>
      </c>
      <c r="I331" s="614" t="s">
        <v>199</v>
      </c>
      <c r="J331" s="614" t="s">
        <v>200</v>
      </c>
      <c r="K331" s="614" t="s">
        <v>201</v>
      </c>
      <c r="L331" s="616">
        <v>7.81</v>
      </c>
      <c r="M331" s="616">
        <v>0</v>
      </c>
      <c r="N331" s="616">
        <v>0</v>
      </c>
      <c r="O331" s="616">
        <v>52.63</v>
      </c>
      <c r="P331" s="616">
        <v>60.44</v>
      </c>
    </row>
    <row r="332" spans="1:16" x14ac:dyDescent="0.3">
      <c r="A332" s="615">
        <v>39645</v>
      </c>
      <c r="B332" s="614" t="s">
        <v>1058</v>
      </c>
      <c r="C332" s="614" t="s">
        <v>197</v>
      </c>
      <c r="D332" s="614">
        <v>25</v>
      </c>
      <c r="E332" s="616">
        <v>126.5</v>
      </c>
      <c r="F332" s="616">
        <v>3162.5</v>
      </c>
      <c r="G332" s="614" t="s">
        <v>1649</v>
      </c>
      <c r="H332" s="614">
        <v>2008135</v>
      </c>
      <c r="I332" s="614" t="s">
        <v>199</v>
      </c>
      <c r="J332" s="614" t="s">
        <v>200</v>
      </c>
      <c r="K332" s="614" t="s">
        <v>201</v>
      </c>
      <c r="L332" s="616">
        <v>3.95</v>
      </c>
      <c r="M332" s="616">
        <v>0</v>
      </c>
      <c r="N332" s="616">
        <v>0</v>
      </c>
      <c r="O332" s="616">
        <v>28.09</v>
      </c>
      <c r="P332" s="616">
        <v>32.04</v>
      </c>
    </row>
    <row r="333" spans="1:16" x14ac:dyDescent="0.3">
      <c r="A333" s="615">
        <v>39644</v>
      </c>
      <c r="B333" s="614" t="s">
        <v>1585</v>
      </c>
      <c r="C333" s="614" t="s">
        <v>197</v>
      </c>
      <c r="D333" s="614">
        <v>25</v>
      </c>
      <c r="E333" s="616">
        <v>198.4</v>
      </c>
      <c r="F333" s="616">
        <v>4960</v>
      </c>
      <c r="G333" s="614" t="s">
        <v>1650</v>
      </c>
      <c r="H333" s="614">
        <v>2008134</v>
      </c>
      <c r="I333" s="614" t="s">
        <v>199</v>
      </c>
      <c r="J333" s="614" t="s">
        <v>200</v>
      </c>
      <c r="K333" s="614" t="s">
        <v>201</v>
      </c>
      <c r="L333" s="616">
        <v>6.2</v>
      </c>
      <c r="M333" s="616">
        <v>0</v>
      </c>
      <c r="N333" s="616">
        <v>0</v>
      </c>
      <c r="O333" s="616">
        <v>41.8</v>
      </c>
      <c r="P333" s="616">
        <v>48</v>
      </c>
    </row>
    <row r="334" spans="1:16" x14ac:dyDescent="0.3">
      <c r="A334" s="615">
        <v>39636</v>
      </c>
      <c r="B334" s="614" t="s">
        <v>1553</v>
      </c>
      <c r="C334" s="614" t="s">
        <v>197</v>
      </c>
      <c r="D334" s="614">
        <v>30</v>
      </c>
      <c r="E334" s="616">
        <v>209.5</v>
      </c>
      <c r="F334" s="616">
        <v>6285</v>
      </c>
      <c r="G334" s="614" t="s">
        <v>1651</v>
      </c>
      <c r="H334" s="614">
        <v>2008128</v>
      </c>
      <c r="I334" s="614" t="s">
        <v>199</v>
      </c>
      <c r="J334" s="614" t="s">
        <v>200</v>
      </c>
      <c r="K334" s="614" t="s">
        <v>201</v>
      </c>
      <c r="L334" s="616">
        <v>7.86</v>
      </c>
      <c r="M334" s="616">
        <v>0</v>
      </c>
      <c r="N334" s="616">
        <v>0</v>
      </c>
      <c r="O334" s="616">
        <v>52.97</v>
      </c>
      <c r="P334" s="616">
        <v>60.83</v>
      </c>
    </row>
    <row r="335" spans="1:16" x14ac:dyDescent="0.3">
      <c r="A335" s="615">
        <v>39629</v>
      </c>
      <c r="B335" s="614" t="s">
        <v>1074</v>
      </c>
      <c r="C335" s="614" t="s">
        <v>197</v>
      </c>
      <c r="D335" s="614">
        <v>100</v>
      </c>
      <c r="E335" s="616">
        <v>71.45</v>
      </c>
      <c r="F335" s="616">
        <v>7145</v>
      </c>
      <c r="G335" s="614" t="s">
        <v>1652</v>
      </c>
      <c r="H335" s="614">
        <v>2008123</v>
      </c>
      <c r="I335" s="614" t="s">
        <v>199</v>
      </c>
      <c r="J335" s="614" t="s">
        <v>200</v>
      </c>
      <c r="K335" s="614" t="s">
        <v>201</v>
      </c>
      <c r="L335" s="616">
        <v>0</v>
      </c>
      <c r="M335" s="616">
        <v>0</v>
      </c>
      <c r="N335" s="616">
        <v>0</v>
      </c>
      <c r="O335" s="616">
        <v>16.850000000000001</v>
      </c>
      <c r="P335" s="616">
        <v>16.850000000000001</v>
      </c>
    </row>
    <row r="336" spans="1:16" x14ac:dyDescent="0.3">
      <c r="A336" s="615">
        <v>39626</v>
      </c>
      <c r="B336" s="614" t="s">
        <v>1653</v>
      </c>
      <c r="C336" s="614" t="s">
        <v>197</v>
      </c>
      <c r="D336" s="614">
        <v>150</v>
      </c>
      <c r="E336" s="616">
        <v>35.1</v>
      </c>
      <c r="F336" s="616">
        <v>5265</v>
      </c>
      <c r="G336" s="614" t="s">
        <v>1654</v>
      </c>
      <c r="H336" s="614">
        <v>200809062</v>
      </c>
      <c r="I336" s="614" t="s">
        <v>199</v>
      </c>
      <c r="J336" s="614" t="s">
        <v>200</v>
      </c>
      <c r="K336" s="614" t="s">
        <v>204</v>
      </c>
      <c r="L336" s="616">
        <v>6.58</v>
      </c>
      <c r="M336" s="616">
        <v>0</v>
      </c>
      <c r="N336" s="616">
        <v>0</v>
      </c>
      <c r="O336" s="616">
        <v>44.37</v>
      </c>
      <c r="P336" s="616">
        <v>50.95</v>
      </c>
    </row>
    <row r="337" spans="1:16" x14ac:dyDescent="0.3">
      <c r="A337" s="615">
        <v>39626</v>
      </c>
      <c r="B337" s="614" t="s">
        <v>1655</v>
      </c>
      <c r="C337" s="614" t="s">
        <v>197</v>
      </c>
      <c r="D337" s="614">
        <v>150</v>
      </c>
      <c r="E337" s="616">
        <v>24.4</v>
      </c>
      <c r="F337" s="616">
        <v>3660</v>
      </c>
      <c r="G337" s="614" t="s">
        <v>1656</v>
      </c>
      <c r="H337" s="614">
        <v>200809062</v>
      </c>
      <c r="I337" s="614" t="s">
        <v>199</v>
      </c>
      <c r="J337" s="614" t="s">
        <v>200</v>
      </c>
      <c r="K337" s="614" t="s">
        <v>204</v>
      </c>
      <c r="L337" s="616">
        <v>4.58</v>
      </c>
      <c r="M337" s="616">
        <v>0</v>
      </c>
      <c r="N337" s="616">
        <v>0</v>
      </c>
      <c r="O337" s="616">
        <v>30.84</v>
      </c>
      <c r="P337" s="616">
        <v>35.42</v>
      </c>
    </row>
    <row r="338" spans="1:16" x14ac:dyDescent="0.3">
      <c r="A338" s="615">
        <v>39626</v>
      </c>
      <c r="B338" s="614" t="s">
        <v>1657</v>
      </c>
      <c r="C338" s="614" t="s">
        <v>197</v>
      </c>
      <c r="D338" s="614">
        <v>50</v>
      </c>
      <c r="E338" s="616">
        <v>90.05</v>
      </c>
      <c r="F338" s="616">
        <v>4502.5</v>
      </c>
      <c r="G338" s="614" t="s">
        <v>1658</v>
      </c>
      <c r="H338" s="614">
        <v>2008122</v>
      </c>
      <c r="I338" s="614" t="s">
        <v>199</v>
      </c>
      <c r="J338" s="614" t="s">
        <v>200</v>
      </c>
      <c r="K338" s="614" t="s">
        <v>201</v>
      </c>
      <c r="L338" s="616">
        <v>5.63</v>
      </c>
      <c r="M338" s="616">
        <v>0</v>
      </c>
      <c r="N338" s="616">
        <v>0</v>
      </c>
      <c r="O338" s="616">
        <v>37.950000000000003</v>
      </c>
      <c r="P338" s="616">
        <v>43.58</v>
      </c>
    </row>
    <row r="339" spans="1:16" x14ac:dyDescent="0.3">
      <c r="A339" s="615">
        <v>39623</v>
      </c>
      <c r="B339" s="614" t="s">
        <v>1585</v>
      </c>
      <c r="C339" s="614" t="s">
        <v>197</v>
      </c>
      <c r="D339" s="614">
        <v>25</v>
      </c>
      <c r="E339" s="616">
        <v>226.2</v>
      </c>
      <c r="F339" s="616">
        <v>5655</v>
      </c>
      <c r="G339" s="614" t="s">
        <v>1659</v>
      </c>
      <c r="H339" s="614">
        <v>2008119</v>
      </c>
      <c r="I339" s="614" t="s">
        <v>199</v>
      </c>
      <c r="J339" s="614" t="s">
        <v>200</v>
      </c>
      <c r="K339" s="614" t="s">
        <v>201</v>
      </c>
      <c r="L339" s="616">
        <v>7.07</v>
      </c>
      <c r="M339" s="616">
        <v>0</v>
      </c>
      <c r="N339" s="616">
        <v>0</v>
      </c>
      <c r="O339" s="616">
        <v>47.66</v>
      </c>
      <c r="P339" s="616">
        <v>54.73</v>
      </c>
    </row>
    <row r="340" spans="1:16" x14ac:dyDescent="0.3">
      <c r="A340" s="615">
        <v>39623</v>
      </c>
      <c r="B340" s="614" t="s">
        <v>1660</v>
      </c>
      <c r="C340" s="614" t="s">
        <v>197</v>
      </c>
      <c r="D340" s="614">
        <v>20</v>
      </c>
      <c r="E340" s="616">
        <v>199</v>
      </c>
      <c r="F340" s="616">
        <v>3980</v>
      </c>
      <c r="G340" s="614" t="s">
        <v>1661</v>
      </c>
      <c r="H340" s="614">
        <v>2008119</v>
      </c>
      <c r="I340" s="614" t="s">
        <v>199</v>
      </c>
      <c r="J340" s="614" t="s">
        <v>200</v>
      </c>
      <c r="K340" s="614" t="s">
        <v>201</v>
      </c>
      <c r="L340" s="616">
        <v>4.9800000000000004</v>
      </c>
      <c r="M340" s="616">
        <v>0</v>
      </c>
      <c r="N340" s="616">
        <v>0</v>
      </c>
      <c r="O340" s="616">
        <v>33.54</v>
      </c>
      <c r="P340" s="616">
        <v>38.520000000000003</v>
      </c>
    </row>
    <row r="341" spans="1:16" x14ac:dyDescent="0.3">
      <c r="A341" s="615">
        <v>39623</v>
      </c>
      <c r="B341" s="614" t="s">
        <v>1653</v>
      </c>
      <c r="C341" s="614" t="s">
        <v>197</v>
      </c>
      <c r="D341" s="614">
        <v>60</v>
      </c>
      <c r="E341" s="616">
        <v>36.75</v>
      </c>
      <c r="F341" s="616">
        <v>2205</v>
      </c>
      <c r="G341" s="614" t="s">
        <v>1662</v>
      </c>
      <c r="H341" s="614">
        <v>2008119</v>
      </c>
      <c r="I341" s="614" t="s">
        <v>199</v>
      </c>
      <c r="J341" s="614" t="s">
        <v>200</v>
      </c>
      <c r="K341" s="614" t="s">
        <v>201</v>
      </c>
      <c r="L341" s="616">
        <v>2.76</v>
      </c>
      <c r="M341" s="616">
        <v>0</v>
      </c>
      <c r="N341" s="616">
        <v>0</v>
      </c>
      <c r="O341" s="616">
        <v>28.09</v>
      </c>
      <c r="P341" s="616">
        <v>30.85</v>
      </c>
    </row>
    <row r="342" spans="1:16" x14ac:dyDescent="0.3">
      <c r="A342" s="615">
        <v>39622</v>
      </c>
      <c r="B342" s="614" t="s">
        <v>1663</v>
      </c>
      <c r="C342" s="614" t="s">
        <v>197</v>
      </c>
      <c r="D342" s="614">
        <v>300</v>
      </c>
      <c r="E342" s="616">
        <v>12.25</v>
      </c>
      <c r="F342" s="616">
        <v>3675</v>
      </c>
      <c r="G342" s="614" t="s">
        <v>1664</v>
      </c>
      <c r="H342" s="614">
        <v>200809058</v>
      </c>
      <c r="I342" s="614" t="s">
        <v>199</v>
      </c>
      <c r="J342" s="614" t="s">
        <v>200</v>
      </c>
      <c r="K342" s="614" t="s">
        <v>204</v>
      </c>
      <c r="L342" s="616">
        <v>4.59</v>
      </c>
      <c r="M342" s="616">
        <v>0</v>
      </c>
      <c r="N342" s="616">
        <v>0</v>
      </c>
      <c r="O342" s="616">
        <v>30.99</v>
      </c>
      <c r="P342" s="616">
        <v>35.58</v>
      </c>
    </row>
    <row r="343" spans="1:16" x14ac:dyDescent="0.3">
      <c r="A343" s="615">
        <v>39622</v>
      </c>
      <c r="B343" s="614" t="s">
        <v>1074</v>
      </c>
      <c r="C343" s="614" t="s">
        <v>197</v>
      </c>
      <c r="D343" s="614">
        <v>100</v>
      </c>
      <c r="E343" s="616">
        <v>81.849999999999994</v>
      </c>
      <c r="F343" s="616">
        <v>8185</v>
      </c>
      <c r="G343" s="614" t="s">
        <v>1665</v>
      </c>
      <c r="H343" s="614">
        <v>2008118</v>
      </c>
      <c r="I343" s="614" t="s">
        <v>199</v>
      </c>
      <c r="J343" s="614" t="s">
        <v>200</v>
      </c>
      <c r="K343" s="614" t="s">
        <v>201</v>
      </c>
      <c r="L343" s="616">
        <v>10.23</v>
      </c>
      <c r="M343" s="616">
        <v>0</v>
      </c>
      <c r="N343" s="616">
        <v>0</v>
      </c>
      <c r="O343" s="616">
        <v>68.98</v>
      </c>
      <c r="P343" s="616">
        <v>79.209999999999994</v>
      </c>
    </row>
    <row r="344" spans="1:16" x14ac:dyDescent="0.3">
      <c r="A344" s="615">
        <v>39622</v>
      </c>
      <c r="B344" s="614" t="s">
        <v>1526</v>
      </c>
      <c r="C344" s="614" t="s">
        <v>197</v>
      </c>
      <c r="D344" s="614">
        <v>25</v>
      </c>
      <c r="E344" s="616">
        <v>155.85</v>
      </c>
      <c r="F344" s="616">
        <v>3896.25</v>
      </c>
      <c r="G344" s="614" t="s">
        <v>1666</v>
      </c>
      <c r="H344" s="614">
        <v>2008118</v>
      </c>
      <c r="I344" s="614" t="s">
        <v>199</v>
      </c>
      <c r="J344" s="614" t="s">
        <v>200</v>
      </c>
      <c r="K344" s="614" t="s">
        <v>201</v>
      </c>
      <c r="L344" s="616">
        <v>4.87</v>
      </c>
      <c r="M344" s="616">
        <v>0</v>
      </c>
      <c r="N344" s="616">
        <v>0</v>
      </c>
      <c r="O344" s="616">
        <v>32.840000000000003</v>
      </c>
      <c r="P344" s="616">
        <v>37.71</v>
      </c>
    </row>
    <row r="345" spans="1:16" x14ac:dyDescent="0.3">
      <c r="A345" s="615">
        <v>39618</v>
      </c>
      <c r="B345" s="614" t="s">
        <v>1074</v>
      </c>
      <c r="C345" s="614" t="s">
        <v>197</v>
      </c>
      <c r="D345" s="614">
        <v>50</v>
      </c>
      <c r="E345" s="616">
        <v>90.45</v>
      </c>
      <c r="F345" s="616">
        <v>4522.5</v>
      </c>
      <c r="G345" s="614" t="s">
        <v>1667</v>
      </c>
      <c r="H345" s="614">
        <v>200809056</v>
      </c>
      <c r="I345" s="614" t="s">
        <v>199</v>
      </c>
      <c r="J345" s="614" t="s">
        <v>200</v>
      </c>
      <c r="K345" s="614" t="s">
        <v>204</v>
      </c>
      <c r="L345" s="616">
        <v>5.65</v>
      </c>
      <c r="M345" s="616">
        <v>0</v>
      </c>
      <c r="N345" s="616">
        <v>0</v>
      </c>
      <c r="O345" s="616">
        <v>38.119999999999997</v>
      </c>
      <c r="P345" s="616">
        <v>43.77</v>
      </c>
    </row>
    <row r="346" spans="1:16" x14ac:dyDescent="0.3">
      <c r="A346" s="615">
        <v>39618</v>
      </c>
      <c r="B346" s="614" t="s">
        <v>1074</v>
      </c>
      <c r="C346" s="614" t="s">
        <v>197</v>
      </c>
      <c r="D346" s="614">
        <v>25</v>
      </c>
      <c r="E346" s="616">
        <v>90.15</v>
      </c>
      <c r="F346" s="616">
        <v>2253.75</v>
      </c>
      <c r="G346" s="614" t="s">
        <v>1668</v>
      </c>
      <c r="H346" s="614">
        <v>200809056</v>
      </c>
      <c r="I346" s="614" t="s">
        <v>199</v>
      </c>
      <c r="J346" s="614" t="s">
        <v>200</v>
      </c>
      <c r="K346" s="614" t="s">
        <v>204</v>
      </c>
      <c r="L346" s="616">
        <v>2.82</v>
      </c>
      <c r="M346" s="616">
        <v>0</v>
      </c>
      <c r="N346" s="616">
        <v>0</v>
      </c>
      <c r="O346" s="616">
        <v>28.09</v>
      </c>
      <c r="P346" s="616">
        <v>30.91</v>
      </c>
    </row>
    <row r="347" spans="1:16" x14ac:dyDescent="0.3">
      <c r="A347" s="615">
        <v>39616</v>
      </c>
      <c r="B347" s="614" t="s">
        <v>1074</v>
      </c>
      <c r="C347" s="614" t="s">
        <v>197</v>
      </c>
      <c r="D347" s="614">
        <v>50</v>
      </c>
      <c r="E347" s="616">
        <v>92.55</v>
      </c>
      <c r="F347" s="616">
        <v>4627.5</v>
      </c>
      <c r="G347" s="614" t="s">
        <v>1669</v>
      </c>
      <c r="H347" s="614">
        <v>2008114</v>
      </c>
      <c r="I347" s="614" t="s">
        <v>199</v>
      </c>
      <c r="J347" s="614" t="s">
        <v>200</v>
      </c>
      <c r="K347" s="614" t="s">
        <v>201</v>
      </c>
      <c r="L347" s="616">
        <v>5.78</v>
      </c>
      <c r="M347" s="616">
        <v>0</v>
      </c>
      <c r="N347" s="616">
        <v>0</v>
      </c>
      <c r="O347" s="616">
        <v>39</v>
      </c>
      <c r="P347" s="616">
        <v>44.78</v>
      </c>
    </row>
    <row r="348" spans="1:16" x14ac:dyDescent="0.3">
      <c r="A348" s="615">
        <v>39616</v>
      </c>
      <c r="B348" s="614" t="s">
        <v>1653</v>
      </c>
      <c r="C348" s="614" t="s">
        <v>197</v>
      </c>
      <c r="D348" s="614">
        <v>150</v>
      </c>
      <c r="E348" s="616">
        <v>42.35</v>
      </c>
      <c r="F348" s="616">
        <v>6352.5</v>
      </c>
      <c r="G348" s="614" t="s">
        <v>1670</v>
      </c>
      <c r="H348" s="614">
        <v>2008114</v>
      </c>
      <c r="I348" s="614" t="s">
        <v>199</v>
      </c>
      <c r="J348" s="614" t="s">
        <v>200</v>
      </c>
      <c r="K348" s="614" t="s">
        <v>201</v>
      </c>
      <c r="L348" s="616">
        <v>7.94</v>
      </c>
      <c r="M348" s="616">
        <v>0</v>
      </c>
      <c r="N348" s="616">
        <v>0</v>
      </c>
      <c r="O348" s="616">
        <v>53.54</v>
      </c>
      <c r="P348" s="616">
        <v>61.48</v>
      </c>
    </row>
    <row r="349" spans="1:16" x14ac:dyDescent="0.3">
      <c r="A349" s="615">
        <v>39616</v>
      </c>
      <c r="B349" s="614" t="s">
        <v>1660</v>
      </c>
      <c r="C349" s="614" t="s">
        <v>197</v>
      </c>
      <c r="D349" s="614">
        <v>30</v>
      </c>
      <c r="E349" s="616">
        <v>214.95</v>
      </c>
      <c r="F349" s="616">
        <v>6448.5</v>
      </c>
      <c r="G349" s="614" t="s">
        <v>1671</v>
      </c>
      <c r="H349" s="614">
        <v>2008114</v>
      </c>
      <c r="I349" s="614" t="s">
        <v>199</v>
      </c>
      <c r="J349" s="614" t="s">
        <v>200</v>
      </c>
      <c r="K349" s="614" t="s">
        <v>201</v>
      </c>
      <c r="L349" s="616">
        <v>8.06</v>
      </c>
      <c r="M349" s="616">
        <v>0</v>
      </c>
      <c r="N349" s="616">
        <v>0</v>
      </c>
      <c r="O349" s="616">
        <v>54.34</v>
      </c>
      <c r="P349" s="616">
        <v>62.4</v>
      </c>
    </row>
    <row r="350" spans="1:16" x14ac:dyDescent="0.3">
      <c r="A350" s="615">
        <v>39615</v>
      </c>
      <c r="B350" s="614" t="s">
        <v>1107</v>
      </c>
      <c r="C350" s="614" t="s">
        <v>197</v>
      </c>
      <c r="D350" s="614">
        <v>50</v>
      </c>
      <c r="E350" s="616">
        <v>108.75</v>
      </c>
      <c r="F350" s="616">
        <v>5437.5</v>
      </c>
      <c r="G350" s="614" t="s">
        <v>1672</v>
      </c>
      <c r="H350" s="614">
        <v>2008113</v>
      </c>
      <c r="I350" s="614" t="s">
        <v>199</v>
      </c>
      <c r="J350" s="614" t="s">
        <v>200</v>
      </c>
      <c r="K350" s="614" t="s">
        <v>201</v>
      </c>
      <c r="L350" s="616">
        <v>6.8</v>
      </c>
      <c r="M350" s="616">
        <v>0</v>
      </c>
      <c r="N350" s="616">
        <v>0</v>
      </c>
      <c r="O350" s="616">
        <v>45.82</v>
      </c>
      <c r="P350" s="616">
        <v>52.62</v>
      </c>
    </row>
    <row r="351" spans="1:16" x14ac:dyDescent="0.3">
      <c r="A351" s="615">
        <v>39615</v>
      </c>
      <c r="B351" s="614" t="s">
        <v>1107</v>
      </c>
      <c r="C351" s="614" t="s">
        <v>197</v>
      </c>
      <c r="D351" s="614">
        <v>50</v>
      </c>
      <c r="E351" s="616">
        <v>108.75</v>
      </c>
      <c r="F351" s="616">
        <v>5437.5</v>
      </c>
      <c r="G351" s="614" t="s">
        <v>1673</v>
      </c>
      <c r="H351" s="614">
        <v>2008113</v>
      </c>
      <c r="I351" s="614" t="s">
        <v>199</v>
      </c>
      <c r="J351" s="614" t="s">
        <v>200</v>
      </c>
      <c r="K351" s="614" t="s">
        <v>201</v>
      </c>
      <c r="L351" s="616">
        <v>6.8</v>
      </c>
      <c r="M351" s="616">
        <v>0</v>
      </c>
      <c r="N351" s="616">
        <v>0</v>
      </c>
      <c r="O351" s="616">
        <v>45.82</v>
      </c>
      <c r="P351" s="616">
        <v>52.62</v>
      </c>
    </row>
    <row r="352" spans="1:16" x14ac:dyDescent="0.3">
      <c r="A352" s="615">
        <v>39612</v>
      </c>
      <c r="B352" s="614" t="s">
        <v>1553</v>
      </c>
      <c r="C352" s="614" t="s">
        <v>197</v>
      </c>
      <c r="D352" s="614">
        <v>25</v>
      </c>
      <c r="E352" s="616">
        <v>230</v>
      </c>
      <c r="F352" s="616">
        <v>5750</v>
      </c>
      <c r="G352" s="614" t="s">
        <v>1674</v>
      </c>
      <c r="H352" s="614">
        <v>200809052</v>
      </c>
      <c r="I352" s="614" t="s">
        <v>199</v>
      </c>
      <c r="J352" s="614" t="s">
        <v>200</v>
      </c>
      <c r="K352" s="614" t="s">
        <v>204</v>
      </c>
      <c r="L352" s="616">
        <v>7.19</v>
      </c>
      <c r="M352" s="616">
        <v>0</v>
      </c>
      <c r="N352" s="616">
        <v>0</v>
      </c>
      <c r="O352" s="616">
        <v>48.46</v>
      </c>
      <c r="P352" s="616">
        <v>55.65</v>
      </c>
    </row>
    <row r="353" spans="1:16" x14ac:dyDescent="0.3">
      <c r="A353" s="615">
        <v>39612</v>
      </c>
      <c r="B353" s="614" t="s">
        <v>1675</v>
      </c>
      <c r="C353" s="614" t="s">
        <v>197</v>
      </c>
      <c r="D353" s="614">
        <v>200</v>
      </c>
      <c r="E353" s="616">
        <v>16.7</v>
      </c>
      <c r="F353" s="616">
        <v>3340</v>
      </c>
      <c r="G353" s="614" t="s">
        <v>1676</v>
      </c>
      <c r="H353" s="614">
        <v>200809052</v>
      </c>
      <c r="I353" s="614" t="s">
        <v>199</v>
      </c>
      <c r="J353" s="614" t="s">
        <v>200</v>
      </c>
      <c r="K353" s="614" t="s">
        <v>204</v>
      </c>
      <c r="L353" s="616">
        <v>4.18</v>
      </c>
      <c r="M353" s="616">
        <v>0</v>
      </c>
      <c r="N353" s="616">
        <v>0</v>
      </c>
      <c r="O353" s="616">
        <v>28.16</v>
      </c>
      <c r="P353" s="616">
        <v>32.340000000000003</v>
      </c>
    </row>
    <row r="354" spans="1:16" x14ac:dyDescent="0.3">
      <c r="A354" s="615">
        <v>39612</v>
      </c>
      <c r="B354" s="614" t="s">
        <v>1677</v>
      </c>
      <c r="C354" s="614" t="s">
        <v>197</v>
      </c>
      <c r="D354" s="614">
        <v>75</v>
      </c>
      <c r="E354" s="616">
        <v>49.5</v>
      </c>
      <c r="F354" s="616">
        <v>3712.5</v>
      </c>
      <c r="G354" s="614" t="s">
        <v>1678</v>
      </c>
      <c r="H354" s="614">
        <v>200809052</v>
      </c>
      <c r="I354" s="614" t="s">
        <v>199</v>
      </c>
      <c r="J354" s="614" t="s">
        <v>200</v>
      </c>
      <c r="K354" s="614" t="s">
        <v>204</v>
      </c>
      <c r="L354" s="616">
        <v>4.6399999999999997</v>
      </c>
      <c r="M354" s="616">
        <v>0</v>
      </c>
      <c r="N354" s="616">
        <v>0</v>
      </c>
      <c r="O354" s="616">
        <v>31.29</v>
      </c>
      <c r="P354" s="616">
        <v>35.93</v>
      </c>
    </row>
    <row r="355" spans="1:16" x14ac:dyDescent="0.3">
      <c r="A355" s="615">
        <v>39612</v>
      </c>
      <c r="B355" s="614" t="s">
        <v>1526</v>
      </c>
      <c r="C355" s="614" t="s">
        <v>197</v>
      </c>
      <c r="D355" s="614">
        <v>50</v>
      </c>
      <c r="E355" s="616">
        <v>182.6</v>
      </c>
      <c r="F355" s="616">
        <v>9130</v>
      </c>
      <c r="G355" s="614" t="s">
        <v>1679</v>
      </c>
      <c r="H355" s="614">
        <v>2008112</v>
      </c>
      <c r="I355" s="614" t="s">
        <v>199</v>
      </c>
      <c r="J355" s="614" t="s">
        <v>200</v>
      </c>
      <c r="K355" s="614" t="s">
        <v>201</v>
      </c>
      <c r="L355" s="616">
        <v>11.41</v>
      </c>
      <c r="M355" s="616">
        <v>0</v>
      </c>
      <c r="N355" s="616">
        <v>0</v>
      </c>
      <c r="O355" s="616">
        <v>76.94</v>
      </c>
      <c r="P355" s="616">
        <v>88.35</v>
      </c>
    </row>
    <row r="356" spans="1:16" x14ac:dyDescent="0.3">
      <c r="A356" s="615">
        <v>39612</v>
      </c>
      <c r="B356" s="614" t="s">
        <v>1074</v>
      </c>
      <c r="C356" s="614" t="s">
        <v>197</v>
      </c>
      <c r="D356" s="614">
        <v>75</v>
      </c>
      <c r="E356" s="616">
        <v>94.05</v>
      </c>
      <c r="F356" s="616">
        <v>7053.75</v>
      </c>
      <c r="G356" s="614" t="s">
        <v>1680</v>
      </c>
      <c r="H356" s="614">
        <v>2008112</v>
      </c>
      <c r="I356" s="614" t="s">
        <v>199</v>
      </c>
      <c r="J356" s="614" t="s">
        <v>200</v>
      </c>
      <c r="K356" s="614" t="s">
        <v>201</v>
      </c>
      <c r="L356" s="616">
        <v>8.82</v>
      </c>
      <c r="M356" s="616">
        <v>0</v>
      </c>
      <c r="N356" s="616">
        <v>0</v>
      </c>
      <c r="O356" s="616">
        <v>59.44</v>
      </c>
      <c r="P356" s="616">
        <v>68.260000000000005</v>
      </c>
    </row>
    <row r="357" spans="1:16" x14ac:dyDescent="0.3">
      <c r="A357" s="615">
        <v>39612</v>
      </c>
      <c r="B357" s="614" t="s">
        <v>1681</v>
      </c>
      <c r="C357" s="614" t="s">
        <v>197</v>
      </c>
      <c r="D357" s="614">
        <v>50</v>
      </c>
      <c r="E357" s="616">
        <v>73.045000000000002</v>
      </c>
      <c r="F357" s="616">
        <v>3652.25</v>
      </c>
      <c r="G357" s="614" t="s">
        <v>1682</v>
      </c>
      <c r="H357" s="614">
        <v>2008112</v>
      </c>
      <c r="I357" s="614" t="s">
        <v>199</v>
      </c>
      <c r="J357" s="614" t="s">
        <v>200</v>
      </c>
      <c r="K357" s="614" t="s">
        <v>201</v>
      </c>
      <c r="L357" s="616">
        <v>4.57</v>
      </c>
      <c r="M357" s="616">
        <v>0</v>
      </c>
      <c r="N357" s="616">
        <v>0</v>
      </c>
      <c r="O357" s="616">
        <v>30.78</v>
      </c>
      <c r="P357" s="616">
        <v>35.35</v>
      </c>
    </row>
    <row r="358" spans="1:16" x14ac:dyDescent="0.3">
      <c r="A358" s="615">
        <v>39603</v>
      </c>
      <c r="B358" s="614" t="s">
        <v>1683</v>
      </c>
      <c r="C358" s="614" t="s">
        <v>197</v>
      </c>
      <c r="D358" s="614">
        <v>95</v>
      </c>
      <c r="E358" s="616">
        <v>67</v>
      </c>
      <c r="F358" s="616">
        <v>6365</v>
      </c>
      <c r="G358" s="614" t="s">
        <v>1684</v>
      </c>
      <c r="H358" s="614">
        <v>200809045</v>
      </c>
      <c r="I358" s="614" t="s">
        <v>307</v>
      </c>
      <c r="J358" s="614" t="s">
        <v>200</v>
      </c>
      <c r="K358" s="614" t="s">
        <v>204</v>
      </c>
      <c r="L358" s="616">
        <v>7.96</v>
      </c>
      <c r="M358" s="616">
        <v>0</v>
      </c>
      <c r="N358" s="616">
        <v>0</v>
      </c>
      <c r="O358" s="616">
        <v>53.64</v>
      </c>
      <c r="P358" s="616">
        <v>61.6</v>
      </c>
    </row>
    <row r="359" spans="1:16" x14ac:dyDescent="0.3">
      <c r="A359" s="615">
        <v>39603</v>
      </c>
      <c r="B359" s="614" t="s">
        <v>1660</v>
      </c>
      <c r="C359" s="614" t="s">
        <v>197</v>
      </c>
      <c r="D359" s="614">
        <v>30</v>
      </c>
      <c r="E359" s="616">
        <v>237</v>
      </c>
      <c r="F359" s="616">
        <v>7110</v>
      </c>
      <c r="G359" s="614" t="s">
        <v>1685</v>
      </c>
      <c r="H359" s="614">
        <v>2008105</v>
      </c>
      <c r="I359" s="614" t="s">
        <v>199</v>
      </c>
      <c r="J359" s="614" t="s">
        <v>200</v>
      </c>
      <c r="K359" s="614" t="s">
        <v>201</v>
      </c>
      <c r="L359" s="616">
        <v>8.89</v>
      </c>
      <c r="M359" s="616">
        <v>0</v>
      </c>
      <c r="N359" s="616">
        <v>0</v>
      </c>
      <c r="O359" s="616">
        <v>59.92</v>
      </c>
      <c r="P359" s="616">
        <v>68.81</v>
      </c>
    </row>
    <row r="360" spans="1:16" x14ac:dyDescent="0.3">
      <c r="A360" s="615">
        <v>39602</v>
      </c>
      <c r="B360" s="614" t="s">
        <v>1686</v>
      </c>
      <c r="C360" s="614" t="s">
        <v>197</v>
      </c>
      <c r="D360" s="614">
        <v>65</v>
      </c>
      <c r="E360" s="616">
        <v>47.3</v>
      </c>
      <c r="F360" s="616">
        <v>3074.5</v>
      </c>
      <c r="G360" s="614" t="s">
        <v>1687</v>
      </c>
      <c r="H360" s="614">
        <v>2008104</v>
      </c>
      <c r="I360" s="614" t="s">
        <v>199</v>
      </c>
      <c r="J360" s="614" t="s">
        <v>200</v>
      </c>
      <c r="K360" s="614" t="s">
        <v>201</v>
      </c>
      <c r="L360" s="616">
        <v>3.84</v>
      </c>
      <c r="M360" s="616">
        <v>0</v>
      </c>
      <c r="N360" s="616">
        <v>0</v>
      </c>
      <c r="O360" s="616">
        <v>28.09</v>
      </c>
      <c r="P360" s="616">
        <v>31.93</v>
      </c>
    </row>
    <row r="361" spans="1:16" x14ac:dyDescent="0.3">
      <c r="A361" s="615">
        <v>39597</v>
      </c>
      <c r="B361" s="614" t="s">
        <v>1686</v>
      </c>
      <c r="C361" s="614" t="s">
        <v>197</v>
      </c>
      <c r="D361" s="614">
        <v>110</v>
      </c>
      <c r="E361" s="616">
        <v>50.75</v>
      </c>
      <c r="F361" s="616">
        <v>5582.5</v>
      </c>
      <c r="G361" s="614" t="s">
        <v>1688</v>
      </c>
      <c r="H361" s="614">
        <v>2008101</v>
      </c>
      <c r="I361" s="614" t="s">
        <v>199</v>
      </c>
      <c r="J361" s="614" t="s">
        <v>200</v>
      </c>
      <c r="K361" s="614" t="s">
        <v>201</v>
      </c>
      <c r="L361" s="616">
        <v>6.98</v>
      </c>
      <c r="M361" s="616">
        <v>0</v>
      </c>
      <c r="N361" s="616">
        <v>0</v>
      </c>
      <c r="O361" s="616">
        <v>47.04</v>
      </c>
      <c r="P361" s="616">
        <v>54.02</v>
      </c>
    </row>
    <row r="362" spans="1:16" x14ac:dyDescent="0.3">
      <c r="A362" s="615">
        <v>39596</v>
      </c>
      <c r="B362" s="614" t="s">
        <v>1683</v>
      </c>
      <c r="C362" s="614" t="s">
        <v>197</v>
      </c>
      <c r="D362" s="614">
        <v>100</v>
      </c>
      <c r="E362" s="616">
        <v>66.95</v>
      </c>
      <c r="F362" s="616">
        <v>6695</v>
      </c>
      <c r="G362" s="614" t="s">
        <v>1696</v>
      </c>
      <c r="H362" s="614">
        <v>200809040</v>
      </c>
      <c r="I362" s="614" t="s">
        <v>307</v>
      </c>
      <c r="J362" s="614" t="s">
        <v>200</v>
      </c>
      <c r="K362" s="614" t="s">
        <v>204</v>
      </c>
      <c r="L362" s="616">
        <v>8.3699999999999992</v>
      </c>
      <c r="M362" s="616">
        <v>0</v>
      </c>
      <c r="N362" s="616">
        <v>0</v>
      </c>
      <c r="O362" s="616">
        <v>56.42</v>
      </c>
      <c r="P362" s="616">
        <v>64.790000000000006</v>
      </c>
    </row>
    <row r="363" spans="1:16" x14ac:dyDescent="0.3">
      <c r="A363" s="615">
        <v>39588</v>
      </c>
      <c r="B363" s="614" t="s">
        <v>1697</v>
      </c>
      <c r="C363" s="614" t="s">
        <v>197</v>
      </c>
      <c r="D363" s="614">
        <v>6</v>
      </c>
      <c r="E363" s="616">
        <v>818.5</v>
      </c>
      <c r="F363" s="616">
        <v>4911</v>
      </c>
      <c r="G363" s="614" t="s">
        <v>1698</v>
      </c>
      <c r="H363" s="614">
        <v>2008094</v>
      </c>
      <c r="I363" s="614" t="s">
        <v>199</v>
      </c>
      <c r="J363" s="614" t="s">
        <v>200</v>
      </c>
      <c r="K363" s="614" t="s">
        <v>201</v>
      </c>
      <c r="L363" s="616">
        <v>6.14</v>
      </c>
      <c r="M363" s="616">
        <v>0</v>
      </c>
      <c r="N363" s="616">
        <v>0</v>
      </c>
      <c r="O363" s="616">
        <v>41.39</v>
      </c>
      <c r="P363" s="616">
        <v>47.53</v>
      </c>
    </row>
    <row r="364" spans="1:16" x14ac:dyDescent="0.3">
      <c r="A364" s="615">
        <v>39588</v>
      </c>
      <c r="B364" s="614" t="s">
        <v>1107</v>
      </c>
      <c r="C364" s="614" t="s">
        <v>197</v>
      </c>
      <c r="D364" s="614">
        <v>50</v>
      </c>
      <c r="E364" s="616">
        <v>110.25</v>
      </c>
      <c r="F364" s="616">
        <v>5512.5</v>
      </c>
      <c r="G364" s="614" t="s">
        <v>1699</v>
      </c>
      <c r="H364" s="614">
        <v>2008094</v>
      </c>
      <c r="I364" s="614" t="s">
        <v>199</v>
      </c>
      <c r="J364" s="614" t="s">
        <v>200</v>
      </c>
      <c r="K364" s="614" t="s">
        <v>201</v>
      </c>
      <c r="L364" s="616">
        <v>6.89</v>
      </c>
      <c r="M364" s="616">
        <v>0</v>
      </c>
      <c r="N364" s="616">
        <v>0</v>
      </c>
      <c r="O364" s="616">
        <v>46.46</v>
      </c>
      <c r="P364" s="616">
        <v>53.35</v>
      </c>
    </row>
    <row r="365" spans="1:16" x14ac:dyDescent="0.3">
      <c r="A365" s="615">
        <v>39588</v>
      </c>
      <c r="B365" s="614" t="s">
        <v>1553</v>
      </c>
      <c r="C365" s="614" t="s">
        <v>197</v>
      </c>
      <c r="D365" s="614">
        <v>30</v>
      </c>
      <c r="E365" s="616">
        <v>247</v>
      </c>
      <c r="F365" s="616">
        <v>7410</v>
      </c>
      <c r="G365" s="614" t="s">
        <v>1700</v>
      </c>
      <c r="H365" s="614">
        <v>2008094</v>
      </c>
      <c r="I365" s="614" t="s">
        <v>199</v>
      </c>
      <c r="J365" s="614" t="s">
        <v>200</v>
      </c>
      <c r="K365" s="614" t="s">
        <v>201</v>
      </c>
      <c r="L365" s="616">
        <v>9.26</v>
      </c>
      <c r="M365" s="616">
        <v>0</v>
      </c>
      <c r="N365" s="616">
        <v>0</v>
      </c>
      <c r="O365" s="616">
        <v>62.45</v>
      </c>
      <c r="P365" s="616">
        <v>71.709999999999994</v>
      </c>
    </row>
    <row r="366" spans="1:16" x14ac:dyDescent="0.3">
      <c r="A366" s="615">
        <v>39588</v>
      </c>
      <c r="B366" s="614" t="s">
        <v>1553</v>
      </c>
      <c r="C366" s="614" t="s">
        <v>197</v>
      </c>
      <c r="D366" s="614">
        <v>20</v>
      </c>
      <c r="E366" s="616">
        <v>246.85</v>
      </c>
      <c r="F366" s="616">
        <v>4937</v>
      </c>
      <c r="G366" s="614" t="s">
        <v>1701</v>
      </c>
      <c r="H366" s="614">
        <v>2008094</v>
      </c>
      <c r="I366" s="614" t="s">
        <v>199</v>
      </c>
      <c r="J366" s="614" t="s">
        <v>200</v>
      </c>
      <c r="K366" s="614" t="s">
        <v>201</v>
      </c>
      <c r="L366" s="616">
        <v>6.17</v>
      </c>
      <c r="M366" s="616">
        <v>0</v>
      </c>
      <c r="N366" s="616">
        <v>0</v>
      </c>
      <c r="O366" s="616">
        <v>41.6</v>
      </c>
      <c r="P366" s="616">
        <v>47.77</v>
      </c>
    </row>
    <row r="367" spans="1:16" x14ac:dyDescent="0.3">
      <c r="A367" s="615">
        <v>39581</v>
      </c>
      <c r="B367" s="614" t="s">
        <v>1702</v>
      </c>
      <c r="C367" s="614" t="s">
        <v>197</v>
      </c>
      <c r="D367" s="614">
        <v>30</v>
      </c>
      <c r="E367" s="616">
        <v>181.55</v>
      </c>
      <c r="F367" s="616">
        <v>5446.5</v>
      </c>
      <c r="G367" s="614" t="s">
        <v>1703</v>
      </c>
      <c r="H367" s="614">
        <v>2008090</v>
      </c>
      <c r="I367" s="614" t="s">
        <v>199</v>
      </c>
      <c r="J367" s="614" t="s">
        <v>200</v>
      </c>
      <c r="K367" s="614" t="s">
        <v>201</v>
      </c>
      <c r="L367" s="616">
        <v>6.81</v>
      </c>
      <c r="M367" s="616">
        <v>0</v>
      </c>
      <c r="N367" s="616">
        <v>0</v>
      </c>
      <c r="O367" s="616">
        <v>45.9</v>
      </c>
      <c r="P367" s="616">
        <v>52.71</v>
      </c>
    </row>
    <row r="368" spans="1:16" x14ac:dyDescent="0.3">
      <c r="A368" s="615">
        <v>39581</v>
      </c>
      <c r="B368" s="614" t="s">
        <v>1702</v>
      </c>
      <c r="C368" s="614" t="s">
        <v>197</v>
      </c>
      <c r="D368" s="614">
        <v>40</v>
      </c>
      <c r="E368" s="616">
        <v>182.55</v>
      </c>
      <c r="F368" s="616">
        <v>7302</v>
      </c>
      <c r="G368" s="614" t="s">
        <v>1704</v>
      </c>
      <c r="H368" s="614">
        <v>2008090</v>
      </c>
      <c r="I368" s="614" t="s">
        <v>199</v>
      </c>
      <c r="J368" s="614" t="s">
        <v>200</v>
      </c>
      <c r="K368" s="614" t="s">
        <v>201</v>
      </c>
      <c r="L368" s="616">
        <v>9.1300000000000008</v>
      </c>
      <c r="M368" s="616">
        <v>0</v>
      </c>
      <c r="N368" s="616">
        <v>0</v>
      </c>
      <c r="O368" s="616">
        <v>61.54</v>
      </c>
      <c r="P368" s="616">
        <v>70.67</v>
      </c>
    </row>
    <row r="369" spans="1:16" x14ac:dyDescent="0.3">
      <c r="A369" s="615">
        <v>39580</v>
      </c>
      <c r="B369" s="614" t="s">
        <v>1107</v>
      </c>
      <c r="C369" s="614" t="s">
        <v>197</v>
      </c>
      <c r="D369" s="614">
        <v>50</v>
      </c>
      <c r="E369" s="616">
        <v>102.75</v>
      </c>
      <c r="F369" s="616">
        <v>5137.5</v>
      </c>
      <c r="G369" s="614" t="s">
        <v>1705</v>
      </c>
      <c r="H369" s="614">
        <v>2008089</v>
      </c>
      <c r="I369" s="614" t="s">
        <v>199</v>
      </c>
      <c r="J369" s="614" t="s">
        <v>200</v>
      </c>
      <c r="K369" s="614" t="s">
        <v>201</v>
      </c>
      <c r="L369" s="616">
        <v>6.42</v>
      </c>
      <c r="M369" s="616">
        <v>0</v>
      </c>
      <c r="N369" s="616">
        <v>0</v>
      </c>
      <c r="O369" s="616">
        <v>43.29</v>
      </c>
      <c r="P369" s="616">
        <v>49.71</v>
      </c>
    </row>
    <row r="370" spans="1:16" x14ac:dyDescent="0.3">
      <c r="A370" s="615">
        <v>39580</v>
      </c>
      <c r="B370" s="614" t="s">
        <v>1697</v>
      </c>
      <c r="C370" s="614" t="s">
        <v>197</v>
      </c>
      <c r="D370" s="614">
        <v>7</v>
      </c>
      <c r="E370" s="616">
        <v>824.85</v>
      </c>
      <c r="F370" s="616">
        <v>5773.95</v>
      </c>
      <c r="G370" s="614" t="s">
        <v>1706</v>
      </c>
      <c r="H370" s="614">
        <v>2008089</v>
      </c>
      <c r="I370" s="614" t="s">
        <v>199</v>
      </c>
      <c r="J370" s="614" t="s">
        <v>200</v>
      </c>
      <c r="K370" s="614" t="s">
        <v>201</v>
      </c>
      <c r="L370" s="616">
        <v>7.22</v>
      </c>
      <c r="M370" s="616">
        <v>0</v>
      </c>
      <c r="N370" s="616">
        <v>0</v>
      </c>
      <c r="O370" s="616">
        <v>48.66</v>
      </c>
      <c r="P370" s="616">
        <v>55.88</v>
      </c>
    </row>
    <row r="371" spans="1:16" x14ac:dyDescent="0.3">
      <c r="A371" s="615">
        <v>39580</v>
      </c>
      <c r="B371" s="614" t="s">
        <v>1697</v>
      </c>
      <c r="C371" s="614" t="s">
        <v>197</v>
      </c>
      <c r="D371" s="614">
        <v>7</v>
      </c>
      <c r="E371" s="616">
        <v>825.5</v>
      </c>
      <c r="F371" s="616">
        <v>5778.5</v>
      </c>
      <c r="G371" s="614" t="s">
        <v>1707</v>
      </c>
      <c r="H371" s="614">
        <v>2008089</v>
      </c>
      <c r="I371" s="614" t="s">
        <v>199</v>
      </c>
      <c r="J371" s="614" t="s">
        <v>200</v>
      </c>
      <c r="K371" s="614" t="s">
        <v>201</v>
      </c>
      <c r="L371" s="616">
        <v>7.22</v>
      </c>
      <c r="M371" s="616">
        <v>0</v>
      </c>
      <c r="N371" s="616">
        <v>0</v>
      </c>
      <c r="O371" s="616">
        <v>48.7</v>
      </c>
      <c r="P371" s="616">
        <v>55.92</v>
      </c>
    </row>
    <row r="372" spans="1:16" x14ac:dyDescent="0.3">
      <c r="A372" s="615">
        <v>39580</v>
      </c>
      <c r="B372" s="614" t="s">
        <v>1708</v>
      </c>
      <c r="C372" s="614" t="s">
        <v>197</v>
      </c>
      <c r="D372" s="614">
        <v>200</v>
      </c>
      <c r="E372" s="616">
        <v>29.225000000000001</v>
      </c>
      <c r="F372" s="616">
        <v>5845</v>
      </c>
      <c r="G372" s="614" t="s">
        <v>1709</v>
      </c>
      <c r="H372" s="614">
        <v>2008089</v>
      </c>
      <c r="I372" s="614" t="s">
        <v>199</v>
      </c>
      <c r="J372" s="614" t="s">
        <v>200</v>
      </c>
      <c r="K372" s="614" t="s">
        <v>201</v>
      </c>
      <c r="L372" s="616">
        <v>7.31</v>
      </c>
      <c r="M372" s="616">
        <v>0</v>
      </c>
      <c r="N372" s="616">
        <v>0</v>
      </c>
      <c r="O372" s="616">
        <v>49.26</v>
      </c>
      <c r="P372" s="616">
        <v>56.57</v>
      </c>
    </row>
    <row r="373" spans="1:16" x14ac:dyDescent="0.3">
      <c r="A373" s="615">
        <v>39577</v>
      </c>
      <c r="B373" s="614" t="s">
        <v>1107</v>
      </c>
      <c r="C373" s="614" t="s">
        <v>197</v>
      </c>
      <c r="D373" s="614">
        <v>50</v>
      </c>
      <c r="E373" s="616">
        <v>104.65</v>
      </c>
      <c r="F373" s="616">
        <v>5232.5</v>
      </c>
      <c r="G373" s="614" t="s">
        <v>1710</v>
      </c>
      <c r="H373" s="614">
        <v>200809028</v>
      </c>
      <c r="I373" s="614" t="s">
        <v>199</v>
      </c>
      <c r="J373" s="614" t="s">
        <v>200</v>
      </c>
      <c r="K373" s="614" t="s">
        <v>204</v>
      </c>
      <c r="L373" s="616">
        <v>6.54</v>
      </c>
      <c r="M373" s="616">
        <v>0</v>
      </c>
      <c r="N373" s="616">
        <v>0</v>
      </c>
      <c r="O373" s="616">
        <v>44.1</v>
      </c>
      <c r="P373" s="616">
        <v>50.64</v>
      </c>
    </row>
    <row r="374" spans="1:16" x14ac:dyDescent="0.3">
      <c r="A374" s="615">
        <v>39577</v>
      </c>
      <c r="B374" s="614" t="s">
        <v>1702</v>
      </c>
      <c r="C374" s="614" t="s">
        <v>197</v>
      </c>
      <c r="D374" s="614">
        <v>30</v>
      </c>
      <c r="E374" s="616">
        <v>193.3</v>
      </c>
      <c r="F374" s="616">
        <v>5799</v>
      </c>
      <c r="G374" s="614" t="s">
        <v>1711</v>
      </c>
      <c r="H374" s="614">
        <v>2008088</v>
      </c>
      <c r="I374" s="614" t="s">
        <v>199</v>
      </c>
      <c r="J374" s="614" t="s">
        <v>200</v>
      </c>
      <c r="K374" s="614" t="s">
        <v>201</v>
      </c>
      <c r="L374" s="616">
        <v>7.25</v>
      </c>
      <c r="M374" s="616">
        <v>0</v>
      </c>
      <c r="N374" s="616">
        <v>0</v>
      </c>
      <c r="O374" s="616">
        <v>48.87</v>
      </c>
      <c r="P374" s="616">
        <v>56.12</v>
      </c>
    </row>
    <row r="375" spans="1:16" x14ac:dyDescent="0.3">
      <c r="A375" s="615">
        <v>39574</v>
      </c>
      <c r="B375" s="614" t="s">
        <v>1712</v>
      </c>
      <c r="C375" s="614" t="s">
        <v>197</v>
      </c>
      <c r="D375" s="614">
        <v>4</v>
      </c>
      <c r="E375" s="616">
        <v>599.9</v>
      </c>
      <c r="F375" s="616">
        <v>2399.6</v>
      </c>
      <c r="G375" s="614" t="s">
        <v>1713</v>
      </c>
      <c r="H375" s="614">
        <v>2008085</v>
      </c>
      <c r="I375" s="614" t="s">
        <v>199</v>
      </c>
      <c r="J375" s="614" t="s">
        <v>200</v>
      </c>
      <c r="K375" s="614" t="s">
        <v>201</v>
      </c>
      <c r="L375" s="616">
        <v>3</v>
      </c>
      <c r="M375" s="616">
        <v>0</v>
      </c>
      <c r="N375" s="616">
        <v>0</v>
      </c>
      <c r="O375" s="616">
        <v>28.09</v>
      </c>
      <c r="P375" s="616">
        <v>31.09</v>
      </c>
    </row>
    <row r="376" spans="1:16" x14ac:dyDescent="0.3">
      <c r="A376" s="615">
        <v>39573</v>
      </c>
      <c r="B376" s="614" t="s">
        <v>1708</v>
      </c>
      <c r="C376" s="614" t="s">
        <v>197</v>
      </c>
      <c r="D376" s="614">
        <v>200</v>
      </c>
      <c r="E376" s="616">
        <v>31.3</v>
      </c>
      <c r="F376" s="616">
        <v>6260</v>
      </c>
      <c r="G376" s="614" t="s">
        <v>1724</v>
      </c>
      <c r="H376" s="614">
        <v>200809024</v>
      </c>
      <c r="I376" s="614" t="s">
        <v>199</v>
      </c>
      <c r="J376" s="614" t="s">
        <v>200</v>
      </c>
      <c r="K376" s="614" t="s">
        <v>204</v>
      </c>
      <c r="L376" s="616">
        <v>7.83</v>
      </c>
      <c r="M376" s="616">
        <v>0</v>
      </c>
      <c r="N376" s="616">
        <v>0</v>
      </c>
      <c r="O376" s="616">
        <v>52.76</v>
      </c>
      <c r="P376" s="616">
        <v>60.59</v>
      </c>
    </row>
    <row r="377" spans="1:16" x14ac:dyDescent="0.3">
      <c r="A377" s="615">
        <v>39563</v>
      </c>
      <c r="B377" s="614" t="s">
        <v>1712</v>
      </c>
      <c r="C377" s="614" t="s">
        <v>197</v>
      </c>
      <c r="D377" s="614">
        <v>14</v>
      </c>
      <c r="E377" s="616">
        <v>600.54999999999995</v>
      </c>
      <c r="F377" s="616">
        <v>8407.7000000000007</v>
      </c>
      <c r="G377" s="614" t="s">
        <v>1725</v>
      </c>
      <c r="H377" s="614">
        <v>200809019</v>
      </c>
      <c r="I377" s="614" t="s">
        <v>199</v>
      </c>
      <c r="J377" s="614" t="s">
        <v>200</v>
      </c>
      <c r="K377" s="614" t="s">
        <v>204</v>
      </c>
      <c r="L377" s="616">
        <v>10.51</v>
      </c>
      <c r="M377" s="616">
        <v>0</v>
      </c>
      <c r="N377" s="616">
        <v>0</v>
      </c>
      <c r="O377" s="616">
        <v>70.849999999999994</v>
      </c>
      <c r="P377" s="616">
        <v>81.36</v>
      </c>
    </row>
    <row r="378" spans="1:16" x14ac:dyDescent="0.3">
      <c r="A378" s="615">
        <v>39563</v>
      </c>
      <c r="B378" s="614" t="s">
        <v>1712</v>
      </c>
      <c r="C378" s="614" t="s">
        <v>197</v>
      </c>
      <c r="D378" s="614">
        <v>16</v>
      </c>
      <c r="E378" s="616">
        <v>599.85</v>
      </c>
      <c r="F378" s="616">
        <v>9597.6</v>
      </c>
      <c r="G378" s="614" t="s">
        <v>1726</v>
      </c>
      <c r="H378" s="614">
        <v>2008079</v>
      </c>
      <c r="I378" s="614" t="s">
        <v>199</v>
      </c>
      <c r="J378" s="614" t="s">
        <v>200</v>
      </c>
      <c r="K378" s="614" t="s">
        <v>201</v>
      </c>
      <c r="L378" s="616">
        <v>12</v>
      </c>
      <c r="M378" s="616">
        <v>0</v>
      </c>
      <c r="N378" s="616">
        <v>0</v>
      </c>
      <c r="O378" s="616">
        <v>80.88</v>
      </c>
      <c r="P378" s="616">
        <v>92.88</v>
      </c>
    </row>
    <row r="379" spans="1:16" x14ac:dyDescent="0.3">
      <c r="A379" s="615">
        <v>39563</v>
      </c>
      <c r="B379" s="614" t="s">
        <v>1712</v>
      </c>
      <c r="C379" s="614" t="s">
        <v>197</v>
      </c>
      <c r="D379" s="614">
        <v>1</v>
      </c>
      <c r="E379" s="616">
        <v>599.20000000000005</v>
      </c>
      <c r="F379" s="616">
        <v>599.20000000000005</v>
      </c>
      <c r="G379" s="614" t="s">
        <v>1727</v>
      </c>
      <c r="H379" s="614">
        <v>2008079</v>
      </c>
      <c r="I379" s="614" t="s">
        <v>199</v>
      </c>
      <c r="J379" s="614" t="s">
        <v>200</v>
      </c>
      <c r="K379" s="614" t="s">
        <v>201</v>
      </c>
      <c r="L379" s="616">
        <v>0.75</v>
      </c>
      <c r="M379" s="616">
        <v>0</v>
      </c>
      <c r="N379" s="616">
        <v>0</v>
      </c>
      <c r="O379" s="616">
        <v>16.829999999999998</v>
      </c>
      <c r="P379" s="616">
        <v>17.579999999999998</v>
      </c>
    </row>
    <row r="380" spans="1:16" x14ac:dyDescent="0.3">
      <c r="A380" s="615">
        <v>39560</v>
      </c>
      <c r="B380" s="614" t="s">
        <v>1170</v>
      </c>
      <c r="C380" s="614" t="s">
        <v>197</v>
      </c>
      <c r="D380" s="614">
        <v>85</v>
      </c>
      <c r="E380" s="616">
        <v>48.25</v>
      </c>
      <c r="F380" s="616">
        <v>4101.25</v>
      </c>
      <c r="G380" s="614" t="s">
        <v>1728</v>
      </c>
      <c r="H380" s="614">
        <v>2008076</v>
      </c>
      <c r="I380" s="614" t="s">
        <v>199</v>
      </c>
      <c r="J380" s="614" t="s">
        <v>200</v>
      </c>
      <c r="K380" s="614" t="s">
        <v>201</v>
      </c>
      <c r="L380" s="616">
        <v>5.13</v>
      </c>
      <c r="M380" s="616">
        <v>0</v>
      </c>
      <c r="N380" s="616">
        <v>0</v>
      </c>
      <c r="O380" s="616">
        <v>34.56</v>
      </c>
      <c r="P380" s="616">
        <v>39.69</v>
      </c>
    </row>
    <row r="381" spans="1:16" x14ac:dyDescent="0.3">
      <c r="A381" s="615">
        <v>39554</v>
      </c>
      <c r="B381" s="614" t="s">
        <v>1683</v>
      </c>
      <c r="C381" s="614" t="s">
        <v>197</v>
      </c>
      <c r="D381" s="614">
        <v>100</v>
      </c>
      <c r="E381" s="616">
        <v>46</v>
      </c>
      <c r="F381" s="616">
        <v>4600</v>
      </c>
      <c r="G381" s="614" t="s">
        <v>1729</v>
      </c>
      <c r="H381" s="614">
        <v>200809013</v>
      </c>
      <c r="I381" s="614" t="s">
        <v>307</v>
      </c>
      <c r="J381" s="614" t="s">
        <v>200</v>
      </c>
      <c r="K381" s="614" t="s">
        <v>204</v>
      </c>
      <c r="L381" s="616">
        <v>5.75</v>
      </c>
      <c r="M381" s="616">
        <v>0</v>
      </c>
      <c r="N381" s="616">
        <v>0</v>
      </c>
      <c r="O381" s="616">
        <v>38.76</v>
      </c>
      <c r="P381" s="616">
        <v>44.51</v>
      </c>
    </row>
    <row r="382" spans="1:16" x14ac:dyDescent="0.3">
      <c r="A382" s="615">
        <v>39554</v>
      </c>
      <c r="B382" s="614" t="s">
        <v>1683</v>
      </c>
      <c r="C382" s="614" t="s">
        <v>197</v>
      </c>
      <c r="D382" s="614">
        <v>90</v>
      </c>
      <c r="E382" s="616">
        <v>48</v>
      </c>
      <c r="F382" s="616">
        <v>4320</v>
      </c>
      <c r="G382" s="614" t="s">
        <v>1730</v>
      </c>
      <c r="H382" s="614">
        <v>200809013</v>
      </c>
      <c r="I382" s="614" t="s">
        <v>307</v>
      </c>
      <c r="J382" s="614" t="s">
        <v>200</v>
      </c>
      <c r="K382" s="614" t="s">
        <v>204</v>
      </c>
      <c r="L382" s="616">
        <v>5.4</v>
      </c>
      <c r="M382" s="616">
        <v>0</v>
      </c>
      <c r="N382" s="616">
        <v>0</v>
      </c>
      <c r="O382" s="616">
        <v>36.409999999999997</v>
      </c>
      <c r="P382" s="616">
        <v>41.81</v>
      </c>
    </row>
    <row r="383" spans="1:16" x14ac:dyDescent="0.3">
      <c r="A383" s="615">
        <v>39553</v>
      </c>
      <c r="B383" s="614" t="s">
        <v>1731</v>
      </c>
      <c r="C383" s="614" t="s">
        <v>197</v>
      </c>
      <c r="D383" s="614">
        <v>20</v>
      </c>
      <c r="E383" s="616">
        <v>204</v>
      </c>
      <c r="F383" s="616">
        <v>4080</v>
      </c>
      <c r="G383" s="614" t="s">
        <v>1732</v>
      </c>
      <c r="H383" s="614">
        <v>200809012</v>
      </c>
      <c r="I383" s="614" t="s">
        <v>199</v>
      </c>
      <c r="J383" s="614" t="s">
        <v>200</v>
      </c>
      <c r="K383" s="614" t="s">
        <v>204</v>
      </c>
      <c r="L383" s="616">
        <v>5.0999999999999996</v>
      </c>
      <c r="M383" s="616">
        <v>0</v>
      </c>
      <c r="N383" s="616">
        <v>0</v>
      </c>
      <c r="O383" s="616">
        <v>34.380000000000003</v>
      </c>
      <c r="P383" s="616">
        <v>39.479999999999997</v>
      </c>
    </row>
    <row r="384" spans="1:16" x14ac:dyDescent="0.3">
      <c r="A384" s="615">
        <v>39553</v>
      </c>
      <c r="B384" s="614" t="s">
        <v>1170</v>
      </c>
      <c r="C384" s="614" t="s">
        <v>197</v>
      </c>
      <c r="D384" s="614">
        <v>100</v>
      </c>
      <c r="E384" s="616">
        <v>44.35</v>
      </c>
      <c r="F384" s="616">
        <v>4435</v>
      </c>
      <c r="G384" s="614" t="s">
        <v>1733</v>
      </c>
      <c r="H384" s="614">
        <v>2008072</v>
      </c>
      <c r="I384" s="614" t="s">
        <v>199</v>
      </c>
      <c r="J384" s="614" t="s">
        <v>200</v>
      </c>
      <c r="K384" s="614" t="s">
        <v>201</v>
      </c>
      <c r="L384" s="616">
        <v>5.54</v>
      </c>
      <c r="M384" s="616">
        <v>0</v>
      </c>
      <c r="N384" s="616">
        <v>0</v>
      </c>
      <c r="O384" s="616">
        <v>37.369999999999997</v>
      </c>
      <c r="P384" s="616">
        <v>42.91</v>
      </c>
    </row>
    <row r="385" spans="1:16" x14ac:dyDescent="0.3">
      <c r="A385" s="615">
        <v>39549</v>
      </c>
      <c r="B385" s="614" t="s">
        <v>1734</v>
      </c>
      <c r="C385" s="614" t="s">
        <v>197</v>
      </c>
      <c r="D385" s="614">
        <v>25</v>
      </c>
      <c r="E385" s="616">
        <v>1822</v>
      </c>
      <c r="F385" s="616">
        <v>45550</v>
      </c>
      <c r="G385" s="614" t="s">
        <v>1735</v>
      </c>
      <c r="H385" s="614">
        <v>2008071</v>
      </c>
      <c r="I385" s="614" t="s">
        <v>199</v>
      </c>
      <c r="J385" s="614" t="s">
        <v>200</v>
      </c>
      <c r="K385" s="614" t="s">
        <v>201</v>
      </c>
      <c r="L385" s="616">
        <v>0</v>
      </c>
      <c r="M385" s="616">
        <v>0</v>
      </c>
      <c r="N385" s="616">
        <v>0</v>
      </c>
      <c r="O385" s="616">
        <v>25.59</v>
      </c>
      <c r="P385" s="616">
        <v>25.59</v>
      </c>
    </row>
    <row r="386" spans="1:16" x14ac:dyDescent="0.3">
      <c r="A386" s="615">
        <v>39549</v>
      </c>
      <c r="B386" s="614" t="s">
        <v>1734</v>
      </c>
      <c r="C386" s="614" t="s">
        <v>197</v>
      </c>
      <c r="D386" s="614">
        <v>50</v>
      </c>
      <c r="E386" s="616">
        <v>1830.8</v>
      </c>
      <c r="F386" s="616">
        <v>91540</v>
      </c>
      <c r="G386" s="614" t="s">
        <v>1736</v>
      </c>
      <c r="H386" s="614">
        <v>2008071</v>
      </c>
      <c r="I386" s="614" t="s">
        <v>199</v>
      </c>
      <c r="J386" s="614" t="s">
        <v>200</v>
      </c>
      <c r="K386" s="614" t="s">
        <v>201</v>
      </c>
      <c r="L386" s="616">
        <v>0</v>
      </c>
      <c r="M386" s="616">
        <v>0</v>
      </c>
      <c r="N386" s="616">
        <v>0</v>
      </c>
      <c r="O386" s="616">
        <v>51.43</v>
      </c>
      <c r="P386" s="616">
        <v>51.43</v>
      </c>
    </row>
    <row r="387" spans="1:16" x14ac:dyDescent="0.3">
      <c r="A387" s="615">
        <v>39549</v>
      </c>
      <c r="B387" s="614" t="s">
        <v>1734</v>
      </c>
      <c r="C387" s="614" t="s">
        <v>197</v>
      </c>
      <c r="D387" s="614">
        <v>50</v>
      </c>
      <c r="E387" s="616">
        <v>1841</v>
      </c>
      <c r="F387" s="616">
        <v>92050</v>
      </c>
      <c r="G387" s="614" t="s">
        <v>1737</v>
      </c>
      <c r="H387" s="614">
        <v>2008071</v>
      </c>
      <c r="I387" s="614" t="s">
        <v>199</v>
      </c>
      <c r="J387" s="614" t="s">
        <v>200</v>
      </c>
      <c r="K387" s="614" t="s">
        <v>201</v>
      </c>
      <c r="L387" s="616">
        <v>0</v>
      </c>
      <c r="M387" s="616">
        <v>0</v>
      </c>
      <c r="N387" s="616">
        <v>0</v>
      </c>
      <c r="O387" s="616">
        <v>51.69</v>
      </c>
      <c r="P387" s="616">
        <v>51.69</v>
      </c>
    </row>
    <row r="388" spans="1:16" x14ac:dyDescent="0.3">
      <c r="A388" s="615">
        <v>39549</v>
      </c>
      <c r="B388" s="614" t="s">
        <v>1734</v>
      </c>
      <c r="C388" s="614" t="s">
        <v>197</v>
      </c>
      <c r="D388" s="614">
        <v>50</v>
      </c>
      <c r="E388" s="616">
        <v>1841</v>
      </c>
      <c r="F388" s="616">
        <v>92050</v>
      </c>
      <c r="G388" s="614" t="s">
        <v>1738</v>
      </c>
      <c r="H388" s="614">
        <v>2008071</v>
      </c>
      <c r="I388" s="614" t="s">
        <v>199</v>
      </c>
      <c r="J388" s="614" t="s">
        <v>200</v>
      </c>
      <c r="K388" s="614" t="s">
        <v>201</v>
      </c>
      <c r="L388" s="616">
        <v>0</v>
      </c>
      <c r="M388" s="616">
        <v>0</v>
      </c>
      <c r="N388" s="616">
        <v>0</v>
      </c>
      <c r="O388" s="616">
        <v>51.71</v>
      </c>
      <c r="P388" s="616">
        <v>51.71</v>
      </c>
    </row>
    <row r="389" spans="1:16" x14ac:dyDescent="0.3">
      <c r="A389" s="615">
        <v>39549</v>
      </c>
      <c r="B389" s="614" t="s">
        <v>1734</v>
      </c>
      <c r="C389" s="614" t="s">
        <v>197</v>
      </c>
      <c r="D389" s="614">
        <v>50</v>
      </c>
      <c r="E389" s="616">
        <v>1841</v>
      </c>
      <c r="F389" s="616">
        <v>92050</v>
      </c>
      <c r="G389" s="614" t="s">
        <v>1739</v>
      </c>
      <c r="H389" s="614">
        <v>2008071</v>
      </c>
      <c r="I389" s="614" t="s">
        <v>199</v>
      </c>
      <c r="J389" s="614" t="s">
        <v>200</v>
      </c>
      <c r="K389" s="614" t="s">
        <v>201</v>
      </c>
      <c r="L389" s="616">
        <v>0</v>
      </c>
      <c r="M389" s="616">
        <v>0</v>
      </c>
      <c r="N389" s="616">
        <v>0</v>
      </c>
      <c r="O389" s="616">
        <v>51.7</v>
      </c>
      <c r="P389" s="616">
        <v>51.7</v>
      </c>
    </row>
    <row r="390" spans="1:16" x14ac:dyDescent="0.3">
      <c r="A390" s="615">
        <v>39546</v>
      </c>
      <c r="B390" s="614" t="s">
        <v>1549</v>
      </c>
      <c r="C390" s="614" t="s">
        <v>197</v>
      </c>
      <c r="D390" s="614">
        <v>3</v>
      </c>
      <c r="E390" s="616">
        <v>2630</v>
      </c>
      <c r="F390" s="616">
        <v>7890</v>
      </c>
      <c r="G390" s="614" t="s">
        <v>1740</v>
      </c>
      <c r="H390" s="614">
        <v>2008068</v>
      </c>
      <c r="I390" s="614" t="s">
        <v>199</v>
      </c>
      <c r="J390" s="614" t="s">
        <v>200</v>
      </c>
      <c r="K390" s="614" t="s">
        <v>201</v>
      </c>
      <c r="L390" s="616">
        <v>9.86</v>
      </c>
      <c r="M390" s="616">
        <v>0</v>
      </c>
      <c r="N390" s="616">
        <v>0</v>
      </c>
      <c r="O390" s="616">
        <v>66.489999999999995</v>
      </c>
      <c r="P390" s="616">
        <v>76.349999999999994</v>
      </c>
    </row>
    <row r="391" spans="1:16" x14ac:dyDescent="0.3">
      <c r="A391" s="615">
        <v>39545</v>
      </c>
      <c r="B391" s="614" t="s">
        <v>1535</v>
      </c>
      <c r="C391" s="614" t="s">
        <v>197</v>
      </c>
      <c r="D391" s="614">
        <v>42</v>
      </c>
      <c r="E391" s="616">
        <v>135.1</v>
      </c>
      <c r="F391" s="616">
        <v>5674.2</v>
      </c>
      <c r="G391" s="614" t="s">
        <v>1741</v>
      </c>
      <c r="H391" s="614">
        <v>2008067</v>
      </c>
      <c r="I391" s="614" t="s">
        <v>199</v>
      </c>
      <c r="J391" s="614" t="s">
        <v>200</v>
      </c>
      <c r="K391" s="614" t="s">
        <v>201</v>
      </c>
      <c r="L391" s="616">
        <v>7.09</v>
      </c>
      <c r="M391" s="616">
        <v>0</v>
      </c>
      <c r="N391" s="616">
        <v>0</v>
      </c>
      <c r="O391" s="616">
        <v>47.82</v>
      </c>
      <c r="P391" s="616">
        <v>54.91</v>
      </c>
    </row>
    <row r="392" spans="1:16" x14ac:dyDescent="0.3">
      <c r="A392" s="615">
        <v>39545</v>
      </c>
      <c r="B392" s="614" t="s">
        <v>1535</v>
      </c>
      <c r="C392" s="614" t="s">
        <v>197</v>
      </c>
      <c r="D392" s="614">
        <v>33</v>
      </c>
      <c r="E392" s="616">
        <v>136.1</v>
      </c>
      <c r="F392" s="616">
        <v>4491.3</v>
      </c>
      <c r="G392" s="614" t="s">
        <v>1742</v>
      </c>
      <c r="H392" s="614">
        <v>2008067</v>
      </c>
      <c r="I392" s="614" t="s">
        <v>199</v>
      </c>
      <c r="J392" s="614" t="s">
        <v>200</v>
      </c>
      <c r="K392" s="614" t="s">
        <v>201</v>
      </c>
      <c r="L392" s="616">
        <v>5.61</v>
      </c>
      <c r="M392" s="616">
        <v>0</v>
      </c>
      <c r="N392" s="616">
        <v>0</v>
      </c>
      <c r="O392" s="616">
        <v>37.85</v>
      </c>
      <c r="P392" s="616">
        <v>43.46</v>
      </c>
    </row>
    <row r="393" spans="1:16" x14ac:dyDescent="0.3">
      <c r="A393" s="615">
        <v>39542</v>
      </c>
      <c r="B393" s="614" t="s">
        <v>1743</v>
      </c>
      <c r="C393" s="614" t="s">
        <v>197</v>
      </c>
      <c r="D393" s="614">
        <v>300</v>
      </c>
      <c r="E393" s="616">
        <v>6.32</v>
      </c>
      <c r="F393" s="616">
        <v>1896</v>
      </c>
      <c r="G393" s="614" t="s">
        <v>1744</v>
      </c>
      <c r="H393" s="614">
        <v>200809006</v>
      </c>
      <c r="I393" s="614" t="s">
        <v>199</v>
      </c>
      <c r="J393" s="614" t="s">
        <v>200</v>
      </c>
      <c r="K393" s="614" t="s">
        <v>204</v>
      </c>
      <c r="L393" s="616">
        <v>2.37</v>
      </c>
      <c r="M393" s="616">
        <v>0</v>
      </c>
      <c r="N393" s="616">
        <v>0</v>
      </c>
      <c r="O393" s="616">
        <v>28.08</v>
      </c>
      <c r="P393" s="616">
        <v>30.45</v>
      </c>
    </row>
    <row r="394" spans="1:16" x14ac:dyDescent="0.3">
      <c r="A394" s="615">
        <v>39542</v>
      </c>
      <c r="B394" s="614" t="s">
        <v>1549</v>
      </c>
      <c r="C394" s="614" t="s">
        <v>197</v>
      </c>
      <c r="D394" s="614">
        <v>2</v>
      </c>
      <c r="E394" s="616">
        <v>2681</v>
      </c>
      <c r="F394" s="616">
        <v>5362</v>
      </c>
      <c r="G394" s="614" t="s">
        <v>1745</v>
      </c>
      <c r="H394" s="614">
        <v>2008066</v>
      </c>
      <c r="I394" s="614" t="s">
        <v>199</v>
      </c>
      <c r="J394" s="614" t="s">
        <v>200</v>
      </c>
      <c r="K394" s="614" t="s">
        <v>201</v>
      </c>
      <c r="L394" s="616">
        <v>6.7</v>
      </c>
      <c r="M394" s="616">
        <v>0</v>
      </c>
      <c r="N394" s="616">
        <v>0</v>
      </c>
      <c r="O394" s="616">
        <v>45.19</v>
      </c>
      <c r="P394" s="616">
        <v>51.89</v>
      </c>
    </row>
    <row r="395" spans="1:16" x14ac:dyDescent="0.3">
      <c r="A395" s="615">
        <v>39541</v>
      </c>
      <c r="B395" s="614" t="s">
        <v>1734</v>
      </c>
      <c r="C395" s="614" t="s">
        <v>197</v>
      </c>
      <c r="D395" s="614">
        <v>5</v>
      </c>
      <c r="E395" s="616">
        <v>1802.6</v>
      </c>
      <c r="F395" s="616">
        <v>9013</v>
      </c>
      <c r="G395" s="614" t="s">
        <v>1746</v>
      </c>
      <c r="H395" s="614">
        <v>2008065</v>
      </c>
      <c r="I395" s="614" t="s">
        <v>199</v>
      </c>
      <c r="J395" s="614" t="s">
        <v>200</v>
      </c>
      <c r="K395" s="614" t="s">
        <v>201</v>
      </c>
      <c r="L395" s="616">
        <v>11.27</v>
      </c>
      <c r="M395" s="616">
        <v>0</v>
      </c>
      <c r="N395" s="616">
        <v>0</v>
      </c>
      <c r="O395" s="616">
        <v>75.95</v>
      </c>
      <c r="P395" s="616">
        <v>87.22</v>
      </c>
    </row>
    <row r="396" spans="1:16" x14ac:dyDescent="0.3">
      <c r="A396" s="615">
        <v>39541</v>
      </c>
      <c r="B396" s="614" t="s">
        <v>282</v>
      </c>
      <c r="C396" s="614" t="s">
        <v>197</v>
      </c>
      <c r="D396" s="614">
        <v>80</v>
      </c>
      <c r="E396" s="616">
        <v>20.85</v>
      </c>
      <c r="F396" s="616">
        <v>1668</v>
      </c>
      <c r="G396" s="614" t="s">
        <v>1747</v>
      </c>
      <c r="H396" s="614">
        <v>2008065</v>
      </c>
      <c r="I396" s="614" t="s">
        <v>199</v>
      </c>
      <c r="J396" s="614" t="s">
        <v>200</v>
      </c>
      <c r="K396" s="614" t="s">
        <v>201</v>
      </c>
      <c r="L396" s="616">
        <v>2.09</v>
      </c>
      <c r="M396" s="616">
        <v>0</v>
      </c>
      <c r="N396" s="616">
        <v>0</v>
      </c>
      <c r="O396" s="616">
        <v>28.09</v>
      </c>
      <c r="P396" s="616">
        <v>30.18</v>
      </c>
    </row>
    <row r="397" spans="1:16" x14ac:dyDescent="0.3">
      <c r="A397" s="615">
        <v>39541</v>
      </c>
      <c r="B397" s="614" t="s">
        <v>1734</v>
      </c>
      <c r="C397" s="614" t="s">
        <v>197</v>
      </c>
      <c r="D397" s="614">
        <v>2</v>
      </c>
      <c r="E397" s="616">
        <v>1715.45</v>
      </c>
      <c r="F397" s="616">
        <v>3430.9</v>
      </c>
      <c r="G397" s="614" t="s">
        <v>1748</v>
      </c>
      <c r="H397" s="614">
        <v>2008065</v>
      </c>
      <c r="I397" s="614" t="s">
        <v>199</v>
      </c>
      <c r="J397" s="614" t="s">
        <v>200</v>
      </c>
      <c r="K397" s="614" t="s">
        <v>201</v>
      </c>
      <c r="L397" s="616">
        <v>4.29</v>
      </c>
      <c r="M397" s="616">
        <v>0</v>
      </c>
      <c r="N397" s="616">
        <v>0</v>
      </c>
      <c r="O397" s="616">
        <v>28.91</v>
      </c>
      <c r="P397" s="616">
        <v>33.200000000000003</v>
      </c>
    </row>
    <row r="398" spans="1:16" x14ac:dyDescent="0.3">
      <c r="A398" s="615">
        <v>39534</v>
      </c>
      <c r="B398" s="614" t="s">
        <v>1535</v>
      </c>
      <c r="C398" s="614" t="s">
        <v>197</v>
      </c>
      <c r="D398" s="614">
        <v>50</v>
      </c>
      <c r="E398" s="616">
        <v>136</v>
      </c>
      <c r="F398" s="616">
        <v>6800</v>
      </c>
      <c r="G398" s="614" t="s">
        <v>1536</v>
      </c>
      <c r="H398" s="614">
        <v>2008060</v>
      </c>
      <c r="I398" s="614" t="s">
        <v>199</v>
      </c>
      <c r="J398" s="614" t="s">
        <v>200</v>
      </c>
      <c r="K398" s="614" t="s">
        <v>201</v>
      </c>
      <c r="L398" s="616">
        <v>8.5</v>
      </c>
      <c r="M398" s="616">
        <v>0</v>
      </c>
      <c r="N398" s="616">
        <v>0</v>
      </c>
      <c r="O398" s="616">
        <v>57.31</v>
      </c>
      <c r="P398" s="616">
        <v>65.81</v>
      </c>
    </row>
    <row r="399" spans="1:16" x14ac:dyDescent="0.3">
      <c r="A399" s="615">
        <v>39534</v>
      </c>
      <c r="B399" s="614" t="s">
        <v>1535</v>
      </c>
      <c r="C399" s="614" t="s">
        <v>197</v>
      </c>
      <c r="D399" s="614">
        <v>25</v>
      </c>
      <c r="E399" s="616">
        <v>137</v>
      </c>
      <c r="F399" s="616">
        <v>3425</v>
      </c>
      <c r="G399" s="614" t="s">
        <v>1537</v>
      </c>
      <c r="H399" s="614">
        <v>2008060</v>
      </c>
      <c r="I399" s="614" t="s">
        <v>199</v>
      </c>
      <c r="J399" s="614" t="s">
        <v>200</v>
      </c>
      <c r="K399" s="614" t="s">
        <v>201</v>
      </c>
      <c r="L399" s="616">
        <v>4.28</v>
      </c>
      <c r="M399" s="616">
        <v>0</v>
      </c>
      <c r="N399" s="616">
        <v>0</v>
      </c>
      <c r="O399" s="616">
        <v>28.86</v>
      </c>
      <c r="P399" s="616">
        <v>33.14</v>
      </c>
    </row>
    <row r="400" spans="1:16" x14ac:dyDescent="0.3">
      <c r="A400" s="615">
        <v>39533</v>
      </c>
      <c r="B400" s="614" t="s">
        <v>282</v>
      </c>
      <c r="C400" s="614" t="s">
        <v>197</v>
      </c>
      <c r="D400" s="614">
        <v>120</v>
      </c>
      <c r="E400" s="616">
        <v>17.05</v>
      </c>
      <c r="F400" s="616">
        <v>2046</v>
      </c>
      <c r="G400" s="614" t="s">
        <v>1517</v>
      </c>
      <c r="H400" s="614">
        <v>200708250</v>
      </c>
      <c r="I400" s="614" t="s">
        <v>199</v>
      </c>
      <c r="J400" s="614" t="s">
        <v>200</v>
      </c>
      <c r="K400" s="614" t="s">
        <v>204</v>
      </c>
      <c r="L400" s="616">
        <v>2.56</v>
      </c>
      <c r="M400" s="616">
        <v>0</v>
      </c>
      <c r="N400" s="616">
        <v>0</v>
      </c>
      <c r="O400" s="616">
        <v>28.08</v>
      </c>
      <c r="P400" s="616">
        <v>30.64</v>
      </c>
    </row>
    <row r="401" spans="1:16" x14ac:dyDescent="0.3">
      <c r="A401" s="615">
        <v>39532</v>
      </c>
      <c r="B401" s="614" t="s">
        <v>1510</v>
      </c>
      <c r="C401" s="614" t="s">
        <v>197</v>
      </c>
      <c r="D401" s="614">
        <v>7</v>
      </c>
      <c r="E401" s="616">
        <v>2055</v>
      </c>
      <c r="F401" s="616">
        <v>14385</v>
      </c>
      <c r="G401" s="614" t="s">
        <v>1511</v>
      </c>
      <c r="H401" s="614">
        <v>200708249</v>
      </c>
      <c r="I401" s="614" t="s">
        <v>199</v>
      </c>
      <c r="J401" s="614" t="s">
        <v>200</v>
      </c>
      <c r="K401" s="614" t="s">
        <v>204</v>
      </c>
      <c r="L401" s="616">
        <v>17.98</v>
      </c>
      <c r="M401" s="616">
        <v>0</v>
      </c>
      <c r="N401" s="616">
        <v>0</v>
      </c>
      <c r="O401" s="616">
        <v>121.22</v>
      </c>
      <c r="P401" s="616">
        <v>139.19999999999999</v>
      </c>
    </row>
    <row r="402" spans="1:16" x14ac:dyDescent="0.3">
      <c r="A402" s="615">
        <v>39520</v>
      </c>
      <c r="B402" s="614" t="s">
        <v>1526</v>
      </c>
      <c r="C402" s="614" t="s">
        <v>197</v>
      </c>
      <c r="D402" s="614">
        <v>75</v>
      </c>
      <c r="E402" s="616">
        <v>219</v>
      </c>
      <c r="F402" s="616">
        <v>16425</v>
      </c>
      <c r="G402" s="614" t="s">
        <v>1527</v>
      </c>
      <c r="H402" s="614">
        <v>200708243</v>
      </c>
      <c r="I402" s="614" t="s">
        <v>199</v>
      </c>
      <c r="J402" s="614" t="s">
        <v>200</v>
      </c>
      <c r="K402" s="614" t="s">
        <v>204</v>
      </c>
      <c r="L402" s="616">
        <v>20.53</v>
      </c>
      <c r="M402" s="616">
        <v>0</v>
      </c>
      <c r="N402" s="616">
        <v>0</v>
      </c>
      <c r="O402" s="616">
        <v>138.41</v>
      </c>
      <c r="P402" s="616">
        <v>158.94</v>
      </c>
    </row>
    <row r="403" spans="1:16" x14ac:dyDescent="0.3">
      <c r="A403" s="615">
        <v>39517</v>
      </c>
      <c r="B403" s="614" t="s">
        <v>1510</v>
      </c>
      <c r="C403" s="614" t="s">
        <v>197</v>
      </c>
      <c r="D403" s="614">
        <v>2</v>
      </c>
      <c r="E403" s="616">
        <v>2400</v>
      </c>
      <c r="F403" s="616">
        <v>4800</v>
      </c>
      <c r="G403" s="614" t="s">
        <v>1990</v>
      </c>
      <c r="H403" s="614">
        <v>200708240</v>
      </c>
      <c r="I403" s="614" t="s">
        <v>199</v>
      </c>
      <c r="J403" s="614" t="s">
        <v>200</v>
      </c>
      <c r="K403" s="614" t="s">
        <v>204</v>
      </c>
      <c r="L403" s="616">
        <v>6</v>
      </c>
      <c r="M403" s="616">
        <v>0</v>
      </c>
      <c r="N403" s="616">
        <v>0</v>
      </c>
      <c r="O403" s="616">
        <v>40.450000000000003</v>
      </c>
      <c r="P403" s="616">
        <v>46.45</v>
      </c>
    </row>
    <row r="404" spans="1:16" x14ac:dyDescent="0.3">
      <c r="A404" s="615">
        <v>39514</v>
      </c>
      <c r="B404" s="614" t="s">
        <v>1510</v>
      </c>
      <c r="C404" s="614" t="s">
        <v>197</v>
      </c>
      <c r="D404" s="614">
        <v>5</v>
      </c>
      <c r="E404" s="616">
        <v>2301.1</v>
      </c>
      <c r="F404" s="616">
        <v>11505.5</v>
      </c>
      <c r="G404" s="614" t="s">
        <v>1991</v>
      </c>
      <c r="H404" s="614">
        <v>2008048</v>
      </c>
      <c r="I404" s="614" t="s">
        <v>199</v>
      </c>
      <c r="J404" s="614" t="s">
        <v>200</v>
      </c>
      <c r="K404" s="614" t="s">
        <v>201</v>
      </c>
      <c r="L404" s="616">
        <v>14.38</v>
      </c>
      <c r="M404" s="616">
        <v>0</v>
      </c>
      <c r="N404" s="616">
        <v>0</v>
      </c>
      <c r="O404" s="616">
        <v>96.96</v>
      </c>
      <c r="P404" s="616">
        <v>111.34</v>
      </c>
    </row>
    <row r="405" spans="1:16" x14ac:dyDescent="0.3">
      <c r="A405" s="615">
        <v>39511</v>
      </c>
      <c r="B405" s="614" t="s">
        <v>1526</v>
      </c>
      <c r="C405" s="614" t="s">
        <v>197</v>
      </c>
      <c r="D405" s="614">
        <v>24</v>
      </c>
      <c r="E405" s="616">
        <v>226.45</v>
      </c>
      <c r="F405" s="616">
        <v>5434.8</v>
      </c>
      <c r="G405" s="614" t="s">
        <v>1528</v>
      </c>
      <c r="H405" s="614">
        <v>2008046</v>
      </c>
      <c r="I405" s="614" t="s">
        <v>199</v>
      </c>
      <c r="J405" s="614" t="s">
        <v>200</v>
      </c>
      <c r="K405" s="614" t="s">
        <v>201</v>
      </c>
      <c r="L405" s="616">
        <v>6.79</v>
      </c>
      <c r="M405" s="616">
        <v>0</v>
      </c>
      <c r="N405" s="616">
        <v>0</v>
      </c>
      <c r="O405" s="616">
        <v>45.8</v>
      </c>
      <c r="P405" s="616">
        <v>52.59</v>
      </c>
    </row>
    <row r="406" spans="1:16" x14ac:dyDescent="0.3">
      <c r="A406" s="615">
        <v>39506</v>
      </c>
      <c r="B406" s="614" t="s">
        <v>1992</v>
      </c>
      <c r="C406" s="614" t="s">
        <v>197</v>
      </c>
      <c r="D406" s="614">
        <v>25</v>
      </c>
      <c r="E406" s="616">
        <v>300.39999999999998</v>
      </c>
      <c r="F406" s="616">
        <v>7510</v>
      </c>
      <c r="G406" s="614" t="s">
        <v>1993</v>
      </c>
      <c r="H406" s="614">
        <v>2008043</v>
      </c>
      <c r="I406" s="614" t="s">
        <v>199</v>
      </c>
      <c r="J406" s="614" t="s">
        <v>200</v>
      </c>
      <c r="K406" s="614" t="s">
        <v>201</v>
      </c>
      <c r="L406" s="616">
        <v>9.39</v>
      </c>
      <c r="M406" s="616">
        <v>0</v>
      </c>
      <c r="N406" s="616">
        <v>0</v>
      </c>
      <c r="O406" s="616">
        <v>63.29</v>
      </c>
      <c r="P406" s="616">
        <v>72.680000000000007</v>
      </c>
    </row>
    <row r="407" spans="1:16" x14ac:dyDescent="0.3">
      <c r="A407" s="615">
        <v>39506</v>
      </c>
      <c r="B407" s="614" t="s">
        <v>1992</v>
      </c>
      <c r="C407" s="614" t="s">
        <v>197</v>
      </c>
      <c r="D407" s="614">
        <v>25</v>
      </c>
      <c r="E407" s="616">
        <v>301.5</v>
      </c>
      <c r="F407" s="616">
        <v>7537.5</v>
      </c>
      <c r="G407" s="614" t="s">
        <v>1994</v>
      </c>
      <c r="H407" s="614">
        <v>2008043</v>
      </c>
      <c r="I407" s="614" t="s">
        <v>199</v>
      </c>
      <c r="J407" s="614" t="s">
        <v>200</v>
      </c>
      <c r="K407" s="614" t="s">
        <v>201</v>
      </c>
      <c r="L407" s="616">
        <v>9.42</v>
      </c>
      <c r="M407" s="616">
        <v>0</v>
      </c>
      <c r="N407" s="616">
        <v>0</v>
      </c>
      <c r="O407" s="616">
        <v>63.52</v>
      </c>
      <c r="P407" s="616">
        <v>72.94</v>
      </c>
    </row>
    <row r="408" spans="1:16" x14ac:dyDescent="0.3">
      <c r="A408" s="615">
        <v>39499</v>
      </c>
      <c r="B408" s="614" t="s">
        <v>1526</v>
      </c>
      <c r="C408" s="614" t="s">
        <v>197</v>
      </c>
      <c r="D408" s="614">
        <v>75</v>
      </c>
      <c r="E408" s="616">
        <v>258.89999999999998</v>
      </c>
      <c r="F408" s="616">
        <v>19417.5</v>
      </c>
      <c r="G408" s="614" t="s">
        <v>1529</v>
      </c>
      <c r="H408" s="614">
        <v>200708229</v>
      </c>
      <c r="I408" s="614" t="s">
        <v>199</v>
      </c>
      <c r="J408" s="614" t="s">
        <v>200</v>
      </c>
      <c r="K408" s="614" t="s">
        <v>204</v>
      </c>
      <c r="L408" s="616">
        <v>24.27</v>
      </c>
      <c r="M408" s="616">
        <v>0</v>
      </c>
      <c r="N408" s="616">
        <v>0</v>
      </c>
      <c r="O408" s="616">
        <v>163.63</v>
      </c>
      <c r="P408" s="616">
        <v>187.9</v>
      </c>
    </row>
    <row r="409" spans="1:16" x14ac:dyDescent="0.3">
      <c r="A409" s="615">
        <v>39499</v>
      </c>
      <c r="B409" s="614" t="s">
        <v>1510</v>
      </c>
      <c r="C409" s="614" t="s">
        <v>197</v>
      </c>
      <c r="D409" s="614">
        <v>1</v>
      </c>
      <c r="E409" s="616">
        <v>2801.1</v>
      </c>
      <c r="F409" s="616">
        <v>2801.1</v>
      </c>
      <c r="G409" s="614" t="s">
        <v>1995</v>
      </c>
      <c r="H409" s="614">
        <v>200708229</v>
      </c>
      <c r="I409" s="614" t="s">
        <v>199</v>
      </c>
      <c r="J409" s="614" t="s">
        <v>200</v>
      </c>
      <c r="K409" s="614" t="s">
        <v>204</v>
      </c>
      <c r="L409" s="616">
        <v>3.5</v>
      </c>
      <c r="M409" s="616">
        <v>0</v>
      </c>
      <c r="N409" s="616">
        <v>0</v>
      </c>
      <c r="O409" s="616">
        <v>28.09</v>
      </c>
      <c r="P409" s="616">
        <v>31.59</v>
      </c>
    </row>
    <row r="410" spans="1:16" x14ac:dyDescent="0.3">
      <c r="A410" s="615">
        <v>39498</v>
      </c>
      <c r="B410" s="614" t="s">
        <v>1510</v>
      </c>
      <c r="C410" s="614" t="s">
        <v>197</v>
      </c>
      <c r="D410" s="614">
        <v>4</v>
      </c>
      <c r="E410" s="616">
        <v>2755</v>
      </c>
      <c r="F410" s="616">
        <v>11020</v>
      </c>
      <c r="G410" s="614" t="s">
        <v>1996</v>
      </c>
      <c r="H410" s="614">
        <v>2008037</v>
      </c>
      <c r="I410" s="614" t="s">
        <v>199</v>
      </c>
      <c r="J410" s="614" t="s">
        <v>200</v>
      </c>
      <c r="K410" s="614" t="s">
        <v>201</v>
      </c>
      <c r="L410" s="616">
        <v>13.78</v>
      </c>
      <c r="M410" s="616">
        <v>0</v>
      </c>
      <c r="N410" s="616">
        <v>0</v>
      </c>
      <c r="O410" s="616">
        <v>92.87</v>
      </c>
      <c r="P410" s="616">
        <v>106.65</v>
      </c>
    </row>
    <row r="411" spans="1:16" x14ac:dyDescent="0.3">
      <c r="A411" s="615">
        <v>39497</v>
      </c>
      <c r="B411" s="614" t="s">
        <v>1526</v>
      </c>
      <c r="C411" s="614" t="s">
        <v>197</v>
      </c>
      <c r="D411" s="614">
        <v>25</v>
      </c>
      <c r="E411" s="616">
        <v>267.5</v>
      </c>
      <c r="F411" s="616">
        <v>6687.5</v>
      </c>
      <c r="G411" s="614" t="s">
        <v>1530</v>
      </c>
      <c r="H411" s="614">
        <v>2008036</v>
      </c>
      <c r="I411" s="614" t="s">
        <v>199</v>
      </c>
      <c r="J411" s="614" t="s">
        <v>200</v>
      </c>
      <c r="K411" s="614" t="s">
        <v>201</v>
      </c>
      <c r="L411" s="616">
        <v>8.36</v>
      </c>
      <c r="M411" s="616">
        <v>0</v>
      </c>
      <c r="N411" s="616">
        <v>0</v>
      </c>
      <c r="O411" s="616">
        <v>56.36</v>
      </c>
      <c r="P411" s="616">
        <v>64.72</v>
      </c>
    </row>
    <row r="412" spans="1:16" x14ac:dyDescent="0.3">
      <c r="A412" s="615">
        <v>39493</v>
      </c>
      <c r="B412" s="614" t="s">
        <v>1526</v>
      </c>
      <c r="C412" s="614" t="s">
        <v>197</v>
      </c>
      <c r="D412" s="614">
        <v>50</v>
      </c>
      <c r="E412" s="616">
        <v>277.5</v>
      </c>
      <c r="F412" s="616">
        <v>13875</v>
      </c>
      <c r="G412" s="614" t="s">
        <v>1531</v>
      </c>
      <c r="H412" s="614">
        <v>2008034</v>
      </c>
      <c r="I412" s="614" t="s">
        <v>199</v>
      </c>
      <c r="J412" s="614" t="s">
        <v>200</v>
      </c>
      <c r="K412" s="614" t="s">
        <v>201</v>
      </c>
      <c r="L412" s="616">
        <v>17.34</v>
      </c>
      <c r="M412" s="616">
        <v>0</v>
      </c>
      <c r="N412" s="616">
        <v>0</v>
      </c>
      <c r="O412" s="616">
        <v>116.93</v>
      </c>
      <c r="P412" s="616">
        <v>134.27000000000001</v>
      </c>
    </row>
    <row r="413" spans="1:16" x14ac:dyDescent="0.3">
      <c r="A413" s="615">
        <v>39486</v>
      </c>
      <c r="B413" s="614" t="s">
        <v>282</v>
      </c>
      <c r="C413" s="614" t="s">
        <v>197</v>
      </c>
      <c r="D413" s="614">
        <v>100</v>
      </c>
      <c r="E413" s="616">
        <v>30.8</v>
      </c>
      <c r="F413" s="616">
        <v>3080</v>
      </c>
      <c r="G413" s="614" t="s">
        <v>1518</v>
      </c>
      <c r="H413" s="614">
        <v>200708220</v>
      </c>
      <c r="I413" s="614" t="s">
        <v>307</v>
      </c>
      <c r="J413" s="614" t="s">
        <v>200</v>
      </c>
      <c r="K413" s="614" t="s">
        <v>204</v>
      </c>
      <c r="L413" s="616">
        <v>3.85</v>
      </c>
      <c r="M413" s="616">
        <v>0</v>
      </c>
      <c r="N413" s="616">
        <v>0</v>
      </c>
      <c r="O413" s="616">
        <v>25.96</v>
      </c>
      <c r="P413" s="616">
        <v>29.81</v>
      </c>
    </row>
    <row r="414" spans="1:16" x14ac:dyDescent="0.3">
      <c r="A414" s="615">
        <v>39485</v>
      </c>
      <c r="B414" s="614" t="s">
        <v>282</v>
      </c>
      <c r="C414" s="614" t="s">
        <v>197</v>
      </c>
      <c r="D414" s="614">
        <v>100</v>
      </c>
      <c r="E414" s="616">
        <v>34.200000000000003</v>
      </c>
      <c r="F414" s="616">
        <v>3420</v>
      </c>
      <c r="G414" s="614" t="s">
        <v>1519</v>
      </c>
      <c r="H414" s="614">
        <v>200708219</v>
      </c>
      <c r="I414" s="614" t="s">
        <v>307</v>
      </c>
      <c r="J414" s="614" t="s">
        <v>200</v>
      </c>
      <c r="K414" s="614" t="s">
        <v>204</v>
      </c>
      <c r="L414" s="616">
        <v>4.28</v>
      </c>
      <c r="M414" s="616">
        <v>0</v>
      </c>
      <c r="N414" s="616">
        <v>0</v>
      </c>
      <c r="O414" s="616">
        <v>28.82</v>
      </c>
      <c r="P414" s="616">
        <v>33.1</v>
      </c>
    </row>
    <row r="415" spans="1:16" x14ac:dyDescent="0.3">
      <c r="A415" s="615">
        <v>39484</v>
      </c>
      <c r="B415" s="614" t="s">
        <v>1657</v>
      </c>
      <c r="C415" s="614" t="s">
        <v>197</v>
      </c>
      <c r="D415" s="614">
        <v>100</v>
      </c>
      <c r="E415" s="616">
        <v>178.67400000000001</v>
      </c>
      <c r="F415" s="616">
        <v>17867.400000000001</v>
      </c>
      <c r="G415" s="614" t="s">
        <v>1997</v>
      </c>
      <c r="H415" s="614">
        <v>2008027</v>
      </c>
      <c r="I415" s="614" t="s">
        <v>199</v>
      </c>
      <c r="J415" s="614" t="s">
        <v>200</v>
      </c>
      <c r="K415" s="614" t="s">
        <v>201</v>
      </c>
      <c r="L415" s="616">
        <v>0</v>
      </c>
      <c r="M415" s="616">
        <v>0</v>
      </c>
      <c r="N415" s="616">
        <v>0</v>
      </c>
      <c r="O415" s="616">
        <v>16.850000000000001</v>
      </c>
      <c r="P415" s="616">
        <v>16.850000000000001</v>
      </c>
    </row>
    <row r="416" spans="1:16" x14ac:dyDescent="0.3">
      <c r="A416" s="615">
        <v>39484</v>
      </c>
      <c r="B416" s="614" t="s">
        <v>1998</v>
      </c>
      <c r="C416" s="614" t="s">
        <v>197</v>
      </c>
      <c r="D416" s="614">
        <v>100</v>
      </c>
      <c r="E416" s="616">
        <v>66</v>
      </c>
      <c r="F416" s="616">
        <v>6600</v>
      </c>
      <c r="G416" s="614" t="s">
        <v>1999</v>
      </c>
      <c r="H416" s="614">
        <v>2008027</v>
      </c>
      <c r="I416" s="614" t="s">
        <v>199</v>
      </c>
      <c r="J416" s="614" t="s">
        <v>200</v>
      </c>
      <c r="K416" s="614" t="s">
        <v>201</v>
      </c>
      <c r="L416" s="616">
        <v>0</v>
      </c>
      <c r="M416" s="616">
        <v>0</v>
      </c>
      <c r="N416" s="616">
        <v>0</v>
      </c>
      <c r="O416" s="616">
        <v>16.850000000000001</v>
      </c>
      <c r="P416" s="616">
        <v>16.850000000000001</v>
      </c>
    </row>
    <row r="417" spans="1:16" x14ac:dyDescent="0.3">
      <c r="A417" s="615">
        <v>39484</v>
      </c>
      <c r="B417" s="614" t="s">
        <v>1998</v>
      </c>
      <c r="C417" s="614" t="s">
        <v>197</v>
      </c>
      <c r="D417" s="614">
        <v>100</v>
      </c>
      <c r="E417" s="616">
        <v>66</v>
      </c>
      <c r="F417" s="616">
        <v>6600</v>
      </c>
      <c r="G417" s="614" t="s">
        <v>2000</v>
      </c>
      <c r="H417" s="614">
        <v>2008027</v>
      </c>
      <c r="I417" s="614" t="s">
        <v>199</v>
      </c>
      <c r="J417" s="614" t="s">
        <v>200</v>
      </c>
      <c r="K417" s="614" t="s">
        <v>201</v>
      </c>
      <c r="L417" s="616">
        <v>0</v>
      </c>
      <c r="M417" s="616">
        <v>0</v>
      </c>
      <c r="N417" s="616">
        <v>0</v>
      </c>
      <c r="O417" s="616">
        <v>16.850000000000001</v>
      </c>
      <c r="P417" s="616">
        <v>16.850000000000001</v>
      </c>
    </row>
    <row r="418" spans="1:16" x14ac:dyDescent="0.3">
      <c r="A418" s="615">
        <v>39484</v>
      </c>
      <c r="B418" s="614" t="s">
        <v>1998</v>
      </c>
      <c r="C418" s="614" t="s">
        <v>197</v>
      </c>
      <c r="D418" s="614">
        <v>200</v>
      </c>
      <c r="E418" s="616">
        <v>66.25</v>
      </c>
      <c r="F418" s="616">
        <v>13250</v>
      </c>
      <c r="G418" s="614" t="s">
        <v>2001</v>
      </c>
      <c r="H418" s="614">
        <v>2008027</v>
      </c>
      <c r="I418" s="614" t="s">
        <v>199</v>
      </c>
      <c r="J418" s="614" t="s">
        <v>200</v>
      </c>
      <c r="K418" s="614" t="s">
        <v>201</v>
      </c>
      <c r="L418" s="616">
        <v>0</v>
      </c>
      <c r="M418" s="616">
        <v>0</v>
      </c>
      <c r="N418" s="616">
        <v>0</v>
      </c>
      <c r="O418" s="616">
        <v>16.86</v>
      </c>
      <c r="P418" s="616">
        <v>16.86</v>
      </c>
    </row>
    <row r="419" spans="1:16" x14ac:dyDescent="0.3">
      <c r="A419" s="615">
        <v>39479</v>
      </c>
      <c r="B419" s="614" t="s">
        <v>2002</v>
      </c>
      <c r="C419" s="614" t="s">
        <v>197</v>
      </c>
      <c r="D419" s="614">
        <v>100</v>
      </c>
      <c r="E419" s="616">
        <v>69.95</v>
      </c>
      <c r="F419" s="616">
        <v>6995</v>
      </c>
      <c r="G419" s="614" t="s">
        <v>2003</v>
      </c>
      <c r="H419" s="614">
        <v>200708215</v>
      </c>
      <c r="I419" s="614" t="s">
        <v>199</v>
      </c>
      <c r="J419" s="614" t="s">
        <v>200</v>
      </c>
      <c r="K419" s="614" t="s">
        <v>204</v>
      </c>
      <c r="L419" s="616">
        <v>8.74</v>
      </c>
      <c r="M419" s="616">
        <v>0</v>
      </c>
      <c r="N419" s="616">
        <v>0</v>
      </c>
      <c r="O419" s="616">
        <v>58.94</v>
      </c>
      <c r="P419" s="616">
        <v>67.680000000000007</v>
      </c>
    </row>
    <row r="420" spans="1:16" x14ac:dyDescent="0.3">
      <c r="A420" s="615">
        <v>39479</v>
      </c>
      <c r="B420" s="614" t="s">
        <v>1605</v>
      </c>
      <c r="C420" s="614" t="s">
        <v>197</v>
      </c>
      <c r="D420" s="614">
        <v>1</v>
      </c>
      <c r="E420" s="616">
        <v>3505.5</v>
      </c>
      <c r="F420" s="616">
        <v>3505.5</v>
      </c>
      <c r="G420" s="614" t="s">
        <v>2004</v>
      </c>
      <c r="H420" s="614">
        <v>200708215</v>
      </c>
      <c r="I420" s="614" t="s">
        <v>199</v>
      </c>
      <c r="J420" s="614" t="s">
        <v>200</v>
      </c>
      <c r="K420" s="614" t="s">
        <v>204</v>
      </c>
      <c r="L420" s="616">
        <v>4.38</v>
      </c>
      <c r="M420" s="616">
        <v>0</v>
      </c>
      <c r="N420" s="616">
        <v>0</v>
      </c>
      <c r="O420" s="616">
        <v>29.54</v>
      </c>
      <c r="P420" s="616">
        <v>33.92</v>
      </c>
    </row>
    <row r="421" spans="1:16" x14ac:dyDescent="0.3">
      <c r="A421" s="615">
        <v>39476</v>
      </c>
      <c r="B421" s="614" t="s">
        <v>1657</v>
      </c>
      <c r="C421" s="614" t="s">
        <v>197</v>
      </c>
      <c r="D421" s="614">
        <v>100</v>
      </c>
      <c r="E421" s="616">
        <v>187.45</v>
      </c>
      <c r="F421" s="616">
        <v>18745</v>
      </c>
      <c r="G421" s="614" t="s">
        <v>2005</v>
      </c>
      <c r="H421" s="614">
        <v>2008021</v>
      </c>
      <c r="I421" s="614" t="s">
        <v>199</v>
      </c>
      <c r="J421" s="614" t="s">
        <v>200</v>
      </c>
      <c r="K421" s="614" t="s">
        <v>201</v>
      </c>
      <c r="L421" s="616">
        <v>0</v>
      </c>
      <c r="M421" s="616">
        <v>0</v>
      </c>
      <c r="N421" s="616">
        <v>0</v>
      </c>
      <c r="O421" s="616">
        <v>16.850000000000001</v>
      </c>
      <c r="P421" s="616">
        <v>16.850000000000001</v>
      </c>
    </row>
    <row r="422" spans="1:16" x14ac:dyDescent="0.3">
      <c r="A422" s="615">
        <v>39476</v>
      </c>
      <c r="B422" s="614" t="s">
        <v>1657</v>
      </c>
      <c r="C422" s="614" t="s">
        <v>197</v>
      </c>
      <c r="D422" s="614">
        <v>100</v>
      </c>
      <c r="E422" s="616">
        <v>181.2</v>
      </c>
      <c r="F422" s="616">
        <v>18120</v>
      </c>
      <c r="G422" s="614" t="s">
        <v>2006</v>
      </c>
      <c r="H422" s="614">
        <v>2008021</v>
      </c>
      <c r="I422" s="614" t="s">
        <v>199</v>
      </c>
      <c r="J422" s="614" t="s">
        <v>200</v>
      </c>
      <c r="K422" s="614" t="s">
        <v>201</v>
      </c>
      <c r="L422" s="616">
        <v>0</v>
      </c>
      <c r="M422" s="616">
        <v>0</v>
      </c>
      <c r="N422" s="616">
        <v>0</v>
      </c>
      <c r="O422" s="616">
        <v>16.850000000000001</v>
      </c>
      <c r="P422" s="616">
        <v>16.850000000000001</v>
      </c>
    </row>
    <row r="423" spans="1:16" x14ac:dyDescent="0.3">
      <c r="A423" s="615">
        <v>39476</v>
      </c>
      <c r="B423" s="614" t="s">
        <v>1657</v>
      </c>
      <c r="C423" s="614" t="s">
        <v>197</v>
      </c>
      <c r="D423" s="614">
        <v>100</v>
      </c>
      <c r="E423" s="616">
        <v>182.8</v>
      </c>
      <c r="F423" s="616">
        <v>18280</v>
      </c>
      <c r="G423" s="614" t="s">
        <v>2007</v>
      </c>
      <c r="H423" s="614">
        <v>2008021</v>
      </c>
      <c r="I423" s="614" t="s">
        <v>199</v>
      </c>
      <c r="J423" s="614" t="s">
        <v>200</v>
      </c>
      <c r="K423" s="614" t="s">
        <v>201</v>
      </c>
      <c r="L423" s="616">
        <v>0</v>
      </c>
      <c r="M423" s="616">
        <v>0</v>
      </c>
      <c r="N423" s="616">
        <v>0</v>
      </c>
      <c r="O423" s="616">
        <v>16.850000000000001</v>
      </c>
      <c r="P423" s="616">
        <v>16.850000000000001</v>
      </c>
    </row>
    <row r="424" spans="1:16" x14ac:dyDescent="0.3">
      <c r="A424" s="615">
        <v>39475</v>
      </c>
      <c r="B424" s="614" t="s">
        <v>2002</v>
      </c>
      <c r="C424" s="614" t="s">
        <v>197</v>
      </c>
      <c r="D424" s="614">
        <v>100</v>
      </c>
      <c r="E424" s="616">
        <v>76.849999999999994</v>
      </c>
      <c r="F424" s="616">
        <v>7685</v>
      </c>
      <c r="G424" s="614" t="s">
        <v>2008</v>
      </c>
      <c r="H424" s="614">
        <v>200708211</v>
      </c>
      <c r="I424" s="614" t="s">
        <v>199</v>
      </c>
      <c r="J424" s="614" t="s">
        <v>200</v>
      </c>
      <c r="K424" s="614" t="s">
        <v>204</v>
      </c>
      <c r="L424" s="616">
        <v>9.61</v>
      </c>
      <c r="M424" s="616">
        <v>0</v>
      </c>
      <c r="N424" s="616">
        <v>0</v>
      </c>
      <c r="O424" s="616">
        <v>64.760000000000005</v>
      </c>
      <c r="P424" s="616">
        <v>74.37</v>
      </c>
    </row>
    <row r="425" spans="1:16" x14ac:dyDescent="0.3">
      <c r="A425" s="615">
        <v>39472</v>
      </c>
      <c r="B425" s="614" t="s">
        <v>1512</v>
      </c>
      <c r="C425" s="614" t="s">
        <v>197</v>
      </c>
      <c r="D425" s="614">
        <v>7</v>
      </c>
      <c r="E425" s="616">
        <v>856.4</v>
      </c>
      <c r="F425" s="616">
        <v>5994.8</v>
      </c>
      <c r="G425" s="614" t="s">
        <v>1513</v>
      </c>
      <c r="H425" s="614">
        <v>2008019</v>
      </c>
      <c r="I425" s="614" t="s">
        <v>199</v>
      </c>
      <c r="J425" s="614" t="s">
        <v>200</v>
      </c>
      <c r="K425" s="614" t="s">
        <v>201</v>
      </c>
      <c r="L425" s="616">
        <v>7.49</v>
      </c>
      <c r="M425" s="616">
        <v>0</v>
      </c>
      <c r="N425" s="616">
        <v>0</v>
      </c>
      <c r="O425" s="616">
        <v>50.52</v>
      </c>
      <c r="P425" s="616">
        <v>58.01</v>
      </c>
    </row>
    <row r="426" spans="1:16" x14ac:dyDescent="0.3">
      <c r="A426" s="615">
        <v>39470</v>
      </c>
      <c r="B426" s="614" t="s">
        <v>2009</v>
      </c>
      <c r="C426" s="614" t="s">
        <v>197</v>
      </c>
      <c r="D426" s="614">
        <v>5</v>
      </c>
      <c r="E426" s="616">
        <v>945</v>
      </c>
      <c r="F426" s="616">
        <v>4725</v>
      </c>
      <c r="G426" s="614" t="s">
        <v>2010</v>
      </c>
      <c r="H426" s="614">
        <v>2008017</v>
      </c>
      <c r="I426" s="614" t="s">
        <v>199</v>
      </c>
      <c r="J426" s="614" t="s">
        <v>200</v>
      </c>
      <c r="K426" s="614" t="s">
        <v>201</v>
      </c>
      <c r="L426" s="616">
        <v>5.91</v>
      </c>
      <c r="M426" s="616">
        <v>0</v>
      </c>
      <c r="N426" s="616">
        <v>0</v>
      </c>
      <c r="O426" s="616">
        <v>39.82</v>
      </c>
      <c r="P426" s="616">
        <v>45.73</v>
      </c>
    </row>
    <row r="427" spans="1:16" x14ac:dyDescent="0.3">
      <c r="A427" s="615">
        <v>39469</v>
      </c>
      <c r="B427" s="614" t="s">
        <v>211</v>
      </c>
      <c r="C427" s="614" t="s">
        <v>197</v>
      </c>
      <c r="D427" s="614">
        <v>25</v>
      </c>
      <c r="E427" s="616">
        <v>372</v>
      </c>
      <c r="F427" s="616">
        <v>9300</v>
      </c>
      <c r="G427" s="614" t="s">
        <v>2011</v>
      </c>
      <c r="H427" s="614">
        <v>200708207</v>
      </c>
      <c r="I427" s="614" t="s">
        <v>199</v>
      </c>
      <c r="J427" s="614" t="s">
        <v>200</v>
      </c>
      <c r="K427" s="614" t="s">
        <v>204</v>
      </c>
      <c r="L427" s="616">
        <v>11.63</v>
      </c>
      <c r="M427" s="616">
        <v>0</v>
      </c>
      <c r="N427" s="616">
        <v>0</v>
      </c>
      <c r="O427" s="616">
        <v>78.37</v>
      </c>
      <c r="P427" s="616">
        <v>90</v>
      </c>
    </row>
    <row r="428" spans="1:16" x14ac:dyDescent="0.3">
      <c r="A428" s="615">
        <v>39469</v>
      </c>
      <c r="B428" s="614" t="s">
        <v>1605</v>
      </c>
      <c r="C428" s="614" t="s">
        <v>197</v>
      </c>
      <c r="D428" s="614">
        <v>2</v>
      </c>
      <c r="E428" s="616">
        <v>3250</v>
      </c>
      <c r="F428" s="616">
        <v>6500</v>
      </c>
      <c r="G428" s="614" t="s">
        <v>2012</v>
      </c>
      <c r="H428" s="614">
        <v>200708207</v>
      </c>
      <c r="I428" s="614" t="s">
        <v>199</v>
      </c>
      <c r="J428" s="614" t="s">
        <v>200</v>
      </c>
      <c r="K428" s="614" t="s">
        <v>204</v>
      </c>
      <c r="L428" s="616">
        <v>8.1300000000000008</v>
      </c>
      <c r="M428" s="616">
        <v>0</v>
      </c>
      <c r="N428" s="616">
        <v>0</v>
      </c>
      <c r="O428" s="616">
        <v>54.78</v>
      </c>
      <c r="P428" s="616">
        <v>62.91</v>
      </c>
    </row>
    <row r="429" spans="1:16" x14ac:dyDescent="0.3">
      <c r="A429" s="615">
        <v>39469</v>
      </c>
      <c r="B429" s="614" t="s">
        <v>2009</v>
      </c>
      <c r="C429" s="614" t="s">
        <v>197</v>
      </c>
      <c r="D429" s="614">
        <v>5</v>
      </c>
      <c r="E429" s="616">
        <v>700</v>
      </c>
      <c r="F429" s="616">
        <v>3500</v>
      </c>
      <c r="G429" s="614" t="s">
        <v>2013</v>
      </c>
      <c r="H429" s="614">
        <v>2008016</v>
      </c>
      <c r="I429" s="614" t="s">
        <v>199</v>
      </c>
      <c r="J429" s="614" t="s">
        <v>200</v>
      </c>
      <c r="K429" s="614" t="s">
        <v>201</v>
      </c>
      <c r="L429" s="616">
        <v>4.38</v>
      </c>
      <c r="M429" s="616">
        <v>0</v>
      </c>
      <c r="N429" s="616">
        <v>0</v>
      </c>
      <c r="O429" s="616">
        <v>29.49</v>
      </c>
      <c r="P429" s="616">
        <v>33.869999999999997</v>
      </c>
    </row>
    <row r="430" spans="1:16" x14ac:dyDescent="0.3">
      <c r="A430" s="615">
        <v>39469</v>
      </c>
      <c r="B430" s="614" t="s">
        <v>2014</v>
      </c>
      <c r="C430" s="614" t="s">
        <v>197</v>
      </c>
      <c r="D430" s="614">
        <v>5</v>
      </c>
      <c r="E430" s="616">
        <v>640</v>
      </c>
      <c r="F430" s="616">
        <v>3200</v>
      </c>
      <c r="G430" s="614" t="s">
        <v>2015</v>
      </c>
      <c r="H430" s="614">
        <v>2008016</v>
      </c>
      <c r="I430" s="614" t="s">
        <v>199</v>
      </c>
      <c r="J430" s="614" t="s">
        <v>200</v>
      </c>
      <c r="K430" s="614" t="s">
        <v>201</v>
      </c>
      <c r="L430" s="616">
        <v>4</v>
      </c>
      <c r="M430" s="616">
        <v>0</v>
      </c>
      <c r="N430" s="616">
        <v>0</v>
      </c>
      <c r="O430" s="616">
        <v>28.09</v>
      </c>
      <c r="P430" s="616">
        <v>32.090000000000003</v>
      </c>
    </row>
    <row r="431" spans="1:16" x14ac:dyDescent="0.3">
      <c r="A431" s="615">
        <v>39469</v>
      </c>
      <c r="B431" s="614" t="s">
        <v>2014</v>
      </c>
      <c r="C431" s="614" t="s">
        <v>197</v>
      </c>
      <c r="D431" s="614">
        <v>5</v>
      </c>
      <c r="E431" s="616">
        <v>700.5</v>
      </c>
      <c r="F431" s="616">
        <v>3502.5</v>
      </c>
      <c r="G431" s="614" t="s">
        <v>2016</v>
      </c>
      <c r="H431" s="614">
        <v>2008016</v>
      </c>
      <c r="I431" s="614" t="s">
        <v>199</v>
      </c>
      <c r="J431" s="614" t="s">
        <v>200</v>
      </c>
      <c r="K431" s="614" t="s">
        <v>201</v>
      </c>
      <c r="L431" s="616">
        <v>4.38</v>
      </c>
      <c r="M431" s="616">
        <v>0</v>
      </c>
      <c r="N431" s="616">
        <v>0</v>
      </c>
      <c r="O431" s="616">
        <v>29.52</v>
      </c>
      <c r="P431" s="616">
        <v>33.9</v>
      </c>
    </row>
    <row r="432" spans="1:16" x14ac:dyDescent="0.3">
      <c r="A432" s="615">
        <v>39469</v>
      </c>
      <c r="B432" s="614" t="s">
        <v>1512</v>
      </c>
      <c r="C432" s="614" t="s">
        <v>197</v>
      </c>
      <c r="D432" s="614">
        <v>5</v>
      </c>
      <c r="E432" s="616">
        <v>900.95</v>
      </c>
      <c r="F432" s="616">
        <v>4504.75</v>
      </c>
      <c r="G432" s="614" t="s">
        <v>1514</v>
      </c>
      <c r="H432" s="614">
        <v>2008016</v>
      </c>
      <c r="I432" s="614" t="s">
        <v>199</v>
      </c>
      <c r="J432" s="614" t="s">
        <v>200</v>
      </c>
      <c r="K432" s="614" t="s">
        <v>201</v>
      </c>
      <c r="L432" s="616">
        <v>5.63</v>
      </c>
      <c r="M432" s="616">
        <v>0</v>
      </c>
      <c r="N432" s="616">
        <v>0</v>
      </c>
      <c r="O432" s="616">
        <v>37.96</v>
      </c>
      <c r="P432" s="616">
        <v>43.59</v>
      </c>
    </row>
    <row r="433" spans="1:16" x14ac:dyDescent="0.3">
      <c r="A433" s="615">
        <v>39465</v>
      </c>
      <c r="B433" s="614" t="s">
        <v>2002</v>
      </c>
      <c r="C433" s="614" t="s">
        <v>197</v>
      </c>
      <c r="D433" s="614">
        <v>100</v>
      </c>
      <c r="E433" s="616">
        <v>97.5</v>
      </c>
      <c r="F433" s="616">
        <v>9750</v>
      </c>
      <c r="G433" s="614" t="s">
        <v>2017</v>
      </c>
      <c r="H433" s="614">
        <v>200708205</v>
      </c>
      <c r="I433" s="614" t="s">
        <v>199</v>
      </c>
      <c r="J433" s="614" t="s">
        <v>200</v>
      </c>
      <c r="K433" s="614" t="s">
        <v>204</v>
      </c>
      <c r="L433" s="616">
        <v>12.19</v>
      </c>
      <c r="M433" s="616">
        <v>0</v>
      </c>
      <c r="N433" s="616">
        <v>0</v>
      </c>
      <c r="O433" s="616">
        <v>82.17</v>
      </c>
      <c r="P433" s="616">
        <v>94.36</v>
      </c>
    </row>
    <row r="434" spans="1:16" x14ac:dyDescent="0.3">
      <c r="A434" s="615">
        <v>39465</v>
      </c>
      <c r="B434" s="614" t="s">
        <v>1605</v>
      </c>
      <c r="C434" s="614" t="s">
        <v>197</v>
      </c>
      <c r="D434" s="614">
        <v>2</v>
      </c>
      <c r="E434" s="616">
        <v>4565.5</v>
      </c>
      <c r="F434" s="616">
        <v>9131</v>
      </c>
      <c r="G434" s="614" t="s">
        <v>2018</v>
      </c>
      <c r="H434" s="614">
        <v>2008014</v>
      </c>
      <c r="I434" s="614" t="s">
        <v>199</v>
      </c>
      <c r="J434" s="614" t="s">
        <v>200</v>
      </c>
      <c r="K434" s="614" t="s">
        <v>201</v>
      </c>
      <c r="L434" s="616">
        <v>11.41</v>
      </c>
      <c r="M434" s="616">
        <v>0</v>
      </c>
      <c r="N434" s="616">
        <v>0</v>
      </c>
      <c r="O434" s="616">
        <v>76.95</v>
      </c>
      <c r="P434" s="616">
        <v>88.36</v>
      </c>
    </row>
    <row r="435" spans="1:16" x14ac:dyDescent="0.3">
      <c r="A435" s="615">
        <v>39456</v>
      </c>
      <c r="B435" s="614" t="s">
        <v>282</v>
      </c>
      <c r="C435" s="614" t="s">
        <v>197</v>
      </c>
      <c r="D435" s="614">
        <v>100</v>
      </c>
      <c r="E435" s="616">
        <v>42.25</v>
      </c>
      <c r="F435" s="616">
        <v>4225</v>
      </c>
      <c r="G435" s="614" t="s">
        <v>1520</v>
      </c>
      <c r="H435" s="614">
        <v>2008007</v>
      </c>
      <c r="I435" s="614" t="s">
        <v>307</v>
      </c>
      <c r="J435" s="614" t="s">
        <v>200</v>
      </c>
      <c r="K435" s="614" t="s">
        <v>201</v>
      </c>
      <c r="L435" s="616">
        <v>5.28</v>
      </c>
      <c r="M435" s="616">
        <v>0</v>
      </c>
      <c r="N435" s="616">
        <v>0</v>
      </c>
      <c r="O435" s="616">
        <v>35.61</v>
      </c>
      <c r="P435" s="616">
        <v>40.89</v>
      </c>
    </row>
    <row r="436" spans="1:16" x14ac:dyDescent="0.3">
      <c r="A436" s="615">
        <v>39455</v>
      </c>
      <c r="B436" s="614" t="s">
        <v>2019</v>
      </c>
      <c r="C436" s="614" t="s">
        <v>197</v>
      </c>
      <c r="D436" s="614">
        <v>50</v>
      </c>
      <c r="E436" s="616">
        <v>86</v>
      </c>
      <c r="F436" s="616">
        <v>4300</v>
      </c>
      <c r="G436" s="614" t="s">
        <v>2020</v>
      </c>
      <c r="H436" s="614">
        <v>2008006</v>
      </c>
      <c r="I436" s="614" t="s">
        <v>199</v>
      </c>
      <c r="J436" s="614" t="s">
        <v>200</v>
      </c>
      <c r="K436" s="614" t="s">
        <v>201</v>
      </c>
      <c r="L436" s="616">
        <v>5.38</v>
      </c>
      <c r="M436" s="616">
        <v>0</v>
      </c>
      <c r="N436" s="616">
        <v>0</v>
      </c>
      <c r="O436" s="616">
        <v>36.24</v>
      </c>
      <c r="P436" s="616">
        <v>41.62</v>
      </c>
    </row>
    <row r="437" spans="1:16" x14ac:dyDescent="0.3">
      <c r="A437" s="615">
        <v>39455</v>
      </c>
      <c r="B437" s="614" t="s">
        <v>2019</v>
      </c>
      <c r="C437" s="614" t="s">
        <v>197</v>
      </c>
      <c r="D437" s="614">
        <v>50</v>
      </c>
      <c r="E437" s="616">
        <v>85.75</v>
      </c>
      <c r="F437" s="616">
        <v>4287.5</v>
      </c>
      <c r="G437" s="614" t="s">
        <v>2021</v>
      </c>
      <c r="H437" s="614">
        <v>2008006</v>
      </c>
      <c r="I437" s="614" t="s">
        <v>199</v>
      </c>
      <c r="J437" s="614" t="s">
        <v>200</v>
      </c>
      <c r="K437" s="614" t="s">
        <v>201</v>
      </c>
      <c r="L437" s="616">
        <v>5.36</v>
      </c>
      <c r="M437" s="616">
        <v>0</v>
      </c>
      <c r="N437" s="616">
        <v>0</v>
      </c>
      <c r="O437" s="616">
        <v>36.130000000000003</v>
      </c>
      <c r="P437" s="616">
        <v>41.49</v>
      </c>
    </row>
    <row r="438" spans="1:16" x14ac:dyDescent="0.3">
      <c r="A438" s="615">
        <v>39449</v>
      </c>
      <c r="B438" s="614" t="s">
        <v>282</v>
      </c>
      <c r="C438" s="614" t="s">
        <v>197</v>
      </c>
      <c r="D438" s="614">
        <v>100</v>
      </c>
      <c r="E438" s="616">
        <v>49.05</v>
      </c>
      <c r="F438" s="616">
        <v>4905</v>
      </c>
      <c r="G438" s="614" t="s">
        <v>1521</v>
      </c>
      <c r="H438" s="614">
        <v>2008002</v>
      </c>
      <c r="I438" s="614" t="s">
        <v>307</v>
      </c>
      <c r="J438" s="614" t="s">
        <v>200</v>
      </c>
      <c r="K438" s="614" t="s">
        <v>201</v>
      </c>
      <c r="L438" s="616">
        <v>6.13</v>
      </c>
      <c r="M438" s="616">
        <v>0</v>
      </c>
      <c r="N438" s="616">
        <v>0</v>
      </c>
      <c r="O438" s="616">
        <v>41.34</v>
      </c>
      <c r="P438" s="616">
        <v>47.47</v>
      </c>
    </row>
    <row r="439" spans="1:16" x14ac:dyDescent="0.3">
      <c r="A439" s="615">
        <v>39444</v>
      </c>
      <c r="B439" s="614" t="s">
        <v>2002</v>
      </c>
      <c r="C439" s="614" t="s">
        <v>197</v>
      </c>
      <c r="D439" s="614">
        <v>100</v>
      </c>
      <c r="E439" s="616">
        <v>91.05</v>
      </c>
      <c r="F439" s="616">
        <v>9105</v>
      </c>
      <c r="G439" s="614" t="s">
        <v>2022</v>
      </c>
      <c r="H439" s="614">
        <v>200708190</v>
      </c>
      <c r="I439" s="614" t="s">
        <v>199</v>
      </c>
      <c r="J439" s="614" t="s">
        <v>200</v>
      </c>
      <c r="K439" s="614" t="s">
        <v>204</v>
      </c>
      <c r="L439" s="616">
        <v>11.38</v>
      </c>
      <c r="M439" s="616">
        <v>0</v>
      </c>
      <c r="N439" s="616">
        <v>0</v>
      </c>
      <c r="O439" s="616">
        <v>76.73</v>
      </c>
      <c r="P439" s="616">
        <v>88.11</v>
      </c>
    </row>
    <row r="440" spans="1:16" x14ac:dyDescent="0.3">
      <c r="A440" s="615">
        <v>39443</v>
      </c>
      <c r="B440" s="614" t="s">
        <v>2002</v>
      </c>
      <c r="C440" s="614" t="s">
        <v>197</v>
      </c>
      <c r="D440" s="614">
        <v>100</v>
      </c>
      <c r="E440" s="616">
        <v>89.5</v>
      </c>
      <c r="F440" s="616">
        <v>8950</v>
      </c>
      <c r="G440" s="614" t="s">
        <v>2023</v>
      </c>
      <c r="H440" s="614">
        <v>200708189</v>
      </c>
      <c r="I440" s="614" t="s">
        <v>199</v>
      </c>
      <c r="J440" s="614" t="s">
        <v>200</v>
      </c>
      <c r="K440" s="614" t="s">
        <v>204</v>
      </c>
      <c r="L440" s="616">
        <v>11.19</v>
      </c>
      <c r="M440" s="616">
        <v>0</v>
      </c>
      <c r="N440" s="616">
        <v>0</v>
      </c>
      <c r="O440" s="616">
        <v>75.430000000000007</v>
      </c>
      <c r="P440" s="616">
        <v>86.62</v>
      </c>
    </row>
    <row r="441" spans="1:16" x14ac:dyDescent="0.3">
      <c r="A441" s="615">
        <v>39443</v>
      </c>
      <c r="B441" s="614" t="s">
        <v>2002</v>
      </c>
      <c r="C441" s="614" t="s">
        <v>197</v>
      </c>
      <c r="D441" s="614">
        <v>100</v>
      </c>
      <c r="E441" s="616">
        <v>89.5</v>
      </c>
      <c r="F441" s="616">
        <v>8950</v>
      </c>
      <c r="G441" s="614" t="s">
        <v>2024</v>
      </c>
      <c r="H441" s="614">
        <v>200708189</v>
      </c>
      <c r="I441" s="614" t="s">
        <v>199</v>
      </c>
      <c r="J441" s="614" t="s">
        <v>200</v>
      </c>
      <c r="K441" s="614" t="s">
        <v>204</v>
      </c>
      <c r="L441" s="616">
        <v>11.19</v>
      </c>
      <c r="M441" s="616">
        <v>0</v>
      </c>
      <c r="N441" s="616">
        <v>0</v>
      </c>
      <c r="O441" s="616">
        <v>75.430000000000007</v>
      </c>
      <c r="P441" s="616">
        <v>86.62</v>
      </c>
    </row>
    <row r="442" spans="1:16" x14ac:dyDescent="0.3">
      <c r="A442" s="615">
        <v>39440</v>
      </c>
      <c r="B442" s="614" t="s">
        <v>282</v>
      </c>
      <c r="C442" s="614" t="s">
        <v>197</v>
      </c>
      <c r="D442" s="614">
        <v>400</v>
      </c>
      <c r="E442" s="616">
        <v>44</v>
      </c>
      <c r="F442" s="616">
        <v>17600</v>
      </c>
      <c r="G442" s="614" t="s">
        <v>1522</v>
      </c>
      <c r="H442" s="614">
        <v>2007245</v>
      </c>
      <c r="I442" s="614" t="s">
        <v>307</v>
      </c>
      <c r="J442" s="614" t="s">
        <v>200</v>
      </c>
      <c r="K442" s="614" t="s">
        <v>201</v>
      </c>
      <c r="L442" s="616">
        <v>22</v>
      </c>
      <c r="M442" s="616">
        <v>0</v>
      </c>
      <c r="N442" s="616">
        <v>0</v>
      </c>
      <c r="O442" s="616">
        <v>148.32</v>
      </c>
      <c r="P442" s="616">
        <v>170.32</v>
      </c>
    </row>
    <row r="443" spans="1:16" x14ac:dyDescent="0.3">
      <c r="A443" s="615">
        <v>39434</v>
      </c>
      <c r="B443" s="614" t="s">
        <v>282</v>
      </c>
      <c r="C443" s="614" t="s">
        <v>197</v>
      </c>
      <c r="D443" s="614">
        <v>75</v>
      </c>
      <c r="E443" s="616">
        <v>39.4</v>
      </c>
      <c r="F443" s="616">
        <v>2955</v>
      </c>
      <c r="G443" s="614" t="s">
        <v>1523</v>
      </c>
      <c r="H443" s="614">
        <v>200708184</v>
      </c>
      <c r="I443" s="614" t="s">
        <v>307</v>
      </c>
      <c r="J443" s="614" t="s">
        <v>200</v>
      </c>
      <c r="K443" s="614" t="s">
        <v>204</v>
      </c>
      <c r="L443" s="616">
        <v>3.69</v>
      </c>
      <c r="M443" s="616">
        <v>0</v>
      </c>
      <c r="N443" s="616">
        <v>0</v>
      </c>
      <c r="O443" s="616">
        <v>24.9</v>
      </c>
      <c r="P443" s="616">
        <v>28.59</v>
      </c>
    </row>
    <row r="444" spans="1:16" x14ac:dyDescent="0.3">
      <c r="A444" s="615">
        <v>39434</v>
      </c>
      <c r="B444" s="614" t="s">
        <v>2025</v>
      </c>
      <c r="C444" s="614" t="s">
        <v>197</v>
      </c>
      <c r="D444" s="614">
        <v>5</v>
      </c>
      <c r="E444" s="616">
        <v>280.5</v>
      </c>
      <c r="F444" s="616">
        <v>1402.5</v>
      </c>
      <c r="G444" s="614" t="s">
        <v>2026</v>
      </c>
      <c r="H444" s="614">
        <v>2007242</v>
      </c>
      <c r="I444" s="614" t="s">
        <v>199</v>
      </c>
      <c r="J444" s="614" t="s">
        <v>200</v>
      </c>
      <c r="K444" s="614" t="s">
        <v>201</v>
      </c>
      <c r="L444" s="616">
        <v>1.75</v>
      </c>
      <c r="M444" s="616">
        <v>0</v>
      </c>
      <c r="N444" s="616">
        <v>0</v>
      </c>
      <c r="O444" s="616">
        <v>28.09</v>
      </c>
      <c r="P444" s="616">
        <v>29.84</v>
      </c>
    </row>
    <row r="445" spans="1:16" x14ac:dyDescent="0.3">
      <c r="A445" s="615">
        <v>39434</v>
      </c>
      <c r="B445" s="614" t="s">
        <v>1657</v>
      </c>
      <c r="C445" s="614" t="s">
        <v>197</v>
      </c>
      <c r="D445" s="614">
        <v>25</v>
      </c>
      <c r="E445" s="616">
        <v>230.3</v>
      </c>
      <c r="F445" s="616">
        <v>5757.5</v>
      </c>
      <c r="G445" s="614" t="s">
        <v>2029</v>
      </c>
      <c r="H445" s="614">
        <v>2007242</v>
      </c>
      <c r="I445" s="614" t="s">
        <v>199</v>
      </c>
      <c r="J445" s="614" t="s">
        <v>200</v>
      </c>
      <c r="K445" s="614" t="s">
        <v>201</v>
      </c>
      <c r="L445" s="616">
        <v>7.2</v>
      </c>
      <c r="M445" s="616">
        <v>0</v>
      </c>
      <c r="N445" s="616">
        <v>0</v>
      </c>
      <c r="O445" s="616">
        <v>48.52</v>
      </c>
      <c r="P445" s="616">
        <v>55.72</v>
      </c>
    </row>
    <row r="446" spans="1:16" x14ac:dyDescent="0.3">
      <c r="A446" s="615">
        <v>39430</v>
      </c>
      <c r="B446" s="614" t="s">
        <v>282</v>
      </c>
      <c r="C446" s="614" t="s">
        <v>197</v>
      </c>
      <c r="D446" s="614">
        <v>300</v>
      </c>
      <c r="E446" s="616">
        <v>41.5</v>
      </c>
      <c r="F446" s="616">
        <v>12450</v>
      </c>
      <c r="G446" s="614" t="s">
        <v>1524</v>
      </c>
      <c r="H446" s="614">
        <v>200708182</v>
      </c>
      <c r="I446" s="614" t="s">
        <v>307</v>
      </c>
      <c r="J446" s="614" t="s">
        <v>200</v>
      </c>
      <c r="K446" s="614" t="s">
        <v>204</v>
      </c>
      <c r="L446" s="616">
        <v>15.56</v>
      </c>
      <c r="M446" s="616">
        <v>0</v>
      </c>
      <c r="N446" s="616">
        <v>0</v>
      </c>
      <c r="O446" s="616">
        <v>104.94</v>
      </c>
      <c r="P446" s="616">
        <v>120.5</v>
      </c>
    </row>
    <row r="447" spans="1:16" x14ac:dyDescent="0.3">
      <c r="A447" s="615">
        <v>39429</v>
      </c>
      <c r="B447" s="614" t="s">
        <v>282</v>
      </c>
      <c r="C447" s="614" t="s">
        <v>197</v>
      </c>
      <c r="D447" s="614">
        <v>125</v>
      </c>
      <c r="E447" s="616">
        <v>43.5</v>
      </c>
      <c r="F447" s="616">
        <v>5437.5</v>
      </c>
      <c r="G447" s="614" t="s">
        <v>1525</v>
      </c>
      <c r="H447" s="614">
        <v>200708181</v>
      </c>
      <c r="I447" s="614" t="s">
        <v>307</v>
      </c>
      <c r="J447" s="614" t="s">
        <v>200</v>
      </c>
      <c r="K447" s="614" t="s">
        <v>204</v>
      </c>
      <c r="L447" s="616">
        <v>6.8</v>
      </c>
      <c r="M447" s="616">
        <v>0</v>
      </c>
      <c r="N447" s="616">
        <v>0</v>
      </c>
      <c r="O447" s="616">
        <v>45.83</v>
      </c>
      <c r="P447" s="616">
        <v>52.63</v>
      </c>
    </row>
    <row r="448" spans="1:16" x14ac:dyDescent="0.3">
      <c r="A448" s="615">
        <v>39426</v>
      </c>
      <c r="B448" s="614" t="s">
        <v>1657</v>
      </c>
      <c r="C448" s="614" t="s">
        <v>197</v>
      </c>
      <c r="D448" s="614">
        <v>50</v>
      </c>
      <c r="E448" s="616">
        <v>240.5</v>
      </c>
      <c r="F448" s="616">
        <v>12025</v>
      </c>
      <c r="G448" s="614" t="s">
        <v>2030</v>
      </c>
      <c r="H448" s="614">
        <v>200708178</v>
      </c>
      <c r="I448" s="614" t="s">
        <v>199</v>
      </c>
      <c r="J448" s="614" t="s">
        <v>200</v>
      </c>
      <c r="K448" s="614" t="s">
        <v>204</v>
      </c>
      <c r="L448" s="616">
        <v>15.03</v>
      </c>
      <c r="M448" s="616">
        <v>0</v>
      </c>
      <c r="N448" s="616">
        <v>0</v>
      </c>
      <c r="O448" s="616">
        <v>101.34</v>
      </c>
      <c r="P448" s="616">
        <v>116.37</v>
      </c>
    </row>
    <row r="449" spans="1:16" x14ac:dyDescent="0.3">
      <c r="A449" s="615">
        <v>39426</v>
      </c>
      <c r="B449" s="614" t="s">
        <v>1655</v>
      </c>
      <c r="C449" s="614" t="s">
        <v>197</v>
      </c>
      <c r="D449" s="614">
        <v>50</v>
      </c>
      <c r="E449" s="616">
        <v>52.75</v>
      </c>
      <c r="F449" s="616">
        <v>2637.5</v>
      </c>
      <c r="G449" s="614" t="s">
        <v>2031</v>
      </c>
      <c r="H449" s="614">
        <v>200708178</v>
      </c>
      <c r="I449" s="614" t="s">
        <v>199</v>
      </c>
      <c r="J449" s="614" t="s">
        <v>200</v>
      </c>
      <c r="K449" s="614" t="s">
        <v>204</v>
      </c>
      <c r="L449" s="616">
        <v>3.3</v>
      </c>
      <c r="M449" s="616">
        <v>0</v>
      </c>
      <c r="N449" s="616">
        <v>0</v>
      </c>
      <c r="O449" s="616">
        <v>28.09</v>
      </c>
      <c r="P449" s="616">
        <v>31.39</v>
      </c>
    </row>
    <row r="450" spans="1:16" x14ac:dyDescent="0.3">
      <c r="A450" s="615">
        <v>39426</v>
      </c>
      <c r="B450" s="614" t="s">
        <v>1512</v>
      </c>
      <c r="C450" s="614" t="s">
        <v>197</v>
      </c>
      <c r="D450" s="614">
        <v>15</v>
      </c>
      <c r="E450" s="616">
        <v>1030.05</v>
      </c>
      <c r="F450" s="616">
        <v>15450.75</v>
      </c>
      <c r="G450" s="614" t="s">
        <v>1515</v>
      </c>
      <c r="H450" s="614">
        <v>2007236</v>
      </c>
      <c r="I450" s="614" t="s">
        <v>199</v>
      </c>
      <c r="J450" s="614" t="s">
        <v>200</v>
      </c>
      <c r="K450" s="614" t="s">
        <v>201</v>
      </c>
      <c r="L450" s="616">
        <v>19.309999999999999</v>
      </c>
      <c r="M450" s="616">
        <v>0</v>
      </c>
      <c r="N450" s="616">
        <v>0</v>
      </c>
      <c r="O450" s="616">
        <v>130.19999999999999</v>
      </c>
      <c r="P450" s="616">
        <v>149.51</v>
      </c>
    </row>
    <row r="451" spans="1:16" x14ac:dyDescent="0.3">
      <c r="A451" s="615">
        <v>39423</v>
      </c>
      <c r="B451" s="614" t="s">
        <v>2032</v>
      </c>
      <c r="C451" s="614" t="s">
        <v>197</v>
      </c>
      <c r="D451" s="614">
        <v>15</v>
      </c>
      <c r="E451" s="616">
        <v>395</v>
      </c>
      <c r="F451" s="616">
        <v>5925</v>
      </c>
      <c r="G451" s="614" t="s">
        <v>2033</v>
      </c>
      <c r="H451" s="614">
        <v>200708177</v>
      </c>
      <c r="I451" s="614" t="s">
        <v>199</v>
      </c>
      <c r="J451" s="614" t="s">
        <v>200</v>
      </c>
      <c r="K451" s="614" t="s">
        <v>204</v>
      </c>
      <c r="L451" s="616">
        <v>7.41</v>
      </c>
      <c r="M451" s="616">
        <v>0</v>
      </c>
      <c r="N451" s="616">
        <v>0</v>
      </c>
      <c r="O451" s="616">
        <v>49.93</v>
      </c>
      <c r="P451" s="616">
        <v>57.34</v>
      </c>
    </row>
    <row r="452" spans="1:16" x14ac:dyDescent="0.3">
      <c r="A452" s="615">
        <v>39423</v>
      </c>
      <c r="B452" s="614" t="s">
        <v>2034</v>
      </c>
      <c r="C452" s="614" t="s">
        <v>197</v>
      </c>
      <c r="D452" s="614">
        <v>20</v>
      </c>
      <c r="E452" s="616">
        <v>297</v>
      </c>
      <c r="F452" s="616">
        <v>5940</v>
      </c>
      <c r="G452" s="614" t="s">
        <v>2035</v>
      </c>
      <c r="H452" s="614">
        <v>200708177</v>
      </c>
      <c r="I452" s="614" t="s">
        <v>199</v>
      </c>
      <c r="J452" s="614" t="s">
        <v>200</v>
      </c>
      <c r="K452" s="614" t="s">
        <v>204</v>
      </c>
      <c r="L452" s="616">
        <v>7.43</v>
      </c>
      <c r="M452" s="616">
        <v>0</v>
      </c>
      <c r="N452" s="616">
        <v>0</v>
      </c>
      <c r="O452" s="616">
        <v>50.06</v>
      </c>
      <c r="P452" s="616">
        <v>57.49</v>
      </c>
    </row>
    <row r="453" spans="1:16" x14ac:dyDescent="0.3">
      <c r="A453" s="615">
        <v>39421</v>
      </c>
      <c r="B453" s="614" t="s">
        <v>2034</v>
      </c>
      <c r="C453" s="614" t="s">
        <v>197</v>
      </c>
      <c r="D453" s="614">
        <v>20</v>
      </c>
      <c r="E453" s="616">
        <v>320</v>
      </c>
      <c r="F453" s="616">
        <v>6400</v>
      </c>
      <c r="G453" s="614" t="s">
        <v>2036</v>
      </c>
      <c r="H453" s="614">
        <v>200708175</v>
      </c>
      <c r="I453" s="614" t="s">
        <v>199</v>
      </c>
      <c r="J453" s="614" t="s">
        <v>200</v>
      </c>
      <c r="K453" s="614" t="s">
        <v>204</v>
      </c>
      <c r="L453" s="616">
        <v>8</v>
      </c>
      <c r="M453" s="616">
        <v>0</v>
      </c>
      <c r="N453" s="616">
        <v>0</v>
      </c>
      <c r="O453" s="616">
        <v>53.93</v>
      </c>
      <c r="P453" s="616">
        <v>61.93</v>
      </c>
    </row>
    <row r="454" spans="1:16" x14ac:dyDescent="0.3">
      <c r="A454" s="615">
        <v>39421</v>
      </c>
      <c r="B454" s="614" t="s">
        <v>2032</v>
      </c>
      <c r="C454" s="614" t="s">
        <v>197</v>
      </c>
      <c r="D454" s="614">
        <v>5</v>
      </c>
      <c r="E454" s="616">
        <v>411</v>
      </c>
      <c r="F454" s="616">
        <v>2055</v>
      </c>
      <c r="G454" s="614" t="s">
        <v>2037</v>
      </c>
      <c r="H454" s="614">
        <v>200708175</v>
      </c>
      <c r="I454" s="614" t="s">
        <v>199</v>
      </c>
      <c r="J454" s="614" t="s">
        <v>200</v>
      </c>
      <c r="K454" s="614" t="s">
        <v>204</v>
      </c>
      <c r="L454" s="616">
        <v>2.57</v>
      </c>
      <c r="M454" s="616">
        <v>0</v>
      </c>
      <c r="N454" s="616">
        <v>0</v>
      </c>
      <c r="O454" s="616">
        <v>28.09</v>
      </c>
      <c r="P454" s="616">
        <v>30.66</v>
      </c>
    </row>
    <row r="455" spans="1:16" x14ac:dyDescent="0.3">
      <c r="A455" s="615">
        <v>39420</v>
      </c>
      <c r="B455" s="614" t="s">
        <v>2025</v>
      </c>
      <c r="C455" s="614" t="s">
        <v>197</v>
      </c>
      <c r="D455" s="614">
        <v>45</v>
      </c>
      <c r="E455" s="616">
        <v>262.5</v>
      </c>
      <c r="F455" s="616">
        <v>11812.5</v>
      </c>
      <c r="G455" s="614" t="s">
        <v>2038</v>
      </c>
      <c r="H455" s="614">
        <v>2007232</v>
      </c>
      <c r="I455" s="614" t="s">
        <v>199</v>
      </c>
      <c r="J455" s="614" t="s">
        <v>200</v>
      </c>
      <c r="K455" s="614" t="s">
        <v>201</v>
      </c>
      <c r="L455" s="616">
        <v>14.77</v>
      </c>
      <c r="M455" s="616">
        <v>0</v>
      </c>
      <c r="N455" s="616">
        <v>0</v>
      </c>
      <c r="O455" s="616">
        <v>99.54</v>
      </c>
      <c r="P455" s="616">
        <v>114.31</v>
      </c>
    </row>
    <row r="456" spans="1:16" x14ac:dyDescent="0.3">
      <c r="A456" s="615">
        <v>39419</v>
      </c>
      <c r="B456" s="614" t="s">
        <v>2032</v>
      </c>
      <c r="C456" s="614" t="s">
        <v>197</v>
      </c>
      <c r="D456" s="614">
        <v>12</v>
      </c>
      <c r="E456" s="616">
        <v>434</v>
      </c>
      <c r="F456" s="616">
        <v>5208</v>
      </c>
      <c r="G456" s="614" t="s">
        <v>2039</v>
      </c>
      <c r="H456" s="614">
        <v>200708173</v>
      </c>
      <c r="I456" s="614" t="s">
        <v>199</v>
      </c>
      <c r="J456" s="614" t="s">
        <v>200</v>
      </c>
      <c r="K456" s="614" t="s">
        <v>204</v>
      </c>
      <c r="L456" s="616">
        <v>6.51</v>
      </c>
      <c r="M456" s="616">
        <v>0</v>
      </c>
      <c r="N456" s="616">
        <v>0</v>
      </c>
      <c r="O456" s="616">
        <v>43.89</v>
      </c>
      <c r="P456" s="616">
        <v>50.4</v>
      </c>
    </row>
    <row r="457" spans="1:16" x14ac:dyDescent="0.3">
      <c r="A457" s="615">
        <v>39419</v>
      </c>
      <c r="B457" s="614" t="s">
        <v>2032</v>
      </c>
      <c r="C457" s="614" t="s">
        <v>197</v>
      </c>
      <c r="D457" s="614">
        <v>10</v>
      </c>
      <c r="E457" s="616">
        <v>428.1</v>
      </c>
      <c r="F457" s="616">
        <v>4281</v>
      </c>
      <c r="G457" s="614" t="s">
        <v>2040</v>
      </c>
      <c r="H457" s="614">
        <v>200708173</v>
      </c>
      <c r="I457" s="614" t="s">
        <v>199</v>
      </c>
      <c r="J457" s="614" t="s">
        <v>200</v>
      </c>
      <c r="K457" s="614" t="s">
        <v>204</v>
      </c>
      <c r="L457" s="616">
        <v>5.35</v>
      </c>
      <c r="M457" s="616">
        <v>0</v>
      </c>
      <c r="N457" s="616">
        <v>0</v>
      </c>
      <c r="O457" s="616">
        <v>36.08</v>
      </c>
      <c r="P457" s="616">
        <v>41.43</v>
      </c>
    </row>
    <row r="458" spans="1:16" x14ac:dyDescent="0.3">
      <c r="A458" s="615">
        <v>39419</v>
      </c>
      <c r="B458" s="614" t="s">
        <v>1657</v>
      </c>
      <c r="C458" s="614" t="s">
        <v>197</v>
      </c>
      <c r="D458" s="614">
        <v>50</v>
      </c>
      <c r="E458" s="616">
        <v>259.5</v>
      </c>
      <c r="F458" s="616">
        <v>12975</v>
      </c>
      <c r="G458" s="614" t="s">
        <v>2041</v>
      </c>
      <c r="H458" s="614">
        <v>2007231</v>
      </c>
      <c r="I458" s="614" t="s">
        <v>199</v>
      </c>
      <c r="J458" s="614" t="s">
        <v>200</v>
      </c>
      <c r="K458" s="614" t="s">
        <v>201</v>
      </c>
      <c r="L458" s="616">
        <v>16.22</v>
      </c>
      <c r="M458" s="616">
        <v>0</v>
      </c>
      <c r="N458" s="616">
        <v>0</v>
      </c>
      <c r="O458" s="616">
        <v>109.34</v>
      </c>
      <c r="P458" s="616">
        <v>125.56</v>
      </c>
    </row>
    <row r="459" spans="1:16" x14ac:dyDescent="0.3">
      <c r="A459" s="615">
        <v>39416</v>
      </c>
      <c r="B459" s="614" t="s">
        <v>2032</v>
      </c>
      <c r="C459" s="614" t="s">
        <v>197</v>
      </c>
      <c r="D459" s="614">
        <v>8</v>
      </c>
      <c r="E459" s="616">
        <v>430.9</v>
      </c>
      <c r="F459" s="616">
        <v>3447.2</v>
      </c>
      <c r="G459" s="614" t="s">
        <v>2042</v>
      </c>
      <c r="H459" s="614">
        <v>200708172</v>
      </c>
      <c r="I459" s="614" t="s">
        <v>199</v>
      </c>
      <c r="J459" s="614" t="s">
        <v>200</v>
      </c>
      <c r="K459" s="614" t="s">
        <v>204</v>
      </c>
      <c r="L459" s="616">
        <v>4.3099999999999996</v>
      </c>
      <c r="M459" s="616">
        <v>0</v>
      </c>
      <c r="N459" s="616">
        <v>0</v>
      </c>
      <c r="O459" s="616">
        <v>29.05</v>
      </c>
      <c r="P459" s="616">
        <v>33.36</v>
      </c>
    </row>
    <row r="460" spans="1:16" x14ac:dyDescent="0.3">
      <c r="A460" s="615">
        <v>39409</v>
      </c>
      <c r="B460" s="614" t="s">
        <v>1512</v>
      </c>
      <c r="C460" s="614" t="s">
        <v>197</v>
      </c>
      <c r="D460" s="614">
        <v>3</v>
      </c>
      <c r="E460" s="616">
        <v>1020.2</v>
      </c>
      <c r="F460" s="616">
        <v>3060.6</v>
      </c>
      <c r="G460" s="614" t="s">
        <v>1516</v>
      </c>
      <c r="H460" s="614">
        <v>200708167</v>
      </c>
      <c r="I460" s="614" t="s">
        <v>307</v>
      </c>
      <c r="J460" s="614" t="s">
        <v>200</v>
      </c>
      <c r="K460" s="614" t="s">
        <v>204</v>
      </c>
      <c r="L460" s="616">
        <v>3.83</v>
      </c>
      <c r="M460" s="616">
        <v>0</v>
      </c>
      <c r="N460" s="616">
        <v>0</v>
      </c>
      <c r="O460" s="616">
        <v>28.09</v>
      </c>
      <c r="P460" s="616">
        <v>31.92</v>
      </c>
    </row>
    <row r="461" spans="1:16" x14ac:dyDescent="0.3">
      <c r="A461" s="615">
        <v>39407</v>
      </c>
      <c r="B461" s="614" t="s">
        <v>1657</v>
      </c>
      <c r="C461" s="614" t="s">
        <v>197</v>
      </c>
      <c r="D461" s="614">
        <v>100</v>
      </c>
      <c r="E461" s="616">
        <v>248.4</v>
      </c>
      <c r="F461" s="616">
        <v>24840</v>
      </c>
      <c r="G461" s="614" t="s">
        <v>2043</v>
      </c>
      <c r="H461" s="614">
        <v>2007223</v>
      </c>
      <c r="I461" s="614" t="s">
        <v>199</v>
      </c>
      <c r="J461" s="614" t="s">
        <v>200</v>
      </c>
      <c r="K461" s="614" t="s">
        <v>201</v>
      </c>
      <c r="L461" s="616">
        <v>0</v>
      </c>
      <c r="M461" s="616">
        <v>0</v>
      </c>
      <c r="N461" s="616">
        <v>0</v>
      </c>
      <c r="O461" s="616">
        <v>16.850000000000001</v>
      </c>
      <c r="P461" s="616">
        <v>16.850000000000001</v>
      </c>
    </row>
    <row r="462" spans="1:16" x14ac:dyDescent="0.3">
      <c r="A462" s="615">
        <v>39407</v>
      </c>
      <c r="B462" s="614" t="s">
        <v>1657</v>
      </c>
      <c r="C462" s="614" t="s">
        <v>197</v>
      </c>
      <c r="D462" s="614">
        <v>100</v>
      </c>
      <c r="E462" s="616">
        <v>247.75</v>
      </c>
      <c r="F462" s="616">
        <v>24775</v>
      </c>
      <c r="G462" s="614" t="s">
        <v>2044</v>
      </c>
      <c r="H462" s="614">
        <v>2007223</v>
      </c>
      <c r="I462" s="614" t="s">
        <v>199</v>
      </c>
      <c r="J462" s="614" t="s">
        <v>200</v>
      </c>
      <c r="K462" s="614" t="s">
        <v>201</v>
      </c>
      <c r="L462" s="616">
        <v>0</v>
      </c>
      <c r="M462" s="616">
        <v>0</v>
      </c>
      <c r="N462" s="616">
        <v>0</v>
      </c>
      <c r="O462" s="616">
        <v>16.850000000000001</v>
      </c>
      <c r="P462" s="616">
        <v>16.850000000000001</v>
      </c>
    </row>
    <row r="463" spans="1:16" x14ac:dyDescent="0.3">
      <c r="A463" s="615">
        <v>39407</v>
      </c>
      <c r="B463" s="614" t="s">
        <v>1657</v>
      </c>
      <c r="C463" s="614" t="s">
        <v>197</v>
      </c>
      <c r="D463" s="614">
        <v>200</v>
      </c>
      <c r="E463" s="616">
        <v>236.8</v>
      </c>
      <c r="F463" s="616">
        <v>47360</v>
      </c>
      <c r="G463" s="614" t="s">
        <v>2045</v>
      </c>
      <c r="H463" s="614">
        <v>2007223</v>
      </c>
      <c r="I463" s="614" t="s">
        <v>199</v>
      </c>
      <c r="J463" s="614" t="s">
        <v>200</v>
      </c>
      <c r="K463" s="614" t="s">
        <v>201</v>
      </c>
      <c r="L463" s="616">
        <v>0</v>
      </c>
      <c r="M463" s="616">
        <v>0</v>
      </c>
      <c r="N463" s="616">
        <v>0</v>
      </c>
      <c r="O463" s="616">
        <v>16.86</v>
      </c>
      <c r="P463" s="616">
        <v>16.86</v>
      </c>
    </row>
    <row r="464" spans="1:16" x14ac:dyDescent="0.3">
      <c r="A464" s="615">
        <v>39406</v>
      </c>
      <c r="B464" s="614" t="s">
        <v>1551</v>
      </c>
      <c r="C464" s="614" t="s">
        <v>197</v>
      </c>
      <c r="D464" s="614">
        <v>2</v>
      </c>
      <c r="E464" s="616">
        <v>1617.8</v>
      </c>
      <c r="F464" s="616">
        <v>3235.6</v>
      </c>
      <c r="G464" s="614" t="s">
        <v>2046</v>
      </c>
      <c r="H464" s="614">
        <v>2007222</v>
      </c>
      <c r="I464" s="614" t="s">
        <v>199</v>
      </c>
      <c r="J464" s="614" t="s">
        <v>200</v>
      </c>
      <c r="K464" s="614" t="s">
        <v>201</v>
      </c>
      <c r="L464" s="616">
        <v>4.04</v>
      </c>
      <c r="M464" s="616">
        <v>0</v>
      </c>
      <c r="N464" s="616">
        <v>0</v>
      </c>
      <c r="O464" s="616">
        <v>28.09</v>
      </c>
      <c r="P464" s="616">
        <v>32.130000000000003</v>
      </c>
    </row>
    <row r="465" spans="1:16" x14ac:dyDescent="0.3">
      <c r="A465" s="615">
        <v>39400</v>
      </c>
      <c r="B465" s="614" t="s">
        <v>2047</v>
      </c>
      <c r="C465" s="614" t="s">
        <v>197</v>
      </c>
      <c r="D465" s="614">
        <v>10</v>
      </c>
      <c r="E465" s="616">
        <v>340.1</v>
      </c>
      <c r="F465" s="616">
        <v>3401</v>
      </c>
      <c r="G465" s="614" t="s">
        <v>2048</v>
      </c>
      <c r="H465" s="614">
        <v>2007218</v>
      </c>
      <c r="I465" s="614" t="s">
        <v>199</v>
      </c>
      <c r="J465" s="614" t="s">
        <v>200</v>
      </c>
      <c r="K465" s="614" t="s">
        <v>201</v>
      </c>
      <c r="L465" s="616">
        <v>4.25</v>
      </c>
      <c r="M465" s="616">
        <v>0</v>
      </c>
      <c r="N465" s="616">
        <v>0</v>
      </c>
      <c r="O465" s="616">
        <v>28.66</v>
      </c>
      <c r="P465" s="616">
        <v>32.909999999999997</v>
      </c>
    </row>
    <row r="466" spans="1:16" x14ac:dyDescent="0.3">
      <c r="A466" s="615">
        <v>39400</v>
      </c>
      <c r="B466" s="614" t="s">
        <v>2049</v>
      </c>
      <c r="C466" s="614" t="s">
        <v>197</v>
      </c>
      <c r="D466" s="614">
        <v>1</v>
      </c>
      <c r="E466" s="616">
        <v>2060</v>
      </c>
      <c r="F466" s="616">
        <v>2060</v>
      </c>
      <c r="G466" s="614" t="s">
        <v>2050</v>
      </c>
      <c r="H466" s="614">
        <v>2007218</v>
      </c>
      <c r="I466" s="614" t="s">
        <v>199</v>
      </c>
      <c r="J466" s="614" t="s">
        <v>200</v>
      </c>
      <c r="K466" s="614" t="s">
        <v>201</v>
      </c>
      <c r="L466" s="616">
        <v>2.58</v>
      </c>
      <c r="M466" s="616">
        <v>0</v>
      </c>
      <c r="N466" s="616">
        <v>0</v>
      </c>
      <c r="O466" s="616">
        <v>28.09</v>
      </c>
      <c r="P466" s="616">
        <v>30.67</v>
      </c>
    </row>
    <row r="467" spans="1:16" x14ac:dyDescent="0.3">
      <c r="A467" s="615">
        <v>39399</v>
      </c>
      <c r="B467" s="614" t="s">
        <v>1512</v>
      </c>
      <c r="C467" s="614" t="s">
        <v>197</v>
      </c>
      <c r="D467" s="614">
        <v>2</v>
      </c>
      <c r="E467" s="616">
        <v>976</v>
      </c>
      <c r="F467" s="616">
        <v>1952</v>
      </c>
      <c r="G467" s="614" t="s">
        <v>2051</v>
      </c>
      <c r="H467" s="614">
        <v>2007217</v>
      </c>
      <c r="I467" s="614" t="s">
        <v>307</v>
      </c>
      <c r="J467" s="614" t="s">
        <v>200</v>
      </c>
      <c r="K467" s="614" t="s">
        <v>201</v>
      </c>
      <c r="L467" s="616">
        <v>2.44</v>
      </c>
      <c r="M467" s="616">
        <v>0</v>
      </c>
      <c r="N467" s="616">
        <v>0</v>
      </c>
      <c r="O467" s="616">
        <v>28.09</v>
      </c>
      <c r="P467" s="616">
        <v>30.53</v>
      </c>
    </row>
    <row r="468" spans="1:16" x14ac:dyDescent="0.3">
      <c r="A468" s="615">
        <v>39399</v>
      </c>
      <c r="B468" s="614" t="s">
        <v>2047</v>
      </c>
      <c r="C468" s="614" t="s">
        <v>197</v>
      </c>
      <c r="D468" s="614">
        <v>20</v>
      </c>
      <c r="E468" s="616">
        <v>330</v>
      </c>
      <c r="F468" s="616">
        <v>6600</v>
      </c>
      <c r="G468" s="614" t="s">
        <v>2052</v>
      </c>
      <c r="H468" s="614">
        <v>2007217</v>
      </c>
      <c r="I468" s="614" t="s">
        <v>199</v>
      </c>
      <c r="J468" s="614" t="s">
        <v>200</v>
      </c>
      <c r="K468" s="614" t="s">
        <v>201</v>
      </c>
      <c r="L468" s="616">
        <v>8.25</v>
      </c>
      <c r="M468" s="616">
        <v>0</v>
      </c>
      <c r="N468" s="616">
        <v>0</v>
      </c>
      <c r="O468" s="616">
        <v>55.62</v>
      </c>
      <c r="P468" s="616">
        <v>63.87</v>
      </c>
    </row>
    <row r="469" spans="1:16" x14ac:dyDescent="0.3">
      <c r="A469" s="615">
        <v>39398</v>
      </c>
      <c r="B469" s="614" t="s">
        <v>1697</v>
      </c>
      <c r="C469" s="614" t="s">
        <v>197</v>
      </c>
      <c r="D469" s="614">
        <v>10</v>
      </c>
      <c r="E469" s="616">
        <v>849.1</v>
      </c>
      <c r="F469" s="616">
        <v>8491</v>
      </c>
      <c r="G469" s="614" t="s">
        <v>2175</v>
      </c>
      <c r="H469" s="614">
        <v>2007216</v>
      </c>
      <c r="I469" s="614" t="s">
        <v>199</v>
      </c>
      <c r="J469" s="614" t="s">
        <v>200</v>
      </c>
      <c r="K469" s="614" t="s">
        <v>201</v>
      </c>
      <c r="L469" s="616">
        <v>10.61</v>
      </c>
      <c r="M469" s="616">
        <v>0</v>
      </c>
      <c r="N469" s="616">
        <v>0</v>
      </c>
      <c r="O469" s="616">
        <v>71.55</v>
      </c>
      <c r="P469" s="616">
        <v>82.16</v>
      </c>
    </row>
    <row r="470" spans="1:16" x14ac:dyDescent="0.3">
      <c r="A470" s="615">
        <v>39398</v>
      </c>
      <c r="B470" s="614" t="s">
        <v>1697</v>
      </c>
      <c r="C470" s="614" t="s">
        <v>197</v>
      </c>
      <c r="D470" s="614">
        <v>5</v>
      </c>
      <c r="E470" s="616">
        <v>850</v>
      </c>
      <c r="F470" s="616">
        <v>4250</v>
      </c>
      <c r="G470" s="614" t="s">
        <v>2176</v>
      </c>
      <c r="H470" s="614">
        <v>2007216</v>
      </c>
      <c r="I470" s="614" t="s">
        <v>199</v>
      </c>
      <c r="J470" s="614" t="s">
        <v>200</v>
      </c>
      <c r="K470" s="614" t="s">
        <v>201</v>
      </c>
      <c r="L470" s="616">
        <v>5.31</v>
      </c>
      <c r="M470" s="616">
        <v>0</v>
      </c>
      <c r="N470" s="616">
        <v>0</v>
      </c>
      <c r="O470" s="616">
        <v>35.82</v>
      </c>
      <c r="P470" s="616">
        <v>41.13</v>
      </c>
    </row>
    <row r="471" spans="1:16" x14ac:dyDescent="0.3">
      <c r="A471" s="615">
        <v>39398</v>
      </c>
      <c r="B471" s="614" t="s">
        <v>2177</v>
      </c>
      <c r="C471" s="614" t="s">
        <v>197</v>
      </c>
      <c r="D471" s="614">
        <v>10</v>
      </c>
      <c r="E471" s="616">
        <v>682</v>
      </c>
      <c r="F471" s="616">
        <v>6820</v>
      </c>
      <c r="G471" s="614" t="s">
        <v>2178</v>
      </c>
      <c r="H471" s="614">
        <v>2007216</v>
      </c>
      <c r="I471" s="614" t="s">
        <v>199</v>
      </c>
      <c r="J471" s="614" t="s">
        <v>200</v>
      </c>
      <c r="K471" s="614" t="s">
        <v>201</v>
      </c>
      <c r="L471" s="616">
        <v>8.5299999999999994</v>
      </c>
      <c r="M471" s="616">
        <v>0</v>
      </c>
      <c r="N471" s="616">
        <v>0</v>
      </c>
      <c r="O471" s="616">
        <v>57.47</v>
      </c>
      <c r="P471" s="616">
        <v>66</v>
      </c>
    </row>
    <row r="472" spans="1:16" x14ac:dyDescent="0.3">
      <c r="A472" s="615">
        <v>39393</v>
      </c>
      <c r="B472" s="614" t="s">
        <v>1657</v>
      </c>
      <c r="C472" s="614" t="s">
        <v>197</v>
      </c>
      <c r="D472" s="614">
        <v>30</v>
      </c>
      <c r="E472" s="616">
        <v>195.1</v>
      </c>
      <c r="F472" s="616">
        <v>5853</v>
      </c>
      <c r="G472" s="614" t="s">
        <v>2179</v>
      </c>
      <c r="H472" s="614">
        <v>2007213</v>
      </c>
      <c r="I472" s="614" t="s">
        <v>199</v>
      </c>
      <c r="J472" s="614" t="s">
        <v>200</v>
      </c>
      <c r="K472" s="614" t="s">
        <v>201</v>
      </c>
      <c r="L472" s="616">
        <v>7.32</v>
      </c>
      <c r="M472" s="616">
        <v>0</v>
      </c>
      <c r="N472" s="616">
        <v>0</v>
      </c>
      <c r="O472" s="616">
        <v>49.33</v>
      </c>
      <c r="P472" s="616">
        <v>56.65</v>
      </c>
    </row>
    <row r="473" spans="1:16" x14ac:dyDescent="0.3">
      <c r="A473" s="615">
        <v>39392</v>
      </c>
      <c r="B473" s="614" t="s">
        <v>2180</v>
      </c>
      <c r="C473" s="614" t="s">
        <v>197</v>
      </c>
      <c r="D473" s="614">
        <v>100</v>
      </c>
      <c r="E473" s="616">
        <v>44.5</v>
      </c>
      <c r="F473" s="616">
        <v>4450</v>
      </c>
      <c r="G473" s="614" t="s">
        <v>2181</v>
      </c>
      <c r="H473" s="614">
        <v>2007212</v>
      </c>
      <c r="I473" s="614" t="s">
        <v>199</v>
      </c>
      <c r="J473" s="614" t="s">
        <v>200</v>
      </c>
      <c r="K473" s="614" t="s">
        <v>201</v>
      </c>
      <c r="L473" s="616">
        <v>5.56</v>
      </c>
      <c r="M473" s="616">
        <v>0</v>
      </c>
      <c r="N473" s="616">
        <v>0</v>
      </c>
      <c r="O473" s="616">
        <v>37.51</v>
      </c>
      <c r="P473" s="616">
        <v>43.07</v>
      </c>
    </row>
    <row r="474" spans="1:16" x14ac:dyDescent="0.3">
      <c r="A474" s="615">
        <v>39392</v>
      </c>
      <c r="B474" s="614" t="s">
        <v>2180</v>
      </c>
      <c r="C474" s="614" t="s">
        <v>197</v>
      </c>
      <c r="D474" s="614">
        <v>50</v>
      </c>
      <c r="E474" s="616">
        <v>44.5</v>
      </c>
      <c r="F474" s="616">
        <v>2225</v>
      </c>
      <c r="G474" s="614" t="s">
        <v>2182</v>
      </c>
      <c r="H474" s="614">
        <v>2007212</v>
      </c>
      <c r="I474" s="614" t="s">
        <v>199</v>
      </c>
      <c r="J474" s="614" t="s">
        <v>200</v>
      </c>
      <c r="K474" s="614" t="s">
        <v>201</v>
      </c>
      <c r="L474" s="616">
        <v>2.78</v>
      </c>
      <c r="M474" s="616">
        <v>0</v>
      </c>
      <c r="N474" s="616">
        <v>0</v>
      </c>
      <c r="O474" s="616">
        <v>28.09</v>
      </c>
      <c r="P474" s="616">
        <v>30.87</v>
      </c>
    </row>
    <row r="475" spans="1:16" x14ac:dyDescent="0.3">
      <c r="A475" s="615">
        <v>39391</v>
      </c>
      <c r="B475" s="614" t="s">
        <v>1512</v>
      </c>
      <c r="C475" s="614" t="s">
        <v>197</v>
      </c>
      <c r="D475" s="614">
        <v>2</v>
      </c>
      <c r="E475" s="616">
        <v>989</v>
      </c>
      <c r="F475" s="616">
        <v>1978</v>
      </c>
      <c r="G475" s="614" t="s">
        <v>2183</v>
      </c>
      <c r="H475" s="614">
        <v>2007211</v>
      </c>
      <c r="I475" s="614" t="s">
        <v>307</v>
      </c>
      <c r="J475" s="614" t="s">
        <v>200</v>
      </c>
      <c r="K475" s="614" t="s">
        <v>201</v>
      </c>
      <c r="L475" s="616">
        <v>2.4700000000000002</v>
      </c>
      <c r="M475" s="616">
        <v>0</v>
      </c>
      <c r="N475" s="616">
        <v>0</v>
      </c>
      <c r="O475" s="616">
        <v>28.09</v>
      </c>
      <c r="P475" s="616">
        <v>30.56</v>
      </c>
    </row>
    <row r="476" spans="1:16" x14ac:dyDescent="0.3">
      <c r="A476" s="615">
        <v>39388</v>
      </c>
      <c r="B476" s="614" t="s">
        <v>2049</v>
      </c>
      <c r="C476" s="614" t="s">
        <v>197</v>
      </c>
      <c r="D476" s="614">
        <v>1</v>
      </c>
      <c r="E476" s="616">
        <v>2645</v>
      </c>
      <c r="F476" s="616">
        <v>2645</v>
      </c>
      <c r="G476" s="614" t="s">
        <v>2184</v>
      </c>
      <c r="H476" s="614">
        <v>200708152</v>
      </c>
      <c r="I476" s="614" t="s">
        <v>199</v>
      </c>
      <c r="J476" s="614" t="s">
        <v>200</v>
      </c>
      <c r="K476" s="614" t="s">
        <v>204</v>
      </c>
      <c r="L476" s="616">
        <v>3.31</v>
      </c>
      <c r="M476" s="616">
        <v>0</v>
      </c>
      <c r="N476" s="616">
        <v>0</v>
      </c>
      <c r="O476" s="616">
        <v>28.09</v>
      </c>
      <c r="P476" s="616">
        <v>31.4</v>
      </c>
    </row>
    <row r="477" spans="1:16" x14ac:dyDescent="0.3">
      <c r="A477" s="615">
        <v>39388</v>
      </c>
      <c r="B477" s="614" t="s">
        <v>1512</v>
      </c>
      <c r="C477" s="614" t="s">
        <v>197</v>
      </c>
      <c r="D477" s="614">
        <v>3</v>
      </c>
      <c r="E477" s="616">
        <v>1014.85</v>
      </c>
      <c r="F477" s="616">
        <v>3044.55</v>
      </c>
      <c r="G477" s="614" t="s">
        <v>2185</v>
      </c>
      <c r="H477" s="614">
        <v>200708152</v>
      </c>
      <c r="I477" s="614" t="s">
        <v>307</v>
      </c>
      <c r="J477" s="614" t="s">
        <v>200</v>
      </c>
      <c r="K477" s="614" t="s">
        <v>204</v>
      </c>
      <c r="L477" s="616">
        <v>3.81</v>
      </c>
      <c r="M477" s="616">
        <v>0</v>
      </c>
      <c r="N477" s="616">
        <v>0</v>
      </c>
      <c r="O477" s="616">
        <v>28.09</v>
      </c>
      <c r="P477" s="616">
        <v>31.9</v>
      </c>
    </row>
    <row r="478" spans="1:16" x14ac:dyDescent="0.3">
      <c r="A478" s="615">
        <v>39385</v>
      </c>
      <c r="B478" s="614" t="s">
        <v>282</v>
      </c>
      <c r="C478" s="614" t="s">
        <v>197</v>
      </c>
      <c r="D478" s="614">
        <v>200</v>
      </c>
      <c r="E478" s="616">
        <v>42.2</v>
      </c>
      <c r="F478" s="616">
        <v>8440</v>
      </c>
      <c r="G478" s="614" t="s">
        <v>2186</v>
      </c>
      <c r="H478" s="614">
        <v>200708149</v>
      </c>
      <c r="I478" s="614" t="s">
        <v>199</v>
      </c>
      <c r="J478" s="614" t="s">
        <v>200</v>
      </c>
      <c r="K478" s="614" t="s">
        <v>204</v>
      </c>
      <c r="L478" s="616">
        <v>10.55</v>
      </c>
      <c r="M478" s="616">
        <v>0</v>
      </c>
      <c r="N478" s="616">
        <v>0</v>
      </c>
      <c r="O478" s="616">
        <v>71.12</v>
      </c>
      <c r="P478" s="616">
        <v>81.67</v>
      </c>
    </row>
    <row r="479" spans="1:16" x14ac:dyDescent="0.3">
      <c r="A479" s="615">
        <v>39385</v>
      </c>
      <c r="B479" s="614" t="s">
        <v>282</v>
      </c>
      <c r="C479" s="614" t="s">
        <v>197</v>
      </c>
      <c r="D479" s="614">
        <v>200</v>
      </c>
      <c r="E479" s="616">
        <v>42.8</v>
      </c>
      <c r="F479" s="616">
        <v>8560</v>
      </c>
      <c r="G479" s="614" t="s">
        <v>2187</v>
      </c>
      <c r="H479" s="614">
        <v>2007207</v>
      </c>
      <c r="I479" s="614" t="s">
        <v>199</v>
      </c>
      <c r="J479" s="614" t="s">
        <v>200</v>
      </c>
      <c r="K479" s="614" t="s">
        <v>201</v>
      </c>
      <c r="L479" s="616">
        <v>10.7</v>
      </c>
      <c r="M479" s="616">
        <v>0</v>
      </c>
      <c r="N479" s="616">
        <v>0</v>
      </c>
      <c r="O479" s="616">
        <v>72.14</v>
      </c>
      <c r="P479" s="616">
        <v>82.84</v>
      </c>
    </row>
    <row r="480" spans="1:16" x14ac:dyDescent="0.3">
      <c r="A480" s="615">
        <v>39384</v>
      </c>
      <c r="B480" s="614" t="s">
        <v>282</v>
      </c>
      <c r="C480" s="614" t="s">
        <v>197</v>
      </c>
      <c r="D480" s="614">
        <v>100</v>
      </c>
      <c r="E480" s="616">
        <v>38.4</v>
      </c>
      <c r="F480" s="616">
        <v>3840</v>
      </c>
      <c r="G480" s="614" t="s">
        <v>2188</v>
      </c>
      <c r="H480" s="614">
        <v>200708148</v>
      </c>
      <c r="I480" s="614" t="s">
        <v>199</v>
      </c>
      <c r="J480" s="614" t="s">
        <v>200</v>
      </c>
      <c r="K480" s="614" t="s">
        <v>204</v>
      </c>
      <c r="L480" s="616">
        <v>4.8</v>
      </c>
      <c r="M480" s="616">
        <v>0</v>
      </c>
      <c r="N480" s="616">
        <v>0</v>
      </c>
      <c r="O480" s="616">
        <v>32.36</v>
      </c>
      <c r="P480" s="616">
        <v>37.159999999999997</v>
      </c>
    </row>
    <row r="481" spans="1:16" x14ac:dyDescent="0.3">
      <c r="A481" s="615">
        <v>39384</v>
      </c>
      <c r="B481" s="614" t="s">
        <v>1512</v>
      </c>
      <c r="C481" s="614" t="s">
        <v>197</v>
      </c>
      <c r="D481" s="614">
        <v>5</v>
      </c>
      <c r="E481" s="616">
        <v>1289.8</v>
      </c>
      <c r="F481" s="616">
        <v>6449</v>
      </c>
      <c r="G481" s="614" t="s">
        <v>2189</v>
      </c>
      <c r="H481" s="614">
        <v>2007206</v>
      </c>
      <c r="I481" s="614" t="s">
        <v>307</v>
      </c>
      <c r="J481" s="614" t="s">
        <v>200</v>
      </c>
      <c r="K481" s="614" t="s">
        <v>201</v>
      </c>
      <c r="L481" s="616">
        <v>8.06</v>
      </c>
      <c r="M481" s="616">
        <v>0</v>
      </c>
      <c r="N481" s="616">
        <v>0</v>
      </c>
      <c r="O481" s="616">
        <v>54.35</v>
      </c>
      <c r="P481" s="616">
        <v>62.41</v>
      </c>
    </row>
    <row r="482" spans="1:16" x14ac:dyDescent="0.3">
      <c r="A482" s="615">
        <v>39384</v>
      </c>
      <c r="B482" s="614" t="s">
        <v>1512</v>
      </c>
      <c r="C482" s="614" t="s">
        <v>197</v>
      </c>
      <c r="D482" s="614">
        <v>5</v>
      </c>
      <c r="E482" s="616">
        <v>1280</v>
      </c>
      <c r="F482" s="616">
        <v>6400</v>
      </c>
      <c r="G482" s="614" t="s">
        <v>2190</v>
      </c>
      <c r="H482" s="614">
        <v>2007206</v>
      </c>
      <c r="I482" s="614" t="s">
        <v>307</v>
      </c>
      <c r="J482" s="614" t="s">
        <v>200</v>
      </c>
      <c r="K482" s="614" t="s">
        <v>201</v>
      </c>
      <c r="L482" s="616">
        <v>8</v>
      </c>
      <c r="M482" s="616">
        <v>0</v>
      </c>
      <c r="N482" s="616">
        <v>0</v>
      </c>
      <c r="O482" s="616">
        <v>53.93</v>
      </c>
      <c r="P482" s="616">
        <v>61.93</v>
      </c>
    </row>
    <row r="483" spans="1:16" x14ac:dyDescent="0.3">
      <c r="A483" s="615">
        <v>39384</v>
      </c>
      <c r="B483" s="614" t="s">
        <v>1512</v>
      </c>
      <c r="C483" s="614" t="s">
        <v>197</v>
      </c>
      <c r="D483" s="614">
        <v>5</v>
      </c>
      <c r="E483" s="616">
        <v>1270</v>
      </c>
      <c r="F483" s="616">
        <v>6350</v>
      </c>
      <c r="G483" s="614" t="s">
        <v>2191</v>
      </c>
      <c r="H483" s="614">
        <v>2007206</v>
      </c>
      <c r="I483" s="614" t="s">
        <v>307</v>
      </c>
      <c r="J483" s="614" t="s">
        <v>200</v>
      </c>
      <c r="K483" s="614" t="s">
        <v>201</v>
      </c>
      <c r="L483" s="616">
        <v>7.94</v>
      </c>
      <c r="M483" s="616">
        <v>0</v>
      </c>
      <c r="N483" s="616">
        <v>0</v>
      </c>
      <c r="O483" s="616">
        <v>53.51</v>
      </c>
      <c r="P483" s="616">
        <v>61.45</v>
      </c>
    </row>
    <row r="484" spans="1:16" x14ac:dyDescent="0.3">
      <c r="A484" s="615">
        <v>39372</v>
      </c>
      <c r="B484" s="614" t="s">
        <v>1657</v>
      </c>
      <c r="C484" s="614" t="s">
        <v>197</v>
      </c>
      <c r="D484" s="614">
        <v>20</v>
      </c>
      <c r="E484" s="616">
        <v>166.5</v>
      </c>
      <c r="F484" s="616">
        <v>3330</v>
      </c>
      <c r="G484" s="614" t="s">
        <v>2192</v>
      </c>
      <c r="H484" s="614">
        <v>2007198</v>
      </c>
      <c r="I484" s="614" t="s">
        <v>199</v>
      </c>
      <c r="J484" s="614" t="s">
        <v>200</v>
      </c>
      <c r="K484" s="614" t="s">
        <v>201</v>
      </c>
      <c r="L484" s="616">
        <v>4.16</v>
      </c>
      <c r="M484" s="616">
        <v>0</v>
      </c>
      <c r="N484" s="616">
        <v>0</v>
      </c>
      <c r="O484" s="616">
        <v>28.09</v>
      </c>
      <c r="P484" s="616">
        <v>32.25</v>
      </c>
    </row>
    <row r="485" spans="1:16" x14ac:dyDescent="0.3">
      <c r="A485" s="615">
        <v>39372</v>
      </c>
      <c r="B485" s="614" t="s">
        <v>1657</v>
      </c>
      <c r="C485" s="614" t="s">
        <v>197</v>
      </c>
      <c r="D485" s="614">
        <v>20</v>
      </c>
      <c r="E485" s="616">
        <v>166.7</v>
      </c>
      <c r="F485" s="616">
        <v>3334</v>
      </c>
      <c r="G485" s="614" t="s">
        <v>2193</v>
      </c>
      <c r="H485" s="614">
        <v>2007198</v>
      </c>
      <c r="I485" s="614" t="s">
        <v>199</v>
      </c>
      <c r="J485" s="614" t="s">
        <v>200</v>
      </c>
      <c r="K485" s="614" t="s">
        <v>201</v>
      </c>
      <c r="L485" s="616">
        <v>4.17</v>
      </c>
      <c r="M485" s="616">
        <v>0</v>
      </c>
      <c r="N485" s="616">
        <v>0</v>
      </c>
      <c r="O485" s="616">
        <v>28.1</v>
      </c>
      <c r="P485" s="616">
        <v>32.270000000000003</v>
      </c>
    </row>
    <row r="486" spans="1:16" x14ac:dyDescent="0.3">
      <c r="A486" s="615">
        <v>39371</v>
      </c>
      <c r="B486" s="614" t="s">
        <v>1657</v>
      </c>
      <c r="C486" s="614" t="s">
        <v>197</v>
      </c>
      <c r="D486" s="614">
        <v>25</v>
      </c>
      <c r="E486" s="616">
        <v>174.2</v>
      </c>
      <c r="F486" s="616">
        <v>4355</v>
      </c>
      <c r="G486" s="614" t="s">
        <v>2194</v>
      </c>
      <c r="H486" s="614">
        <v>2007197</v>
      </c>
      <c r="I486" s="614" t="s">
        <v>199</v>
      </c>
      <c r="J486" s="614" t="s">
        <v>200</v>
      </c>
      <c r="K486" s="614" t="s">
        <v>201</v>
      </c>
      <c r="L486" s="616">
        <v>5.44</v>
      </c>
      <c r="M486" s="616">
        <v>0</v>
      </c>
      <c r="N486" s="616">
        <v>0</v>
      </c>
      <c r="O486" s="616">
        <v>36.700000000000003</v>
      </c>
      <c r="P486" s="616">
        <v>42.14</v>
      </c>
    </row>
    <row r="487" spans="1:16" x14ac:dyDescent="0.3">
      <c r="A487" s="615">
        <v>39367</v>
      </c>
      <c r="B487" s="614" t="s">
        <v>2195</v>
      </c>
      <c r="C487" s="614" t="s">
        <v>197</v>
      </c>
      <c r="D487" s="614">
        <v>5</v>
      </c>
      <c r="E487" s="616">
        <v>385.1</v>
      </c>
      <c r="F487" s="616">
        <v>1925.5</v>
      </c>
      <c r="G487" s="614" t="s">
        <v>2196</v>
      </c>
      <c r="H487" s="614">
        <v>2007195</v>
      </c>
      <c r="I487" s="614" t="s">
        <v>199</v>
      </c>
      <c r="J487" s="614" t="s">
        <v>200</v>
      </c>
      <c r="K487" s="614" t="s">
        <v>201</v>
      </c>
      <c r="L487" s="616">
        <v>2.41</v>
      </c>
      <c r="M487" s="616">
        <v>0</v>
      </c>
      <c r="N487" s="616">
        <v>0</v>
      </c>
      <c r="O487" s="616">
        <v>28.09</v>
      </c>
      <c r="P487" s="616">
        <v>30.5</v>
      </c>
    </row>
    <row r="488" spans="1:16" x14ac:dyDescent="0.3">
      <c r="A488" s="615">
        <v>39366</v>
      </c>
      <c r="B488" s="614" t="s">
        <v>2197</v>
      </c>
      <c r="C488" s="614" t="s">
        <v>197</v>
      </c>
      <c r="D488" s="614">
        <v>5</v>
      </c>
      <c r="E488" s="616">
        <v>971.5</v>
      </c>
      <c r="F488" s="616">
        <v>4857.5</v>
      </c>
      <c r="G488" s="614" t="s">
        <v>2198</v>
      </c>
      <c r="H488" s="614">
        <v>2007194</v>
      </c>
      <c r="I488" s="614" t="s">
        <v>199</v>
      </c>
      <c r="J488" s="614" t="s">
        <v>200</v>
      </c>
      <c r="K488" s="614" t="s">
        <v>201</v>
      </c>
      <c r="L488" s="616">
        <v>6.07</v>
      </c>
      <c r="M488" s="616">
        <v>0</v>
      </c>
      <c r="N488" s="616">
        <v>0</v>
      </c>
      <c r="O488" s="616">
        <v>40.93</v>
      </c>
      <c r="P488" s="616">
        <v>47</v>
      </c>
    </row>
    <row r="489" spans="1:16" x14ac:dyDescent="0.3">
      <c r="A489" s="615">
        <v>39366</v>
      </c>
      <c r="B489" s="614" t="s">
        <v>2197</v>
      </c>
      <c r="C489" s="614" t="s">
        <v>197</v>
      </c>
      <c r="D489" s="614">
        <v>5</v>
      </c>
      <c r="E489" s="616">
        <v>975.5</v>
      </c>
      <c r="F489" s="616">
        <v>4877.5</v>
      </c>
      <c r="G489" s="614" t="s">
        <v>2199</v>
      </c>
      <c r="H489" s="614">
        <v>2007194</v>
      </c>
      <c r="I489" s="614" t="s">
        <v>199</v>
      </c>
      <c r="J489" s="614" t="s">
        <v>200</v>
      </c>
      <c r="K489" s="614" t="s">
        <v>201</v>
      </c>
      <c r="L489" s="616">
        <v>6.1</v>
      </c>
      <c r="M489" s="616">
        <v>0</v>
      </c>
      <c r="N489" s="616">
        <v>0</v>
      </c>
      <c r="O489" s="616">
        <v>41.1</v>
      </c>
      <c r="P489" s="616">
        <v>47.2</v>
      </c>
    </row>
    <row r="490" spans="1:16" x14ac:dyDescent="0.3">
      <c r="A490" s="615">
        <v>39360</v>
      </c>
      <c r="B490" s="614" t="s">
        <v>2200</v>
      </c>
      <c r="C490" s="614" t="s">
        <v>197</v>
      </c>
      <c r="D490" s="614">
        <v>2</v>
      </c>
      <c r="E490" s="616">
        <v>550.20000000000005</v>
      </c>
      <c r="F490" s="616">
        <v>1100.4000000000001</v>
      </c>
      <c r="G490" s="614" t="s">
        <v>2201</v>
      </c>
      <c r="H490" s="614">
        <v>200708132</v>
      </c>
      <c r="I490" s="614" t="s">
        <v>199</v>
      </c>
      <c r="J490" s="614" t="s">
        <v>200</v>
      </c>
      <c r="K490" s="614" t="s">
        <v>204</v>
      </c>
      <c r="L490" s="616">
        <v>1.38</v>
      </c>
      <c r="M490" s="616">
        <v>0</v>
      </c>
      <c r="N490" s="616">
        <v>0</v>
      </c>
      <c r="O490" s="616">
        <v>28.09</v>
      </c>
      <c r="P490" s="616">
        <v>29.47</v>
      </c>
    </row>
    <row r="491" spans="1:16" x14ac:dyDescent="0.3">
      <c r="A491" s="615">
        <v>39360</v>
      </c>
      <c r="B491" s="614" t="s">
        <v>1553</v>
      </c>
      <c r="C491" s="614" t="s">
        <v>197</v>
      </c>
      <c r="D491" s="614">
        <v>3</v>
      </c>
      <c r="E491" s="616">
        <v>345.6</v>
      </c>
      <c r="F491" s="616">
        <v>1036.8</v>
      </c>
      <c r="G491" s="614" t="s">
        <v>2202</v>
      </c>
      <c r="H491" s="614">
        <v>2007190</v>
      </c>
      <c r="I491" s="614" t="s">
        <v>199</v>
      </c>
      <c r="J491" s="614" t="s">
        <v>200</v>
      </c>
      <c r="K491" s="614" t="s">
        <v>201</v>
      </c>
      <c r="L491" s="616">
        <v>1.3</v>
      </c>
      <c r="M491" s="616">
        <v>0</v>
      </c>
      <c r="N491" s="616">
        <v>0</v>
      </c>
      <c r="O491" s="616">
        <v>28.09</v>
      </c>
      <c r="P491" s="616">
        <v>29.39</v>
      </c>
    </row>
    <row r="492" spans="1:16" x14ac:dyDescent="0.3">
      <c r="A492" s="615">
        <v>39359</v>
      </c>
      <c r="B492" s="614" t="s">
        <v>211</v>
      </c>
      <c r="C492" s="614" t="s">
        <v>197</v>
      </c>
      <c r="D492" s="614">
        <v>3</v>
      </c>
      <c r="E492" s="616">
        <v>442.5</v>
      </c>
      <c r="F492" s="616">
        <v>1327.5</v>
      </c>
      <c r="G492" s="614" t="s">
        <v>2203</v>
      </c>
      <c r="H492" s="614">
        <v>2007189</v>
      </c>
      <c r="I492" s="614" t="s">
        <v>199</v>
      </c>
      <c r="J492" s="614" t="s">
        <v>200</v>
      </c>
      <c r="K492" s="614" t="s">
        <v>201</v>
      </c>
      <c r="L492" s="616">
        <v>1.66</v>
      </c>
      <c r="M492" s="616">
        <v>0</v>
      </c>
      <c r="N492" s="616">
        <v>0</v>
      </c>
      <c r="O492" s="616">
        <v>28.09</v>
      </c>
      <c r="P492" s="616">
        <v>29.75</v>
      </c>
    </row>
    <row r="493" spans="1:16" x14ac:dyDescent="0.3">
      <c r="A493" s="615">
        <v>39356</v>
      </c>
      <c r="B493" s="614" t="s">
        <v>2204</v>
      </c>
      <c r="C493" s="614" t="s">
        <v>197</v>
      </c>
      <c r="D493" s="614">
        <v>10</v>
      </c>
      <c r="E493" s="616">
        <v>68</v>
      </c>
      <c r="F493" s="616">
        <v>680</v>
      </c>
      <c r="G493" s="614" t="s">
        <v>2205</v>
      </c>
      <c r="H493" s="614">
        <v>200708129</v>
      </c>
      <c r="I493" s="614" t="s">
        <v>199</v>
      </c>
      <c r="J493" s="614" t="s">
        <v>200</v>
      </c>
      <c r="K493" s="614" t="s">
        <v>204</v>
      </c>
      <c r="L493" s="616">
        <v>0.85</v>
      </c>
      <c r="M493" s="616">
        <v>0</v>
      </c>
      <c r="N493" s="616">
        <v>0</v>
      </c>
      <c r="O493" s="616">
        <v>19.100000000000001</v>
      </c>
      <c r="P493" s="616">
        <v>19.95</v>
      </c>
    </row>
    <row r="494" spans="1:16" x14ac:dyDescent="0.3">
      <c r="A494" s="615">
        <v>39356</v>
      </c>
      <c r="B494" s="614" t="s">
        <v>2206</v>
      </c>
      <c r="C494" s="614" t="s">
        <v>197</v>
      </c>
      <c r="D494" s="614">
        <v>5</v>
      </c>
      <c r="E494" s="616">
        <v>172.5</v>
      </c>
      <c r="F494" s="616">
        <v>862.5</v>
      </c>
      <c r="G494" s="614" t="s">
        <v>2207</v>
      </c>
      <c r="H494" s="614">
        <v>2007187</v>
      </c>
      <c r="I494" s="614" t="s">
        <v>199</v>
      </c>
      <c r="J494" s="614" t="s">
        <v>200</v>
      </c>
      <c r="K494" s="614" t="s">
        <v>201</v>
      </c>
      <c r="L494" s="616">
        <v>1.08</v>
      </c>
      <c r="M494" s="616">
        <v>0</v>
      </c>
      <c r="N494" s="616">
        <v>0</v>
      </c>
      <c r="O494" s="616">
        <v>24.23</v>
      </c>
      <c r="P494" s="616">
        <v>25.31</v>
      </c>
    </row>
    <row r="495" spans="1:16" x14ac:dyDescent="0.3">
      <c r="A495" s="615">
        <v>39356</v>
      </c>
      <c r="B495" s="614" t="s">
        <v>1657</v>
      </c>
      <c r="C495" s="614" t="s">
        <v>197</v>
      </c>
      <c r="D495" s="614">
        <v>5</v>
      </c>
      <c r="E495" s="616">
        <v>180</v>
      </c>
      <c r="F495" s="616">
        <v>900</v>
      </c>
      <c r="G495" s="614" t="s">
        <v>2208</v>
      </c>
      <c r="H495" s="614">
        <v>2007191</v>
      </c>
      <c r="I495" s="614" t="s">
        <v>199</v>
      </c>
      <c r="J495" s="614" t="s">
        <v>200</v>
      </c>
      <c r="K495" s="614" t="s">
        <v>201</v>
      </c>
      <c r="L495" s="616">
        <v>1.1299999999999999</v>
      </c>
      <c r="M495" s="616">
        <v>0</v>
      </c>
      <c r="N495" s="616">
        <v>0</v>
      </c>
      <c r="O495" s="616">
        <v>25.28</v>
      </c>
      <c r="P495" s="616">
        <v>26.41</v>
      </c>
    </row>
    <row r="496" spans="1:16" x14ac:dyDescent="0.3">
      <c r="A496" s="615">
        <v>39356</v>
      </c>
      <c r="B496" s="614" t="s">
        <v>2209</v>
      </c>
      <c r="C496" s="614" t="s">
        <v>197</v>
      </c>
      <c r="D496" s="614">
        <v>5</v>
      </c>
      <c r="E496" s="616">
        <v>199.95</v>
      </c>
      <c r="F496" s="616">
        <v>999.75</v>
      </c>
      <c r="G496" s="614" t="s">
        <v>2210</v>
      </c>
      <c r="H496" s="614">
        <v>2007187</v>
      </c>
      <c r="I496" s="614" t="s">
        <v>199</v>
      </c>
      <c r="J496" s="614" t="s">
        <v>200</v>
      </c>
      <c r="K496" s="614" t="s">
        <v>201</v>
      </c>
      <c r="L496" s="616">
        <v>1.25</v>
      </c>
      <c r="M496" s="616">
        <v>0</v>
      </c>
      <c r="N496" s="616">
        <v>0</v>
      </c>
      <c r="O496" s="616">
        <v>28.08</v>
      </c>
      <c r="P496" s="616">
        <v>29.33</v>
      </c>
    </row>
    <row r="497" spans="1:16" x14ac:dyDescent="0.3">
      <c r="A497" s="615">
        <v>39356</v>
      </c>
      <c r="B497" s="614" t="s">
        <v>2211</v>
      </c>
      <c r="C497" s="614" t="s">
        <v>197</v>
      </c>
      <c r="D497" s="614">
        <v>20</v>
      </c>
      <c r="E497" s="616">
        <v>34.1</v>
      </c>
      <c r="F497" s="616">
        <v>682</v>
      </c>
      <c r="G497" s="614" t="s">
        <v>2212</v>
      </c>
      <c r="H497" s="614">
        <v>2007187</v>
      </c>
      <c r="I497" s="614" t="s">
        <v>199</v>
      </c>
      <c r="J497" s="614" t="s">
        <v>200</v>
      </c>
      <c r="K497" s="614" t="s">
        <v>201</v>
      </c>
      <c r="L497" s="616">
        <v>0.85</v>
      </c>
      <c r="M497" s="616">
        <v>0</v>
      </c>
      <c r="N497" s="616">
        <v>0</v>
      </c>
      <c r="O497" s="616">
        <v>19.16</v>
      </c>
      <c r="P497" s="616">
        <v>20.010000000000002</v>
      </c>
    </row>
    <row r="498" spans="1:16" x14ac:dyDescent="0.3">
      <c r="A498" s="615">
        <v>39356</v>
      </c>
      <c r="B498" s="614" t="s">
        <v>2213</v>
      </c>
      <c r="C498" s="614" t="s">
        <v>197</v>
      </c>
      <c r="D498" s="614">
        <v>10</v>
      </c>
      <c r="E498" s="616">
        <v>88.8</v>
      </c>
      <c r="F498" s="616">
        <v>888</v>
      </c>
      <c r="G498" s="614" t="s">
        <v>2214</v>
      </c>
      <c r="H498" s="614">
        <v>2007187</v>
      </c>
      <c r="I498" s="614" t="s">
        <v>199</v>
      </c>
      <c r="J498" s="614" t="s">
        <v>200</v>
      </c>
      <c r="K498" s="614" t="s">
        <v>201</v>
      </c>
      <c r="L498" s="616">
        <v>1.1100000000000001</v>
      </c>
      <c r="M498" s="616">
        <v>0</v>
      </c>
      <c r="N498" s="616">
        <v>0</v>
      </c>
      <c r="O498" s="616">
        <v>24.94</v>
      </c>
      <c r="P498" s="616">
        <v>26.05</v>
      </c>
    </row>
    <row r="499" spans="1:16" x14ac:dyDescent="0.3">
      <c r="A499" s="615">
        <v>39356</v>
      </c>
      <c r="B499" s="614" t="s">
        <v>2215</v>
      </c>
      <c r="C499" s="614" t="s">
        <v>197</v>
      </c>
      <c r="D499" s="614">
        <v>20</v>
      </c>
      <c r="E499" s="616">
        <v>44.7</v>
      </c>
      <c r="F499" s="616">
        <v>894</v>
      </c>
      <c r="G499" s="614" t="s">
        <v>2216</v>
      </c>
      <c r="H499" s="614">
        <v>2007187</v>
      </c>
      <c r="I499" s="614" t="s">
        <v>199</v>
      </c>
      <c r="J499" s="614" t="s">
        <v>200</v>
      </c>
      <c r="K499" s="614" t="s">
        <v>201</v>
      </c>
      <c r="L499" s="616">
        <v>1.1200000000000001</v>
      </c>
      <c r="M499" s="616">
        <v>0</v>
      </c>
      <c r="N499" s="616">
        <v>0</v>
      </c>
      <c r="O499" s="616">
        <v>25.11</v>
      </c>
      <c r="P499" s="616">
        <v>26.23</v>
      </c>
    </row>
    <row r="500" spans="1:16" x14ac:dyDescent="0.3">
      <c r="A500" s="615">
        <v>39353</v>
      </c>
      <c r="B500" s="614" t="s">
        <v>2217</v>
      </c>
      <c r="C500" s="614" t="s">
        <v>197</v>
      </c>
      <c r="D500" s="614">
        <v>10</v>
      </c>
      <c r="E500" s="616">
        <v>190.41</v>
      </c>
      <c r="F500" s="616">
        <v>1904.1</v>
      </c>
      <c r="G500" s="614" t="s">
        <v>2218</v>
      </c>
      <c r="H500" s="614">
        <v>2007186</v>
      </c>
      <c r="I500" s="614" t="s">
        <v>199</v>
      </c>
      <c r="J500" s="614" t="s">
        <v>200</v>
      </c>
      <c r="K500" s="614" t="s">
        <v>201</v>
      </c>
      <c r="L500" s="616">
        <v>2.38</v>
      </c>
      <c r="M500" s="616">
        <v>0</v>
      </c>
      <c r="N500" s="616">
        <v>0</v>
      </c>
      <c r="O500" s="616">
        <v>28.09</v>
      </c>
      <c r="P500" s="616">
        <v>30.47</v>
      </c>
    </row>
    <row r="501" spans="1:16" x14ac:dyDescent="0.3">
      <c r="A501" s="615">
        <v>39353</v>
      </c>
      <c r="B501" s="614" t="s">
        <v>2219</v>
      </c>
      <c r="C501" s="614" t="s">
        <v>197</v>
      </c>
      <c r="D501" s="614">
        <v>5</v>
      </c>
      <c r="E501" s="616">
        <v>711.2</v>
      </c>
      <c r="F501" s="616">
        <v>3556</v>
      </c>
      <c r="G501" s="614" t="s">
        <v>2220</v>
      </c>
      <c r="H501" s="614">
        <v>2007186</v>
      </c>
      <c r="I501" s="614" t="s">
        <v>199</v>
      </c>
      <c r="J501" s="614" t="s">
        <v>200</v>
      </c>
      <c r="K501" s="614" t="s">
        <v>201</v>
      </c>
      <c r="L501" s="616">
        <v>4.45</v>
      </c>
      <c r="M501" s="616">
        <v>0</v>
      </c>
      <c r="N501" s="616">
        <v>0</v>
      </c>
      <c r="O501" s="616">
        <v>29.97</v>
      </c>
      <c r="P501" s="616">
        <v>34.42</v>
      </c>
    </row>
    <row r="502" spans="1:16" x14ac:dyDescent="0.3">
      <c r="A502" s="615">
        <v>39352</v>
      </c>
      <c r="B502" s="614" t="s">
        <v>2219</v>
      </c>
      <c r="C502" s="614" t="s">
        <v>197</v>
      </c>
      <c r="D502" s="614">
        <v>5</v>
      </c>
      <c r="E502" s="616">
        <v>705</v>
      </c>
      <c r="F502" s="616">
        <v>3525</v>
      </c>
      <c r="G502" s="614" t="s">
        <v>2221</v>
      </c>
      <c r="H502" s="614">
        <v>2007185</v>
      </c>
      <c r="I502" s="614" t="s">
        <v>199</v>
      </c>
      <c r="J502" s="614" t="s">
        <v>200</v>
      </c>
      <c r="K502" s="614" t="s">
        <v>201</v>
      </c>
      <c r="L502" s="616">
        <v>4.41</v>
      </c>
      <c r="M502" s="616">
        <v>0</v>
      </c>
      <c r="N502" s="616">
        <v>0</v>
      </c>
      <c r="O502" s="616">
        <v>29.71</v>
      </c>
      <c r="P502" s="616">
        <v>34.119999999999997</v>
      </c>
    </row>
    <row r="503" spans="1:16" x14ac:dyDescent="0.3">
      <c r="A503" s="615">
        <v>39343</v>
      </c>
      <c r="B503" s="614" t="s">
        <v>2222</v>
      </c>
      <c r="C503" s="614" t="s">
        <v>197</v>
      </c>
      <c r="D503" s="614">
        <v>50</v>
      </c>
      <c r="E503" s="616">
        <v>131.19999999999999</v>
      </c>
      <c r="F503" s="616">
        <v>6560</v>
      </c>
      <c r="G503" s="614" t="s">
        <v>2223</v>
      </c>
      <c r="H503" s="614">
        <v>2007178</v>
      </c>
      <c r="I503" s="614" t="s">
        <v>199</v>
      </c>
      <c r="J503" s="614" t="s">
        <v>200</v>
      </c>
      <c r="K503" s="614" t="s">
        <v>201</v>
      </c>
      <c r="L503" s="616">
        <v>8.1999999999999993</v>
      </c>
      <c r="M503" s="616">
        <v>0</v>
      </c>
      <c r="N503" s="616">
        <v>0</v>
      </c>
      <c r="O503" s="616">
        <v>55.28</v>
      </c>
      <c r="P503" s="616">
        <v>63.48</v>
      </c>
    </row>
    <row r="504" spans="1:16" x14ac:dyDescent="0.3">
      <c r="A504" s="615">
        <v>39339</v>
      </c>
      <c r="B504" s="614" t="s">
        <v>1107</v>
      </c>
      <c r="C504" s="614" t="s">
        <v>197</v>
      </c>
      <c r="D504" s="614">
        <v>100</v>
      </c>
      <c r="E504" s="616">
        <v>122.25</v>
      </c>
      <c r="F504" s="616">
        <v>12225</v>
      </c>
      <c r="G504" s="614" t="s">
        <v>2224</v>
      </c>
      <c r="H504" s="614">
        <v>2007176</v>
      </c>
      <c r="I504" s="614" t="s">
        <v>199</v>
      </c>
      <c r="J504" s="614" t="s">
        <v>200</v>
      </c>
      <c r="K504" s="614" t="s">
        <v>201</v>
      </c>
      <c r="L504" s="616">
        <v>15.28</v>
      </c>
      <c r="M504" s="616">
        <v>0</v>
      </c>
      <c r="N504" s="616">
        <v>0</v>
      </c>
      <c r="O504" s="616">
        <v>103.02</v>
      </c>
      <c r="P504" s="616">
        <v>118.3</v>
      </c>
    </row>
    <row r="505" spans="1:16" x14ac:dyDescent="0.3">
      <c r="A505" s="615">
        <v>39296</v>
      </c>
      <c r="B505" s="614" t="s">
        <v>1998</v>
      </c>
      <c r="C505" s="614" t="s">
        <v>197</v>
      </c>
      <c r="D505" s="614">
        <v>100</v>
      </c>
      <c r="E505" s="616">
        <v>56.1</v>
      </c>
      <c r="F505" s="616">
        <v>5610</v>
      </c>
      <c r="G505" s="614" t="s">
        <v>2225</v>
      </c>
      <c r="H505" s="614">
        <v>2007146</v>
      </c>
      <c r="I505" s="614" t="s">
        <v>199</v>
      </c>
      <c r="J505" s="614" t="s">
        <v>200</v>
      </c>
      <c r="K505" s="614" t="s">
        <v>201</v>
      </c>
      <c r="L505" s="616">
        <v>7.01</v>
      </c>
      <c r="M505" s="616">
        <v>0</v>
      </c>
      <c r="N505" s="616">
        <v>0</v>
      </c>
      <c r="O505" s="616">
        <v>47.28</v>
      </c>
      <c r="P505" s="616">
        <v>54.29</v>
      </c>
    </row>
    <row r="506" spans="1:16" x14ac:dyDescent="0.3">
      <c r="A506" s="615">
        <v>39296</v>
      </c>
      <c r="B506" s="614" t="s">
        <v>1998</v>
      </c>
      <c r="C506" s="614" t="s">
        <v>197</v>
      </c>
      <c r="D506" s="614">
        <v>100</v>
      </c>
      <c r="E506" s="616">
        <v>56.35</v>
      </c>
      <c r="F506" s="616">
        <v>5635</v>
      </c>
      <c r="G506" s="614" t="s">
        <v>2226</v>
      </c>
      <c r="H506" s="614">
        <v>2007146</v>
      </c>
      <c r="I506" s="614" t="s">
        <v>199</v>
      </c>
      <c r="J506" s="614" t="s">
        <v>200</v>
      </c>
      <c r="K506" s="614" t="s">
        <v>201</v>
      </c>
      <c r="L506" s="616">
        <v>7.04</v>
      </c>
      <c r="M506" s="616">
        <v>0</v>
      </c>
      <c r="N506" s="616">
        <v>0</v>
      </c>
      <c r="O506" s="616">
        <v>47.48</v>
      </c>
      <c r="P506" s="616">
        <v>54.52</v>
      </c>
    </row>
    <row r="507" spans="1:16" x14ac:dyDescent="0.3">
      <c r="A507" s="615">
        <v>39296</v>
      </c>
      <c r="B507" s="614" t="s">
        <v>1998</v>
      </c>
      <c r="C507" s="614" t="s">
        <v>197</v>
      </c>
      <c r="D507" s="614">
        <v>100</v>
      </c>
      <c r="E507" s="616">
        <v>56.6</v>
      </c>
      <c r="F507" s="616">
        <v>5660</v>
      </c>
      <c r="G507" s="614" t="s">
        <v>2227</v>
      </c>
      <c r="H507" s="614">
        <v>2007146</v>
      </c>
      <c r="I507" s="614" t="s">
        <v>199</v>
      </c>
      <c r="J507" s="614" t="s">
        <v>200</v>
      </c>
      <c r="K507" s="614" t="s">
        <v>201</v>
      </c>
      <c r="L507" s="616">
        <v>7.08</v>
      </c>
      <c r="M507" s="616">
        <v>0</v>
      </c>
      <c r="N507" s="616">
        <v>0</v>
      </c>
      <c r="O507" s="616">
        <v>47.7</v>
      </c>
      <c r="P507" s="616">
        <v>54.78</v>
      </c>
    </row>
    <row r="508" spans="1:16" x14ac:dyDescent="0.3">
      <c r="A508" s="615">
        <v>39296</v>
      </c>
      <c r="B508" s="614" t="s">
        <v>1998</v>
      </c>
      <c r="C508" s="614" t="s">
        <v>197</v>
      </c>
      <c r="D508" s="614">
        <v>100</v>
      </c>
      <c r="E508" s="616">
        <v>56.45</v>
      </c>
      <c r="F508" s="616">
        <v>5645</v>
      </c>
      <c r="G508" s="614" t="s">
        <v>2228</v>
      </c>
      <c r="H508" s="614">
        <v>2007146</v>
      </c>
      <c r="I508" s="614" t="s">
        <v>199</v>
      </c>
      <c r="J508" s="614" t="s">
        <v>200</v>
      </c>
      <c r="K508" s="614" t="s">
        <v>201</v>
      </c>
      <c r="L508" s="616">
        <v>7.06</v>
      </c>
      <c r="M508" s="616">
        <v>0</v>
      </c>
      <c r="N508" s="616">
        <v>0</v>
      </c>
      <c r="O508" s="616">
        <v>47.57</v>
      </c>
      <c r="P508" s="616">
        <v>54.63</v>
      </c>
    </row>
    <row r="509" spans="1:16" x14ac:dyDescent="0.3">
      <c r="A509" s="615">
        <v>39287</v>
      </c>
      <c r="B509" s="614" t="s">
        <v>1983</v>
      </c>
      <c r="C509" s="614" t="s">
        <v>197</v>
      </c>
      <c r="D509" s="614">
        <v>5</v>
      </c>
      <c r="E509" s="616">
        <v>1409.9</v>
      </c>
      <c r="F509" s="616">
        <v>7049.5</v>
      </c>
      <c r="G509" s="614" t="s">
        <v>2229</v>
      </c>
      <c r="H509" s="614">
        <v>2007139</v>
      </c>
      <c r="I509" s="614" t="s">
        <v>199</v>
      </c>
      <c r="J509" s="614" t="s">
        <v>200</v>
      </c>
      <c r="K509" s="614" t="s">
        <v>201</v>
      </c>
      <c r="L509" s="616">
        <v>8.81</v>
      </c>
      <c r="M509" s="616">
        <v>0</v>
      </c>
      <c r="N509" s="616">
        <v>0</v>
      </c>
      <c r="O509" s="616">
        <v>59.41</v>
      </c>
      <c r="P509" s="616">
        <v>68.22</v>
      </c>
    </row>
    <row r="510" spans="1:16" x14ac:dyDescent="0.3">
      <c r="A510" s="615">
        <v>39280</v>
      </c>
      <c r="B510" s="614" t="s">
        <v>2230</v>
      </c>
      <c r="C510" s="614" t="s">
        <v>197</v>
      </c>
      <c r="D510" s="614">
        <v>10</v>
      </c>
      <c r="E510" s="616">
        <v>740.1</v>
      </c>
      <c r="F510" s="616">
        <v>7401</v>
      </c>
      <c r="G510" s="614" t="s">
        <v>2231</v>
      </c>
      <c r="H510" s="614">
        <v>2007134</v>
      </c>
      <c r="I510" s="614" t="s">
        <v>199</v>
      </c>
      <c r="J510" s="614" t="s">
        <v>200</v>
      </c>
      <c r="K510" s="614" t="s">
        <v>201</v>
      </c>
      <c r="L510" s="616">
        <v>9.25</v>
      </c>
      <c r="M510" s="616">
        <v>0</v>
      </c>
      <c r="N510" s="616">
        <v>0</v>
      </c>
      <c r="O510" s="616">
        <v>62.37</v>
      </c>
      <c r="P510" s="616">
        <v>71.62</v>
      </c>
    </row>
    <row r="511" spans="1:16" x14ac:dyDescent="0.3">
      <c r="A511" s="615">
        <v>39232</v>
      </c>
      <c r="B511" s="614" t="s">
        <v>1983</v>
      </c>
      <c r="C511" s="614" t="s">
        <v>197</v>
      </c>
      <c r="D511" s="614">
        <v>15</v>
      </c>
      <c r="E511" s="616">
        <v>1485</v>
      </c>
      <c r="F511" s="616">
        <v>22275</v>
      </c>
      <c r="G511" s="614" t="s">
        <v>2232</v>
      </c>
      <c r="H511" s="614">
        <v>2007100</v>
      </c>
      <c r="I511" s="614" t="s">
        <v>199</v>
      </c>
      <c r="J511" s="614" t="s">
        <v>200</v>
      </c>
      <c r="K511" s="614" t="s">
        <v>201</v>
      </c>
      <c r="L511" s="616">
        <v>27.84</v>
      </c>
      <c r="M511" s="616">
        <v>0</v>
      </c>
      <c r="N511" s="616">
        <v>0</v>
      </c>
      <c r="O511" s="616">
        <v>187.71</v>
      </c>
      <c r="P511" s="616">
        <v>215.55</v>
      </c>
    </row>
    <row r="512" spans="1:16" x14ac:dyDescent="0.3">
      <c r="A512" s="615">
        <v>39225</v>
      </c>
      <c r="B512" s="614" t="s">
        <v>2230</v>
      </c>
      <c r="C512" s="614" t="s">
        <v>197</v>
      </c>
      <c r="D512" s="614">
        <v>5</v>
      </c>
      <c r="E512" s="616">
        <v>767</v>
      </c>
      <c r="F512" s="616">
        <v>3835</v>
      </c>
      <c r="G512" s="614" t="s">
        <v>2233</v>
      </c>
      <c r="H512" s="614">
        <v>2007095</v>
      </c>
      <c r="I512" s="614" t="s">
        <v>199</v>
      </c>
      <c r="J512" s="614" t="s">
        <v>200</v>
      </c>
      <c r="K512" s="614" t="s">
        <v>201</v>
      </c>
      <c r="L512" s="616">
        <v>4.79</v>
      </c>
      <c r="M512" s="616">
        <v>0</v>
      </c>
      <c r="N512" s="616">
        <v>0</v>
      </c>
      <c r="O512" s="616">
        <v>32.32</v>
      </c>
      <c r="P512" s="616">
        <v>37.11</v>
      </c>
    </row>
    <row r="513" spans="1:16" x14ac:dyDescent="0.3">
      <c r="A513" s="615">
        <v>39225</v>
      </c>
      <c r="B513" s="614" t="s">
        <v>2230</v>
      </c>
      <c r="C513" s="614" t="s">
        <v>197</v>
      </c>
      <c r="D513" s="614">
        <v>5</v>
      </c>
      <c r="E513" s="616">
        <v>760.2</v>
      </c>
      <c r="F513" s="616">
        <v>3801</v>
      </c>
      <c r="G513" s="614" t="s">
        <v>2234</v>
      </c>
      <c r="H513" s="614">
        <v>2007095</v>
      </c>
      <c r="I513" s="614" t="s">
        <v>199</v>
      </c>
      <c r="J513" s="614" t="s">
        <v>200</v>
      </c>
      <c r="K513" s="614" t="s">
        <v>201</v>
      </c>
      <c r="L513" s="616">
        <v>4.75</v>
      </c>
      <c r="M513" s="616">
        <v>0</v>
      </c>
      <c r="N513" s="616">
        <v>0</v>
      </c>
      <c r="O513" s="616">
        <v>32.03</v>
      </c>
      <c r="P513" s="616">
        <v>36.78</v>
      </c>
    </row>
    <row r="514" spans="1:16" x14ac:dyDescent="0.3">
      <c r="A514" s="615">
        <v>39224</v>
      </c>
      <c r="B514" s="614" t="s">
        <v>2230</v>
      </c>
      <c r="C514" s="614" t="s">
        <v>197</v>
      </c>
      <c r="D514" s="614">
        <v>10</v>
      </c>
      <c r="E514" s="616">
        <v>769.5</v>
      </c>
      <c r="F514" s="616">
        <v>7695</v>
      </c>
      <c r="G514" s="614" t="s">
        <v>2235</v>
      </c>
      <c r="H514" s="614">
        <v>2007094</v>
      </c>
      <c r="I514" s="614" t="s">
        <v>199</v>
      </c>
      <c r="J514" s="614" t="s">
        <v>200</v>
      </c>
      <c r="K514" s="614" t="s">
        <v>201</v>
      </c>
      <c r="L514" s="616">
        <v>9.6199999999999992</v>
      </c>
      <c r="M514" s="616">
        <v>0</v>
      </c>
      <c r="N514" s="616">
        <v>0</v>
      </c>
      <c r="O514" s="616">
        <v>64.849999999999994</v>
      </c>
      <c r="P514" s="616">
        <v>74.47</v>
      </c>
    </row>
    <row r="515" spans="1:16" x14ac:dyDescent="0.3">
      <c r="A515" s="615">
        <v>39218</v>
      </c>
      <c r="B515" s="614" t="s">
        <v>1101</v>
      </c>
      <c r="C515" s="614" t="s">
        <v>197</v>
      </c>
      <c r="D515" s="614">
        <v>10</v>
      </c>
      <c r="E515" s="616">
        <v>531.5</v>
      </c>
      <c r="F515" s="616">
        <v>5315</v>
      </c>
      <c r="G515" s="614" t="s">
        <v>2236</v>
      </c>
      <c r="H515" s="614">
        <v>2007090</v>
      </c>
      <c r="I515" s="614" t="s">
        <v>199</v>
      </c>
      <c r="J515" s="614" t="s">
        <v>200</v>
      </c>
      <c r="K515" s="614" t="s">
        <v>201</v>
      </c>
      <c r="L515" s="616">
        <v>6.64</v>
      </c>
      <c r="M515" s="616">
        <v>0</v>
      </c>
      <c r="N515" s="616">
        <v>0</v>
      </c>
      <c r="O515" s="616">
        <v>44.79</v>
      </c>
      <c r="P515" s="616">
        <v>51.43</v>
      </c>
    </row>
    <row r="516" spans="1:16" x14ac:dyDescent="0.3">
      <c r="A516" s="615">
        <v>39211</v>
      </c>
      <c r="B516" s="614" t="s">
        <v>1101</v>
      </c>
      <c r="C516" s="614" t="s">
        <v>197</v>
      </c>
      <c r="D516" s="614">
        <v>10</v>
      </c>
      <c r="E516" s="616">
        <v>545.5</v>
      </c>
      <c r="F516" s="616">
        <v>5455</v>
      </c>
      <c r="G516" s="614" t="s">
        <v>2237</v>
      </c>
      <c r="H516" s="614">
        <v>2007085</v>
      </c>
      <c r="I516" s="614" t="s">
        <v>199</v>
      </c>
      <c r="J516" s="614" t="s">
        <v>200</v>
      </c>
      <c r="K516" s="614" t="s">
        <v>201</v>
      </c>
      <c r="L516" s="616">
        <v>6.82</v>
      </c>
      <c r="M516" s="616">
        <v>0</v>
      </c>
      <c r="N516" s="616">
        <v>0</v>
      </c>
      <c r="O516" s="616">
        <v>45.92</v>
      </c>
      <c r="P516" s="616">
        <v>52.74</v>
      </c>
    </row>
    <row r="517" spans="1:16" x14ac:dyDescent="0.3">
      <c r="A517" s="615">
        <v>39210</v>
      </c>
      <c r="B517" s="614" t="s">
        <v>1686</v>
      </c>
      <c r="C517" s="614" t="s">
        <v>197</v>
      </c>
      <c r="D517" s="614">
        <v>150</v>
      </c>
      <c r="E517" s="616">
        <v>116.75</v>
      </c>
      <c r="F517" s="616">
        <v>17512.5</v>
      </c>
      <c r="G517" s="614" t="s">
        <v>2238</v>
      </c>
      <c r="H517" s="614">
        <v>2007084</v>
      </c>
      <c r="I517" s="614" t="s">
        <v>199</v>
      </c>
      <c r="J517" s="614" t="s">
        <v>200</v>
      </c>
      <c r="K517" s="614" t="s">
        <v>201</v>
      </c>
      <c r="L517" s="616">
        <v>21.89</v>
      </c>
      <c r="M517" s="616">
        <v>0</v>
      </c>
      <c r="N517" s="616">
        <v>0</v>
      </c>
      <c r="O517" s="616">
        <v>147.41999999999999</v>
      </c>
      <c r="P517" s="616">
        <v>169.31</v>
      </c>
    </row>
    <row r="518" spans="1:16" x14ac:dyDescent="0.3">
      <c r="A518" s="615">
        <v>39202</v>
      </c>
      <c r="B518" s="614" t="s">
        <v>1697</v>
      </c>
      <c r="C518" s="614" t="s">
        <v>197</v>
      </c>
      <c r="D518" s="614">
        <v>100</v>
      </c>
      <c r="E518" s="616">
        <v>805.95150000000001</v>
      </c>
      <c r="F518" s="616">
        <v>80595.149999999994</v>
      </c>
      <c r="G518" s="614" t="s">
        <v>2239</v>
      </c>
      <c r="H518" s="614">
        <v>2007080</v>
      </c>
      <c r="I518" s="614" t="s">
        <v>199</v>
      </c>
      <c r="J518" s="614" t="s">
        <v>200</v>
      </c>
      <c r="K518" s="614" t="s">
        <v>201</v>
      </c>
      <c r="L518" s="616">
        <v>20.149999999999999</v>
      </c>
      <c r="M518" s="616">
        <v>0</v>
      </c>
      <c r="N518" s="616">
        <v>0</v>
      </c>
      <c r="O518" s="616">
        <v>45.22</v>
      </c>
      <c r="P518" s="616">
        <v>65.37</v>
      </c>
    </row>
    <row r="519" spans="1:16" x14ac:dyDescent="0.3">
      <c r="A519" s="615">
        <v>39202</v>
      </c>
      <c r="B519" s="614" t="s">
        <v>1697</v>
      </c>
      <c r="C519" s="614" t="s">
        <v>197</v>
      </c>
      <c r="D519" s="614">
        <v>100</v>
      </c>
      <c r="E519" s="616">
        <v>802.69799999999998</v>
      </c>
      <c r="F519" s="616">
        <v>80269.8</v>
      </c>
      <c r="G519" s="614" t="s">
        <v>2240</v>
      </c>
      <c r="H519" s="614">
        <v>2007080</v>
      </c>
      <c r="I519" s="614" t="s">
        <v>199</v>
      </c>
      <c r="J519" s="614" t="s">
        <v>200</v>
      </c>
      <c r="K519" s="614" t="s">
        <v>201</v>
      </c>
      <c r="L519" s="616">
        <v>0</v>
      </c>
      <c r="M519" s="616">
        <v>0</v>
      </c>
      <c r="N519" s="616">
        <v>0</v>
      </c>
      <c r="O519" s="616">
        <v>45.04</v>
      </c>
      <c r="P519" s="616">
        <v>45.04</v>
      </c>
    </row>
    <row r="520" spans="1:16" x14ac:dyDescent="0.3">
      <c r="A520" s="615">
        <v>39202</v>
      </c>
      <c r="B520" s="614" t="s">
        <v>1697</v>
      </c>
      <c r="C520" s="614" t="s">
        <v>197</v>
      </c>
      <c r="D520" s="614">
        <v>20</v>
      </c>
      <c r="E520" s="616">
        <v>805.55</v>
      </c>
      <c r="F520" s="616">
        <v>16111</v>
      </c>
      <c r="G520" s="614" t="s">
        <v>2241</v>
      </c>
      <c r="H520" s="614">
        <v>2007080</v>
      </c>
      <c r="I520" s="614" t="s">
        <v>199</v>
      </c>
      <c r="J520" s="614" t="s">
        <v>200</v>
      </c>
      <c r="K520" s="614" t="s">
        <v>201</v>
      </c>
      <c r="L520" s="616">
        <v>0</v>
      </c>
      <c r="M520" s="616">
        <v>0</v>
      </c>
      <c r="N520" s="616">
        <v>0</v>
      </c>
      <c r="O520" s="616">
        <v>135.62</v>
      </c>
      <c r="P520" s="616">
        <v>135.62</v>
      </c>
    </row>
    <row r="521" spans="1:16" x14ac:dyDescent="0.3">
      <c r="A521" s="615">
        <v>39199</v>
      </c>
      <c r="B521" s="614" t="s">
        <v>1697</v>
      </c>
      <c r="C521" s="614" t="s">
        <v>197</v>
      </c>
      <c r="D521" s="614">
        <v>40</v>
      </c>
      <c r="E521" s="616">
        <v>825</v>
      </c>
      <c r="F521" s="616">
        <v>33000</v>
      </c>
      <c r="G521" s="614" t="s">
        <v>2242</v>
      </c>
      <c r="H521" s="614">
        <v>2007079</v>
      </c>
      <c r="I521" s="614" t="s">
        <v>199</v>
      </c>
      <c r="J521" s="614" t="s">
        <v>200</v>
      </c>
      <c r="K521" s="614" t="s">
        <v>201</v>
      </c>
      <c r="L521" s="616">
        <v>41.25</v>
      </c>
      <c r="M521" s="616">
        <v>0</v>
      </c>
      <c r="N521" s="616">
        <v>0</v>
      </c>
      <c r="O521" s="616">
        <v>277.8</v>
      </c>
      <c r="P521" s="616">
        <v>319.05</v>
      </c>
    </row>
    <row r="522" spans="1:16" x14ac:dyDescent="0.3">
      <c r="A522" s="615">
        <v>39199</v>
      </c>
      <c r="B522" s="614" t="s">
        <v>1686</v>
      </c>
      <c r="C522" s="614" t="s">
        <v>197</v>
      </c>
      <c r="D522" s="614">
        <v>200</v>
      </c>
      <c r="E522" s="616">
        <v>123.95</v>
      </c>
      <c r="F522" s="616">
        <v>24790</v>
      </c>
      <c r="G522" s="614" t="s">
        <v>2259</v>
      </c>
      <c r="H522" s="614">
        <v>2007079</v>
      </c>
      <c r="I522" s="614" t="s">
        <v>199</v>
      </c>
      <c r="J522" s="614" t="s">
        <v>200</v>
      </c>
      <c r="K522" s="614" t="s">
        <v>201</v>
      </c>
      <c r="L522" s="616">
        <v>30.99</v>
      </c>
      <c r="M522" s="616">
        <v>0</v>
      </c>
      <c r="N522" s="616">
        <v>0</v>
      </c>
      <c r="O522" s="616">
        <v>208.68</v>
      </c>
      <c r="P522" s="616">
        <v>239.67</v>
      </c>
    </row>
    <row r="523" spans="1:16" x14ac:dyDescent="0.3">
      <c r="A523" s="615">
        <v>39197</v>
      </c>
      <c r="B523" s="614" t="s">
        <v>1697</v>
      </c>
      <c r="C523" s="614" t="s">
        <v>197</v>
      </c>
      <c r="D523" s="614">
        <v>40</v>
      </c>
      <c r="E523" s="616">
        <v>860.2</v>
      </c>
      <c r="F523" s="616">
        <v>34408</v>
      </c>
      <c r="G523" s="614" t="s">
        <v>2260</v>
      </c>
      <c r="H523" s="614">
        <v>2007077</v>
      </c>
      <c r="I523" s="614" t="s">
        <v>199</v>
      </c>
      <c r="J523" s="614" t="s">
        <v>200</v>
      </c>
      <c r="K523" s="614" t="s">
        <v>201</v>
      </c>
      <c r="L523" s="616">
        <v>43.01</v>
      </c>
      <c r="M523" s="616">
        <v>0</v>
      </c>
      <c r="N523" s="616">
        <v>0</v>
      </c>
      <c r="O523" s="616">
        <v>289.64999999999998</v>
      </c>
      <c r="P523" s="616">
        <v>332.66</v>
      </c>
    </row>
    <row r="524" spans="1:16" x14ac:dyDescent="0.3">
      <c r="A524" s="615">
        <v>39175</v>
      </c>
      <c r="B524" s="614" t="s">
        <v>2261</v>
      </c>
      <c r="C524" s="614" t="s">
        <v>197</v>
      </c>
      <c r="D524" s="614">
        <v>10</v>
      </c>
      <c r="E524" s="616">
        <v>1196</v>
      </c>
      <c r="F524" s="616">
        <v>11960</v>
      </c>
      <c r="G524" s="614" t="s">
        <v>2262</v>
      </c>
      <c r="H524" s="614">
        <v>2007062</v>
      </c>
      <c r="I524" s="614" t="s">
        <v>199</v>
      </c>
      <c r="J524" s="614" t="s">
        <v>200</v>
      </c>
      <c r="K524" s="614" t="s">
        <v>201</v>
      </c>
      <c r="L524" s="616">
        <v>14.95</v>
      </c>
      <c r="M524" s="616">
        <v>0</v>
      </c>
      <c r="N524" s="616">
        <v>0</v>
      </c>
      <c r="O524" s="616">
        <v>100.68</v>
      </c>
      <c r="P524" s="616">
        <v>115.63</v>
      </c>
    </row>
    <row r="525" spans="1:16" x14ac:dyDescent="0.3">
      <c r="A525" s="615">
        <v>39175</v>
      </c>
      <c r="B525" s="614" t="s">
        <v>1697</v>
      </c>
      <c r="C525" s="614" t="s">
        <v>197</v>
      </c>
      <c r="D525" s="614">
        <v>40</v>
      </c>
      <c r="E525" s="616">
        <v>733.5</v>
      </c>
      <c r="F525" s="616">
        <v>29340</v>
      </c>
      <c r="G525" s="614" t="s">
        <v>2263</v>
      </c>
      <c r="H525" s="614">
        <v>2007062</v>
      </c>
      <c r="I525" s="614" t="s">
        <v>199</v>
      </c>
      <c r="J525" s="614" t="s">
        <v>200</v>
      </c>
      <c r="K525" s="614" t="s">
        <v>201</v>
      </c>
      <c r="L525" s="616">
        <v>36.68</v>
      </c>
      <c r="M525" s="616">
        <v>0</v>
      </c>
      <c r="N525" s="616">
        <v>0</v>
      </c>
      <c r="O525" s="616">
        <v>246.99</v>
      </c>
      <c r="P525" s="616">
        <v>283.67</v>
      </c>
    </row>
    <row r="526" spans="1:16" x14ac:dyDescent="0.3">
      <c r="A526" s="615">
        <v>39175</v>
      </c>
      <c r="B526" s="614" t="s">
        <v>2177</v>
      </c>
      <c r="C526" s="614" t="s">
        <v>197</v>
      </c>
      <c r="D526" s="614">
        <v>40</v>
      </c>
      <c r="E526" s="616">
        <v>401.25</v>
      </c>
      <c r="F526" s="616">
        <v>16050</v>
      </c>
      <c r="G526" s="614" t="s">
        <v>2264</v>
      </c>
      <c r="H526" s="614">
        <v>2007062</v>
      </c>
      <c r="I526" s="614" t="s">
        <v>199</v>
      </c>
      <c r="J526" s="614" t="s">
        <v>200</v>
      </c>
      <c r="K526" s="614" t="s">
        <v>201</v>
      </c>
      <c r="L526" s="616">
        <v>20.059999999999999</v>
      </c>
      <c r="M526" s="616">
        <v>0</v>
      </c>
      <c r="N526" s="616">
        <v>0</v>
      </c>
      <c r="O526" s="616">
        <v>135.11000000000001</v>
      </c>
      <c r="P526" s="616">
        <v>155.16999999999999</v>
      </c>
    </row>
    <row r="527" spans="1:16" x14ac:dyDescent="0.3">
      <c r="A527" s="615">
        <v>39160</v>
      </c>
      <c r="B527" s="614" t="s">
        <v>1107</v>
      </c>
      <c r="C527" s="614" t="s">
        <v>197</v>
      </c>
      <c r="D527" s="614">
        <v>50</v>
      </c>
      <c r="E527" s="616">
        <v>93.45</v>
      </c>
      <c r="F527" s="616">
        <v>4672.5</v>
      </c>
      <c r="G527" s="614" t="s">
        <v>1982</v>
      </c>
      <c r="H527" s="614">
        <v>2007052</v>
      </c>
      <c r="I527" s="614" t="s">
        <v>199</v>
      </c>
      <c r="J527" s="614" t="s">
        <v>200</v>
      </c>
      <c r="K527" s="614" t="s">
        <v>201</v>
      </c>
      <c r="L527" s="616">
        <v>5.84</v>
      </c>
      <c r="M527" s="616">
        <v>0</v>
      </c>
      <c r="N527" s="616">
        <v>0</v>
      </c>
      <c r="O527" s="616">
        <v>39.340000000000003</v>
      </c>
      <c r="P527" s="616">
        <v>45.18</v>
      </c>
    </row>
    <row r="528" spans="1:16" x14ac:dyDescent="0.3">
      <c r="A528" s="615">
        <v>39157</v>
      </c>
      <c r="B528" s="614" t="s">
        <v>1697</v>
      </c>
      <c r="C528" s="614" t="s">
        <v>197</v>
      </c>
      <c r="D528" s="614">
        <v>40</v>
      </c>
      <c r="E528" s="616">
        <v>713.5</v>
      </c>
      <c r="F528" s="616">
        <v>28540</v>
      </c>
      <c r="G528" s="614" t="s">
        <v>123</v>
      </c>
      <c r="H528" s="614">
        <v>2007051</v>
      </c>
      <c r="I528" s="614" t="s">
        <v>199</v>
      </c>
      <c r="J528" s="614" t="s">
        <v>200</v>
      </c>
      <c r="K528" s="614" t="s">
        <v>201</v>
      </c>
      <c r="L528" s="616">
        <v>35.68</v>
      </c>
      <c r="M528" s="616">
        <v>0</v>
      </c>
      <c r="N528" s="616">
        <v>0</v>
      </c>
      <c r="O528" s="616">
        <v>240.25</v>
      </c>
      <c r="P528" s="616">
        <v>275.93</v>
      </c>
    </row>
    <row r="529" spans="1:16" x14ac:dyDescent="0.3">
      <c r="A529" s="615">
        <v>39143</v>
      </c>
      <c r="B529" s="614" t="s">
        <v>205</v>
      </c>
      <c r="C529" s="614" t="s">
        <v>197</v>
      </c>
      <c r="D529" s="614">
        <v>7</v>
      </c>
      <c r="E529" s="616">
        <v>1343</v>
      </c>
      <c r="F529" s="616">
        <v>9401</v>
      </c>
      <c r="G529" s="614" t="s">
        <v>124</v>
      </c>
      <c r="H529" s="614">
        <v>2007041</v>
      </c>
      <c r="I529" s="614" t="s">
        <v>199</v>
      </c>
      <c r="J529" s="614" t="s">
        <v>200</v>
      </c>
      <c r="K529" s="614" t="s">
        <v>201</v>
      </c>
      <c r="L529" s="616">
        <v>11.75</v>
      </c>
      <c r="M529" s="616">
        <v>0</v>
      </c>
      <c r="N529" s="616">
        <v>0</v>
      </c>
      <c r="O529" s="616">
        <v>79.14</v>
      </c>
      <c r="P529" s="616">
        <v>90.89</v>
      </c>
    </row>
    <row r="530" spans="1:16" x14ac:dyDescent="0.3">
      <c r="A530" s="615">
        <v>39142</v>
      </c>
      <c r="B530" s="614" t="s">
        <v>1551</v>
      </c>
      <c r="C530" s="614" t="s">
        <v>197</v>
      </c>
      <c r="D530" s="614">
        <v>5</v>
      </c>
      <c r="E530" s="616">
        <v>2100</v>
      </c>
      <c r="F530" s="616">
        <v>10500</v>
      </c>
      <c r="G530" s="614" t="s">
        <v>1987</v>
      </c>
      <c r="H530" s="614">
        <v>2007040</v>
      </c>
      <c r="I530" s="614" t="s">
        <v>199</v>
      </c>
      <c r="J530" s="614" t="s">
        <v>200</v>
      </c>
      <c r="K530" s="614" t="s">
        <v>201</v>
      </c>
      <c r="L530" s="616">
        <v>13.13</v>
      </c>
      <c r="M530" s="616">
        <v>0</v>
      </c>
      <c r="N530" s="616">
        <v>0</v>
      </c>
      <c r="O530" s="616">
        <v>88.39</v>
      </c>
      <c r="P530" s="616">
        <v>101.52</v>
      </c>
    </row>
    <row r="531" spans="1:16" x14ac:dyDescent="0.3">
      <c r="A531" s="615">
        <v>39142</v>
      </c>
      <c r="B531" s="614" t="s">
        <v>1697</v>
      </c>
      <c r="C531" s="614" t="s">
        <v>197</v>
      </c>
      <c r="D531" s="614">
        <v>8</v>
      </c>
      <c r="E531" s="616">
        <v>703</v>
      </c>
      <c r="F531" s="616">
        <v>5624</v>
      </c>
      <c r="G531" s="614" t="s">
        <v>125</v>
      </c>
      <c r="H531" s="614">
        <v>2007040</v>
      </c>
      <c r="I531" s="614" t="s">
        <v>199</v>
      </c>
      <c r="J531" s="614" t="s">
        <v>200</v>
      </c>
      <c r="K531" s="614" t="s">
        <v>201</v>
      </c>
      <c r="L531" s="616">
        <v>7.03</v>
      </c>
      <c r="M531" s="616">
        <v>0</v>
      </c>
      <c r="N531" s="616">
        <v>0</v>
      </c>
      <c r="O531" s="616">
        <v>47.34</v>
      </c>
      <c r="P531" s="616">
        <v>54.37</v>
      </c>
    </row>
    <row r="532" spans="1:16" x14ac:dyDescent="0.3">
      <c r="A532" s="615">
        <v>39140</v>
      </c>
      <c r="B532" s="614" t="s">
        <v>1697</v>
      </c>
      <c r="C532" s="614" t="s">
        <v>197</v>
      </c>
      <c r="D532" s="614">
        <v>2</v>
      </c>
      <c r="E532" s="616">
        <v>722.95</v>
      </c>
      <c r="F532" s="616">
        <v>1445.9</v>
      </c>
      <c r="G532" s="614" t="s">
        <v>126</v>
      </c>
      <c r="H532" s="614">
        <v>2007038</v>
      </c>
      <c r="I532" s="614" t="s">
        <v>199</v>
      </c>
      <c r="J532" s="614" t="s">
        <v>200</v>
      </c>
      <c r="K532" s="614" t="s">
        <v>201</v>
      </c>
      <c r="L532" s="616">
        <v>1.81</v>
      </c>
      <c r="M532" s="616">
        <v>0</v>
      </c>
      <c r="N532" s="616">
        <v>0</v>
      </c>
      <c r="O532" s="616">
        <v>28.06</v>
      </c>
      <c r="P532" s="616">
        <v>29.87</v>
      </c>
    </row>
    <row r="533" spans="1:16" x14ac:dyDescent="0.3">
      <c r="A533" s="615">
        <v>39136</v>
      </c>
      <c r="B533" s="614" t="s">
        <v>1697</v>
      </c>
      <c r="C533" s="614" t="s">
        <v>197</v>
      </c>
      <c r="D533" s="614">
        <v>10</v>
      </c>
      <c r="E533" s="616">
        <v>756</v>
      </c>
      <c r="F533" s="616">
        <v>7560</v>
      </c>
      <c r="G533" s="614" t="s">
        <v>127</v>
      </c>
      <c r="H533" s="614">
        <v>2007036</v>
      </c>
      <c r="I533" s="614" t="s">
        <v>199</v>
      </c>
      <c r="J533" s="614" t="s">
        <v>200</v>
      </c>
      <c r="K533" s="614" t="s">
        <v>201</v>
      </c>
      <c r="L533" s="616">
        <v>9.4499999999999993</v>
      </c>
      <c r="M533" s="616">
        <v>0</v>
      </c>
      <c r="N533" s="616">
        <v>0</v>
      </c>
      <c r="O533" s="616">
        <v>63.64</v>
      </c>
      <c r="P533" s="616">
        <v>73.09</v>
      </c>
    </row>
    <row r="534" spans="1:16" x14ac:dyDescent="0.3">
      <c r="A534" s="615">
        <v>39133</v>
      </c>
      <c r="B534" s="614" t="s">
        <v>205</v>
      </c>
      <c r="C534" s="614" t="s">
        <v>197</v>
      </c>
      <c r="D534" s="614">
        <v>7</v>
      </c>
      <c r="E534" s="616">
        <v>1434.0857000000001</v>
      </c>
      <c r="F534" s="616">
        <v>10038.6</v>
      </c>
      <c r="G534" s="614" t="s">
        <v>128</v>
      </c>
      <c r="H534" s="614">
        <v>2007033</v>
      </c>
      <c r="I534" s="614" t="s">
        <v>199</v>
      </c>
      <c r="J534" s="614" t="s">
        <v>200</v>
      </c>
      <c r="K534" s="614" t="s">
        <v>201</v>
      </c>
      <c r="L534" s="616">
        <v>12.55</v>
      </c>
      <c r="M534" s="616">
        <v>0</v>
      </c>
      <c r="N534" s="616">
        <v>0</v>
      </c>
      <c r="O534" s="616">
        <v>84.5</v>
      </c>
      <c r="P534" s="616">
        <v>97.05</v>
      </c>
    </row>
    <row r="535" spans="1:16" x14ac:dyDescent="0.3">
      <c r="A535" s="615">
        <v>39126</v>
      </c>
      <c r="B535" s="614" t="s">
        <v>1697</v>
      </c>
      <c r="C535" s="614" t="s">
        <v>197</v>
      </c>
      <c r="D535" s="614">
        <v>20</v>
      </c>
      <c r="E535" s="616">
        <v>740</v>
      </c>
      <c r="F535" s="616">
        <v>14800</v>
      </c>
      <c r="G535" s="614" t="s">
        <v>1456</v>
      </c>
      <c r="H535" s="614">
        <v>2007029</v>
      </c>
      <c r="I535" s="614" t="s">
        <v>199</v>
      </c>
      <c r="J535" s="614" t="s">
        <v>200</v>
      </c>
      <c r="K535" s="614" t="s">
        <v>201</v>
      </c>
      <c r="L535" s="616">
        <v>18.5</v>
      </c>
      <c r="M535" s="616">
        <v>0</v>
      </c>
      <c r="N535" s="616">
        <v>0</v>
      </c>
      <c r="O535" s="616">
        <v>124.59</v>
      </c>
      <c r="P535" s="616">
        <v>143.09</v>
      </c>
    </row>
    <row r="536" spans="1:16" x14ac:dyDescent="0.3">
      <c r="A536" s="615">
        <v>39084</v>
      </c>
      <c r="B536" s="614" t="s">
        <v>2261</v>
      </c>
      <c r="C536" s="614" t="s">
        <v>197</v>
      </c>
      <c r="D536" s="614">
        <v>10</v>
      </c>
      <c r="E536" s="616">
        <v>1257</v>
      </c>
      <c r="F536" s="616">
        <v>12570</v>
      </c>
      <c r="G536" s="614" t="s">
        <v>1457</v>
      </c>
      <c r="H536" s="614">
        <v>2007001</v>
      </c>
      <c r="I536" s="614" t="s">
        <v>199</v>
      </c>
      <c r="J536" s="614" t="s">
        <v>200</v>
      </c>
      <c r="K536" s="614" t="s">
        <v>201</v>
      </c>
      <c r="L536" s="616">
        <v>15.71</v>
      </c>
      <c r="M536" s="616">
        <v>0</v>
      </c>
      <c r="N536" s="616">
        <v>0</v>
      </c>
      <c r="O536" s="616">
        <v>105.81</v>
      </c>
      <c r="P536" s="616">
        <v>121.52</v>
      </c>
    </row>
    <row r="537" spans="1:16" x14ac:dyDescent="0.3">
      <c r="A537" s="615">
        <v>39080</v>
      </c>
      <c r="B537" s="614" t="s">
        <v>1551</v>
      </c>
      <c r="C537" s="614" t="s">
        <v>197</v>
      </c>
      <c r="D537" s="614">
        <v>5</v>
      </c>
      <c r="E537" s="616">
        <v>2258</v>
      </c>
      <c r="F537" s="616">
        <v>11290</v>
      </c>
      <c r="G537" s="614" t="s">
        <v>1988</v>
      </c>
      <c r="H537" s="614">
        <v>2006248</v>
      </c>
      <c r="I537" s="614" t="s">
        <v>199</v>
      </c>
      <c r="J537" s="614" t="s">
        <v>200</v>
      </c>
      <c r="K537" s="614" t="s">
        <v>201</v>
      </c>
      <c r="L537" s="616">
        <v>14.11</v>
      </c>
      <c r="M537" s="616">
        <v>0</v>
      </c>
      <c r="N537" s="616">
        <v>0</v>
      </c>
      <c r="O537" s="616">
        <v>95.04</v>
      </c>
      <c r="P537" s="616">
        <v>109.15</v>
      </c>
    </row>
    <row r="538" spans="1:16" x14ac:dyDescent="0.3">
      <c r="A538" s="615">
        <v>39073</v>
      </c>
      <c r="B538" s="614" t="s">
        <v>1983</v>
      </c>
      <c r="C538" s="614" t="s">
        <v>197</v>
      </c>
      <c r="D538" s="614">
        <v>6</v>
      </c>
      <c r="E538" s="616">
        <v>1660</v>
      </c>
      <c r="F538" s="616">
        <v>9960</v>
      </c>
      <c r="G538" s="614" t="s">
        <v>1984</v>
      </c>
      <c r="H538" s="614">
        <v>2006244</v>
      </c>
      <c r="I538" s="614" t="s">
        <v>199</v>
      </c>
      <c r="J538" s="614" t="s">
        <v>200</v>
      </c>
      <c r="K538" s="614" t="s">
        <v>201</v>
      </c>
      <c r="L538" s="616">
        <v>12.45</v>
      </c>
      <c r="M538" s="616">
        <v>0</v>
      </c>
      <c r="N538" s="616">
        <v>0</v>
      </c>
      <c r="O538" s="616">
        <v>83.84</v>
      </c>
      <c r="P538" s="616">
        <v>96.29</v>
      </c>
    </row>
    <row r="539" spans="1:16" x14ac:dyDescent="0.3">
      <c r="A539" s="615">
        <v>39073</v>
      </c>
      <c r="B539" s="614" t="s">
        <v>1983</v>
      </c>
      <c r="C539" s="614" t="s">
        <v>197</v>
      </c>
      <c r="D539" s="614">
        <v>1</v>
      </c>
      <c r="E539" s="616">
        <v>1649.9</v>
      </c>
      <c r="F539" s="616">
        <v>1649.9</v>
      </c>
      <c r="G539" s="614" t="s">
        <v>1985</v>
      </c>
      <c r="H539" s="614">
        <v>2006244</v>
      </c>
      <c r="I539" s="614" t="s">
        <v>199</v>
      </c>
      <c r="J539" s="614" t="s">
        <v>200</v>
      </c>
      <c r="K539" s="614" t="s">
        <v>201</v>
      </c>
      <c r="L539" s="616">
        <v>2.06</v>
      </c>
      <c r="M539" s="616">
        <v>0</v>
      </c>
      <c r="N539" s="616">
        <v>0</v>
      </c>
      <c r="O539" s="616">
        <v>28.06</v>
      </c>
      <c r="P539" s="616">
        <v>30.12</v>
      </c>
    </row>
    <row r="540" spans="1:16" x14ac:dyDescent="0.3">
      <c r="A540" s="615">
        <v>39070</v>
      </c>
      <c r="B540" s="614" t="s">
        <v>1113</v>
      </c>
      <c r="C540" s="614" t="s">
        <v>197</v>
      </c>
      <c r="D540" s="614">
        <v>30</v>
      </c>
      <c r="E540" s="616">
        <v>136.69999999999999</v>
      </c>
      <c r="F540" s="616">
        <v>4101</v>
      </c>
      <c r="G540" s="614" t="s">
        <v>1458</v>
      </c>
      <c r="H540" s="614">
        <v>2006241</v>
      </c>
      <c r="I540" s="614" t="s">
        <v>199</v>
      </c>
      <c r="J540" s="614" t="s">
        <v>200</v>
      </c>
      <c r="K540" s="614" t="s">
        <v>201</v>
      </c>
      <c r="L540" s="616">
        <v>5.13</v>
      </c>
      <c r="M540" s="616">
        <v>0</v>
      </c>
      <c r="N540" s="616">
        <v>0</v>
      </c>
      <c r="O540" s="616">
        <v>34.520000000000003</v>
      </c>
      <c r="P540" s="616">
        <v>39.65</v>
      </c>
    </row>
    <row r="541" spans="1:16" x14ac:dyDescent="0.3">
      <c r="A541" s="615">
        <v>39070</v>
      </c>
      <c r="B541" s="614" t="s">
        <v>1697</v>
      </c>
      <c r="C541" s="614" t="s">
        <v>197</v>
      </c>
      <c r="D541" s="614">
        <v>10</v>
      </c>
      <c r="E541" s="616">
        <v>600</v>
      </c>
      <c r="F541" s="616">
        <v>6000</v>
      </c>
      <c r="G541" s="614" t="s">
        <v>1459</v>
      </c>
      <c r="H541" s="614">
        <v>2006241</v>
      </c>
      <c r="I541" s="614" t="s">
        <v>199</v>
      </c>
      <c r="J541" s="614" t="s">
        <v>200</v>
      </c>
      <c r="K541" s="614" t="s">
        <v>201</v>
      </c>
      <c r="L541" s="616">
        <v>7.5</v>
      </c>
      <c r="M541" s="616">
        <v>0</v>
      </c>
      <c r="N541" s="616">
        <v>0</v>
      </c>
      <c r="O541" s="616">
        <v>50.51</v>
      </c>
      <c r="P541" s="616">
        <v>58.01</v>
      </c>
    </row>
    <row r="542" spans="1:16" x14ac:dyDescent="0.3">
      <c r="A542" s="615">
        <v>39070</v>
      </c>
      <c r="B542" s="614" t="s">
        <v>1983</v>
      </c>
      <c r="C542" s="614" t="s">
        <v>197</v>
      </c>
      <c r="D542" s="614">
        <v>8</v>
      </c>
      <c r="E542" s="616">
        <v>1156</v>
      </c>
      <c r="F542" s="616">
        <v>9248</v>
      </c>
      <c r="G542" s="614" t="s">
        <v>1986</v>
      </c>
      <c r="H542" s="614">
        <v>2006241</v>
      </c>
      <c r="I542" s="614" t="s">
        <v>199</v>
      </c>
      <c r="J542" s="614" t="s">
        <v>200</v>
      </c>
      <c r="K542" s="614" t="s">
        <v>201</v>
      </c>
      <c r="L542" s="616">
        <v>11.56</v>
      </c>
      <c r="M542" s="616">
        <v>0</v>
      </c>
      <c r="N542" s="616">
        <v>0</v>
      </c>
      <c r="O542" s="616">
        <v>77.849999999999994</v>
      </c>
      <c r="P542" s="616">
        <v>89.41</v>
      </c>
    </row>
    <row r="543" spans="1:16" x14ac:dyDescent="0.3">
      <c r="A543" s="615">
        <v>39064</v>
      </c>
      <c r="B543" s="614" t="s">
        <v>1697</v>
      </c>
      <c r="C543" s="614" t="s">
        <v>197</v>
      </c>
      <c r="D543" s="614">
        <v>10</v>
      </c>
      <c r="E543" s="616">
        <v>597</v>
      </c>
      <c r="F543" s="616">
        <v>5970</v>
      </c>
      <c r="G543" s="614" t="s">
        <v>1460</v>
      </c>
      <c r="H543" s="614">
        <v>2006237</v>
      </c>
      <c r="I543" s="614" t="s">
        <v>199</v>
      </c>
      <c r="J543" s="614" t="s">
        <v>200</v>
      </c>
      <c r="K543" s="614" t="s">
        <v>201</v>
      </c>
      <c r="L543" s="616">
        <v>7.46</v>
      </c>
      <c r="M543" s="616">
        <v>0</v>
      </c>
      <c r="N543" s="616">
        <v>0</v>
      </c>
      <c r="O543" s="616">
        <v>50.26</v>
      </c>
      <c r="P543" s="616">
        <v>57.72</v>
      </c>
    </row>
    <row r="544" spans="1:16" x14ac:dyDescent="0.3">
      <c r="A544" s="615">
        <v>39063</v>
      </c>
      <c r="B544" s="614" t="s">
        <v>205</v>
      </c>
      <c r="C544" s="614" t="s">
        <v>197</v>
      </c>
      <c r="D544" s="614">
        <v>5</v>
      </c>
      <c r="E544" s="616">
        <v>1250</v>
      </c>
      <c r="F544" s="616">
        <v>6250</v>
      </c>
      <c r="G544" s="614" t="s">
        <v>1461</v>
      </c>
      <c r="H544" s="614">
        <v>2006236</v>
      </c>
      <c r="I544" s="614" t="s">
        <v>199</v>
      </c>
      <c r="J544" s="614" t="s">
        <v>200</v>
      </c>
      <c r="K544" s="614" t="s">
        <v>201</v>
      </c>
      <c r="L544" s="616">
        <v>7.81</v>
      </c>
      <c r="M544" s="616">
        <v>0</v>
      </c>
      <c r="N544" s="616">
        <v>0</v>
      </c>
      <c r="O544" s="616">
        <v>52.61</v>
      </c>
      <c r="P544" s="616">
        <v>60.42</v>
      </c>
    </row>
    <row r="545" spans="1:16" x14ac:dyDescent="0.3">
      <c r="A545" s="615">
        <v>39056</v>
      </c>
      <c r="B545" s="614" t="s">
        <v>1113</v>
      </c>
      <c r="C545" s="614" t="s">
        <v>197</v>
      </c>
      <c r="D545" s="614">
        <v>30</v>
      </c>
      <c r="E545" s="616">
        <v>151.35</v>
      </c>
      <c r="F545" s="616">
        <v>4540.5</v>
      </c>
      <c r="G545" s="614" t="s">
        <v>1462</v>
      </c>
      <c r="H545" s="614">
        <v>2006231</v>
      </c>
      <c r="I545" s="614" t="s">
        <v>199</v>
      </c>
      <c r="J545" s="614" t="s">
        <v>200</v>
      </c>
      <c r="K545" s="614" t="s">
        <v>201</v>
      </c>
      <c r="L545" s="616">
        <v>5.68</v>
      </c>
      <c r="M545" s="616">
        <v>0</v>
      </c>
      <c r="N545" s="616">
        <v>0</v>
      </c>
      <c r="O545" s="616">
        <v>38.22</v>
      </c>
      <c r="P545" s="616">
        <v>43.9</v>
      </c>
    </row>
    <row r="546" spans="1:16" x14ac:dyDescent="0.3">
      <c r="A546" s="615">
        <v>39044</v>
      </c>
      <c r="B546" s="614" t="s">
        <v>1463</v>
      </c>
      <c r="C546" s="614" t="s">
        <v>197</v>
      </c>
      <c r="D546" s="614">
        <v>60</v>
      </c>
      <c r="E546" s="616">
        <v>179.1</v>
      </c>
      <c r="F546" s="616">
        <v>10746</v>
      </c>
      <c r="G546" s="614" t="s">
        <v>137</v>
      </c>
      <c r="H546" s="614">
        <v>2006223</v>
      </c>
      <c r="I546" s="614" t="s">
        <v>199</v>
      </c>
      <c r="J546" s="614" t="s">
        <v>200</v>
      </c>
      <c r="K546" s="614" t="s">
        <v>201</v>
      </c>
      <c r="L546" s="616">
        <v>13.43</v>
      </c>
      <c r="M546" s="616">
        <v>0</v>
      </c>
      <c r="N546" s="616">
        <v>0</v>
      </c>
      <c r="O546" s="616">
        <v>90.46</v>
      </c>
      <c r="P546" s="616">
        <v>103.89</v>
      </c>
    </row>
    <row r="547" spans="1:16" x14ac:dyDescent="0.3">
      <c r="A547" s="615">
        <v>39041</v>
      </c>
      <c r="B547" s="614" t="s">
        <v>1463</v>
      </c>
      <c r="C547" s="614" t="s">
        <v>197</v>
      </c>
      <c r="D547" s="614">
        <v>40</v>
      </c>
      <c r="E547" s="616">
        <v>176.8</v>
      </c>
      <c r="F547" s="616">
        <v>7072</v>
      </c>
      <c r="G547" s="614" t="s">
        <v>139</v>
      </c>
      <c r="H547" s="614">
        <v>2006220</v>
      </c>
      <c r="I547" s="614" t="s">
        <v>199</v>
      </c>
      <c r="J547" s="614" t="s">
        <v>200</v>
      </c>
      <c r="K547" s="614" t="s">
        <v>201</v>
      </c>
      <c r="L547" s="616">
        <v>8.84</v>
      </c>
      <c r="M547" s="616">
        <v>0</v>
      </c>
      <c r="N547" s="616">
        <v>0</v>
      </c>
      <c r="O547" s="616">
        <v>59.53</v>
      </c>
      <c r="P547" s="616">
        <v>68.37</v>
      </c>
    </row>
    <row r="548" spans="1:16" x14ac:dyDescent="0.3">
      <c r="A548" s="615">
        <v>39038</v>
      </c>
      <c r="B548" s="614" t="s">
        <v>1551</v>
      </c>
      <c r="C548" s="614" t="s">
        <v>197</v>
      </c>
      <c r="D548" s="614">
        <v>5</v>
      </c>
      <c r="E548" s="616">
        <v>2180</v>
      </c>
      <c r="F548" s="616">
        <v>10900</v>
      </c>
      <c r="G548" s="614" t="s">
        <v>140</v>
      </c>
      <c r="H548" s="614">
        <v>2006219</v>
      </c>
      <c r="I548" s="614" t="s">
        <v>199</v>
      </c>
      <c r="J548" s="614" t="s">
        <v>200</v>
      </c>
      <c r="K548" s="614" t="s">
        <v>201</v>
      </c>
      <c r="L548" s="616">
        <v>13.63</v>
      </c>
      <c r="M548" s="616">
        <v>0</v>
      </c>
      <c r="N548" s="616">
        <v>0</v>
      </c>
      <c r="O548" s="616">
        <v>91.76</v>
      </c>
      <c r="P548" s="616">
        <v>105.39</v>
      </c>
    </row>
    <row r="549" spans="1:16" x14ac:dyDescent="0.3">
      <c r="A549" s="615">
        <v>39038</v>
      </c>
      <c r="B549" s="614" t="s">
        <v>2261</v>
      </c>
      <c r="C549" s="614" t="s">
        <v>197</v>
      </c>
      <c r="D549" s="614">
        <v>10</v>
      </c>
      <c r="E549" s="616">
        <v>1089.9000000000001</v>
      </c>
      <c r="F549" s="616">
        <v>10899</v>
      </c>
      <c r="G549" s="614" t="s">
        <v>141</v>
      </c>
      <c r="H549" s="614">
        <v>2006219</v>
      </c>
      <c r="I549" s="614" t="s">
        <v>199</v>
      </c>
      <c r="J549" s="614" t="s">
        <v>200</v>
      </c>
      <c r="K549" s="614" t="s">
        <v>201</v>
      </c>
      <c r="L549" s="616">
        <v>13.62</v>
      </c>
      <c r="M549" s="616">
        <v>0</v>
      </c>
      <c r="N549" s="616">
        <v>0</v>
      </c>
      <c r="O549" s="616">
        <v>91.75</v>
      </c>
      <c r="P549" s="616">
        <v>105.37</v>
      </c>
    </row>
    <row r="550" spans="1:16" x14ac:dyDescent="0.3">
      <c r="A550" s="615">
        <v>39035</v>
      </c>
      <c r="B550" s="614" t="s">
        <v>142</v>
      </c>
      <c r="C550" s="614" t="s">
        <v>197</v>
      </c>
      <c r="D550" s="614">
        <v>15</v>
      </c>
      <c r="E550" s="616">
        <v>711</v>
      </c>
      <c r="F550" s="616">
        <v>10665</v>
      </c>
      <c r="G550" s="614" t="s">
        <v>143</v>
      </c>
      <c r="H550" s="614">
        <v>2006216</v>
      </c>
      <c r="I550" s="614" t="s">
        <v>199</v>
      </c>
      <c r="J550" s="614" t="s">
        <v>200</v>
      </c>
      <c r="K550" s="614" t="s">
        <v>201</v>
      </c>
      <c r="L550" s="616">
        <v>13.33</v>
      </c>
      <c r="M550" s="616">
        <v>0</v>
      </c>
      <c r="N550" s="616">
        <v>0</v>
      </c>
      <c r="O550" s="616">
        <v>89.78</v>
      </c>
      <c r="P550" s="616">
        <v>103.11</v>
      </c>
    </row>
    <row r="551" spans="1:16" x14ac:dyDescent="0.3">
      <c r="A551" s="615">
        <v>39009</v>
      </c>
      <c r="B551" s="614" t="s">
        <v>1983</v>
      </c>
      <c r="C551" s="614" t="s">
        <v>197</v>
      </c>
      <c r="D551" s="614">
        <v>10</v>
      </c>
      <c r="E551" s="616">
        <v>766.54499999999996</v>
      </c>
      <c r="F551" s="616">
        <v>7665.45</v>
      </c>
      <c r="G551" s="614" t="s">
        <v>144</v>
      </c>
      <c r="H551" s="614">
        <v>2006199</v>
      </c>
      <c r="I551" s="614" t="s">
        <v>199</v>
      </c>
      <c r="J551" s="614" t="s">
        <v>200</v>
      </c>
      <c r="K551" s="614" t="s">
        <v>201</v>
      </c>
      <c r="L551" s="616">
        <v>9.58</v>
      </c>
      <c r="M551" s="616">
        <v>0</v>
      </c>
      <c r="N551" s="616">
        <v>0</v>
      </c>
      <c r="O551" s="616">
        <v>64.53</v>
      </c>
      <c r="P551" s="616">
        <v>74.11</v>
      </c>
    </row>
    <row r="552" spans="1:16" x14ac:dyDescent="0.3">
      <c r="A552" s="615">
        <v>39002</v>
      </c>
      <c r="B552" s="614" t="s">
        <v>1551</v>
      </c>
      <c r="C552" s="614" t="s">
        <v>197</v>
      </c>
      <c r="D552" s="614">
        <v>1</v>
      </c>
      <c r="E552" s="616">
        <v>2014</v>
      </c>
      <c r="F552" s="616">
        <v>2014</v>
      </c>
      <c r="G552" s="614" t="s">
        <v>145</v>
      </c>
      <c r="H552" s="614">
        <v>2006194</v>
      </c>
      <c r="I552" s="614" t="s">
        <v>199</v>
      </c>
      <c r="J552" s="614" t="s">
        <v>200</v>
      </c>
      <c r="K552" s="614" t="s">
        <v>201</v>
      </c>
      <c r="L552" s="616">
        <v>2.52</v>
      </c>
      <c r="M552" s="616">
        <v>0</v>
      </c>
      <c r="N552" s="616">
        <v>0</v>
      </c>
      <c r="O552" s="616">
        <v>28.06</v>
      </c>
      <c r="P552" s="616">
        <v>30.58</v>
      </c>
    </row>
    <row r="553" spans="1:16" x14ac:dyDescent="0.3">
      <c r="A553" s="615">
        <v>38923</v>
      </c>
      <c r="B553" s="614" t="s">
        <v>1463</v>
      </c>
      <c r="C553" s="614" t="s">
        <v>197</v>
      </c>
      <c r="D553" s="614">
        <v>40</v>
      </c>
      <c r="E553" s="616">
        <v>163.25</v>
      </c>
      <c r="F553" s="616">
        <v>6530</v>
      </c>
      <c r="G553" s="614" t="s">
        <v>146</v>
      </c>
      <c r="H553" s="614">
        <v>2006139</v>
      </c>
      <c r="I553" s="614" t="s">
        <v>199</v>
      </c>
      <c r="J553" s="614" t="s">
        <v>200</v>
      </c>
      <c r="K553" s="614" t="s">
        <v>201</v>
      </c>
      <c r="L553" s="616">
        <v>8.16</v>
      </c>
      <c r="M553" s="616">
        <v>0</v>
      </c>
      <c r="N553" s="616">
        <v>0</v>
      </c>
      <c r="O553" s="616">
        <v>54.97</v>
      </c>
      <c r="P553" s="616">
        <v>63.13</v>
      </c>
    </row>
    <row r="554" spans="1:16" x14ac:dyDescent="0.3">
      <c r="A554" s="615">
        <v>38916</v>
      </c>
      <c r="B554" s="614" t="s">
        <v>211</v>
      </c>
      <c r="C554" s="614" t="s">
        <v>197</v>
      </c>
      <c r="D554" s="614">
        <v>20</v>
      </c>
      <c r="E554" s="616">
        <v>320</v>
      </c>
      <c r="F554" s="616">
        <v>6400</v>
      </c>
      <c r="G554" s="614" t="s">
        <v>147</v>
      </c>
      <c r="H554" s="614">
        <v>2006134</v>
      </c>
      <c r="I554" s="614" t="s">
        <v>199</v>
      </c>
      <c r="J554" s="614" t="s">
        <v>200</v>
      </c>
      <c r="K554" s="614" t="s">
        <v>201</v>
      </c>
      <c r="L554" s="616">
        <v>8</v>
      </c>
      <c r="M554" s="616">
        <v>0</v>
      </c>
      <c r="N554" s="616">
        <v>0</v>
      </c>
      <c r="O554" s="616">
        <v>53.88</v>
      </c>
      <c r="P554" s="616">
        <v>61.88</v>
      </c>
    </row>
    <row r="555" spans="1:16" x14ac:dyDescent="0.3">
      <c r="A555" s="615">
        <v>38905</v>
      </c>
      <c r="B555" s="614" t="s">
        <v>2222</v>
      </c>
      <c r="C555" s="614" t="s">
        <v>197</v>
      </c>
      <c r="D555" s="614">
        <v>200</v>
      </c>
      <c r="E555" s="616">
        <v>62.1</v>
      </c>
      <c r="F555" s="616">
        <v>12420</v>
      </c>
      <c r="G555" s="614" t="s">
        <v>148</v>
      </c>
      <c r="H555" s="614">
        <v>2006127</v>
      </c>
      <c r="I555" s="614" t="s">
        <v>199</v>
      </c>
      <c r="J555" s="614" t="s">
        <v>200</v>
      </c>
      <c r="K555" s="614" t="s">
        <v>201</v>
      </c>
      <c r="L555" s="616">
        <v>15.53</v>
      </c>
      <c r="M555" s="616">
        <v>0</v>
      </c>
      <c r="N555" s="616">
        <v>0</v>
      </c>
      <c r="O555" s="616">
        <v>104.56</v>
      </c>
      <c r="P555" s="616">
        <v>120.09</v>
      </c>
    </row>
    <row r="556" spans="1:16" x14ac:dyDescent="0.3">
      <c r="A556" s="640">
        <v>38903</v>
      </c>
      <c r="B556" s="641" t="s">
        <v>211</v>
      </c>
      <c r="C556" s="641" t="s">
        <v>197</v>
      </c>
      <c r="D556" s="641">
        <v>20</v>
      </c>
      <c r="E556" s="642">
        <v>344.9</v>
      </c>
      <c r="F556" s="642">
        <v>6898</v>
      </c>
      <c r="G556" s="641" t="s">
        <v>149</v>
      </c>
      <c r="H556" s="641">
        <v>2006125</v>
      </c>
      <c r="I556" s="641" t="s">
        <v>199</v>
      </c>
      <c r="J556" s="641" t="s">
        <v>200</v>
      </c>
      <c r="K556" s="641" t="s">
        <v>201</v>
      </c>
      <c r="L556" s="642">
        <v>8.6199999999999992</v>
      </c>
      <c r="M556" s="642">
        <v>0</v>
      </c>
      <c r="N556" s="642">
        <v>0</v>
      </c>
      <c r="O556" s="642">
        <v>58.07</v>
      </c>
      <c r="P556" s="642">
        <v>66.69</v>
      </c>
    </row>
    <row r="557" spans="1:16" ht="28.8" x14ac:dyDescent="0.3">
      <c r="A557" s="617" t="s">
        <v>184</v>
      </c>
      <c r="B557" s="617" t="s">
        <v>185</v>
      </c>
      <c r="C557" s="617" t="s">
        <v>186</v>
      </c>
      <c r="D557" s="617" t="s">
        <v>469</v>
      </c>
      <c r="E557" s="618" t="s">
        <v>664</v>
      </c>
      <c r="F557" s="618" t="s">
        <v>189</v>
      </c>
      <c r="G557" s="618" t="s">
        <v>2364</v>
      </c>
      <c r="H557" s="618" t="s">
        <v>2371</v>
      </c>
      <c r="I557" s="618" t="s">
        <v>2368</v>
      </c>
      <c r="J557" s="617" t="s">
        <v>194</v>
      </c>
      <c r="K557" s="625"/>
      <c r="L557" s="626"/>
      <c r="M557" s="626"/>
      <c r="N557" s="626"/>
      <c r="O557" s="626"/>
      <c r="P557" s="618" t="s">
        <v>190</v>
      </c>
    </row>
    <row r="558" spans="1:16" x14ac:dyDescent="0.3">
      <c r="A558" s="615">
        <v>39244</v>
      </c>
      <c r="B558" s="614" t="s">
        <v>1532</v>
      </c>
      <c r="C558" s="614" t="s">
        <v>1534</v>
      </c>
      <c r="D558" s="614">
        <v>100</v>
      </c>
      <c r="E558" s="616">
        <v>525</v>
      </c>
      <c r="F558" s="616">
        <f>E558*D558</f>
        <v>52500</v>
      </c>
      <c r="G558" s="614">
        <v>4963101</v>
      </c>
      <c r="H558" s="614">
        <v>8500900247</v>
      </c>
      <c r="I558" s="614">
        <v>11303677</v>
      </c>
      <c r="J558" s="614" t="s">
        <v>200</v>
      </c>
      <c r="P558" s="616">
        <v>0</v>
      </c>
    </row>
    <row r="559" spans="1:16" x14ac:dyDescent="0.3">
      <c r="A559" s="615">
        <v>39464</v>
      </c>
      <c r="B559" s="614" t="s">
        <v>1058</v>
      </c>
      <c r="C559" s="614" t="s">
        <v>1534</v>
      </c>
      <c r="D559" s="614">
        <v>16</v>
      </c>
      <c r="E559" s="616">
        <v>430</v>
      </c>
      <c r="F559" s="616">
        <f>E559*D559</f>
        <v>6880</v>
      </c>
      <c r="G559" s="614">
        <v>3376605</v>
      </c>
      <c r="H559" s="614">
        <v>8500900247</v>
      </c>
      <c r="I559" s="614">
        <v>96015007</v>
      </c>
      <c r="J559" s="614" t="s">
        <v>200</v>
      </c>
      <c r="P559" s="616">
        <v>0</v>
      </c>
    </row>
    <row r="561" spans="4:16" x14ac:dyDescent="0.3">
      <c r="D561" s="624">
        <f>SUM(D2:D560)</f>
        <v>112173</v>
      </c>
      <c r="F561" s="619">
        <f>SUM(F2:F560)</f>
        <v>6254151.1400000006</v>
      </c>
      <c r="P561" s="620">
        <f>SUM(P2:P560)</f>
        <v>45429.439999999973</v>
      </c>
    </row>
    <row r="565" spans="4:16" ht="15" thickBot="1" x14ac:dyDescent="0.35"/>
    <row r="566" spans="4:16" ht="15" thickBot="1" x14ac:dyDescent="0.35">
      <c r="E566" s="616" t="s">
        <v>624</v>
      </c>
      <c r="F566" s="621">
        <f>F561+P561</f>
        <v>6299580.580000001</v>
      </c>
    </row>
    <row r="584" spans="1:16" x14ac:dyDescent="0.3">
      <c r="A584" s="615">
        <v>41977</v>
      </c>
      <c r="B584" s="614" t="s">
        <v>1058</v>
      </c>
      <c r="C584" s="614" t="s">
        <v>369</v>
      </c>
      <c r="D584" s="614">
        <v>500</v>
      </c>
      <c r="E584" s="616">
        <v>65.900000000000006</v>
      </c>
      <c r="F584" s="616">
        <v>32950</v>
      </c>
      <c r="G584" s="614" t="s">
        <v>3691</v>
      </c>
      <c r="H584" s="614">
        <v>201415166</v>
      </c>
      <c r="I584" s="614" t="s">
        <v>199</v>
      </c>
      <c r="J584" s="614" t="s">
        <v>200</v>
      </c>
      <c r="K584" s="614" t="s">
        <v>204</v>
      </c>
      <c r="L584" s="616">
        <v>33</v>
      </c>
      <c r="M584" s="616">
        <v>1.0900000000000001</v>
      </c>
      <c r="N584" s="616">
        <v>1.98</v>
      </c>
      <c r="O584" s="616">
        <v>370.23</v>
      </c>
      <c r="P584" s="616">
        <v>406.29</v>
      </c>
    </row>
    <row r="585" spans="1:16" x14ac:dyDescent="0.3">
      <c r="A585" s="615">
        <v>41976</v>
      </c>
      <c r="B585" s="614" t="s">
        <v>1058</v>
      </c>
      <c r="C585" s="614" t="s">
        <v>369</v>
      </c>
      <c r="D585" s="614">
        <v>500</v>
      </c>
      <c r="E585" s="616">
        <v>66.7</v>
      </c>
      <c r="F585" s="616">
        <v>33350</v>
      </c>
      <c r="G585" s="614" t="s">
        <v>3692</v>
      </c>
      <c r="H585" s="614">
        <v>201415165</v>
      </c>
      <c r="I585" s="614" t="s">
        <v>199</v>
      </c>
      <c r="J585" s="614" t="s">
        <v>200</v>
      </c>
      <c r="K585" s="614" t="s">
        <v>204</v>
      </c>
      <c r="L585" s="616">
        <v>33</v>
      </c>
      <c r="M585" s="616">
        <v>1.1000000000000001</v>
      </c>
      <c r="N585" s="616">
        <v>2</v>
      </c>
      <c r="O585" s="616">
        <v>374.72</v>
      </c>
      <c r="P585" s="616">
        <v>410.82</v>
      </c>
    </row>
    <row r="586" spans="1:16" x14ac:dyDescent="0.3">
      <c r="A586" s="615">
        <v>41799</v>
      </c>
      <c r="B586" s="614" t="s">
        <v>3460</v>
      </c>
      <c r="C586" s="614" t="s">
        <v>369</v>
      </c>
      <c r="D586" s="614">
        <v>50</v>
      </c>
      <c r="E586" s="616">
        <v>433.3</v>
      </c>
      <c r="F586" s="616">
        <v>21665</v>
      </c>
      <c r="G586" s="614" t="s">
        <v>3461</v>
      </c>
      <c r="H586" s="614">
        <v>2014107</v>
      </c>
      <c r="I586" s="614" t="s">
        <v>199</v>
      </c>
      <c r="J586" s="614" t="s">
        <v>200</v>
      </c>
      <c r="K586" s="614" t="s">
        <v>201</v>
      </c>
      <c r="L586" s="616">
        <v>22</v>
      </c>
      <c r="M586" s="616">
        <v>0.8</v>
      </c>
      <c r="N586" s="616">
        <v>1.3</v>
      </c>
      <c r="O586" s="616">
        <v>133.88999999999999</v>
      </c>
      <c r="P586" s="616">
        <v>157.99</v>
      </c>
    </row>
    <row r="587" spans="1:16" x14ac:dyDescent="0.3">
      <c r="A587" s="615">
        <v>41796</v>
      </c>
      <c r="B587" s="614" t="s">
        <v>1512</v>
      </c>
      <c r="C587" s="614" t="s">
        <v>369</v>
      </c>
      <c r="D587" s="614">
        <v>200</v>
      </c>
      <c r="E587" s="616">
        <v>97.85</v>
      </c>
      <c r="F587" s="616">
        <v>19570</v>
      </c>
      <c r="G587" s="614" t="s">
        <v>3462</v>
      </c>
      <c r="H587" s="614">
        <v>2014106</v>
      </c>
      <c r="I587" s="614" t="s">
        <v>199</v>
      </c>
      <c r="J587" s="614" t="s">
        <v>200</v>
      </c>
      <c r="K587" s="614" t="s">
        <v>201</v>
      </c>
      <c r="L587" s="616">
        <v>20</v>
      </c>
      <c r="M587" s="616">
        <v>0.72</v>
      </c>
      <c r="N587" s="616">
        <v>1.17</v>
      </c>
      <c r="O587" s="616">
        <v>120.93</v>
      </c>
      <c r="P587" s="616">
        <v>142.83000000000001</v>
      </c>
    </row>
    <row r="588" spans="1:16" x14ac:dyDescent="0.3">
      <c r="A588" s="615">
        <v>41795</v>
      </c>
      <c r="B588" s="614" t="s">
        <v>1512</v>
      </c>
      <c r="C588" s="614" t="s">
        <v>369</v>
      </c>
      <c r="D588" s="614">
        <v>300</v>
      </c>
      <c r="E588" s="616">
        <v>97.85</v>
      </c>
      <c r="F588" s="616">
        <v>29355</v>
      </c>
      <c r="G588" s="614" t="s">
        <v>3463</v>
      </c>
      <c r="H588" s="614">
        <v>2014105</v>
      </c>
      <c r="I588" s="614" t="s">
        <v>199</v>
      </c>
      <c r="J588" s="614" t="s">
        <v>200</v>
      </c>
      <c r="K588" s="614" t="s">
        <v>201</v>
      </c>
      <c r="L588" s="616">
        <v>29.35</v>
      </c>
      <c r="M588" s="616">
        <v>1.0900000000000001</v>
      </c>
      <c r="N588" s="616">
        <v>1.76</v>
      </c>
      <c r="O588" s="616">
        <v>181.41</v>
      </c>
      <c r="P588" s="616">
        <v>213.61</v>
      </c>
    </row>
    <row r="589" spans="1:16" x14ac:dyDescent="0.3">
      <c r="A589" s="615">
        <v>41232</v>
      </c>
      <c r="B589" s="614" t="s">
        <v>1998</v>
      </c>
      <c r="C589" s="614" t="s">
        <v>369</v>
      </c>
      <c r="D589" s="614">
        <v>3000</v>
      </c>
      <c r="E589" s="616">
        <v>29</v>
      </c>
      <c r="F589" s="616">
        <v>87000</v>
      </c>
      <c r="G589" s="614" t="s">
        <v>2968</v>
      </c>
      <c r="H589" s="614">
        <v>2012219</v>
      </c>
      <c r="I589" s="614" t="s">
        <v>199</v>
      </c>
      <c r="J589" s="614" t="s">
        <v>200</v>
      </c>
      <c r="K589" s="614" t="s">
        <v>201</v>
      </c>
      <c r="L589" s="616">
        <v>87</v>
      </c>
      <c r="M589" s="616">
        <v>3.13</v>
      </c>
      <c r="N589" s="616">
        <v>5.22</v>
      </c>
      <c r="O589" s="616">
        <v>537.65</v>
      </c>
      <c r="P589" s="616">
        <v>633</v>
      </c>
    </row>
    <row r="590" spans="1:16" x14ac:dyDescent="0.3">
      <c r="A590" s="615">
        <v>41213</v>
      </c>
      <c r="B590" s="614" t="s">
        <v>1147</v>
      </c>
      <c r="C590" s="614" t="s">
        <v>369</v>
      </c>
      <c r="D590" s="614">
        <v>2000</v>
      </c>
      <c r="E590" s="616">
        <v>12.25</v>
      </c>
      <c r="F590" s="616">
        <v>24500</v>
      </c>
      <c r="G590" s="614" t="s">
        <v>2969</v>
      </c>
      <c r="H590" s="614">
        <v>2012207</v>
      </c>
      <c r="I590" s="614" t="s">
        <v>199</v>
      </c>
      <c r="J590" s="614" t="s">
        <v>200</v>
      </c>
      <c r="K590" s="614" t="s">
        <v>201</v>
      </c>
      <c r="L590" s="616">
        <v>24.5</v>
      </c>
      <c r="M590" s="616">
        <v>0.88</v>
      </c>
      <c r="N590" s="616">
        <v>1.47</v>
      </c>
      <c r="O590" s="616">
        <v>151.41</v>
      </c>
      <c r="P590" s="616">
        <v>178.26</v>
      </c>
    </row>
    <row r="591" spans="1:16" x14ac:dyDescent="0.3">
      <c r="A591" s="615">
        <v>41211</v>
      </c>
      <c r="B591" s="614" t="s">
        <v>2961</v>
      </c>
      <c r="C591" s="614" t="s">
        <v>369</v>
      </c>
      <c r="D591" s="614">
        <v>700</v>
      </c>
      <c r="E591" s="616">
        <v>62.790599999999998</v>
      </c>
      <c r="F591" s="616">
        <v>43953.4</v>
      </c>
      <c r="G591" s="614" t="s">
        <v>2970</v>
      </c>
      <c r="H591" s="614">
        <v>2012205</v>
      </c>
      <c r="I591" s="614" t="s">
        <v>199</v>
      </c>
      <c r="J591" s="614" t="s">
        <v>200</v>
      </c>
      <c r="K591" s="614" t="s">
        <v>201</v>
      </c>
      <c r="L591" s="616">
        <v>43.79</v>
      </c>
      <c r="M591" s="616">
        <v>1.58</v>
      </c>
      <c r="N591" s="616">
        <v>2.64</v>
      </c>
      <c r="O591" s="616">
        <v>271.63</v>
      </c>
      <c r="P591" s="616">
        <v>319.64</v>
      </c>
    </row>
    <row r="592" spans="1:16" x14ac:dyDescent="0.3">
      <c r="A592" s="615">
        <v>41211</v>
      </c>
      <c r="B592" s="614" t="s">
        <v>1601</v>
      </c>
      <c r="C592" s="614" t="s">
        <v>369</v>
      </c>
      <c r="D592" s="614">
        <v>900</v>
      </c>
      <c r="E592" s="616">
        <v>63.4</v>
      </c>
      <c r="F592" s="616">
        <v>57060</v>
      </c>
      <c r="G592" s="614" t="s">
        <v>2971</v>
      </c>
      <c r="H592" s="614">
        <v>2012205</v>
      </c>
      <c r="I592" s="614" t="s">
        <v>199</v>
      </c>
      <c r="J592" s="614" t="s">
        <v>200</v>
      </c>
      <c r="K592" s="614" t="s">
        <v>201</v>
      </c>
      <c r="L592" s="616">
        <v>57.07</v>
      </c>
      <c r="M592" s="616">
        <v>2.0499999999999998</v>
      </c>
      <c r="N592" s="616">
        <v>3.42</v>
      </c>
      <c r="O592" s="616">
        <v>352.62</v>
      </c>
      <c r="P592" s="616">
        <v>415.17</v>
      </c>
    </row>
    <row r="593" spans="1:16" x14ac:dyDescent="0.3">
      <c r="A593" s="615">
        <v>41211</v>
      </c>
      <c r="B593" s="614" t="s">
        <v>1601</v>
      </c>
      <c r="C593" s="614" t="s">
        <v>369</v>
      </c>
      <c r="D593" s="614">
        <v>100</v>
      </c>
      <c r="E593" s="616">
        <v>63.5</v>
      </c>
      <c r="F593" s="616">
        <v>6350</v>
      </c>
      <c r="G593" s="614" t="s">
        <v>2972</v>
      </c>
      <c r="H593" s="614">
        <v>2012205</v>
      </c>
      <c r="I593" s="614" t="s">
        <v>199</v>
      </c>
      <c r="J593" s="614" t="s">
        <v>200</v>
      </c>
      <c r="K593" s="614" t="s">
        <v>201</v>
      </c>
      <c r="L593" s="616">
        <v>6.34</v>
      </c>
      <c r="M593" s="616">
        <v>0.23</v>
      </c>
      <c r="N593" s="616">
        <v>0.38</v>
      </c>
      <c r="O593" s="616">
        <v>39.33</v>
      </c>
      <c r="P593" s="616">
        <v>46.28</v>
      </c>
    </row>
    <row r="594" spans="1:16" x14ac:dyDescent="0.3">
      <c r="A594" s="615">
        <v>41192</v>
      </c>
      <c r="B594" s="614" t="s">
        <v>2530</v>
      </c>
      <c r="C594" s="614" t="s">
        <v>369</v>
      </c>
      <c r="D594" s="614">
        <v>100</v>
      </c>
      <c r="E594" s="616">
        <v>365.23399999999998</v>
      </c>
      <c r="F594" s="616">
        <v>36523.4</v>
      </c>
      <c r="G594" s="614" t="s">
        <v>2973</v>
      </c>
      <c r="H594" s="614">
        <v>201213135</v>
      </c>
      <c r="I594" s="614" t="s">
        <v>199</v>
      </c>
      <c r="J594" s="614" t="s">
        <v>200</v>
      </c>
      <c r="K594" s="614" t="s">
        <v>204</v>
      </c>
      <c r="L594" s="616">
        <v>36.47</v>
      </c>
      <c r="M594" s="616">
        <v>1.17</v>
      </c>
      <c r="N594" s="616">
        <v>2.19</v>
      </c>
      <c r="O594" s="616">
        <v>225.71</v>
      </c>
      <c r="P594" s="616">
        <v>265.54000000000002</v>
      </c>
    </row>
    <row r="595" spans="1:16" x14ac:dyDescent="0.3">
      <c r="A595" s="615">
        <v>41150</v>
      </c>
      <c r="B595" s="614" t="s">
        <v>1147</v>
      </c>
      <c r="C595" s="614" t="s">
        <v>369</v>
      </c>
      <c r="D595" s="614">
        <v>10000</v>
      </c>
      <c r="E595" s="616">
        <v>8.4</v>
      </c>
      <c r="F595" s="616">
        <v>84000</v>
      </c>
      <c r="G595" s="614" t="s">
        <v>2974</v>
      </c>
      <c r="H595" s="614">
        <v>2012165</v>
      </c>
      <c r="I595" s="614" t="s">
        <v>199</v>
      </c>
      <c r="J595" s="614" t="s">
        <v>200</v>
      </c>
      <c r="K595" s="614" t="s">
        <v>201</v>
      </c>
      <c r="L595" s="616">
        <v>84</v>
      </c>
      <c r="M595" s="616">
        <v>3.02</v>
      </c>
      <c r="N595" s="616">
        <v>5.04</v>
      </c>
      <c r="O595" s="616">
        <v>561.79999999999995</v>
      </c>
      <c r="P595" s="616">
        <v>653.86</v>
      </c>
    </row>
    <row r="596" spans="1:16" x14ac:dyDescent="0.3">
      <c r="A596" s="615">
        <v>41066</v>
      </c>
      <c r="B596" s="614" t="s">
        <v>2530</v>
      </c>
      <c r="C596" s="614" t="s">
        <v>369</v>
      </c>
      <c r="D596" s="614">
        <v>100</v>
      </c>
      <c r="E596" s="616">
        <v>213.04249999999999</v>
      </c>
      <c r="F596" s="616">
        <v>21304.25</v>
      </c>
      <c r="G596" s="614" t="s">
        <v>2975</v>
      </c>
      <c r="H596" s="614">
        <v>201213048</v>
      </c>
      <c r="I596" s="614" t="s">
        <v>199</v>
      </c>
      <c r="J596" s="614" t="s">
        <v>200</v>
      </c>
      <c r="K596" s="614" t="s">
        <v>204</v>
      </c>
      <c r="L596" s="616">
        <v>27</v>
      </c>
      <c r="M596" s="616">
        <v>0.77</v>
      </c>
      <c r="N596" s="616">
        <v>1.28</v>
      </c>
      <c r="O596" s="616">
        <v>131.65</v>
      </c>
      <c r="P596" s="616">
        <v>160.69999999999999</v>
      </c>
    </row>
    <row r="597" spans="1:16" x14ac:dyDescent="0.3">
      <c r="A597" s="615">
        <v>41066</v>
      </c>
      <c r="B597" s="614" t="s">
        <v>282</v>
      </c>
      <c r="C597" s="614" t="s">
        <v>369</v>
      </c>
      <c r="D597" s="614">
        <v>1500</v>
      </c>
      <c r="E597" s="616">
        <v>43.546199999999999</v>
      </c>
      <c r="F597" s="616">
        <v>65319.35</v>
      </c>
      <c r="G597" s="614" t="s">
        <v>2976</v>
      </c>
      <c r="H597" s="614">
        <v>2012107</v>
      </c>
      <c r="I597" s="614" t="s">
        <v>199</v>
      </c>
      <c r="J597" s="614" t="s">
        <v>200</v>
      </c>
      <c r="K597" s="614" t="s">
        <v>201</v>
      </c>
      <c r="L597" s="616">
        <v>82</v>
      </c>
      <c r="M597" s="616">
        <v>2.35</v>
      </c>
      <c r="N597" s="616">
        <v>3.92</v>
      </c>
      <c r="O597" s="616">
        <v>403.66</v>
      </c>
      <c r="P597" s="616">
        <v>491.93</v>
      </c>
    </row>
    <row r="598" spans="1:16" x14ac:dyDescent="0.3">
      <c r="A598" s="615">
        <v>40990</v>
      </c>
      <c r="B598" s="614" t="s">
        <v>282</v>
      </c>
      <c r="C598" s="614" t="s">
        <v>369</v>
      </c>
      <c r="D598" s="614">
        <v>250</v>
      </c>
      <c r="E598" s="616">
        <v>40.549999999999997</v>
      </c>
      <c r="F598" s="616">
        <v>10137.5</v>
      </c>
      <c r="G598" s="614" t="s">
        <v>3859</v>
      </c>
      <c r="H598" s="614">
        <v>2012056</v>
      </c>
      <c r="I598" s="614" t="s">
        <v>199</v>
      </c>
      <c r="J598" s="614" t="s">
        <v>200</v>
      </c>
      <c r="K598" s="614" t="s">
        <v>201</v>
      </c>
      <c r="L598" s="616">
        <v>13</v>
      </c>
      <c r="M598" s="616">
        <v>0.35</v>
      </c>
      <c r="N598" s="616">
        <v>0.61</v>
      </c>
      <c r="O598" s="616">
        <v>61.5</v>
      </c>
      <c r="P598" s="616">
        <v>75.459999999999994</v>
      </c>
    </row>
    <row r="599" spans="1:16" x14ac:dyDescent="0.3">
      <c r="A599" s="615">
        <v>40962</v>
      </c>
      <c r="B599" s="614" t="s">
        <v>2525</v>
      </c>
      <c r="C599" s="614" t="s">
        <v>369</v>
      </c>
      <c r="D599" s="614">
        <v>1000</v>
      </c>
      <c r="E599" s="616">
        <v>50.564500000000002</v>
      </c>
      <c r="F599" s="616">
        <v>50564.45</v>
      </c>
      <c r="G599" s="614" t="s">
        <v>3861</v>
      </c>
      <c r="H599" s="614">
        <v>2012037</v>
      </c>
      <c r="I599" s="614" t="s">
        <v>199</v>
      </c>
      <c r="J599" s="614" t="s">
        <v>200</v>
      </c>
      <c r="K599" s="614" t="s">
        <v>201</v>
      </c>
      <c r="L599" s="616">
        <v>63</v>
      </c>
      <c r="M599" s="616">
        <v>1.77</v>
      </c>
      <c r="N599" s="616">
        <v>5.0599999999999996</v>
      </c>
      <c r="O599" s="616">
        <v>306.76</v>
      </c>
      <c r="P599" s="616">
        <v>376.59</v>
      </c>
    </row>
    <row r="600" spans="1:16" x14ac:dyDescent="0.3">
      <c r="A600" s="615">
        <v>40955</v>
      </c>
      <c r="B600" s="614" t="s">
        <v>1697</v>
      </c>
      <c r="C600" s="614" t="s">
        <v>369</v>
      </c>
      <c r="D600" s="614">
        <v>300</v>
      </c>
      <c r="E600" s="616">
        <v>349</v>
      </c>
      <c r="F600" s="616">
        <v>104700</v>
      </c>
      <c r="G600" s="614" t="s">
        <v>3862</v>
      </c>
      <c r="H600" s="614">
        <v>2012033</v>
      </c>
      <c r="I600" s="614" t="s">
        <v>199</v>
      </c>
      <c r="J600" s="614" t="s">
        <v>200</v>
      </c>
      <c r="K600" s="614" t="s">
        <v>201</v>
      </c>
      <c r="L600" s="616">
        <v>131.31</v>
      </c>
      <c r="M600" s="616">
        <v>3.66</v>
      </c>
      <c r="N600" s="616">
        <v>10.47</v>
      </c>
      <c r="O600" s="616">
        <v>635.16</v>
      </c>
      <c r="P600" s="616">
        <v>780.6</v>
      </c>
    </row>
    <row r="601" spans="1:16" x14ac:dyDescent="0.3">
      <c r="A601" s="615">
        <v>40941</v>
      </c>
      <c r="B601" s="614" t="s">
        <v>2530</v>
      </c>
      <c r="C601" s="614" t="s">
        <v>369</v>
      </c>
      <c r="D601" s="614">
        <v>175</v>
      </c>
      <c r="E601" s="616">
        <v>199.95</v>
      </c>
      <c r="F601" s="616">
        <v>34991.25</v>
      </c>
      <c r="G601" s="614" t="s">
        <v>3865</v>
      </c>
      <c r="H601" s="614">
        <v>201112211</v>
      </c>
      <c r="I601" s="614" t="s">
        <v>199</v>
      </c>
      <c r="J601" s="614" t="s">
        <v>200</v>
      </c>
      <c r="K601" s="614" t="s">
        <v>204</v>
      </c>
      <c r="L601" s="616">
        <v>44</v>
      </c>
      <c r="M601" s="616">
        <v>1.26</v>
      </c>
      <c r="N601" s="616">
        <v>3.5</v>
      </c>
      <c r="O601" s="616">
        <v>212.27</v>
      </c>
      <c r="P601" s="616">
        <v>261.02999999999997</v>
      </c>
    </row>
    <row r="602" spans="1:16" x14ac:dyDescent="0.3">
      <c r="A602" s="615">
        <v>40941</v>
      </c>
      <c r="B602" s="614" t="s">
        <v>2532</v>
      </c>
      <c r="C602" s="614" t="s">
        <v>369</v>
      </c>
      <c r="D602" s="614">
        <v>5500</v>
      </c>
      <c r="E602" s="616">
        <v>15.95</v>
      </c>
      <c r="F602" s="616">
        <v>87725</v>
      </c>
      <c r="G602" s="614" t="s">
        <v>3866</v>
      </c>
      <c r="H602" s="614">
        <v>2012023</v>
      </c>
      <c r="I602" s="614" t="s">
        <v>199</v>
      </c>
      <c r="J602" s="614" t="s">
        <v>200</v>
      </c>
      <c r="K602" s="614" t="s">
        <v>201</v>
      </c>
      <c r="L602" s="616">
        <v>110</v>
      </c>
      <c r="M602" s="616">
        <v>3.07</v>
      </c>
      <c r="N602" s="616">
        <v>8.77</v>
      </c>
      <c r="O602" s="616">
        <v>532.19000000000005</v>
      </c>
      <c r="P602" s="616">
        <v>654.03</v>
      </c>
    </row>
    <row r="603" spans="1:16" x14ac:dyDescent="0.3">
      <c r="A603" s="615">
        <v>40938</v>
      </c>
      <c r="B603" s="614" t="s">
        <v>2534</v>
      </c>
      <c r="C603" s="614" t="s">
        <v>369</v>
      </c>
      <c r="D603" s="614">
        <v>450</v>
      </c>
      <c r="E603" s="616">
        <v>183.5001</v>
      </c>
      <c r="F603" s="616">
        <v>82575.05</v>
      </c>
      <c r="G603" s="614" t="s">
        <v>3867</v>
      </c>
      <c r="H603" s="614">
        <v>2012020</v>
      </c>
      <c r="I603" s="614" t="s">
        <v>199</v>
      </c>
      <c r="J603" s="614" t="s">
        <v>200</v>
      </c>
      <c r="K603" s="614" t="s">
        <v>201</v>
      </c>
      <c r="L603" s="616">
        <v>103.5</v>
      </c>
      <c r="M603" s="616">
        <v>2.89</v>
      </c>
      <c r="N603" s="616">
        <v>8.26</v>
      </c>
      <c r="O603" s="616">
        <v>500.94</v>
      </c>
      <c r="P603" s="616">
        <v>615.59</v>
      </c>
    </row>
    <row r="604" spans="1:16" x14ac:dyDescent="0.3">
      <c r="A604" s="615">
        <v>40932</v>
      </c>
      <c r="B604" s="614" t="s">
        <v>2538</v>
      </c>
      <c r="C604" s="614" t="s">
        <v>369</v>
      </c>
      <c r="D604" s="614">
        <v>2000</v>
      </c>
      <c r="E604" s="616">
        <v>42.732300000000002</v>
      </c>
      <c r="F604" s="616">
        <v>85464.6</v>
      </c>
      <c r="G604" s="614" t="s">
        <v>3870</v>
      </c>
      <c r="H604" s="614">
        <v>2012017</v>
      </c>
      <c r="I604" s="614" t="s">
        <v>199</v>
      </c>
      <c r="J604" s="614" t="s">
        <v>200</v>
      </c>
      <c r="K604" s="614" t="s">
        <v>201</v>
      </c>
      <c r="L604" s="616">
        <v>106.83</v>
      </c>
      <c r="M604" s="616">
        <v>2.99</v>
      </c>
      <c r="N604" s="616">
        <v>8.5500000000000007</v>
      </c>
      <c r="O604" s="616">
        <v>518.48</v>
      </c>
      <c r="P604" s="616">
        <v>636.85</v>
      </c>
    </row>
    <row r="605" spans="1:16" x14ac:dyDescent="0.3">
      <c r="A605" s="615">
        <v>40868</v>
      </c>
      <c r="B605" s="614" t="s">
        <v>2543</v>
      </c>
      <c r="C605" s="614" t="s">
        <v>369</v>
      </c>
      <c r="D605" s="614">
        <v>50</v>
      </c>
      <c r="E605" s="616">
        <v>1243.125</v>
      </c>
      <c r="F605" s="616">
        <v>62156.25</v>
      </c>
      <c r="G605" s="614" t="s">
        <v>3874</v>
      </c>
      <c r="H605" s="614">
        <v>2011219</v>
      </c>
      <c r="I605" s="614" t="s">
        <v>199</v>
      </c>
      <c r="J605" s="614" t="s">
        <v>200</v>
      </c>
      <c r="K605" s="614" t="s">
        <v>201</v>
      </c>
      <c r="L605" s="616">
        <v>78</v>
      </c>
      <c r="M605" s="616">
        <v>2.1800000000000002</v>
      </c>
      <c r="N605" s="616">
        <v>6.22</v>
      </c>
      <c r="O605" s="616">
        <v>377.06</v>
      </c>
      <c r="P605" s="616">
        <v>463.45</v>
      </c>
    </row>
    <row r="606" spans="1:16" x14ac:dyDescent="0.3">
      <c r="A606" s="615">
        <v>40861</v>
      </c>
      <c r="B606" s="614" t="s">
        <v>242</v>
      </c>
      <c r="C606" s="614" t="s">
        <v>369</v>
      </c>
      <c r="D606" s="614">
        <v>1000</v>
      </c>
      <c r="E606" s="616">
        <v>26.55</v>
      </c>
      <c r="F606" s="616">
        <v>26550</v>
      </c>
      <c r="G606" s="614" t="s">
        <v>3875</v>
      </c>
      <c r="H606" s="614">
        <v>201112154</v>
      </c>
      <c r="I606" s="614" t="s">
        <v>199</v>
      </c>
      <c r="J606" s="614" t="s">
        <v>3876</v>
      </c>
      <c r="K606" s="614" t="s">
        <v>204</v>
      </c>
      <c r="L606" s="616">
        <v>33</v>
      </c>
      <c r="M606" s="616">
        <v>0.96</v>
      </c>
      <c r="N606" s="616">
        <v>2.66</v>
      </c>
      <c r="O606" s="616">
        <v>161.07</v>
      </c>
      <c r="P606" s="616">
        <v>197.68</v>
      </c>
    </row>
    <row r="607" spans="1:16" x14ac:dyDescent="0.3">
      <c r="A607" s="615">
        <v>40861</v>
      </c>
      <c r="B607" s="614" t="s">
        <v>2546</v>
      </c>
      <c r="C607" s="614" t="s">
        <v>369</v>
      </c>
      <c r="D607" s="614">
        <v>100</v>
      </c>
      <c r="E607" s="616">
        <v>132.4</v>
      </c>
      <c r="F607" s="616">
        <v>13240</v>
      </c>
      <c r="G607" s="614" t="s">
        <v>3877</v>
      </c>
      <c r="H607" s="614">
        <v>2011214</v>
      </c>
      <c r="I607" s="614" t="s">
        <v>199</v>
      </c>
      <c r="J607" s="614" t="s">
        <v>3876</v>
      </c>
      <c r="K607" s="614" t="s">
        <v>201</v>
      </c>
      <c r="L607" s="616">
        <v>17</v>
      </c>
      <c r="M607" s="616">
        <v>0.46</v>
      </c>
      <c r="N607" s="616">
        <v>1.32</v>
      </c>
      <c r="O607" s="616">
        <v>80.319999999999993</v>
      </c>
      <c r="P607" s="616">
        <v>99.11</v>
      </c>
    </row>
    <row r="608" spans="1:16" x14ac:dyDescent="0.3">
      <c r="A608" s="615">
        <v>40856</v>
      </c>
      <c r="B608" s="614" t="s">
        <v>1559</v>
      </c>
      <c r="C608" s="614" t="s">
        <v>369</v>
      </c>
      <c r="D608" s="614">
        <v>13</v>
      </c>
      <c r="E608" s="616">
        <v>1884</v>
      </c>
      <c r="F608" s="616">
        <v>24492</v>
      </c>
      <c r="G608" s="614" t="s">
        <v>3881</v>
      </c>
      <c r="H608" s="614">
        <v>2011212</v>
      </c>
      <c r="I608" s="614" t="s">
        <v>199</v>
      </c>
      <c r="J608" s="614" t="s">
        <v>200</v>
      </c>
      <c r="K608" s="614" t="s">
        <v>201</v>
      </c>
      <c r="L608" s="616">
        <v>6.16</v>
      </c>
      <c r="M608" s="616">
        <v>0.86</v>
      </c>
      <c r="N608" s="616">
        <v>0.49</v>
      </c>
      <c r="O608" s="616">
        <v>0</v>
      </c>
      <c r="P608" s="616">
        <v>7.51</v>
      </c>
    </row>
    <row r="609" spans="1:16" x14ac:dyDescent="0.3">
      <c r="A609" s="615">
        <v>40855</v>
      </c>
      <c r="B609" s="614" t="s">
        <v>242</v>
      </c>
      <c r="C609" s="614" t="s">
        <v>369</v>
      </c>
      <c r="D609" s="614">
        <v>1000</v>
      </c>
      <c r="E609" s="616">
        <v>27.45</v>
      </c>
      <c r="F609" s="616">
        <v>27450</v>
      </c>
      <c r="G609" s="614" t="s">
        <v>3882</v>
      </c>
      <c r="H609" s="614">
        <v>201112151</v>
      </c>
      <c r="I609" s="614" t="s">
        <v>199</v>
      </c>
      <c r="J609" s="614" t="s">
        <v>200</v>
      </c>
      <c r="K609" s="614" t="s">
        <v>204</v>
      </c>
      <c r="L609" s="616">
        <v>34</v>
      </c>
      <c r="M609" s="616">
        <v>0.99</v>
      </c>
      <c r="N609" s="616">
        <v>2.75</v>
      </c>
      <c r="O609" s="616">
        <v>166.53</v>
      </c>
      <c r="P609" s="616">
        <v>204.26</v>
      </c>
    </row>
    <row r="610" spans="1:16" x14ac:dyDescent="0.3">
      <c r="A610" s="615">
        <v>40849</v>
      </c>
      <c r="B610" s="614" t="s">
        <v>2530</v>
      </c>
      <c r="C610" s="614" t="s">
        <v>369</v>
      </c>
      <c r="D610" s="614">
        <v>25</v>
      </c>
      <c r="E610" s="616">
        <v>180.2</v>
      </c>
      <c r="F610" s="616">
        <v>4505</v>
      </c>
      <c r="G610" s="614" t="s">
        <v>3883</v>
      </c>
      <c r="H610" s="614">
        <v>201112148</v>
      </c>
      <c r="I610" s="614" t="s">
        <v>199</v>
      </c>
      <c r="J610" s="614" t="s">
        <v>200</v>
      </c>
      <c r="K610" s="614" t="s">
        <v>204</v>
      </c>
      <c r="L610" s="616">
        <v>6</v>
      </c>
      <c r="M610" s="616">
        <v>0.16</v>
      </c>
      <c r="N610" s="616">
        <v>0.45</v>
      </c>
      <c r="O610" s="616">
        <v>38.6</v>
      </c>
      <c r="P610" s="616">
        <v>45.21</v>
      </c>
    </row>
    <row r="611" spans="1:16" x14ac:dyDescent="0.3">
      <c r="A611" s="615">
        <v>40849</v>
      </c>
      <c r="B611" s="614" t="s">
        <v>2554</v>
      </c>
      <c r="C611" s="614" t="s">
        <v>369</v>
      </c>
      <c r="D611" s="614">
        <v>200</v>
      </c>
      <c r="E611" s="616">
        <v>63.55</v>
      </c>
      <c r="F611" s="616">
        <v>12710</v>
      </c>
      <c r="G611" s="614" t="s">
        <v>3884</v>
      </c>
      <c r="H611" s="614">
        <v>2011208</v>
      </c>
      <c r="I611" s="614" t="s">
        <v>199</v>
      </c>
      <c r="J611" s="614" t="s">
        <v>200</v>
      </c>
      <c r="K611" s="614" t="s">
        <v>201</v>
      </c>
      <c r="L611" s="616">
        <v>15.89</v>
      </c>
      <c r="M611" s="616">
        <v>0.44</v>
      </c>
      <c r="N611" s="616">
        <v>1.27</v>
      </c>
      <c r="O611" s="616">
        <v>77.11</v>
      </c>
      <c r="P611" s="616">
        <v>94.72</v>
      </c>
    </row>
    <row r="612" spans="1:16" x14ac:dyDescent="0.3">
      <c r="A612" s="615">
        <v>40849</v>
      </c>
      <c r="B612" s="614" t="s">
        <v>2556</v>
      </c>
      <c r="C612" s="614" t="s">
        <v>369</v>
      </c>
      <c r="D612" s="614">
        <v>50</v>
      </c>
      <c r="E612" s="616">
        <v>614.27499999999998</v>
      </c>
      <c r="F612" s="616">
        <v>30713.75</v>
      </c>
      <c r="G612" s="614" t="s">
        <v>3885</v>
      </c>
      <c r="H612" s="614">
        <v>2011208</v>
      </c>
      <c r="I612" s="614" t="s">
        <v>199</v>
      </c>
      <c r="J612" s="614" t="s">
        <v>3876</v>
      </c>
      <c r="K612" s="614" t="s">
        <v>201</v>
      </c>
      <c r="L612" s="616">
        <v>38.39</v>
      </c>
      <c r="M612" s="616">
        <v>1.08</v>
      </c>
      <c r="N612" s="616">
        <v>3.07</v>
      </c>
      <c r="O612" s="616">
        <v>186.32</v>
      </c>
      <c r="P612" s="616">
        <v>228.86</v>
      </c>
    </row>
    <row r="613" spans="1:16" x14ac:dyDescent="0.3">
      <c r="A613" s="615">
        <v>40841</v>
      </c>
      <c r="B613" s="614" t="s">
        <v>2560</v>
      </c>
      <c r="C613" s="614" t="s">
        <v>369</v>
      </c>
      <c r="D613" s="614">
        <v>100</v>
      </c>
      <c r="E613" s="616">
        <v>137.35</v>
      </c>
      <c r="F613" s="616">
        <v>13735</v>
      </c>
      <c r="G613" s="614" t="s">
        <v>3888</v>
      </c>
      <c r="H613" s="614">
        <v>2011203</v>
      </c>
      <c r="I613" s="614" t="s">
        <v>199</v>
      </c>
      <c r="J613" s="614" t="s">
        <v>200</v>
      </c>
      <c r="K613" s="614" t="s">
        <v>201</v>
      </c>
      <c r="L613" s="616">
        <v>17.170000000000002</v>
      </c>
      <c r="M613" s="616">
        <v>0.48</v>
      </c>
      <c r="N613" s="616">
        <v>1.37</v>
      </c>
      <c r="O613" s="616">
        <v>83.32</v>
      </c>
      <c r="P613" s="616">
        <v>102.34</v>
      </c>
    </row>
    <row r="614" spans="1:16" x14ac:dyDescent="0.3">
      <c r="A614" s="615">
        <v>40835</v>
      </c>
      <c r="B614" s="614" t="s">
        <v>2564</v>
      </c>
      <c r="C614" s="614" t="s">
        <v>369</v>
      </c>
      <c r="D614" s="614">
        <v>1000</v>
      </c>
      <c r="E614" s="616">
        <v>39.5</v>
      </c>
      <c r="F614" s="616">
        <v>39500</v>
      </c>
      <c r="G614" s="614" t="s">
        <v>3891</v>
      </c>
      <c r="H614" s="614">
        <v>2011199</v>
      </c>
      <c r="I614" s="614" t="s">
        <v>199</v>
      </c>
      <c r="J614" s="614" t="s">
        <v>200</v>
      </c>
      <c r="K614" s="614" t="s">
        <v>201</v>
      </c>
      <c r="L614" s="616">
        <v>49.38</v>
      </c>
      <c r="M614" s="616">
        <v>1.38</v>
      </c>
      <c r="N614" s="616">
        <v>3.95</v>
      </c>
      <c r="O614" s="616">
        <v>239.62</v>
      </c>
      <c r="P614" s="616">
        <v>294.33</v>
      </c>
    </row>
    <row r="615" spans="1:16" x14ac:dyDescent="0.3">
      <c r="A615" s="615">
        <v>40814</v>
      </c>
      <c r="B615" s="614" t="s">
        <v>308</v>
      </c>
      <c r="C615" s="614" t="s">
        <v>369</v>
      </c>
      <c r="D615" s="614">
        <v>250</v>
      </c>
      <c r="E615" s="616">
        <v>87</v>
      </c>
      <c r="F615" s="616">
        <v>21750</v>
      </c>
      <c r="G615" s="614" t="s">
        <v>3894</v>
      </c>
      <c r="H615" s="614">
        <v>2011185</v>
      </c>
      <c r="I615" s="614" t="s">
        <v>199</v>
      </c>
      <c r="J615" s="614" t="s">
        <v>200</v>
      </c>
      <c r="K615" s="614" t="s">
        <v>201</v>
      </c>
      <c r="L615" s="616">
        <v>27</v>
      </c>
      <c r="M615" s="616">
        <v>0.76</v>
      </c>
      <c r="N615" s="616">
        <v>2.1800000000000002</v>
      </c>
      <c r="O615" s="616">
        <v>131.94999999999999</v>
      </c>
      <c r="P615" s="616">
        <v>161.88999999999999</v>
      </c>
    </row>
    <row r="616" spans="1:16" x14ac:dyDescent="0.3">
      <c r="A616" s="615">
        <v>40805</v>
      </c>
      <c r="B616" s="614" t="s">
        <v>2569</v>
      </c>
      <c r="C616" s="614" t="s">
        <v>369</v>
      </c>
      <c r="D616" s="614">
        <v>1200</v>
      </c>
      <c r="E616" s="616">
        <v>29.4</v>
      </c>
      <c r="F616" s="616">
        <v>35280</v>
      </c>
      <c r="G616" s="614" t="s">
        <v>3895</v>
      </c>
      <c r="H616" s="614">
        <v>2011178</v>
      </c>
      <c r="I616" s="614" t="s">
        <v>199</v>
      </c>
      <c r="J616" s="614" t="s">
        <v>200</v>
      </c>
      <c r="K616" s="614" t="s">
        <v>201</v>
      </c>
      <c r="L616" s="616">
        <v>44</v>
      </c>
      <c r="M616" s="616">
        <v>1.23</v>
      </c>
      <c r="N616" s="616">
        <v>3.53</v>
      </c>
      <c r="O616" s="616">
        <v>214.03</v>
      </c>
      <c r="P616" s="616">
        <v>262.79000000000002</v>
      </c>
    </row>
    <row r="617" spans="1:16" x14ac:dyDescent="0.3">
      <c r="A617" s="615">
        <v>40793</v>
      </c>
      <c r="B617" s="614" t="s">
        <v>2575</v>
      </c>
      <c r="C617" s="614" t="s">
        <v>369</v>
      </c>
      <c r="D617" s="614">
        <v>86</v>
      </c>
      <c r="E617" s="616">
        <v>119.55</v>
      </c>
      <c r="F617" s="616">
        <v>10281.299999999999</v>
      </c>
      <c r="G617" s="614" t="s">
        <v>3899</v>
      </c>
      <c r="H617" s="614">
        <v>201112110</v>
      </c>
      <c r="I617" s="614" t="s">
        <v>199</v>
      </c>
      <c r="J617" s="614" t="s">
        <v>200</v>
      </c>
      <c r="K617" s="614" t="s">
        <v>204</v>
      </c>
      <c r="L617" s="616">
        <v>13</v>
      </c>
      <c r="M617" s="616">
        <v>0.37</v>
      </c>
      <c r="N617" s="616">
        <v>1.03</v>
      </c>
      <c r="O617" s="616">
        <v>62.37</v>
      </c>
      <c r="P617" s="616">
        <v>76.77</v>
      </c>
    </row>
    <row r="618" spans="1:16" x14ac:dyDescent="0.3">
      <c r="A618" s="615">
        <v>40793</v>
      </c>
      <c r="B618" s="614" t="s">
        <v>361</v>
      </c>
      <c r="C618" s="614" t="s">
        <v>369</v>
      </c>
      <c r="D618" s="614">
        <v>350</v>
      </c>
      <c r="E618" s="616">
        <v>42.25</v>
      </c>
      <c r="F618" s="616">
        <v>14787.5</v>
      </c>
      <c r="G618" s="614" t="s">
        <v>3900</v>
      </c>
      <c r="H618" s="614">
        <v>2011170</v>
      </c>
      <c r="I618" s="614" t="s">
        <v>199</v>
      </c>
      <c r="J618" s="614" t="s">
        <v>200</v>
      </c>
      <c r="K618" s="614" t="s">
        <v>201</v>
      </c>
      <c r="L618" s="616">
        <v>18</v>
      </c>
      <c r="M618" s="616">
        <v>0.52</v>
      </c>
      <c r="N618" s="616">
        <v>1.48</v>
      </c>
      <c r="O618" s="616">
        <v>89.71</v>
      </c>
      <c r="P618" s="616">
        <v>109.71</v>
      </c>
    </row>
    <row r="619" spans="1:16" x14ac:dyDescent="0.3">
      <c r="A619" s="615">
        <v>40792</v>
      </c>
      <c r="B619" s="614" t="s">
        <v>2575</v>
      </c>
      <c r="C619" s="614" t="s">
        <v>369</v>
      </c>
      <c r="D619" s="614">
        <v>64</v>
      </c>
      <c r="E619" s="616">
        <v>119.5</v>
      </c>
      <c r="F619" s="616">
        <v>7648</v>
      </c>
      <c r="G619" s="614" t="s">
        <v>3901</v>
      </c>
      <c r="H619" s="614">
        <v>201112109</v>
      </c>
      <c r="I619" s="614" t="s">
        <v>199</v>
      </c>
      <c r="J619" s="614" t="s">
        <v>200</v>
      </c>
      <c r="K619" s="614" t="s">
        <v>204</v>
      </c>
      <c r="L619" s="616">
        <v>10</v>
      </c>
      <c r="M619" s="616">
        <v>0.28000000000000003</v>
      </c>
      <c r="N619" s="616">
        <v>0.76</v>
      </c>
      <c r="O619" s="616">
        <v>46.4</v>
      </c>
      <c r="P619" s="616">
        <v>57.44</v>
      </c>
    </row>
    <row r="620" spans="1:16" x14ac:dyDescent="0.3">
      <c r="A620" s="615">
        <v>40792</v>
      </c>
      <c r="B620" s="614" t="s">
        <v>2579</v>
      </c>
      <c r="C620" s="614" t="s">
        <v>369</v>
      </c>
      <c r="D620" s="614">
        <v>45</v>
      </c>
      <c r="E620" s="616">
        <v>460</v>
      </c>
      <c r="F620" s="616">
        <v>20700</v>
      </c>
      <c r="G620" s="614" t="s">
        <v>3902</v>
      </c>
      <c r="H620" s="614">
        <v>2011169</v>
      </c>
      <c r="I620" s="614" t="s">
        <v>199</v>
      </c>
      <c r="J620" s="614" t="s">
        <v>200</v>
      </c>
      <c r="K620" s="614" t="s">
        <v>201</v>
      </c>
      <c r="L620" s="616">
        <v>25.88</v>
      </c>
      <c r="M620" s="616">
        <v>0.72</v>
      </c>
      <c r="N620" s="616">
        <v>2.0699999999999998</v>
      </c>
      <c r="O620" s="616">
        <v>125.58</v>
      </c>
      <c r="P620" s="616">
        <v>154.25</v>
      </c>
    </row>
    <row r="621" spans="1:16" x14ac:dyDescent="0.3">
      <c r="A621" s="615">
        <v>40792</v>
      </c>
      <c r="B621" s="614" t="s">
        <v>2581</v>
      </c>
      <c r="C621" s="614" t="s">
        <v>369</v>
      </c>
      <c r="D621" s="614">
        <v>22</v>
      </c>
      <c r="E621" s="616">
        <v>688.6</v>
      </c>
      <c r="F621" s="616">
        <v>15149.2</v>
      </c>
      <c r="G621" s="614" t="s">
        <v>3903</v>
      </c>
      <c r="H621" s="614">
        <v>2011169</v>
      </c>
      <c r="I621" s="614" t="s">
        <v>199</v>
      </c>
      <c r="J621" s="614" t="s">
        <v>200</v>
      </c>
      <c r="K621" s="614" t="s">
        <v>201</v>
      </c>
      <c r="L621" s="616">
        <v>19.02</v>
      </c>
      <c r="M621" s="616">
        <v>0.53</v>
      </c>
      <c r="N621" s="616">
        <v>1.51</v>
      </c>
      <c r="O621" s="616">
        <v>91.9</v>
      </c>
      <c r="P621" s="616">
        <v>112.97</v>
      </c>
    </row>
    <row r="622" spans="1:16" x14ac:dyDescent="0.3">
      <c r="A622" s="615">
        <v>40792</v>
      </c>
      <c r="B622" s="614" t="s">
        <v>222</v>
      </c>
      <c r="C622" s="614" t="s">
        <v>369</v>
      </c>
      <c r="D622" s="614">
        <v>90</v>
      </c>
      <c r="E622" s="616">
        <v>170</v>
      </c>
      <c r="F622" s="616">
        <v>15300</v>
      </c>
      <c r="G622" s="614" t="s">
        <v>3904</v>
      </c>
      <c r="H622" s="614">
        <v>2011169</v>
      </c>
      <c r="I622" s="614" t="s">
        <v>199</v>
      </c>
      <c r="J622" s="614" t="s">
        <v>200</v>
      </c>
      <c r="K622" s="614" t="s">
        <v>201</v>
      </c>
      <c r="L622" s="616">
        <v>19.13</v>
      </c>
      <c r="M622" s="616">
        <v>0.54</v>
      </c>
      <c r="N622" s="616">
        <v>1.53</v>
      </c>
      <c r="O622" s="616">
        <v>92.82</v>
      </c>
      <c r="P622" s="616">
        <v>114.02</v>
      </c>
    </row>
    <row r="623" spans="1:16" x14ac:dyDescent="0.3">
      <c r="A623" s="615">
        <v>40791</v>
      </c>
      <c r="B623" s="614" t="s">
        <v>2585</v>
      </c>
      <c r="C623" s="614" t="s">
        <v>369</v>
      </c>
      <c r="D623" s="614">
        <v>75</v>
      </c>
      <c r="E623" s="616">
        <v>197.75</v>
      </c>
      <c r="F623" s="616">
        <v>14831.25</v>
      </c>
      <c r="G623" s="614" t="s">
        <v>3906</v>
      </c>
      <c r="H623" s="614">
        <v>2011168</v>
      </c>
      <c r="I623" s="614" t="s">
        <v>199</v>
      </c>
      <c r="J623" s="614" t="s">
        <v>200</v>
      </c>
      <c r="K623" s="614" t="s">
        <v>201</v>
      </c>
      <c r="L623" s="616">
        <v>18.18</v>
      </c>
      <c r="M623" s="616">
        <v>0.52</v>
      </c>
      <c r="N623" s="616">
        <v>1.48</v>
      </c>
      <c r="O623" s="616">
        <v>89.97</v>
      </c>
      <c r="P623" s="616">
        <v>110.15</v>
      </c>
    </row>
    <row r="624" spans="1:16" x14ac:dyDescent="0.3">
      <c r="A624" s="615">
        <v>40791</v>
      </c>
      <c r="B624" s="614" t="s">
        <v>2587</v>
      </c>
      <c r="C624" s="614" t="s">
        <v>369</v>
      </c>
      <c r="D624" s="614">
        <v>50</v>
      </c>
      <c r="E624" s="616">
        <v>749.1</v>
      </c>
      <c r="F624" s="616">
        <v>37455</v>
      </c>
      <c r="G624" s="614" t="s">
        <v>3907</v>
      </c>
      <c r="H624" s="614">
        <v>2011168</v>
      </c>
      <c r="I624" s="614" t="s">
        <v>199</v>
      </c>
      <c r="J624" s="614" t="s">
        <v>200</v>
      </c>
      <c r="K624" s="614" t="s">
        <v>201</v>
      </c>
      <c r="L624" s="616">
        <v>46.82</v>
      </c>
      <c r="M624" s="616">
        <v>1.31</v>
      </c>
      <c r="N624" s="616">
        <v>3.75</v>
      </c>
      <c r="O624" s="616">
        <v>227.22</v>
      </c>
      <c r="P624" s="616">
        <v>279.10000000000002</v>
      </c>
    </row>
    <row r="625" spans="1:16" x14ac:dyDescent="0.3">
      <c r="A625" s="615">
        <v>40779</v>
      </c>
      <c r="B625" s="614" t="s">
        <v>1510</v>
      </c>
      <c r="C625" s="614" t="s">
        <v>369</v>
      </c>
      <c r="D625" s="614">
        <v>20</v>
      </c>
      <c r="E625" s="616">
        <v>715.21500000000003</v>
      </c>
      <c r="F625" s="616">
        <v>14304.3</v>
      </c>
      <c r="G625" s="614" t="s">
        <v>3910</v>
      </c>
      <c r="H625" s="614">
        <v>2011162</v>
      </c>
      <c r="I625" s="614" t="s">
        <v>199</v>
      </c>
      <c r="J625" s="614" t="s">
        <v>200</v>
      </c>
      <c r="K625" s="614" t="s">
        <v>201</v>
      </c>
      <c r="L625" s="616">
        <v>17.88</v>
      </c>
      <c r="M625" s="616">
        <v>0.5</v>
      </c>
      <c r="N625" s="616">
        <v>1.43</v>
      </c>
      <c r="O625" s="616">
        <v>86.78</v>
      </c>
      <c r="P625" s="616">
        <v>106.59</v>
      </c>
    </row>
    <row r="626" spans="1:16" x14ac:dyDescent="0.3">
      <c r="A626" s="615">
        <v>40771</v>
      </c>
      <c r="B626" s="614" t="s">
        <v>2612</v>
      </c>
      <c r="C626" s="614" t="s">
        <v>369</v>
      </c>
      <c r="D626" s="614">
        <v>75</v>
      </c>
      <c r="E626" s="616">
        <v>133.1</v>
      </c>
      <c r="F626" s="616">
        <v>9982.5</v>
      </c>
      <c r="G626" s="614" t="s">
        <v>3931</v>
      </c>
      <c r="H626" s="614">
        <v>2011156</v>
      </c>
      <c r="I626" s="614" t="s">
        <v>199</v>
      </c>
      <c r="J626" s="614" t="s">
        <v>200</v>
      </c>
      <c r="K626" s="614" t="s">
        <v>201</v>
      </c>
      <c r="L626" s="616">
        <v>12</v>
      </c>
      <c r="M626" s="616">
        <v>0.35</v>
      </c>
      <c r="N626" s="616">
        <v>1</v>
      </c>
      <c r="O626" s="616">
        <v>60.56</v>
      </c>
      <c r="P626" s="616">
        <v>73.91</v>
      </c>
    </row>
    <row r="627" spans="1:16" x14ac:dyDescent="0.3">
      <c r="A627" s="615">
        <v>40766</v>
      </c>
      <c r="B627" s="614" t="s">
        <v>2614</v>
      </c>
      <c r="C627" s="614" t="s">
        <v>369</v>
      </c>
      <c r="D627" s="614">
        <v>40</v>
      </c>
      <c r="E627" s="616">
        <v>184</v>
      </c>
      <c r="F627" s="616">
        <v>7360</v>
      </c>
      <c r="G627" s="614" t="s">
        <v>3932</v>
      </c>
      <c r="H627" s="614">
        <v>201112094</v>
      </c>
      <c r="I627" s="614" t="s">
        <v>199</v>
      </c>
      <c r="J627" s="614" t="s">
        <v>200</v>
      </c>
      <c r="K627" s="614" t="s">
        <v>204</v>
      </c>
      <c r="L627" s="616">
        <v>9</v>
      </c>
      <c r="M627" s="616">
        <v>0.26</v>
      </c>
      <c r="N627" s="616">
        <v>0.74</v>
      </c>
      <c r="O627" s="616">
        <v>44.65</v>
      </c>
      <c r="P627" s="616">
        <v>54.65</v>
      </c>
    </row>
    <row r="628" spans="1:16" x14ac:dyDescent="0.3">
      <c r="A628" s="615">
        <v>40766</v>
      </c>
      <c r="B628" s="614" t="s">
        <v>238</v>
      </c>
      <c r="C628" s="614" t="s">
        <v>369</v>
      </c>
      <c r="D628" s="614">
        <v>75</v>
      </c>
      <c r="E628" s="616">
        <v>116.4</v>
      </c>
      <c r="F628" s="616">
        <v>8730</v>
      </c>
      <c r="G628" s="614" t="s">
        <v>3933</v>
      </c>
      <c r="H628" s="614">
        <v>2011154</v>
      </c>
      <c r="I628" s="614" t="s">
        <v>199</v>
      </c>
      <c r="J628" s="614" t="s">
        <v>200</v>
      </c>
      <c r="K628" s="614" t="s">
        <v>201</v>
      </c>
      <c r="L628" s="616">
        <v>10.7</v>
      </c>
      <c r="M628" s="616">
        <v>0.31</v>
      </c>
      <c r="N628" s="616">
        <v>0.87</v>
      </c>
      <c r="O628" s="616">
        <v>52.97</v>
      </c>
      <c r="P628" s="616">
        <v>64.849999999999994</v>
      </c>
    </row>
    <row r="629" spans="1:16" x14ac:dyDescent="0.3">
      <c r="A629" s="615">
        <v>40766</v>
      </c>
      <c r="B629" s="614" t="s">
        <v>2614</v>
      </c>
      <c r="C629" s="614" t="s">
        <v>369</v>
      </c>
      <c r="D629" s="614">
        <v>10</v>
      </c>
      <c r="E629" s="616">
        <v>184</v>
      </c>
      <c r="F629" s="616">
        <v>1840</v>
      </c>
      <c r="G629" s="614" t="s">
        <v>3934</v>
      </c>
      <c r="H629" s="614">
        <v>2011154</v>
      </c>
      <c r="I629" s="614" t="s">
        <v>199</v>
      </c>
      <c r="J629" s="614" t="s">
        <v>200</v>
      </c>
      <c r="K629" s="614" t="s">
        <v>201</v>
      </c>
      <c r="L629" s="616">
        <v>2.2999999999999998</v>
      </c>
      <c r="M629" s="616">
        <v>0.06</v>
      </c>
      <c r="N629" s="616">
        <v>0.18</v>
      </c>
      <c r="O629" s="616">
        <v>27.58</v>
      </c>
      <c r="P629" s="616">
        <v>30.13</v>
      </c>
    </row>
    <row r="630" spans="1:16" x14ac:dyDescent="0.3">
      <c r="A630" s="615">
        <v>40765</v>
      </c>
      <c r="B630" s="614" t="s">
        <v>233</v>
      </c>
      <c r="C630" s="614" t="s">
        <v>369</v>
      </c>
      <c r="D630" s="614">
        <v>75</v>
      </c>
      <c r="E630" s="616">
        <v>117</v>
      </c>
      <c r="F630" s="616">
        <v>8775</v>
      </c>
      <c r="G630" s="614" t="s">
        <v>3935</v>
      </c>
      <c r="H630" s="614">
        <v>201112093</v>
      </c>
      <c r="I630" s="614" t="s">
        <v>199</v>
      </c>
      <c r="J630" s="614" t="s">
        <v>200</v>
      </c>
      <c r="K630" s="614" t="s">
        <v>204</v>
      </c>
      <c r="L630" s="616">
        <v>11</v>
      </c>
      <c r="M630" s="616">
        <v>0.32</v>
      </c>
      <c r="N630" s="616">
        <v>0.88</v>
      </c>
      <c r="O630" s="616">
        <v>53.23</v>
      </c>
      <c r="P630" s="616">
        <v>65.42</v>
      </c>
    </row>
    <row r="631" spans="1:16" x14ac:dyDescent="0.3">
      <c r="A631" s="615">
        <v>40750</v>
      </c>
      <c r="B631" s="614" t="s">
        <v>2585</v>
      </c>
      <c r="C631" s="614" t="s">
        <v>369</v>
      </c>
      <c r="D631" s="614">
        <v>50</v>
      </c>
      <c r="E631" s="616">
        <v>224.55</v>
      </c>
      <c r="F631" s="616">
        <v>11227.5</v>
      </c>
      <c r="G631" s="614" t="s">
        <v>3936</v>
      </c>
      <c r="H631" s="614">
        <v>201112082</v>
      </c>
      <c r="I631" s="614" t="s">
        <v>199</v>
      </c>
      <c r="J631" s="614" t="s">
        <v>3876</v>
      </c>
      <c r="K631" s="614" t="s">
        <v>204</v>
      </c>
      <c r="L631" s="616">
        <v>14</v>
      </c>
      <c r="M631" s="616">
        <v>0.4</v>
      </c>
      <c r="N631" s="616">
        <v>1.1200000000000001</v>
      </c>
      <c r="O631" s="616">
        <v>68.11</v>
      </c>
      <c r="P631" s="616">
        <v>83.64</v>
      </c>
    </row>
    <row r="632" spans="1:16" x14ac:dyDescent="0.3">
      <c r="A632" s="615">
        <v>40749</v>
      </c>
      <c r="B632" s="614" t="s">
        <v>2622</v>
      </c>
      <c r="C632" s="614" t="s">
        <v>369</v>
      </c>
      <c r="D632" s="614">
        <v>350</v>
      </c>
      <c r="E632" s="616">
        <v>92.0501</v>
      </c>
      <c r="F632" s="616">
        <v>32217.55</v>
      </c>
      <c r="G632" s="614" t="s">
        <v>3939</v>
      </c>
      <c r="H632" s="614">
        <v>2011141</v>
      </c>
      <c r="I632" s="614" t="s">
        <v>199</v>
      </c>
      <c r="J632" s="614" t="s">
        <v>200</v>
      </c>
      <c r="K632" s="614" t="s">
        <v>201</v>
      </c>
      <c r="L632" s="616">
        <v>40.270000000000003</v>
      </c>
      <c r="M632" s="616">
        <v>1.1299999999999999</v>
      </c>
      <c r="N632" s="616">
        <v>3.22</v>
      </c>
      <c r="O632" s="616">
        <v>195.45</v>
      </c>
      <c r="P632" s="616">
        <v>240.07</v>
      </c>
    </row>
    <row r="633" spans="1:16" x14ac:dyDescent="0.3">
      <c r="A633" s="615">
        <v>40749</v>
      </c>
      <c r="B633" s="614" t="s">
        <v>2564</v>
      </c>
      <c r="C633" s="614" t="s">
        <v>369</v>
      </c>
      <c r="D633" s="614">
        <v>150</v>
      </c>
      <c r="E633" s="616">
        <v>62.817</v>
      </c>
      <c r="F633" s="616">
        <v>9422.5499999999993</v>
      </c>
      <c r="G633" s="614" t="s">
        <v>3940</v>
      </c>
      <c r="H633" s="614">
        <v>2011141</v>
      </c>
      <c r="I633" s="614" t="s">
        <v>199</v>
      </c>
      <c r="J633" s="614" t="s">
        <v>200</v>
      </c>
      <c r="K633" s="614" t="s">
        <v>201</v>
      </c>
      <c r="L633" s="616">
        <v>11.78</v>
      </c>
      <c r="M633" s="616">
        <v>0.33</v>
      </c>
      <c r="N633" s="616">
        <v>0.94</v>
      </c>
      <c r="O633" s="616">
        <v>57.17</v>
      </c>
      <c r="P633" s="616">
        <v>70.22</v>
      </c>
    </row>
    <row r="634" spans="1:16" x14ac:dyDescent="0.3">
      <c r="A634" s="615">
        <v>40745</v>
      </c>
      <c r="B634" s="614" t="s">
        <v>2622</v>
      </c>
      <c r="C634" s="614" t="s">
        <v>369</v>
      </c>
      <c r="D634" s="614">
        <v>150</v>
      </c>
      <c r="E634" s="616">
        <v>91.497299999999996</v>
      </c>
      <c r="F634" s="616">
        <v>13724.6</v>
      </c>
      <c r="G634" s="614" t="s">
        <v>3947</v>
      </c>
      <c r="H634" s="614">
        <v>2011139</v>
      </c>
      <c r="I634" s="614" t="s">
        <v>199</v>
      </c>
      <c r="J634" s="614" t="s">
        <v>200</v>
      </c>
      <c r="K634" s="614" t="s">
        <v>201</v>
      </c>
      <c r="L634" s="616">
        <v>17</v>
      </c>
      <c r="M634" s="616">
        <v>0.48</v>
      </c>
      <c r="N634" s="616">
        <v>1.37</v>
      </c>
      <c r="O634" s="616">
        <v>83.26</v>
      </c>
      <c r="P634" s="616">
        <v>102.11</v>
      </c>
    </row>
    <row r="635" spans="1:16" x14ac:dyDescent="0.3">
      <c r="A635" s="615">
        <v>40732</v>
      </c>
      <c r="B635" s="614" t="s">
        <v>217</v>
      </c>
      <c r="C635" s="614" t="s">
        <v>369</v>
      </c>
      <c r="D635" s="614">
        <v>500</v>
      </c>
      <c r="E635" s="616">
        <v>37.255000000000003</v>
      </c>
      <c r="F635" s="616">
        <v>18627.5</v>
      </c>
      <c r="G635" s="614" t="s">
        <v>3948</v>
      </c>
      <c r="H635" s="614">
        <v>201112070</v>
      </c>
      <c r="I635" s="614" t="s">
        <v>199</v>
      </c>
      <c r="J635" s="614" t="s">
        <v>200</v>
      </c>
      <c r="K635" s="614" t="s">
        <v>204</v>
      </c>
      <c r="L635" s="616">
        <v>23</v>
      </c>
      <c r="M635" s="616">
        <v>0.67</v>
      </c>
      <c r="N635" s="616">
        <v>1.86</v>
      </c>
      <c r="O635" s="616">
        <v>113</v>
      </c>
      <c r="P635" s="616">
        <v>138.53</v>
      </c>
    </row>
    <row r="636" spans="1:16" x14ac:dyDescent="0.3">
      <c r="A636" s="615">
        <v>40732</v>
      </c>
      <c r="B636" s="614" t="s">
        <v>282</v>
      </c>
      <c r="C636" s="614" t="s">
        <v>369</v>
      </c>
      <c r="D636" s="614">
        <v>250</v>
      </c>
      <c r="E636" s="616">
        <v>31.75</v>
      </c>
      <c r="F636" s="616">
        <v>7937.5</v>
      </c>
      <c r="G636" s="614" t="s">
        <v>3949</v>
      </c>
      <c r="H636" s="614">
        <v>2011130</v>
      </c>
      <c r="I636" s="614" t="s">
        <v>199</v>
      </c>
      <c r="J636" s="614" t="s">
        <v>200</v>
      </c>
      <c r="K636" s="614" t="s">
        <v>201</v>
      </c>
      <c r="L636" s="616">
        <v>10</v>
      </c>
      <c r="M636" s="616">
        <v>0.28000000000000003</v>
      </c>
      <c r="N636" s="616">
        <v>0.79</v>
      </c>
      <c r="O636" s="616">
        <v>48.15</v>
      </c>
      <c r="P636" s="616">
        <v>59.22</v>
      </c>
    </row>
    <row r="637" spans="1:16" x14ac:dyDescent="0.3">
      <c r="A637" s="615">
        <v>40728</v>
      </c>
      <c r="B637" s="614" t="s">
        <v>2622</v>
      </c>
      <c r="C637" s="614" t="s">
        <v>369</v>
      </c>
      <c r="D637" s="614">
        <v>75</v>
      </c>
      <c r="E637" s="616">
        <v>96.5</v>
      </c>
      <c r="F637" s="616">
        <v>7237.5</v>
      </c>
      <c r="G637" s="614" t="s">
        <v>3950</v>
      </c>
      <c r="H637" s="614">
        <v>201112066</v>
      </c>
      <c r="I637" s="614" t="s">
        <v>199</v>
      </c>
      <c r="J637" s="614" t="s">
        <v>200</v>
      </c>
      <c r="K637" s="614" t="s">
        <v>204</v>
      </c>
      <c r="L637" s="616">
        <v>9</v>
      </c>
      <c r="M637" s="616">
        <v>0.26</v>
      </c>
      <c r="N637" s="616">
        <v>0.72</v>
      </c>
      <c r="O637" s="616">
        <v>43.91</v>
      </c>
      <c r="P637" s="616">
        <v>53.89</v>
      </c>
    </row>
    <row r="638" spans="1:16" x14ac:dyDescent="0.3">
      <c r="A638" s="615">
        <v>40722</v>
      </c>
      <c r="B638" s="614" t="s">
        <v>219</v>
      </c>
      <c r="C638" s="614" t="s">
        <v>369</v>
      </c>
      <c r="D638" s="614">
        <v>75</v>
      </c>
      <c r="E638" s="616">
        <v>130.75</v>
      </c>
      <c r="F638" s="616">
        <v>9806.25</v>
      </c>
      <c r="G638" s="614" t="s">
        <v>3951</v>
      </c>
      <c r="H638" s="614">
        <v>201112062</v>
      </c>
      <c r="I638" s="614" t="s">
        <v>199</v>
      </c>
      <c r="J638" s="614" t="s">
        <v>200</v>
      </c>
      <c r="K638" s="614" t="s">
        <v>204</v>
      </c>
      <c r="L638" s="616">
        <v>12</v>
      </c>
      <c r="M638" s="616">
        <v>0.35</v>
      </c>
      <c r="N638" s="616">
        <v>0.98</v>
      </c>
      <c r="O638" s="616">
        <v>59.49</v>
      </c>
      <c r="P638" s="616">
        <v>72.819999999999993</v>
      </c>
    </row>
    <row r="639" spans="1:16" x14ac:dyDescent="0.3">
      <c r="A639" s="615">
        <v>40718</v>
      </c>
      <c r="B639" s="614" t="s">
        <v>2642</v>
      </c>
      <c r="C639" s="614" t="s">
        <v>369</v>
      </c>
      <c r="D639" s="614">
        <v>150</v>
      </c>
      <c r="E639" s="616">
        <v>94.883300000000006</v>
      </c>
      <c r="F639" s="616">
        <v>14232.5</v>
      </c>
      <c r="G639" s="614" t="s">
        <v>3952</v>
      </c>
      <c r="H639" s="614">
        <v>2011120</v>
      </c>
      <c r="I639" s="614" t="s">
        <v>199</v>
      </c>
      <c r="J639" s="614" t="s">
        <v>200</v>
      </c>
      <c r="K639" s="614" t="s">
        <v>201</v>
      </c>
      <c r="L639" s="616">
        <v>18</v>
      </c>
      <c r="M639" s="616">
        <v>0.5</v>
      </c>
      <c r="N639" s="616">
        <v>1.42</v>
      </c>
      <c r="O639" s="616">
        <v>86.35</v>
      </c>
      <c r="P639" s="616">
        <v>106.27</v>
      </c>
    </row>
    <row r="640" spans="1:16" x14ac:dyDescent="0.3">
      <c r="A640" s="615">
        <v>40715</v>
      </c>
      <c r="B640" s="614" t="s">
        <v>207</v>
      </c>
      <c r="C640" s="614" t="s">
        <v>369</v>
      </c>
      <c r="D640" s="614">
        <v>210</v>
      </c>
      <c r="E640" s="616">
        <v>47.75</v>
      </c>
      <c r="F640" s="616">
        <v>10027.5</v>
      </c>
      <c r="G640" s="614" t="s">
        <v>3954</v>
      </c>
      <c r="H640" s="614">
        <v>2011117</v>
      </c>
      <c r="I640" s="614" t="s">
        <v>199</v>
      </c>
      <c r="J640" s="614" t="s">
        <v>200</v>
      </c>
      <c r="K640" s="614" t="s">
        <v>201</v>
      </c>
      <c r="L640" s="616">
        <v>13</v>
      </c>
      <c r="M640" s="616">
        <v>0.35</v>
      </c>
      <c r="N640" s="616">
        <v>1</v>
      </c>
      <c r="O640" s="616">
        <v>60.84</v>
      </c>
      <c r="P640" s="616">
        <v>75.19</v>
      </c>
    </row>
    <row r="641" spans="1:16" x14ac:dyDescent="0.3">
      <c r="A641" s="615">
        <v>40709</v>
      </c>
      <c r="B641" s="614" t="s">
        <v>2648</v>
      </c>
      <c r="C641" s="614" t="s">
        <v>369</v>
      </c>
      <c r="D641" s="614">
        <v>20</v>
      </c>
      <c r="E641" s="616">
        <v>502.55</v>
      </c>
      <c r="F641" s="616">
        <v>10051</v>
      </c>
      <c r="G641" s="614" t="s">
        <v>3957</v>
      </c>
      <c r="H641" s="614">
        <v>2011113</v>
      </c>
      <c r="I641" s="614" t="s">
        <v>199</v>
      </c>
      <c r="J641" s="614" t="s">
        <v>200</v>
      </c>
      <c r="K641" s="614" t="s">
        <v>201</v>
      </c>
      <c r="L641" s="616">
        <v>12.42</v>
      </c>
      <c r="M641" s="616">
        <v>0.35</v>
      </c>
      <c r="N641" s="616">
        <v>1.01</v>
      </c>
      <c r="O641" s="616">
        <v>60.97</v>
      </c>
      <c r="P641" s="616">
        <v>74.75</v>
      </c>
    </row>
    <row r="642" spans="1:16" x14ac:dyDescent="0.3">
      <c r="A642" s="615">
        <v>40709</v>
      </c>
      <c r="B642" s="614" t="s">
        <v>282</v>
      </c>
      <c r="C642" s="614" t="s">
        <v>369</v>
      </c>
      <c r="D642" s="614">
        <v>315</v>
      </c>
      <c r="E642" s="616">
        <v>31.95</v>
      </c>
      <c r="F642" s="616">
        <v>10064.25</v>
      </c>
      <c r="G642" s="614" t="s">
        <v>3958</v>
      </c>
      <c r="H642" s="614">
        <v>2011113</v>
      </c>
      <c r="I642" s="614" t="s">
        <v>199</v>
      </c>
      <c r="J642" s="614" t="s">
        <v>200</v>
      </c>
      <c r="K642" s="614" t="s">
        <v>201</v>
      </c>
      <c r="L642" s="616">
        <v>12.58</v>
      </c>
      <c r="M642" s="616">
        <v>0.35</v>
      </c>
      <c r="N642" s="616">
        <v>1.01</v>
      </c>
      <c r="O642" s="616">
        <v>61.05</v>
      </c>
      <c r="P642" s="616">
        <v>74.989999999999995</v>
      </c>
    </row>
    <row r="643" spans="1:16" x14ac:dyDescent="0.3">
      <c r="A643" s="615">
        <v>40697</v>
      </c>
      <c r="B643" s="614" t="s">
        <v>219</v>
      </c>
      <c r="C643" s="614" t="s">
        <v>369</v>
      </c>
      <c r="D643" s="614">
        <v>75</v>
      </c>
      <c r="E643" s="616">
        <v>132.80000000000001</v>
      </c>
      <c r="F643" s="616">
        <v>9960</v>
      </c>
      <c r="G643" s="614" t="s">
        <v>3961</v>
      </c>
      <c r="H643" s="614">
        <v>2011105</v>
      </c>
      <c r="I643" s="614" t="s">
        <v>199</v>
      </c>
      <c r="J643" s="614" t="s">
        <v>200</v>
      </c>
      <c r="K643" s="614" t="s">
        <v>201</v>
      </c>
      <c r="L643" s="616">
        <v>12</v>
      </c>
      <c r="M643" s="616">
        <v>0.35</v>
      </c>
      <c r="N643" s="616">
        <v>1</v>
      </c>
      <c r="O643" s="616">
        <v>60.42</v>
      </c>
      <c r="P643" s="616">
        <v>73.760000000000005</v>
      </c>
    </row>
    <row r="644" spans="1:16" x14ac:dyDescent="0.3">
      <c r="A644" s="615">
        <v>40694</v>
      </c>
      <c r="B644" s="614" t="s">
        <v>196</v>
      </c>
      <c r="C644" s="614" t="s">
        <v>369</v>
      </c>
      <c r="D644" s="614">
        <v>19</v>
      </c>
      <c r="E644" s="616">
        <v>677.45</v>
      </c>
      <c r="F644" s="616">
        <v>12871.55</v>
      </c>
      <c r="G644" s="614" t="s">
        <v>3962</v>
      </c>
      <c r="H644" s="614">
        <v>2011102</v>
      </c>
      <c r="I644" s="614" t="s">
        <v>199</v>
      </c>
      <c r="J644" s="614" t="s">
        <v>200</v>
      </c>
      <c r="K644" s="614" t="s">
        <v>201</v>
      </c>
      <c r="L644" s="616">
        <v>16.309999999999999</v>
      </c>
      <c r="M644" s="616">
        <v>0.45</v>
      </c>
      <c r="N644" s="616">
        <v>1.29</v>
      </c>
      <c r="O644" s="616">
        <v>78.09</v>
      </c>
      <c r="P644" s="616">
        <v>96.14</v>
      </c>
    </row>
    <row r="645" spans="1:16" x14ac:dyDescent="0.3">
      <c r="A645" s="615">
        <v>40694</v>
      </c>
      <c r="B645" s="614" t="s">
        <v>205</v>
      </c>
      <c r="C645" s="614" t="s">
        <v>369</v>
      </c>
      <c r="D645" s="614">
        <v>15</v>
      </c>
      <c r="E645" s="616">
        <v>943.25</v>
      </c>
      <c r="F645" s="616">
        <v>14148.75</v>
      </c>
      <c r="G645" s="614" t="s">
        <v>3963</v>
      </c>
      <c r="H645" s="614">
        <v>2011102</v>
      </c>
      <c r="I645" s="614" t="s">
        <v>199</v>
      </c>
      <c r="J645" s="614" t="s">
        <v>200</v>
      </c>
      <c r="K645" s="614" t="s">
        <v>201</v>
      </c>
      <c r="L645" s="616">
        <v>17.690000000000001</v>
      </c>
      <c r="M645" s="616">
        <v>0.5</v>
      </c>
      <c r="N645" s="616">
        <v>1.41</v>
      </c>
      <c r="O645" s="616">
        <v>85.83</v>
      </c>
      <c r="P645" s="616">
        <v>105.43</v>
      </c>
    </row>
    <row r="646" spans="1:16" x14ac:dyDescent="0.3">
      <c r="A646" s="615">
        <v>40690</v>
      </c>
      <c r="B646" s="614" t="s">
        <v>2047</v>
      </c>
      <c r="C646" s="614" t="s">
        <v>369</v>
      </c>
      <c r="D646" s="614">
        <v>25</v>
      </c>
      <c r="E646" s="616">
        <v>350</v>
      </c>
      <c r="F646" s="616">
        <v>8750</v>
      </c>
      <c r="G646" s="614" t="s">
        <v>3964</v>
      </c>
      <c r="H646" s="614">
        <v>201112040</v>
      </c>
      <c r="I646" s="614" t="s">
        <v>199</v>
      </c>
      <c r="J646" s="614" t="s">
        <v>200</v>
      </c>
      <c r="K646" s="614" t="s">
        <v>204</v>
      </c>
      <c r="L646" s="616">
        <v>10.94</v>
      </c>
      <c r="M646" s="616">
        <v>0.32</v>
      </c>
      <c r="N646" s="616">
        <v>0.88</v>
      </c>
      <c r="O646" s="616">
        <v>53.08</v>
      </c>
      <c r="P646" s="616">
        <v>65.209999999999994</v>
      </c>
    </row>
    <row r="647" spans="1:16" x14ac:dyDescent="0.3">
      <c r="A647" s="615">
        <v>40690</v>
      </c>
      <c r="B647" s="614" t="s">
        <v>2538</v>
      </c>
      <c r="C647" s="614" t="s">
        <v>369</v>
      </c>
      <c r="D647" s="614">
        <v>175</v>
      </c>
      <c r="E647" s="616">
        <v>51</v>
      </c>
      <c r="F647" s="616">
        <v>8925</v>
      </c>
      <c r="G647" s="614" t="s">
        <v>3965</v>
      </c>
      <c r="H647" s="614">
        <v>201112040</v>
      </c>
      <c r="I647" s="614" t="s">
        <v>199</v>
      </c>
      <c r="J647" s="614" t="s">
        <v>200</v>
      </c>
      <c r="K647" s="614" t="s">
        <v>204</v>
      </c>
      <c r="L647" s="616">
        <v>11.06</v>
      </c>
      <c r="M647" s="616">
        <v>0.32</v>
      </c>
      <c r="N647" s="616">
        <v>0.89</v>
      </c>
      <c r="O647" s="616">
        <v>54.16</v>
      </c>
      <c r="P647" s="616">
        <v>66.430000000000007</v>
      </c>
    </row>
    <row r="648" spans="1:16" x14ac:dyDescent="0.3">
      <c r="A648" s="615">
        <v>40690</v>
      </c>
      <c r="B648" s="614" t="s">
        <v>2642</v>
      </c>
      <c r="C648" s="614" t="s">
        <v>369</v>
      </c>
      <c r="D648" s="614">
        <v>100</v>
      </c>
      <c r="E648" s="616">
        <v>99.2</v>
      </c>
      <c r="F648" s="616">
        <v>9920</v>
      </c>
      <c r="G648" s="614" t="s">
        <v>3966</v>
      </c>
      <c r="H648" s="614">
        <v>2011100</v>
      </c>
      <c r="I648" s="614" t="s">
        <v>199</v>
      </c>
      <c r="J648" s="614" t="s">
        <v>200</v>
      </c>
      <c r="K648" s="614" t="s">
        <v>201</v>
      </c>
      <c r="L648" s="616">
        <v>12.4</v>
      </c>
      <c r="M648" s="616">
        <v>0.35</v>
      </c>
      <c r="N648" s="616">
        <v>0.99</v>
      </c>
      <c r="O648" s="616">
        <v>60.18</v>
      </c>
      <c r="P648" s="616">
        <v>73.92</v>
      </c>
    </row>
    <row r="649" spans="1:16" x14ac:dyDescent="0.3">
      <c r="A649" s="615">
        <v>40687</v>
      </c>
      <c r="B649" s="614" t="s">
        <v>2662</v>
      </c>
      <c r="C649" s="614" t="s">
        <v>369</v>
      </c>
      <c r="D649" s="614">
        <v>175</v>
      </c>
      <c r="E649" s="616">
        <v>145</v>
      </c>
      <c r="F649" s="616">
        <v>25375</v>
      </c>
      <c r="G649" s="614" t="s">
        <v>3970</v>
      </c>
      <c r="H649" s="614">
        <v>201112037</v>
      </c>
      <c r="I649" s="614" t="s">
        <v>199</v>
      </c>
      <c r="J649" s="614" t="s">
        <v>200</v>
      </c>
      <c r="K649" s="614" t="s">
        <v>204</v>
      </c>
      <c r="L649" s="616">
        <v>32</v>
      </c>
      <c r="M649" s="616">
        <v>0.91</v>
      </c>
      <c r="N649" s="616">
        <v>2.54</v>
      </c>
      <c r="O649" s="616">
        <v>153.93</v>
      </c>
      <c r="P649" s="616">
        <v>189.38</v>
      </c>
    </row>
    <row r="650" spans="1:16" x14ac:dyDescent="0.3">
      <c r="A650" s="615">
        <v>40686</v>
      </c>
      <c r="B650" s="614" t="s">
        <v>2665</v>
      </c>
      <c r="C650" s="614" t="s">
        <v>369</v>
      </c>
      <c r="D650" s="614">
        <v>42</v>
      </c>
      <c r="E650" s="616">
        <v>234.8</v>
      </c>
      <c r="F650" s="616">
        <v>9861.6</v>
      </c>
      <c r="G650" s="614" t="s">
        <v>3972</v>
      </c>
      <c r="H650" s="614">
        <v>201112036</v>
      </c>
      <c r="I650" s="614" t="s">
        <v>199</v>
      </c>
      <c r="J650" s="614" t="s">
        <v>200</v>
      </c>
      <c r="K650" s="614" t="s">
        <v>204</v>
      </c>
      <c r="L650" s="616">
        <v>12.59</v>
      </c>
      <c r="M650" s="616">
        <v>0.35</v>
      </c>
      <c r="N650" s="616">
        <v>0.99</v>
      </c>
      <c r="O650" s="616">
        <v>59.82</v>
      </c>
      <c r="P650" s="616">
        <v>73.75</v>
      </c>
    </row>
    <row r="651" spans="1:16" x14ac:dyDescent="0.3">
      <c r="A651" s="615">
        <v>40686</v>
      </c>
      <c r="B651" s="614" t="s">
        <v>202</v>
      </c>
      <c r="C651" s="614" t="s">
        <v>369</v>
      </c>
      <c r="D651" s="614">
        <v>1</v>
      </c>
      <c r="E651" s="616">
        <v>329.3</v>
      </c>
      <c r="F651" s="616">
        <v>329.3</v>
      </c>
      <c r="G651" s="614" t="s">
        <v>3973</v>
      </c>
      <c r="H651" s="614">
        <v>201112036</v>
      </c>
      <c r="I651" s="614" t="s">
        <v>199</v>
      </c>
      <c r="J651" s="614" t="s">
        <v>200</v>
      </c>
      <c r="K651" s="614" t="s">
        <v>204</v>
      </c>
      <c r="L651" s="616">
        <v>0.41</v>
      </c>
      <c r="M651" s="616">
        <v>0.01</v>
      </c>
      <c r="N651" s="616">
        <v>0.03</v>
      </c>
      <c r="O651" s="616">
        <v>9.08</v>
      </c>
      <c r="P651" s="616">
        <v>9.5299999999999994</v>
      </c>
    </row>
    <row r="652" spans="1:16" x14ac:dyDescent="0.3">
      <c r="A652" s="615">
        <v>40686</v>
      </c>
      <c r="B652" s="614" t="s">
        <v>202</v>
      </c>
      <c r="C652" s="614" t="s">
        <v>369</v>
      </c>
      <c r="D652" s="614">
        <v>33</v>
      </c>
      <c r="E652" s="616">
        <v>328.6</v>
      </c>
      <c r="F652" s="616">
        <v>10843.8</v>
      </c>
      <c r="G652" s="614" t="s">
        <v>3974</v>
      </c>
      <c r="H652" s="614">
        <v>2011096</v>
      </c>
      <c r="I652" s="614" t="s">
        <v>199</v>
      </c>
      <c r="J652" s="614" t="s">
        <v>200</v>
      </c>
      <c r="K652" s="614" t="s">
        <v>201</v>
      </c>
      <c r="L652" s="616">
        <v>13.42</v>
      </c>
      <c r="M652" s="616">
        <v>0.38</v>
      </c>
      <c r="N652" s="616">
        <v>1.08</v>
      </c>
      <c r="O652" s="616">
        <v>65.790000000000006</v>
      </c>
      <c r="P652" s="616">
        <v>80.67</v>
      </c>
    </row>
    <row r="653" spans="1:16" x14ac:dyDescent="0.3">
      <c r="A653" s="615">
        <v>40674</v>
      </c>
      <c r="B653" s="614" t="s">
        <v>211</v>
      </c>
      <c r="C653" s="614" t="s">
        <v>369</v>
      </c>
      <c r="D653" s="614">
        <v>10</v>
      </c>
      <c r="E653" s="616">
        <v>469.65</v>
      </c>
      <c r="F653" s="616">
        <v>4696.5</v>
      </c>
      <c r="G653" s="614" t="s">
        <v>3982</v>
      </c>
      <c r="H653" s="614">
        <v>2011088</v>
      </c>
      <c r="I653" s="614" t="s">
        <v>199</v>
      </c>
      <c r="J653" s="614" t="s">
        <v>3876</v>
      </c>
      <c r="K653" s="614" t="s">
        <v>201</v>
      </c>
      <c r="L653" s="616">
        <v>5.87</v>
      </c>
      <c r="M653" s="616">
        <v>0.16</v>
      </c>
      <c r="N653" s="616">
        <v>0.47</v>
      </c>
      <c r="O653" s="616">
        <v>28.49</v>
      </c>
      <c r="P653" s="616">
        <v>34.99</v>
      </c>
    </row>
    <row r="654" spans="1:16" x14ac:dyDescent="0.3">
      <c r="A654" s="615">
        <v>40674</v>
      </c>
      <c r="B654" s="614" t="s">
        <v>211</v>
      </c>
      <c r="C654" s="614" t="s">
        <v>369</v>
      </c>
      <c r="D654" s="614">
        <v>12</v>
      </c>
      <c r="E654" s="616">
        <v>470.2</v>
      </c>
      <c r="F654" s="616">
        <v>5642.4</v>
      </c>
      <c r="G654" s="614" t="s">
        <v>3983</v>
      </c>
      <c r="H654" s="614">
        <v>2011088</v>
      </c>
      <c r="I654" s="614" t="s">
        <v>199</v>
      </c>
      <c r="J654" s="614" t="s">
        <v>200</v>
      </c>
      <c r="K654" s="614" t="s">
        <v>201</v>
      </c>
      <c r="L654" s="616">
        <v>7.13</v>
      </c>
      <c r="M654" s="616">
        <v>0.2</v>
      </c>
      <c r="N654" s="616">
        <v>0.56000000000000005</v>
      </c>
      <c r="O654" s="616">
        <v>34.229999999999997</v>
      </c>
      <c r="P654" s="616">
        <v>42.12</v>
      </c>
    </row>
    <row r="655" spans="1:16" x14ac:dyDescent="0.3">
      <c r="A655" s="615">
        <v>40673</v>
      </c>
      <c r="B655" s="614" t="s">
        <v>207</v>
      </c>
      <c r="C655" s="614" t="s">
        <v>369</v>
      </c>
      <c r="D655" s="614">
        <v>105</v>
      </c>
      <c r="E655" s="616">
        <v>49.1</v>
      </c>
      <c r="F655" s="616">
        <v>5155.5</v>
      </c>
      <c r="G655" s="614" t="s">
        <v>3984</v>
      </c>
      <c r="H655" s="614">
        <v>2011087</v>
      </c>
      <c r="I655" s="614" t="s">
        <v>199</v>
      </c>
      <c r="J655" s="614" t="s">
        <v>200</v>
      </c>
      <c r="K655" s="614" t="s">
        <v>201</v>
      </c>
      <c r="L655" s="616">
        <v>6.08</v>
      </c>
      <c r="M655" s="616">
        <v>0.18</v>
      </c>
      <c r="N655" s="616">
        <v>0.52</v>
      </c>
      <c r="O655" s="616">
        <v>31.28</v>
      </c>
      <c r="P655" s="616">
        <v>38.06</v>
      </c>
    </row>
    <row r="656" spans="1:16" x14ac:dyDescent="0.3">
      <c r="A656" s="615">
        <v>40673</v>
      </c>
      <c r="B656" s="614" t="s">
        <v>2679</v>
      </c>
      <c r="C656" s="614" t="s">
        <v>369</v>
      </c>
      <c r="D656" s="614">
        <v>10</v>
      </c>
      <c r="E656" s="616">
        <v>714</v>
      </c>
      <c r="F656" s="616">
        <v>7140</v>
      </c>
      <c r="G656" s="614" t="s">
        <v>3985</v>
      </c>
      <c r="H656" s="614">
        <v>2011087</v>
      </c>
      <c r="I656" s="614" t="s">
        <v>199</v>
      </c>
      <c r="J656" s="614" t="s">
        <v>200</v>
      </c>
      <c r="K656" s="614" t="s">
        <v>201</v>
      </c>
      <c r="L656" s="616">
        <v>8.93</v>
      </c>
      <c r="M656" s="616">
        <v>0.25</v>
      </c>
      <c r="N656" s="616">
        <v>0.71</v>
      </c>
      <c r="O656" s="616">
        <v>43.32</v>
      </c>
      <c r="P656" s="616">
        <v>53.21</v>
      </c>
    </row>
    <row r="657" spans="1:16" x14ac:dyDescent="0.3">
      <c r="A657" s="615">
        <v>40667</v>
      </c>
      <c r="B657" s="614" t="s">
        <v>2687</v>
      </c>
      <c r="C657" s="614" t="s">
        <v>369</v>
      </c>
      <c r="D657" s="614">
        <v>25</v>
      </c>
      <c r="E657" s="616">
        <v>577.04999999999995</v>
      </c>
      <c r="F657" s="616">
        <v>14426.25</v>
      </c>
      <c r="G657" s="614" t="s">
        <v>3992</v>
      </c>
      <c r="H657" s="614">
        <v>201112023</v>
      </c>
      <c r="I657" s="614" t="s">
        <v>199</v>
      </c>
      <c r="J657" s="614" t="s">
        <v>200</v>
      </c>
      <c r="K657" s="614" t="s">
        <v>204</v>
      </c>
      <c r="L657" s="616">
        <v>18.03</v>
      </c>
      <c r="M657" s="616">
        <v>0.52</v>
      </c>
      <c r="N657" s="616">
        <v>1.44</v>
      </c>
      <c r="O657" s="616">
        <v>87.52</v>
      </c>
      <c r="P657" s="616">
        <v>107.51</v>
      </c>
    </row>
    <row r="658" spans="1:16" x14ac:dyDescent="0.3">
      <c r="A658" s="615">
        <v>40667</v>
      </c>
      <c r="B658" s="614" t="s">
        <v>1115</v>
      </c>
      <c r="C658" s="614" t="s">
        <v>369</v>
      </c>
      <c r="D658" s="614">
        <v>200</v>
      </c>
      <c r="E658" s="616">
        <v>82.25</v>
      </c>
      <c r="F658" s="616">
        <v>16450</v>
      </c>
      <c r="G658" s="614" t="s">
        <v>3993</v>
      </c>
      <c r="H658" s="614">
        <v>201112023</v>
      </c>
      <c r="I658" s="614" t="s">
        <v>199</v>
      </c>
      <c r="J658" s="614" t="s">
        <v>200</v>
      </c>
      <c r="K658" s="614" t="s">
        <v>204</v>
      </c>
      <c r="L658" s="616">
        <v>20.56</v>
      </c>
      <c r="M658" s="616">
        <v>0.59</v>
      </c>
      <c r="N658" s="616">
        <v>1.65</v>
      </c>
      <c r="O658" s="616">
        <v>99.81</v>
      </c>
      <c r="P658" s="616">
        <v>122.61</v>
      </c>
    </row>
    <row r="659" spans="1:16" x14ac:dyDescent="0.3">
      <c r="A659" s="615">
        <v>40667</v>
      </c>
      <c r="B659" s="614" t="s">
        <v>222</v>
      </c>
      <c r="C659" s="614" t="s">
        <v>369</v>
      </c>
      <c r="D659" s="614">
        <v>85</v>
      </c>
      <c r="E659" s="616">
        <v>143.80000000000001</v>
      </c>
      <c r="F659" s="616">
        <v>12223</v>
      </c>
      <c r="G659" s="614" t="s">
        <v>3994</v>
      </c>
      <c r="H659" s="614">
        <v>201112023</v>
      </c>
      <c r="I659" s="614" t="s">
        <v>199</v>
      </c>
      <c r="J659" s="614" t="s">
        <v>200</v>
      </c>
      <c r="K659" s="614" t="s">
        <v>204</v>
      </c>
      <c r="L659" s="616">
        <v>15.28</v>
      </c>
      <c r="M659" s="616">
        <v>0.44</v>
      </c>
      <c r="N659" s="616">
        <v>1.22</v>
      </c>
      <c r="O659" s="616">
        <v>74.16</v>
      </c>
      <c r="P659" s="616">
        <v>91.1</v>
      </c>
    </row>
    <row r="660" spans="1:16" x14ac:dyDescent="0.3">
      <c r="A660" s="615">
        <v>40652</v>
      </c>
      <c r="B660" s="614" t="s">
        <v>217</v>
      </c>
      <c r="C660" s="614" t="s">
        <v>369</v>
      </c>
      <c r="D660" s="614">
        <v>250</v>
      </c>
      <c r="E660" s="616">
        <v>44.25</v>
      </c>
      <c r="F660" s="616">
        <v>11062.5</v>
      </c>
      <c r="G660" s="614" t="s">
        <v>4008</v>
      </c>
      <c r="H660" s="614">
        <v>2011073</v>
      </c>
      <c r="I660" s="614" t="s">
        <v>199</v>
      </c>
      <c r="J660" s="614" t="s">
        <v>200</v>
      </c>
      <c r="K660" s="614" t="s">
        <v>201</v>
      </c>
      <c r="L660" s="616">
        <v>14</v>
      </c>
      <c r="M660" s="616">
        <v>0.39</v>
      </c>
      <c r="N660" s="616">
        <v>1.1100000000000001</v>
      </c>
      <c r="O660" s="616">
        <v>67.12</v>
      </c>
      <c r="P660" s="616">
        <v>82.61</v>
      </c>
    </row>
    <row r="661" spans="1:16" x14ac:dyDescent="0.3">
      <c r="A661" s="615">
        <v>40651</v>
      </c>
      <c r="B661" s="614" t="s">
        <v>224</v>
      </c>
      <c r="C661" s="614" t="s">
        <v>369</v>
      </c>
      <c r="D661" s="614">
        <v>118</v>
      </c>
      <c r="E661" s="616">
        <v>58.7</v>
      </c>
      <c r="F661" s="616">
        <v>6926.6</v>
      </c>
      <c r="G661" s="614" t="s">
        <v>4009</v>
      </c>
      <c r="H661" s="614">
        <v>2011072</v>
      </c>
      <c r="I661" s="614" t="s">
        <v>199</v>
      </c>
      <c r="J661" s="614" t="s">
        <v>200</v>
      </c>
      <c r="K661" s="614" t="s">
        <v>201</v>
      </c>
      <c r="L661" s="616">
        <v>9</v>
      </c>
      <c r="M661" s="616">
        <v>0.24</v>
      </c>
      <c r="N661" s="616">
        <v>0.69</v>
      </c>
      <c r="O661" s="616">
        <v>42.03</v>
      </c>
      <c r="P661" s="616">
        <v>51.97</v>
      </c>
    </row>
    <row r="662" spans="1:16" x14ac:dyDescent="0.3">
      <c r="A662" s="615">
        <v>40648</v>
      </c>
      <c r="B662" s="614" t="s">
        <v>224</v>
      </c>
      <c r="C662" s="614" t="s">
        <v>369</v>
      </c>
      <c r="D662" s="614">
        <v>120</v>
      </c>
      <c r="E662" s="616">
        <v>58.95</v>
      </c>
      <c r="F662" s="616">
        <v>7074</v>
      </c>
      <c r="G662" s="614" t="s">
        <v>4011</v>
      </c>
      <c r="H662" s="614">
        <v>2011071</v>
      </c>
      <c r="I662" s="614" t="s">
        <v>199</v>
      </c>
      <c r="J662" s="614" t="s">
        <v>200</v>
      </c>
      <c r="K662" s="614" t="s">
        <v>201</v>
      </c>
      <c r="L662" s="616">
        <v>9</v>
      </c>
      <c r="M662" s="616">
        <v>0.25</v>
      </c>
      <c r="N662" s="616">
        <v>0.71</v>
      </c>
      <c r="O662" s="616">
        <v>42.91</v>
      </c>
      <c r="P662" s="616">
        <v>52.87</v>
      </c>
    </row>
    <row r="663" spans="1:16" x14ac:dyDescent="0.3">
      <c r="A663" s="615">
        <v>40641</v>
      </c>
      <c r="B663" s="614" t="s">
        <v>2722</v>
      </c>
      <c r="C663" s="614" t="s">
        <v>369</v>
      </c>
      <c r="D663" s="614">
        <v>150</v>
      </c>
      <c r="E663" s="616">
        <v>175.6</v>
      </c>
      <c r="F663" s="616">
        <v>26340</v>
      </c>
      <c r="G663" s="614" t="s">
        <v>4013</v>
      </c>
      <c r="H663" s="614">
        <v>2011068</v>
      </c>
      <c r="I663" s="614" t="s">
        <v>199</v>
      </c>
      <c r="J663" s="614" t="s">
        <v>3876</v>
      </c>
      <c r="K663" s="614" t="s">
        <v>201</v>
      </c>
      <c r="L663" s="616">
        <v>32.93</v>
      </c>
      <c r="M663" s="616">
        <v>0.92</v>
      </c>
      <c r="N663" s="616">
        <v>2.63</v>
      </c>
      <c r="O663" s="616">
        <v>159.80000000000001</v>
      </c>
      <c r="P663" s="616">
        <v>196.29</v>
      </c>
    </row>
    <row r="664" spans="1:16" x14ac:dyDescent="0.3">
      <c r="A664" s="615">
        <v>40641</v>
      </c>
      <c r="B664" s="614" t="s">
        <v>2724</v>
      </c>
      <c r="C664" s="614" t="s">
        <v>369</v>
      </c>
      <c r="D664" s="614">
        <v>150</v>
      </c>
      <c r="E664" s="616">
        <v>173.85</v>
      </c>
      <c r="F664" s="616">
        <v>26077.5</v>
      </c>
      <c r="G664" s="614" t="s">
        <v>4014</v>
      </c>
      <c r="H664" s="614">
        <v>2011068</v>
      </c>
      <c r="I664" s="614" t="s">
        <v>199</v>
      </c>
      <c r="J664" s="614" t="s">
        <v>3876</v>
      </c>
      <c r="K664" s="614" t="s">
        <v>201</v>
      </c>
      <c r="L664" s="616">
        <v>32.6</v>
      </c>
      <c r="M664" s="616">
        <v>0.91</v>
      </c>
      <c r="N664" s="616">
        <v>2.61</v>
      </c>
      <c r="O664" s="616">
        <v>158.21</v>
      </c>
      <c r="P664" s="616">
        <v>194.33</v>
      </c>
    </row>
    <row r="665" spans="1:16" x14ac:dyDescent="0.3">
      <c r="A665" s="615">
        <v>40641</v>
      </c>
      <c r="B665" s="614" t="s">
        <v>219</v>
      </c>
      <c r="C665" s="614" t="s">
        <v>369</v>
      </c>
      <c r="D665" s="614">
        <v>76</v>
      </c>
      <c r="E665" s="616">
        <v>145.05000000000001</v>
      </c>
      <c r="F665" s="616">
        <v>11023.8</v>
      </c>
      <c r="G665" s="614" t="s">
        <v>4015</v>
      </c>
      <c r="H665" s="614">
        <v>2011068</v>
      </c>
      <c r="I665" s="614" t="s">
        <v>199</v>
      </c>
      <c r="J665" s="614" t="s">
        <v>200</v>
      </c>
      <c r="K665" s="614" t="s">
        <v>201</v>
      </c>
      <c r="L665" s="616">
        <v>13.78</v>
      </c>
      <c r="M665" s="616">
        <v>0.39</v>
      </c>
      <c r="N665" s="616">
        <v>1.1000000000000001</v>
      </c>
      <c r="O665" s="616">
        <v>66.88</v>
      </c>
      <c r="P665" s="616">
        <v>82.15</v>
      </c>
    </row>
    <row r="666" spans="1:16" x14ac:dyDescent="0.3">
      <c r="A666" s="615">
        <v>40640</v>
      </c>
      <c r="B666" s="614" t="s">
        <v>282</v>
      </c>
      <c r="C666" s="614" t="s">
        <v>369</v>
      </c>
      <c r="D666" s="614">
        <v>175</v>
      </c>
      <c r="E666" s="616">
        <v>34.9</v>
      </c>
      <c r="F666" s="616">
        <v>6107.5</v>
      </c>
      <c r="G666" s="614" t="s">
        <v>4017</v>
      </c>
      <c r="H666" s="614">
        <v>201112007</v>
      </c>
      <c r="I666" s="614" t="s">
        <v>199</v>
      </c>
      <c r="J666" s="614" t="s">
        <v>200</v>
      </c>
      <c r="K666" s="614" t="s">
        <v>204</v>
      </c>
      <c r="L666" s="616">
        <v>8</v>
      </c>
      <c r="M666" s="616">
        <v>0.22</v>
      </c>
      <c r="N666" s="616">
        <v>0.61</v>
      </c>
      <c r="O666" s="616">
        <v>37.07</v>
      </c>
      <c r="P666" s="616">
        <v>45.9</v>
      </c>
    </row>
    <row r="667" spans="1:16" x14ac:dyDescent="0.3">
      <c r="A667" s="615">
        <v>40640</v>
      </c>
      <c r="B667" s="614" t="s">
        <v>1105</v>
      </c>
      <c r="C667" s="614" t="s">
        <v>369</v>
      </c>
      <c r="D667" s="614">
        <v>1000</v>
      </c>
      <c r="E667" s="616">
        <v>30.35</v>
      </c>
      <c r="F667" s="616">
        <v>30350</v>
      </c>
      <c r="G667" s="614" t="s">
        <v>4018</v>
      </c>
      <c r="H667" s="614">
        <v>2011067</v>
      </c>
      <c r="I667" s="614" t="s">
        <v>199</v>
      </c>
      <c r="J667" s="614" t="s">
        <v>3876</v>
      </c>
      <c r="K667" s="614" t="s">
        <v>201</v>
      </c>
      <c r="L667" s="616">
        <v>38.19</v>
      </c>
      <c r="M667" s="616">
        <v>1.06</v>
      </c>
      <c r="N667" s="616">
        <v>3.04</v>
      </c>
      <c r="O667" s="616">
        <v>184.1</v>
      </c>
      <c r="P667" s="616">
        <v>226.39</v>
      </c>
    </row>
    <row r="668" spans="1:16" x14ac:dyDescent="0.3">
      <c r="A668" s="615">
        <v>40639</v>
      </c>
      <c r="B668" s="614" t="s">
        <v>2731</v>
      </c>
      <c r="C668" s="614" t="s">
        <v>369</v>
      </c>
      <c r="D668" s="614">
        <v>100</v>
      </c>
      <c r="E668" s="616">
        <v>298.10000000000002</v>
      </c>
      <c r="F668" s="616">
        <v>29810</v>
      </c>
      <c r="G668" s="614" t="s">
        <v>4020</v>
      </c>
      <c r="H668" s="614">
        <v>2011066</v>
      </c>
      <c r="I668" s="614" t="s">
        <v>199</v>
      </c>
      <c r="J668" s="614" t="s">
        <v>3876</v>
      </c>
      <c r="K668" s="614" t="s">
        <v>201</v>
      </c>
      <c r="L668" s="616">
        <v>37.26</v>
      </c>
      <c r="M668" s="616">
        <v>1.04</v>
      </c>
      <c r="N668" s="616">
        <v>2.98</v>
      </c>
      <c r="O668" s="616">
        <v>180.85</v>
      </c>
      <c r="P668" s="616">
        <v>222.13</v>
      </c>
    </row>
    <row r="669" spans="1:16" x14ac:dyDescent="0.3">
      <c r="A669" s="615">
        <v>40637</v>
      </c>
      <c r="B669" s="614" t="s">
        <v>235</v>
      </c>
      <c r="C669" s="614" t="s">
        <v>369</v>
      </c>
      <c r="D669" s="614">
        <v>300</v>
      </c>
      <c r="E669" s="616">
        <v>23.3</v>
      </c>
      <c r="F669" s="616">
        <v>6990</v>
      </c>
      <c r="G669" s="614" t="s">
        <v>4024</v>
      </c>
      <c r="H669" s="614">
        <v>2011064</v>
      </c>
      <c r="I669" s="614" t="s">
        <v>199</v>
      </c>
      <c r="J669" s="614" t="s">
        <v>200</v>
      </c>
      <c r="K669" s="614" t="s">
        <v>201</v>
      </c>
      <c r="L669" s="616">
        <v>9</v>
      </c>
      <c r="M669" s="616">
        <v>0.24</v>
      </c>
      <c r="N669" s="616">
        <v>0.7</v>
      </c>
      <c r="O669" s="616">
        <v>42.42</v>
      </c>
      <c r="P669" s="616">
        <v>52.36</v>
      </c>
    </row>
    <row r="670" spans="1:16" x14ac:dyDescent="0.3">
      <c r="A670" s="615">
        <v>40633</v>
      </c>
      <c r="B670" s="614" t="s">
        <v>235</v>
      </c>
      <c r="C670" s="614" t="s">
        <v>369</v>
      </c>
      <c r="D670" s="614">
        <v>340</v>
      </c>
      <c r="E670" s="616">
        <v>22.5</v>
      </c>
      <c r="F670" s="616">
        <v>7650</v>
      </c>
      <c r="G670" s="614" t="s">
        <v>370</v>
      </c>
      <c r="H670" s="614">
        <v>2011062</v>
      </c>
      <c r="I670" s="614" t="s">
        <v>199</v>
      </c>
      <c r="J670" s="614" t="s">
        <v>200</v>
      </c>
      <c r="K670" s="614" t="s">
        <v>201</v>
      </c>
      <c r="L670" s="616">
        <v>10</v>
      </c>
      <c r="M670" s="616">
        <v>0.27</v>
      </c>
      <c r="N670" s="616">
        <v>0.77</v>
      </c>
      <c r="O670" s="616">
        <v>46.41</v>
      </c>
      <c r="P670" s="616">
        <v>57.44</v>
      </c>
    </row>
    <row r="671" spans="1:16" x14ac:dyDescent="0.3">
      <c r="A671" s="615">
        <v>40632</v>
      </c>
      <c r="B671" s="614" t="s">
        <v>196</v>
      </c>
      <c r="C671" s="614" t="s">
        <v>369</v>
      </c>
      <c r="D671" s="614">
        <v>19</v>
      </c>
      <c r="E671" s="616">
        <v>695.3</v>
      </c>
      <c r="F671" s="616">
        <v>13210.7</v>
      </c>
      <c r="G671" s="614" t="s">
        <v>371</v>
      </c>
      <c r="H671" s="614">
        <v>2011061</v>
      </c>
      <c r="I671" s="614" t="s">
        <v>199</v>
      </c>
      <c r="J671" s="614" t="s">
        <v>200</v>
      </c>
      <c r="K671" s="614" t="s">
        <v>201</v>
      </c>
      <c r="L671" s="616">
        <v>17</v>
      </c>
      <c r="M671" s="616">
        <v>0.46</v>
      </c>
      <c r="N671" s="616">
        <v>1.32</v>
      </c>
      <c r="O671" s="616">
        <v>80.14</v>
      </c>
      <c r="P671" s="616">
        <v>98.92</v>
      </c>
    </row>
    <row r="672" spans="1:16" x14ac:dyDescent="0.3">
      <c r="A672" s="615">
        <v>40630</v>
      </c>
      <c r="B672" s="614" t="s">
        <v>235</v>
      </c>
      <c r="C672" s="614" t="s">
        <v>369</v>
      </c>
      <c r="D672" s="614">
        <v>360</v>
      </c>
      <c r="E672" s="616">
        <v>21.25</v>
      </c>
      <c r="F672" s="616">
        <v>7650</v>
      </c>
      <c r="G672" s="614" t="s">
        <v>372</v>
      </c>
      <c r="H672" s="614">
        <v>2011059</v>
      </c>
      <c r="I672" s="614" t="s">
        <v>199</v>
      </c>
      <c r="J672" s="614" t="s">
        <v>200</v>
      </c>
      <c r="K672" s="614" t="s">
        <v>201</v>
      </c>
      <c r="L672" s="616">
        <v>9.3800000000000008</v>
      </c>
      <c r="M672" s="616">
        <v>0.27</v>
      </c>
      <c r="N672" s="616">
        <v>0.77</v>
      </c>
      <c r="O672" s="616">
        <v>46.4</v>
      </c>
      <c r="P672" s="616">
        <v>56.81</v>
      </c>
    </row>
    <row r="673" spans="1:16" x14ac:dyDescent="0.3">
      <c r="A673" s="615">
        <v>40630</v>
      </c>
      <c r="B673" s="614" t="s">
        <v>282</v>
      </c>
      <c r="C673" s="614" t="s">
        <v>369</v>
      </c>
      <c r="D673" s="614">
        <v>170</v>
      </c>
      <c r="E673" s="616">
        <v>31.15</v>
      </c>
      <c r="F673" s="616">
        <v>5295.5</v>
      </c>
      <c r="G673" s="614" t="s">
        <v>373</v>
      </c>
      <c r="H673" s="614">
        <v>2011059</v>
      </c>
      <c r="I673" s="614" t="s">
        <v>199</v>
      </c>
      <c r="J673" s="614" t="s">
        <v>200</v>
      </c>
      <c r="K673" s="614" t="s">
        <v>201</v>
      </c>
      <c r="L673" s="616">
        <v>6.62</v>
      </c>
      <c r="M673" s="616">
        <v>0.19</v>
      </c>
      <c r="N673" s="616">
        <v>0.53</v>
      </c>
      <c r="O673" s="616">
        <v>32.11</v>
      </c>
      <c r="P673" s="616">
        <v>39.44</v>
      </c>
    </row>
    <row r="674" spans="1:16" x14ac:dyDescent="0.3">
      <c r="A674" s="615">
        <v>40626</v>
      </c>
      <c r="B674" s="614" t="s">
        <v>282</v>
      </c>
      <c r="C674" s="614" t="s">
        <v>369</v>
      </c>
      <c r="D674" s="614">
        <v>160</v>
      </c>
      <c r="E674" s="616">
        <v>30.55</v>
      </c>
      <c r="F674" s="616">
        <v>4888</v>
      </c>
      <c r="G674" s="614" t="s">
        <v>374</v>
      </c>
      <c r="H674" s="614">
        <v>2011057</v>
      </c>
      <c r="I674" s="614" t="s">
        <v>199</v>
      </c>
      <c r="J674" s="614" t="s">
        <v>200</v>
      </c>
      <c r="K674" s="614" t="s">
        <v>201</v>
      </c>
      <c r="L674" s="616">
        <v>6</v>
      </c>
      <c r="M674" s="616">
        <v>0.17</v>
      </c>
      <c r="N674" s="616">
        <v>0.49</v>
      </c>
      <c r="O674" s="616">
        <v>29.65</v>
      </c>
      <c r="P674" s="616">
        <v>36.31</v>
      </c>
    </row>
    <row r="675" spans="1:16" x14ac:dyDescent="0.3">
      <c r="A675" s="615">
        <v>40624</v>
      </c>
      <c r="B675" s="614" t="s">
        <v>282</v>
      </c>
      <c r="C675" s="614" t="s">
        <v>369</v>
      </c>
      <c r="D675" s="614">
        <v>180</v>
      </c>
      <c r="E675" s="616">
        <v>28.4</v>
      </c>
      <c r="F675" s="616">
        <v>5112</v>
      </c>
      <c r="G675" s="614" t="s">
        <v>375</v>
      </c>
      <c r="H675" s="614">
        <v>2011055</v>
      </c>
      <c r="I675" s="614" t="s">
        <v>199</v>
      </c>
      <c r="J675" s="614" t="s">
        <v>200</v>
      </c>
      <c r="K675" s="614" t="s">
        <v>201</v>
      </c>
      <c r="L675" s="616">
        <v>6</v>
      </c>
      <c r="M675" s="616">
        <v>0.18</v>
      </c>
      <c r="N675" s="616">
        <v>0.51</v>
      </c>
      <c r="O675" s="616">
        <v>31.01</v>
      </c>
      <c r="P675" s="616">
        <v>37.700000000000003</v>
      </c>
    </row>
    <row r="676" spans="1:16" x14ac:dyDescent="0.3">
      <c r="A676" s="615">
        <v>40620</v>
      </c>
      <c r="B676" s="614" t="s">
        <v>207</v>
      </c>
      <c r="C676" s="614" t="s">
        <v>369</v>
      </c>
      <c r="D676" s="614">
        <v>150</v>
      </c>
      <c r="E676" s="616">
        <v>51.701700000000002</v>
      </c>
      <c r="F676" s="616">
        <v>7755.25</v>
      </c>
      <c r="G676" s="614" t="s">
        <v>376</v>
      </c>
      <c r="H676" s="614">
        <v>201011247</v>
      </c>
      <c r="I676" s="614" t="s">
        <v>199</v>
      </c>
      <c r="J676" s="614" t="s">
        <v>200</v>
      </c>
      <c r="K676" s="614" t="s">
        <v>204</v>
      </c>
      <c r="L676" s="616">
        <v>10</v>
      </c>
      <c r="M676" s="616">
        <v>0.28000000000000003</v>
      </c>
      <c r="N676" s="616">
        <v>0.78</v>
      </c>
      <c r="O676" s="616">
        <v>47.06</v>
      </c>
      <c r="P676" s="616">
        <v>58.11</v>
      </c>
    </row>
    <row r="677" spans="1:16" x14ac:dyDescent="0.3">
      <c r="A677" s="615">
        <v>40620</v>
      </c>
      <c r="B677" s="614" t="s">
        <v>282</v>
      </c>
      <c r="C677" s="614" t="s">
        <v>369</v>
      </c>
      <c r="D677" s="614">
        <v>170</v>
      </c>
      <c r="E677" s="616">
        <v>28.95</v>
      </c>
      <c r="F677" s="616">
        <v>4921.5</v>
      </c>
      <c r="G677" s="614" t="s">
        <v>377</v>
      </c>
      <c r="H677" s="614">
        <v>2011053</v>
      </c>
      <c r="I677" s="614" t="s">
        <v>199</v>
      </c>
      <c r="J677" s="614" t="s">
        <v>200</v>
      </c>
      <c r="K677" s="614" t="s">
        <v>201</v>
      </c>
      <c r="L677" s="616">
        <v>6</v>
      </c>
      <c r="M677" s="616">
        <v>0.17</v>
      </c>
      <c r="N677" s="616">
        <v>0.49</v>
      </c>
      <c r="O677" s="616">
        <v>29.85</v>
      </c>
      <c r="P677" s="616">
        <v>36.51</v>
      </c>
    </row>
    <row r="678" spans="1:16" x14ac:dyDescent="0.3">
      <c r="A678" s="615">
        <v>40616</v>
      </c>
      <c r="B678" s="614" t="s">
        <v>282</v>
      </c>
      <c r="C678" s="614" t="s">
        <v>369</v>
      </c>
      <c r="D678" s="614">
        <v>180</v>
      </c>
      <c r="E678" s="616">
        <v>30</v>
      </c>
      <c r="F678" s="616">
        <v>5400</v>
      </c>
      <c r="G678" s="614" t="s">
        <v>384</v>
      </c>
      <c r="H678" s="614">
        <v>2011049</v>
      </c>
      <c r="I678" s="614" t="s">
        <v>199</v>
      </c>
      <c r="J678" s="614" t="s">
        <v>200</v>
      </c>
      <c r="K678" s="614" t="s">
        <v>201</v>
      </c>
      <c r="L678" s="616">
        <v>7</v>
      </c>
      <c r="M678" s="616">
        <v>0.19</v>
      </c>
      <c r="N678" s="616">
        <v>0.54</v>
      </c>
      <c r="O678" s="616">
        <v>32.76</v>
      </c>
      <c r="P678" s="616">
        <v>40.49</v>
      </c>
    </row>
    <row r="679" spans="1:16" x14ac:dyDescent="0.3">
      <c r="A679" s="615">
        <v>40613</v>
      </c>
      <c r="B679" s="614" t="s">
        <v>244</v>
      </c>
      <c r="C679" s="614" t="s">
        <v>369</v>
      </c>
      <c r="D679" s="614">
        <v>140</v>
      </c>
      <c r="E679" s="616">
        <v>34.4</v>
      </c>
      <c r="F679" s="616">
        <v>4816</v>
      </c>
      <c r="G679" s="614" t="s">
        <v>385</v>
      </c>
      <c r="H679" s="614">
        <v>2011048</v>
      </c>
      <c r="I679" s="614" t="s">
        <v>199</v>
      </c>
      <c r="J679" s="614" t="s">
        <v>200</v>
      </c>
      <c r="K679" s="614" t="s">
        <v>201</v>
      </c>
      <c r="L679" s="616">
        <v>6.02</v>
      </c>
      <c r="M679" s="616">
        <v>0.17</v>
      </c>
      <c r="N679" s="616">
        <v>0.48</v>
      </c>
      <c r="O679" s="616">
        <v>29.22</v>
      </c>
      <c r="P679" s="616">
        <v>35.89</v>
      </c>
    </row>
    <row r="680" spans="1:16" x14ac:dyDescent="0.3">
      <c r="A680" s="615">
        <v>40613</v>
      </c>
      <c r="B680" s="614" t="s">
        <v>282</v>
      </c>
      <c r="C680" s="614" t="s">
        <v>369</v>
      </c>
      <c r="D680" s="614">
        <v>190</v>
      </c>
      <c r="E680" s="616">
        <v>29.8</v>
      </c>
      <c r="F680" s="616">
        <v>5662</v>
      </c>
      <c r="G680" s="614" t="s">
        <v>388</v>
      </c>
      <c r="H680" s="614">
        <v>2011048</v>
      </c>
      <c r="I680" s="614" t="s">
        <v>199</v>
      </c>
      <c r="J680" s="614" t="s">
        <v>200</v>
      </c>
      <c r="K680" s="614" t="s">
        <v>201</v>
      </c>
      <c r="L680" s="616">
        <v>7.08</v>
      </c>
      <c r="M680" s="616">
        <v>0.2</v>
      </c>
      <c r="N680" s="616">
        <v>0.56999999999999995</v>
      </c>
      <c r="O680" s="616">
        <v>34.35</v>
      </c>
      <c r="P680" s="616">
        <v>42.19</v>
      </c>
    </row>
    <row r="681" spans="1:16" x14ac:dyDescent="0.3">
      <c r="A681" s="615">
        <v>40613</v>
      </c>
      <c r="B681" s="614" t="s">
        <v>211</v>
      </c>
      <c r="C681" s="614" t="s">
        <v>369</v>
      </c>
      <c r="D681" s="614">
        <v>22</v>
      </c>
      <c r="E681" s="616">
        <v>459</v>
      </c>
      <c r="F681" s="616">
        <v>10098</v>
      </c>
      <c r="G681" s="614" t="s">
        <v>389</v>
      </c>
      <c r="H681" s="614">
        <v>2011048</v>
      </c>
      <c r="I681" s="614" t="s">
        <v>199</v>
      </c>
      <c r="J681" s="614" t="s">
        <v>200</v>
      </c>
      <c r="K681" s="614" t="s">
        <v>201</v>
      </c>
      <c r="L681" s="616">
        <v>12.62</v>
      </c>
      <c r="M681" s="616">
        <v>0.35</v>
      </c>
      <c r="N681" s="616">
        <v>1.01</v>
      </c>
      <c r="O681" s="616">
        <v>61.26</v>
      </c>
      <c r="P681" s="616">
        <v>75.239999999999995</v>
      </c>
    </row>
    <row r="682" spans="1:16" x14ac:dyDescent="0.3">
      <c r="A682" s="615">
        <v>40613</v>
      </c>
      <c r="B682" s="614" t="s">
        <v>202</v>
      </c>
      <c r="C682" s="614" t="s">
        <v>369</v>
      </c>
      <c r="D682" s="614">
        <v>22</v>
      </c>
      <c r="E682" s="616">
        <v>304.5659</v>
      </c>
      <c r="F682" s="616">
        <v>6700.45</v>
      </c>
      <c r="G682" s="614" t="s">
        <v>390</v>
      </c>
      <c r="H682" s="614">
        <v>2011048</v>
      </c>
      <c r="I682" s="614" t="s">
        <v>199</v>
      </c>
      <c r="J682" s="614" t="s">
        <v>200</v>
      </c>
      <c r="K682" s="614" t="s">
        <v>201</v>
      </c>
      <c r="L682" s="616">
        <v>8.3800000000000008</v>
      </c>
      <c r="M682" s="616">
        <v>0.23</v>
      </c>
      <c r="N682" s="616">
        <v>0.67</v>
      </c>
      <c r="O682" s="616">
        <v>40.64</v>
      </c>
      <c r="P682" s="616">
        <v>49.92</v>
      </c>
    </row>
    <row r="683" spans="1:16" x14ac:dyDescent="0.3">
      <c r="A683" s="615">
        <v>40613</v>
      </c>
      <c r="B683" s="614" t="s">
        <v>205</v>
      </c>
      <c r="C683" s="614" t="s">
        <v>369</v>
      </c>
      <c r="D683" s="614">
        <v>9</v>
      </c>
      <c r="E683" s="616">
        <v>992.8</v>
      </c>
      <c r="F683" s="616">
        <v>8935.2000000000007</v>
      </c>
      <c r="G683" s="614" t="s">
        <v>391</v>
      </c>
      <c r="H683" s="614">
        <v>2011048</v>
      </c>
      <c r="I683" s="614" t="s">
        <v>199</v>
      </c>
      <c r="J683" s="614" t="s">
        <v>200</v>
      </c>
      <c r="K683" s="614" t="s">
        <v>201</v>
      </c>
      <c r="L683" s="616">
        <v>10.9</v>
      </c>
      <c r="M683" s="616">
        <v>0.31</v>
      </c>
      <c r="N683" s="616">
        <v>0.89</v>
      </c>
      <c r="O683" s="616">
        <v>54.21</v>
      </c>
      <c r="P683" s="616">
        <v>66.319999999999993</v>
      </c>
    </row>
    <row r="684" spans="1:16" x14ac:dyDescent="0.3">
      <c r="A684" s="615">
        <v>40611</v>
      </c>
      <c r="B684" s="614" t="s">
        <v>282</v>
      </c>
      <c r="C684" s="614" t="s">
        <v>369</v>
      </c>
      <c r="D684" s="614">
        <v>210</v>
      </c>
      <c r="E684" s="616">
        <v>31.2</v>
      </c>
      <c r="F684" s="616">
        <v>6552</v>
      </c>
      <c r="G684" s="614" t="s">
        <v>392</v>
      </c>
      <c r="H684" s="614">
        <v>2011046</v>
      </c>
      <c r="I684" s="614" t="s">
        <v>199</v>
      </c>
      <c r="J684" s="614" t="s">
        <v>200</v>
      </c>
      <c r="K684" s="614" t="s">
        <v>201</v>
      </c>
      <c r="L684" s="616">
        <v>8.19</v>
      </c>
      <c r="M684" s="616">
        <v>0.23</v>
      </c>
      <c r="N684" s="616">
        <v>0.66</v>
      </c>
      <c r="O684" s="616">
        <v>39.75</v>
      </c>
      <c r="P684" s="616">
        <v>48.82</v>
      </c>
    </row>
    <row r="685" spans="1:16" x14ac:dyDescent="0.3">
      <c r="A685" s="615">
        <v>40611</v>
      </c>
      <c r="B685" s="614" t="s">
        <v>244</v>
      </c>
      <c r="C685" s="614" t="s">
        <v>369</v>
      </c>
      <c r="D685" s="614">
        <v>54</v>
      </c>
      <c r="E685" s="616">
        <v>34.799999999999997</v>
      </c>
      <c r="F685" s="616">
        <v>1879.2</v>
      </c>
      <c r="G685" s="614" t="s">
        <v>393</v>
      </c>
      <c r="H685" s="614">
        <v>2011046</v>
      </c>
      <c r="I685" s="614" t="s">
        <v>199</v>
      </c>
      <c r="J685" s="614" t="s">
        <v>200</v>
      </c>
      <c r="K685" s="614" t="s">
        <v>201</v>
      </c>
      <c r="L685" s="616">
        <v>2.35</v>
      </c>
      <c r="M685" s="616">
        <v>7.0000000000000007E-2</v>
      </c>
      <c r="N685" s="616">
        <v>0.19</v>
      </c>
      <c r="O685" s="616">
        <v>27.58</v>
      </c>
      <c r="P685" s="616">
        <v>30.18</v>
      </c>
    </row>
    <row r="686" spans="1:16" x14ac:dyDescent="0.3">
      <c r="A686" s="615">
        <v>40609</v>
      </c>
      <c r="B686" s="614" t="s">
        <v>244</v>
      </c>
      <c r="C686" s="614" t="s">
        <v>369</v>
      </c>
      <c r="D686" s="614">
        <v>106</v>
      </c>
      <c r="E686" s="616">
        <v>35.700000000000003</v>
      </c>
      <c r="F686" s="616">
        <v>3784.2</v>
      </c>
      <c r="G686" s="614" t="s">
        <v>394</v>
      </c>
      <c r="H686" s="614">
        <v>2011044</v>
      </c>
      <c r="I686" s="614" t="s">
        <v>199</v>
      </c>
      <c r="J686" s="614" t="s">
        <v>200</v>
      </c>
      <c r="K686" s="614" t="s">
        <v>201</v>
      </c>
      <c r="L686" s="616">
        <v>4.7300000000000004</v>
      </c>
      <c r="M686" s="616">
        <v>0.13</v>
      </c>
      <c r="N686" s="616">
        <v>0.38</v>
      </c>
      <c r="O686" s="616">
        <v>27.57</v>
      </c>
      <c r="P686" s="616">
        <v>32.81</v>
      </c>
    </row>
    <row r="687" spans="1:16" x14ac:dyDescent="0.3">
      <c r="A687" s="615">
        <v>40598</v>
      </c>
      <c r="B687" s="614" t="s">
        <v>233</v>
      </c>
      <c r="C687" s="614" t="s">
        <v>369</v>
      </c>
      <c r="D687" s="614">
        <v>55</v>
      </c>
      <c r="E687" s="616">
        <v>138</v>
      </c>
      <c r="F687" s="616">
        <v>7590</v>
      </c>
      <c r="G687" s="614" t="s">
        <v>395</v>
      </c>
      <c r="H687" s="614">
        <v>2011038</v>
      </c>
      <c r="I687" s="614" t="s">
        <v>199</v>
      </c>
      <c r="J687" s="614" t="s">
        <v>200</v>
      </c>
      <c r="K687" s="614" t="s">
        <v>201</v>
      </c>
      <c r="L687" s="616">
        <v>9.1999999999999993</v>
      </c>
      <c r="M687" s="616">
        <v>0.27</v>
      </c>
      <c r="N687" s="616">
        <v>0.76</v>
      </c>
      <c r="O687" s="616">
        <v>46.05</v>
      </c>
      <c r="P687" s="616">
        <v>56.27</v>
      </c>
    </row>
    <row r="688" spans="1:16" x14ac:dyDescent="0.3">
      <c r="A688" s="615">
        <v>40595</v>
      </c>
      <c r="B688" s="614" t="s">
        <v>242</v>
      </c>
      <c r="C688" s="614" t="s">
        <v>369</v>
      </c>
      <c r="D688" s="614">
        <v>460</v>
      </c>
      <c r="E688" s="616">
        <v>35.15</v>
      </c>
      <c r="F688" s="616">
        <v>16169</v>
      </c>
      <c r="G688" s="614" t="s">
        <v>396</v>
      </c>
      <c r="H688" s="614">
        <v>2011035</v>
      </c>
      <c r="I688" s="614" t="s">
        <v>199</v>
      </c>
      <c r="J688" s="614" t="s">
        <v>200</v>
      </c>
      <c r="K688" s="614" t="s">
        <v>201</v>
      </c>
      <c r="L688" s="616">
        <v>19.920000000000002</v>
      </c>
      <c r="M688" s="616">
        <v>0.56999999999999995</v>
      </c>
      <c r="N688" s="616">
        <v>1.62</v>
      </c>
      <c r="O688" s="616">
        <v>98.06</v>
      </c>
      <c r="P688" s="616">
        <v>120.16</v>
      </c>
    </row>
    <row r="689" spans="1:16" x14ac:dyDescent="0.3">
      <c r="A689" s="615">
        <v>40595</v>
      </c>
      <c r="B689" s="614" t="s">
        <v>233</v>
      </c>
      <c r="C689" s="614" t="s">
        <v>369</v>
      </c>
      <c r="D689" s="614">
        <v>30</v>
      </c>
      <c r="E689" s="616">
        <v>135.9</v>
      </c>
      <c r="F689" s="616">
        <v>4077</v>
      </c>
      <c r="G689" s="614" t="s">
        <v>397</v>
      </c>
      <c r="H689" s="614">
        <v>2011035</v>
      </c>
      <c r="I689" s="614" t="s">
        <v>199</v>
      </c>
      <c r="J689" s="614" t="s">
        <v>200</v>
      </c>
      <c r="K689" s="614" t="s">
        <v>201</v>
      </c>
      <c r="L689" s="616">
        <v>5.0999999999999996</v>
      </c>
      <c r="M689" s="616">
        <v>0.14000000000000001</v>
      </c>
      <c r="N689" s="616">
        <v>0.41</v>
      </c>
      <c r="O689" s="616">
        <v>27.57</v>
      </c>
      <c r="P689" s="616">
        <v>33.22</v>
      </c>
    </row>
    <row r="690" spans="1:16" x14ac:dyDescent="0.3">
      <c r="A690" s="615">
        <v>40592</v>
      </c>
      <c r="B690" s="614" t="s">
        <v>242</v>
      </c>
      <c r="C690" s="614" t="s">
        <v>369</v>
      </c>
      <c r="D690" s="614">
        <v>540</v>
      </c>
      <c r="E690" s="616">
        <v>37.200000000000003</v>
      </c>
      <c r="F690" s="616">
        <v>20088</v>
      </c>
      <c r="G690" s="614" t="s">
        <v>398</v>
      </c>
      <c r="H690" s="614">
        <v>2011034</v>
      </c>
      <c r="I690" s="614" t="s">
        <v>199</v>
      </c>
      <c r="J690" s="614" t="s">
        <v>200</v>
      </c>
      <c r="K690" s="614" t="s">
        <v>201</v>
      </c>
      <c r="L690" s="616">
        <v>24.96</v>
      </c>
      <c r="M690" s="616">
        <v>0.7</v>
      </c>
      <c r="N690" s="616">
        <v>2.0099999999999998</v>
      </c>
      <c r="O690" s="616">
        <v>121.88</v>
      </c>
      <c r="P690" s="616">
        <v>149.55000000000001</v>
      </c>
    </row>
    <row r="691" spans="1:16" x14ac:dyDescent="0.3">
      <c r="A691" s="615">
        <v>40591</v>
      </c>
      <c r="B691" s="614" t="s">
        <v>238</v>
      </c>
      <c r="C691" s="614" t="s">
        <v>369</v>
      </c>
      <c r="D691" s="614">
        <v>70</v>
      </c>
      <c r="E691" s="616">
        <v>138.05000000000001</v>
      </c>
      <c r="F691" s="616">
        <v>9663.5</v>
      </c>
      <c r="G691" s="614" t="s">
        <v>399</v>
      </c>
      <c r="H691" s="614">
        <v>2011033</v>
      </c>
      <c r="I691" s="614" t="s">
        <v>199</v>
      </c>
      <c r="J691" s="614" t="s">
        <v>200</v>
      </c>
      <c r="K691" s="614" t="s">
        <v>201</v>
      </c>
      <c r="L691" s="616">
        <v>12.08</v>
      </c>
      <c r="M691" s="616">
        <v>0.34</v>
      </c>
      <c r="N691" s="616">
        <v>0.97</v>
      </c>
      <c r="O691" s="616">
        <v>58.63</v>
      </c>
      <c r="P691" s="616">
        <v>72.010000000000005</v>
      </c>
    </row>
    <row r="692" spans="1:16" x14ac:dyDescent="0.3">
      <c r="A692" s="615">
        <v>40591</v>
      </c>
      <c r="B692" s="614" t="s">
        <v>233</v>
      </c>
      <c r="C692" s="614" t="s">
        <v>369</v>
      </c>
      <c r="D692" s="614">
        <v>55</v>
      </c>
      <c r="E692" s="616">
        <v>140.80000000000001</v>
      </c>
      <c r="F692" s="616">
        <v>7744</v>
      </c>
      <c r="G692" s="614" t="s">
        <v>400</v>
      </c>
      <c r="H692" s="614">
        <v>2011033</v>
      </c>
      <c r="I692" s="614" t="s">
        <v>199</v>
      </c>
      <c r="J692" s="614" t="s">
        <v>200</v>
      </c>
      <c r="K692" s="614" t="s">
        <v>201</v>
      </c>
      <c r="L692" s="616">
        <v>9.68</v>
      </c>
      <c r="M692" s="616">
        <v>0.27</v>
      </c>
      <c r="N692" s="616">
        <v>0.77</v>
      </c>
      <c r="O692" s="616">
        <v>46.98</v>
      </c>
      <c r="P692" s="616">
        <v>57.71</v>
      </c>
    </row>
    <row r="693" spans="1:16" x14ac:dyDescent="0.3">
      <c r="A693" s="615">
        <v>40589</v>
      </c>
      <c r="B693" s="614" t="s">
        <v>233</v>
      </c>
      <c r="C693" s="614" t="s">
        <v>369</v>
      </c>
      <c r="D693" s="614">
        <v>60</v>
      </c>
      <c r="E693" s="616">
        <v>139</v>
      </c>
      <c r="F693" s="616">
        <v>8340</v>
      </c>
      <c r="G693" s="614" t="s">
        <v>401</v>
      </c>
      <c r="H693" s="614">
        <v>2011031</v>
      </c>
      <c r="I693" s="614" t="s">
        <v>199</v>
      </c>
      <c r="J693" s="614" t="s">
        <v>200</v>
      </c>
      <c r="K693" s="614" t="s">
        <v>201</v>
      </c>
      <c r="L693" s="616">
        <v>10</v>
      </c>
      <c r="M693" s="616">
        <v>0.28999999999999998</v>
      </c>
      <c r="N693" s="616">
        <v>0.83</v>
      </c>
      <c r="O693" s="616">
        <v>50.59</v>
      </c>
      <c r="P693" s="616">
        <v>61.72</v>
      </c>
    </row>
    <row r="694" spans="1:16" x14ac:dyDescent="0.3">
      <c r="A694" s="615">
        <v>40588</v>
      </c>
      <c r="B694" s="614" t="s">
        <v>238</v>
      </c>
      <c r="C694" s="614" t="s">
        <v>369</v>
      </c>
      <c r="D694" s="614">
        <v>80</v>
      </c>
      <c r="E694" s="616">
        <v>140.5</v>
      </c>
      <c r="F694" s="616">
        <v>11240</v>
      </c>
      <c r="G694" s="614" t="s">
        <v>402</v>
      </c>
      <c r="H694" s="614">
        <v>2011030</v>
      </c>
      <c r="I694" s="614" t="s">
        <v>199</v>
      </c>
      <c r="J694" s="614" t="s">
        <v>200</v>
      </c>
      <c r="K694" s="614" t="s">
        <v>201</v>
      </c>
      <c r="L694" s="616">
        <v>14.05</v>
      </c>
      <c r="M694" s="616">
        <v>0.39</v>
      </c>
      <c r="N694" s="616">
        <v>1.1200000000000001</v>
      </c>
      <c r="O694" s="616">
        <v>68.19</v>
      </c>
      <c r="P694" s="616">
        <v>83.76</v>
      </c>
    </row>
    <row r="695" spans="1:16" x14ac:dyDescent="0.3">
      <c r="A695" s="615">
        <v>40584</v>
      </c>
      <c r="B695" s="614" t="s">
        <v>240</v>
      </c>
      <c r="C695" s="614" t="s">
        <v>369</v>
      </c>
      <c r="D695" s="614">
        <v>50</v>
      </c>
      <c r="E695" s="616">
        <v>150.30000000000001</v>
      </c>
      <c r="F695" s="616">
        <v>7515</v>
      </c>
      <c r="G695" s="614" t="s">
        <v>403</v>
      </c>
      <c r="H695" s="614">
        <v>201011222</v>
      </c>
      <c r="I695" s="614" t="s">
        <v>199</v>
      </c>
      <c r="J695" s="614" t="s">
        <v>200</v>
      </c>
      <c r="K695" s="614" t="s">
        <v>204</v>
      </c>
      <c r="L695" s="616">
        <v>9</v>
      </c>
      <c r="M695" s="616">
        <v>0.27</v>
      </c>
      <c r="N695" s="616">
        <v>0.75</v>
      </c>
      <c r="O695" s="616">
        <v>45.59</v>
      </c>
      <c r="P695" s="616">
        <v>55.61</v>
      </c>
    </row>
    <row r="696" spans="1:16" x14ac:dyDescent="0.3">
      <c r="A696" s="615">
        <v>40582</v>
      </c>
      <c r="B696" s="614" t="s">
        <v>255</v>
      </c>
      <c r="C696" s="614" t="s">
        <v>369</v>
      </c>
      <c r="D696" s="614">
        <v>2000</v>
      </c>
      <c r="E696" s="616">
        <v>10.050000000000001</v>
      </c>
      <c r="F696" s="616">
        <v>20100</v>
      </c>
      <c r="G696" s="614" t="s">
        <v>404</v>
      </c>
      <c r="H696" s="614">
        <v>2011026</v>
      </c>
      <c r="I696" s="614" t="s">
        <v>199</v>
      </c>
      <c r="J696" s="614" t="s">
        <v>200</v>
      </c>
      <c r="K696" s="614" t="s">
        <v>201</v>
      </c>
      <c r="L696" s="616">
        <v>24.92</v>
      </c>
      <c r="M696" s="616">
        <v>0.7</v>
      </c>
      <c r="N696" s="616">
        <v>2.0099999999999998</v>
      </c>
      <c r="O696" s="616">
        <v>122</v>
      </c>
      <c r="P696" s="616">
        <v>149.63</v>
      </c>
    </row>
    <row r="697" spans="1:16" x14ac:dyDescent="0.3">
      <c r="A697" s="615">
        <v>40575</v>
      </c>
      <c r="B697" s="614" t="s">
        <v>249</v>
      </c>
      <c r="C697" s="614" t="s">
        <v>369</v>
      </c>
      <c r="D697" s="614">
        <v>200</v>
      </c>
      <c r="E697" s="616">
        <v>18.5</v>
      </c>
      <c r="F697" s="616">
        <v>3700</v>
      </c>
      <c r="G697" s="614" t="s">
        <v>405</v>
      </c>
      <c r="H697" s="614">
        <v>2011021</v>
      </c>
      <c r="I697" s="614" t="s">
        <v>199</v>
      </c>
      <c r="J697" s="614" t="s">
        <v>200</v>
      </c>
      <c r="K697" s="614" t="s">
        <v>201</v>
      </c>
      <c r="L697" s="616">
        <v>5</v>
      </c>
      <c r="M697" s="616">
        <v>0.13</v>
      </c>
      <c r="N697" s="616">
        <v>0.37</v>
      </c>
      <c r="O697" s="616">
        <v>27.58</v>
      </c>
      <c r="P697" s="616">
        <v>33.08</v>
      </c>
    </row>
    <row r="698" spans="1:16" x14ac:dyDescent="0.3">
      <c r="A698" s="615">
        <v>40563</v>
      </c>
      <c r="B698" s="614" t="s">
        <v>249</v>
      </c>
      <c r="C698" s="614" t="s">
        <v>369</v>
      </c>
      <c r="D698" s="614">
        <v>50</v>
      </c>
      <c r="E698" s="616">
        <v>17.5</v>
      </c>
      <c r="F698" s="616">
        <v>875</v>
      </c>
      <c r="G698" s="614" t="s">
        <v>406</v>
      </c>
      <c r="H698" s="614">
        <v>2011014</v>
      </c>
      <c r="I698" s="614" t="s">
        <v>199</v>
      </c>
      <c r="J698" s="614" t="s">
        <v>200</v>
      </c>
      <c r="K698" s="614" t="s">
        <v>201</v>
      </c>
      <c r="L698" s="616">
        <v>1</v>
      </c>
      <c r="M698" s="616">
        <v>0.03</v>
      </c>
      <c r="N698" s="616">
        <v>0.09</v>
      </c>
      <c r="O698" s="616">
        <v>24.13</v>
      </c>
      <c r="P698" s="616">
        <v>25.25</v>
      </c>
    </row>
    <row r="699" spans="1:16" x14ac:dyDescent="0.3">
      <c r="A699" s="615">
        <v>40550</v>
      </c>
      <c r="B699" s="614" t="s">
        <v>266</v>
      </c>
      <c r="C699" s="614" t="s">
        <v>369</v>
      </c>
      <c r="D699" s="614">
        <v>100</v>
      </c>
      <c r="E699" s="616">
        <v>202</v>
      </c>
      <c r="F699" s="616">
        <v>20200</v>
      </c>
      <c r="G699" s="614" t="s">
        <v>407</v>
      </c>
      <c r="H699" s="614">
        <v>2011005</v>
      </c>
      <c r="I699" s="614" t="s">
        <v>199</v>
      </c>
      <c r="J699" s="614" t="s">
        <v>200</v>
      </c>
      <c r="K699" s="614" t="s">
        <v>201</v>
      </c>
      <c r="L699" s="616">
        <v>25</v>
      </c>
      <c r="M699" s="616">
        <v>0.71</v>
      </c>
      <c r="N699" s="616">
        <v>2.02</v>
      </c>
      <c r="O699" s="616">
        <v>122.54</v>
      </c>
      <c r="P699" s="616">
        <v>150.27000000000001</v>
      </c>
    </row>
    <row r="700" spans="1:16" x14ac:dyDescent="0.3">
      <c r="A700" s="615">
        <v>40540</v>
      </c>
      <c r="B700" s="614" t="s">
        <v>257</v>
      </c>
      <c r="C700" s="614" t="s">
        <v>369</v>
      </c>
      <c r="D700" s="614">
        <v>400</v>
      </c>
      <c r="E700" s="616">
        <v>118.1</v>
      </c>
      <c r="F700" s="616">
        <v>47240</v>
      </c>
      <c r="G700" s="614" t="s">
        <v>408</v>
      </c>
      <c r="H700" s="614">
        <v>2010248</v>
      </c>
      <c r="I700" s="614" t="s">
        <v>199</v>
      </c>
      <c r="J700" s="614" t="s">
        <v>200</v>
      </c>
      <c r="K700" s="614" t="s">
        <v>201</v>
      </c>
      <c r="L700" s="616">
        <v>59</v>
      </c>
      <c r="M700" s="616">
        <v>1.65</v>
      </c>
      <c r="N700" s="616">
        <v>4.72</v>
      </c>
      <c r="O700" s="616">
        <v>286.60000000000002</v>
      </c>
      <c r="P700" s="616">
        <v>351.98</v>
      </c>
    </row>
    <row r="701" spans="1:16" x14ac:dyDescent="0.3">
      <c r="A701" s="615">
        <v>40511</v>
      </c>
      <c r="B701" s="614" t="s">
        <v>257</v>
      </c>
      <c r="C701" s="614" t="s">
        <v>369</v>
      </c>
      <c r="D701" s="614">
        <v>100</v>
      </c>
      <c r="E701" s="616">
        <v>143</v>
      </c>
      <c r="F701" s="616">
        <v>14300</v>
      </c>
      <c r="G701" s="614" t="s">
        <v>409</v>
      </c>
      <c r="H701" s="614">
        <v>2010228</v>
      </c>
      <c r="I701" s="614" t="s">
        <v>199</v>
      </c>
      <c r="J701" s="614" t="s">
        <v>200</v>
      </c>
      <c r="K701" s="614" t="s">
        <v>201</v>
      </c>
      <c r="L701" s="616">
        <v>4.09</v>
      </c>
      <c r="M701" s="616">
        <v>0.5</v>
      </c>
      <c r="N701" s="616">
        <v>0.28999999999999998</v>
      </c>
      <c r="O701" s="616">
        <v>86.75</v>
      </c>
      <c r="P701" s="616">
        <v>91.63</v>
      </c>
    </row>
    <row r="702" spans="1:16" x14ac:dyDescent="0.3">
      <c r="A702" s="615">
        <v>40507</v>
      </c>
      <c r="B702" s="614" t="s">
        <v>266</v>
      </c>
      <c r="C702" s="614" t="s">
        <v>369</v>
      </c>
      <c r="D702" s="614">
        <v>125</v>
      </c>
      <c r="E702" s="616">
        <v>225.02</v>
      </c>
      <c r="F702" s="616">
        <v>28127.5</v>
      </c>
      <c r="G702" s="614" t="s">
        <v>410</v>
      </c>
      <c r="H702" s="614">
        <v>201011169</v>
      </c>
      <c r="I702" s="614" t="s">
        <v>199</v>
      </c>
      <c r="J702" s="614" t="s">
        <v>200</v>
      </c>
      <c r="K702" s="614" t="s">
        <v>204</v>
      </c>
      <c r="L702" s="616">
        <v>35.159999999999997</v>
      </c>
      <c r="M702" s="616">
        <v>1.01</v>
      </c>
      <c r="N702" s="616">
        <v>2.81</v>
      </c>
      <c r="O702" s="616">
        <v>170.64</v>
      </c>
      <c r="P702" s="616">
        <v>209.63</v>
      </c>
    </row>
    <row r="703" spans="1:16" x14ac:dyDescent="0.3">
      <c r="A703" s="615">
        <v>40505</v>
      </c>
      <c r="B703" s="614" t="s">
        <v>268</v>
      </c>
      <c r="C703" s="614" t="s">
        <v>369</v>
      </c>
      <c r="D703" s="614">
        <v>2000</v>
      </c>
      <c r="E703" s="616">
        <v>4.95</v>
      </c>
      <c r="F703" s="616">
        <v>9900</v>
      </c>
      <c r="G703" s="614" t="s">
        <v>411</v>
      </c>
      <c r="H703" s="614">
        <v>2010224</v>
      </c>
      <c r="I703" s="614" t="s">
        <v>199</v>
      </c>
      <c r="J703" s="614" t="s">
        <v>200</v>
      </c>
      <c r="K703" s="614" t="s">
        <v>201</v>
      </c>
      <c r="L703" s="616">
        <v>12.38</v>
      </c>
      <c r="M703" s="616">
        <v>0.4</v>
      </c>
      <c r="N703" s="616">
        <v>1</v>
      </c>
      <c r="O703" s="616">
        <v>60</v>
      </c>
      <c r="P703" s="616">
        <v>73.78</v>
      </c>
    </row>
    <row r="704" spans="1:16" x14ac:dyDescent="0.3">
      <c r="A704" s="615">
        <v>40501</v>
      </c>
      <c r="B704" s="614" t="s">
        <v>264</v>
      </c>
      <c r="C704" s="614" t="s">
        <v>369</v>
      </c>
      <c r="D704" s="614">
        <v>700</v>
      </c>
      <c r="E704" s="616">
        <v>29.75</v>
      </c>
      <c r="F704" s="616">
        <v>20825</v>
      </c>
      <c r="G704" s="614" t="s">
        <v>412</v>
      </c>
      <c r="H704" s="614">
        <v>201011165</v>
      </c>
      <c r="I704" s="614" t="s">
        <v>199</v>
      </c>
      <c r="J704" s="614" t="s">
        <v>200</v>
      </c>
      <c r="K704" s="614" t="s">
        <v>204</v>
      </c>
      <c r="L704" s="616">
        <v>26.03</v>
      </c>
      <c r="M704" s="616">
        <v>0.77</v>
      </c>
      <c r="N704" s="616">
        <v>2.1</v>
      </c>
      <c r="O704" s="616">
        <v>126.35</v>
      </c>
      <c r="P704" s="616">
        <v>155.25</v>
      </c>
    </row>
    <row r="705" spans="1:16" x14ac:dyDescent="0.3">
      <c r="A705" s="615">
        <v>40497</v>
      </c>
      <c r="B705" s="614" t="s">
        <v>238</v>
      </c>
      <c r="C705" s="614" t="s">
        <v>369</v>
      </c>
      <c r="D705" s="614">
        <v>150</v>
      </c>
      <c r="E705" s="616">
        <v>168.7963</v>
      </c>
      <c r="F705" s="616">
        <v>25319.45</v>
      </c>
      <c r="G705" s="614" t="s">
        <v>413</v>
      </c>
      <c r="H705" s="614">
        <v>201011162</v>
      </c>
      <c r="I705" s="614" t="s">
        <v>199</v>
      </c>
      <c r="J705" s="614" t="s">
        <v>200</v>
      </c>
      <c r="K705" s="614" t="s">
        <v>204</v>
      </c>
      <c r="L705" s="616">
        <v>31.65</v>
      </c>
      <c r="M705" s="616">
        <v>0.92</v>
      </c>
      <c r="N705" s="616">
        <v>2.54</v>
      </c>
      <c r="O705" s="616">
        <v>153.59</v>
      </c>
      <c r="P705" s="616">
        <v>188.69</v>
      </c>
    </row>
    <row r="706" spans="1:16" x14ac:dyDescent="0.3">
      <c r="A706" s="615">
        <v>40494</v>
      </c>
      <c r="B706" s="614" t="s">
        <v>235</v>
      </c>
      <c r="C706" s="614" t="s">
        <v>369</v>
      </c>
      <c r="D706" s="614">
        <v>1000</v>
      </c>
      <c r="E706" s="616">
        <v>33.950000000000003</v>
      </c>
      <c r="F706" s="616">
        <v>33950</v>
      </c>
      <c r="G706" s="614" t="s">
        <v>414</v>
      </c>
      <c r="H706" s="614">
        <v>2010218</v>
      </c>
      <c r="I706" s="614" t="s">
        <v>199</v>
      </c>
      <c r="J706" s="614" t="s">
        <v>200</v>
      </c>
      <c r="K706" s="614" t="s">
        <v>201</v>
      </c>
      <c r="L706" s="616">
        <v>42.44</v>
      </c>
      <c r="M706" s="616">
        <v>1.2</v>
      </c>
      <c r="N706" s="616">
        <v>3.4</v>
      </c>
      <c r="O706" s="616">
        <v>205.9</v>
      </c>
      <c r="P706" s="616">
        <v>252.94</v>
      </c>
    </row>
    <row r="707" spans="1:16" x14ac:dyDescent="0.3">
      <c r="A707" s="615">
        <v>40487</v>
      </c>
      <c r="B707" s="614" t="s">
        <v>235</v>
      </c>
      <c r="C707" s="614" t="s">
        <v>369</v>
      </c>
      <c r="D707" s="614">
        <v>2000</v>
      </c>
      <c r="E707" s="616">
        <v>29.25</v>
      </c>
      <c r="F707" s="616">
        <v>58500</v>
      </c>
      <c r="G707" s="614" t="s">
        <v>415</v>
      </c>
      <c r="H707" s="614">
        <v>2010213</v>
      </c>
      <c r="I707" s="614" t="s">
        <v>199</v>
      </c>
      <c r="J707" s="614" t="s">
        <v>200</v>
      </c>
      <c r="K707" s="614" t="s">
        <v>201</v>
      </c>
      <c r="L707" s="616">
        <v>73.13</v>
      </c>
      <c r="M707" s="616">
        <v>2</v>
      </c>
      <c r="N707" s="616">
        <v>5.8</v>
      </c>
      <c r="O707" s="616">
        <v>355</v>
      </c>
      <c r="P707" s="616">
        <v>435.93</v>
      </c>
    </row>
    <row r="708" spans="1:16" x14ac:dyDescent="0.3">
      <c r="A708" s="615">
        <v>40478</v>
      </c>
      <c r="B708" s="614" t="s">
        <v>235</v>
      </c>
      <c r="C708" s="614" t="s">
        <v>369</v>
      </c>
      <c r="D708" s="614">
        <v>1000</v>
      </c>
      <c r="E708" s="616">
        <v>25.45</v>
      </c>
      <c r="F708" s="616">
        <v>25450</v>
      </c>
      <c r="G708" s="614" t="s">
        <v>416</v>
      </c>
      <c r="H708" s="614">
        <v>201011149</v>
      </c>
      <c r="I708" s="614" t="s">
        <v>199</v>
      </c>
      <c r="J708" s="614" t="s">
        <v>200</v>
      </c>
      <c r="K708" s="614" t="s">
        <v>204</v>
      </c>
      <c r="L708" s="616">
        <v>31.81</v>
      </c>
      <c r="M708" s="616">
        <v>0.9</v>
      </c>
      <c r="N708" s="616">
        <v>2.5</v>
      </c>
      <c r="O708" s="616">
        <v>154.4</v>
      </c>
      <c r="P708" s="616">
        <v>189.61</v>
      </c>
    </row>
    <row r="709" spans="1:16" x14ac:dyDescent="0.3">
      <c r="A709" s="615">
        <v>40477</v>
      </c>
      <c r="B709" s="614" t="s">
        <v>284</v>
      </c>
      <c r="C709" s="614" t="s">
        <v>369</v>
      </c>
      <c r="D709" s="614">
        <v>100</v>
      </c>
      <c r="E709" s="616">
        <v>772</v>
      </c>
      <c r="F709" s="616">
        <v>77200</v>
      </c>
      <c r="G709" s="614" t="s">
        <v>417</v>
      </c>
      <c r="H709" s="614">
        <v>201011148</v>
      </c>
      <c r="I709" s="614" t="s">
        <v>199</v>
      </c>
      <c r="J709" s="614" t="s">
        <v>200</v>
      </c>
      <c r="K709" s="614" t="s">
        <v>204</v>
      </c>
      <c r="L709" s="616">
        <v>96.5</v>
      </c>
      <c r="M709" s="616">
        <v>2.78</v>
      </c>
      <c r="N709" s="616">
        <v>7.72</v>
      </c>
      <c r="O709" s="616">
        <v>468.33</v>
      </c>
      <c r="P709" s="616">
        <v>575.33000000000004</v>
      </c>
    </row>
    <row r="710" spans="1:16" x14ac:dyDescent="0.3">
      <c r="A710" s="615">
        <v>40470</v>
      </c>
      <c r="B710" s="614" t="s">
        <v>284</v>
      </c>
      <c r="C710" s="614" t="s">
        <v>369</v>
      </c>
      <c r="D710" s="614">
        <v>50</v>
      </c>
      <c r="E710" s="616">
        <v>824</v>
      </c>
      <c r="F710" s="616">
        <v>41200</v>
      </c>
      <c r="G710" s="614" t="s">
        <v>418</v>
      </c>
      <c r="H710" s="614">
        <v>2010200</v>
      </c>
      <c r="I710" s="614" t="s">
        <v>199</v>
      </c>
      <c r="J710" s="614" t="s">
        <v>200</v>
      </c>
      <c r="K710" s="614" t="s">
        <v>201</v>
      </c>
      <c r="L710" s="616">
        <v>51.5</v>
      </c>
      <c r="M710" s="616">
        <v>1.44</v>
      </c>
      <c r="N710" s="616">
        <v>4.13</v>
      </c>
      <c r="O710" s="616">
        <v>249.94</v>
      </c>
      <c r="P710" s="616">
        <v>307.01</v>
      </c>
    </row>
    <row r="711" spans="1:16" x14ac:dyDescent="0.3">
      <c r="A711" s="615">
        <v>40457</v>
      </c>
      <c r="B711" s="614" t="s">
        <v>296</v>
      </c>
      <c r="C711" s="614" t="s">
        <v>369</v>
      </c>
      <c r="D711" s="614">
        <v>100</v>
      </c>
      <c r="E711" s="616">
        <v>170.5</v>
      </c>
      <c r="F711" s="616">
        <v>17050</v>
      </c>
      <c r="G711" s="614" t="s">
        <v>419</v>
      </c>
      <c r="H711" s="614">
        <v>201011134</v>
      </c>
      <c r="I711" s="614" t="s">
        <v>199</v>
      </c>
      <c r="J711" s="614" t="s">
        <v>200</v>
      </c>
      <c r="K711" s="614" t="s">
        <v>204</v>
      </c>
      <c r="L711" s="616">
        <v>21.31</v>
      </c>
      <c r="M711" s="616">
        <v>0.61</v>
      </c>
      <c r="N711" s="616">
        <v>1.71</v>
      </c>
      <c r="O711" s="616">
        <v>103.44</v>
      </c>
      <c r="P711" s="616">
        <v>127.07</v>
      </c>
    </row>
    <row r="712" spans="1:16" x14ac:dyDescent="0.3">
      <c r="A712" s="615">
        <v>40457</v>
      </c>
      <c r="B712" s="614" t="s">
        <v>359</v>
      </c>
      <c r="C712" s="614" t="s">
        <v>369</v>
      </c>
      <c r="D712" s="614">
        <v>100</v>
      </c>
      <c r="E712" s="616">
        <v>105.55</v>
      </c>
      <c r="F712" s="616">
        <v>10555</v>
      </c>
      <c r="G712" s="614" t="s">
        <v>420</v>
      </c>
      <c r="H712" s="614">
        <v>201011134</v>
      </c>
      <c r="I712" s="614" t="s">
        <v>199</v>
      </c>
      <c r="J712" s="614" t="s">
        <v>200</v>
      </c>
      <c r="K712" s="614" t="s">
        <v>204</v>
      </c>
      <c r="L712" s="616">
        <v>13.19</v>
      </c>
      <c r="M712" s="616">
        <v>0.38</v>
      </c>
      <c r="N712" s="616">
        <v>1.06</v>
      </c>
      <c r="O712" s="616">
        <v>64.03</v>
      </c>
      <c r="P712" s="616">
        <v>78.66</v>
      </c>
    </row>
    <row r="713" spans="1:16" x14ac:dyDescent="0.3">
      <c r="A713" s="615">
        <v>40457</v>
      </c>
      <c r="B713" s="614" t="s">
        <v>255</v>
      </c>
      <c r="C713" s="614" t="s">
        <v>369</v>
      </c>
      <c r="D713" s="614">
        <v>850</v>
      </c>
      <c r="E713" s="616">
        <v>12.11</v>
      </c>
      <c r="F713" s="616">
        <v>10293.5</v>
      </c>
      <c r="G713" s="614" t="s">
        <v>421</v>
      </c>
      <c r="H713" s="614">
        <v>201011134</v>
      </c>
      <c r="I713" s="614" t="s">
        <v>199</v>
      </c>
      <c r="J713" s="614" t="s">
        <v>200</v>
      </c>
      <c r="K713" s="614" t="s">
        <v>204</v>
      </c>
      <c r="L713" s="616">
        <v>12.87</v>
      </c>
      <c r="M713" s="616">
        <v>0.34</v>
      </c>
      <c r="N713" s="616">
        <v>1.02</v>
      </c>
      <c r="O713" s="616">
        <v>62.48</v>
      </c>
      <c r="P713" s="616">
        <v>76.709999999999994</v>
      </c>
    </row>
    <row r="714" spans="1:16" x14ac:dyDescent="0.3">
      <c r="A714" s="615">
        <v>40457</v>
      </c>
      <c r="B714" s="614" t="s">
        <v>282</v>
      </c>
      <c r="C714" s="614" t="s">
        <v>369</v>
      </c>
      <c r="D714" s="614">
        <v>1000</v>
      </c>
      <c r="E714" s="616">
        <v>34</v>
      </c>
      <c r="F714" s="616">
        <v>34000</v>
      </c>
      <c r="G714" s="614" t="s">
        <v>422</v>
      </c>
      <c r="H714" s="614">
        <v>201011134</v>
      </c>
      <c r="I714" s="614" t="s">
        <v>199</v>
      </c>
      <c r="J714" s="614" t="s">
        <v>200</v>
      </c>
      <c r="K714" s="614" t="s">
        <v>204</v>
      </c>
      <c r="L714" s="616">
        <v>42.5</v>
      </c>
      <c r="M714" s="616">
        <v>1.2</v>
      </c>
      <c r="N714" s="616">
        <v>3.4</v>
      </c>
      <c r="O714" s="616">
        <v>206.3</v>
      </c>
      <c r="P714" s="616">
        <v>253.4</v>
      </c>
    </row>
    <row r="715" spans="1:16" x14ac:dyDescent="0.3">
      <c r="A715" s="615">
        <v>40457</v>
      </c>
      <c r="B715" s="614" t="s">
        <v>235</v>
      </c>
      <c r="C715" s="614" t="s">
        <v>369</v>
      </c>
      <c r="D715" s="614">
        <v>2000</v>
      </c>
      <c r="E715" s="616">
        <v>21.7</v>
      </c>
      <c r="F715" s="616">
        <v>43400</v>
      </c>
      <c r="G715" s="614" t="s">
        <v>423</v>
      </c>
      <c r="H715" s="614">
        <v>2010191</v>
      </c>
      <c r="I715" s="614" t="s">
        <v>199</v>
      </c>
      <c r="J715" s="614" t="s">
        <v>200</v>
      </c>
      <c r="K715" s="614" t="s">
        <v>201</v>
      </c>
      <c r="L715" s="616">
        <v>32.56</v>
      </c>
      <c r="M715" s="616">
        <v>1.6</v>
      </c>
      <c r="N715" s="616">
        <v>2.6</v>
      </c>
      <c r="O715" s="616">
        <v>263.39999999999998</v>
      </c>
      <c r="P715" s="616">
        <v>300.16000000000003</v>
      </c>
    </row>
    <row r="716" spans="1:16" x14ac:dyDescent="0.3">
      <c r="A716" s="615">
        <v>40444</v>
      </c>
      <c r="B716" s="614" t="s">
        <v>292</v>
      </c>
      <c r="C716" s="614" t="s">
        <v>369</v>
      </c>
      <c r="D716" s="614">
        <v>750</v>
      </c>
      <c r="E716" s="616">
        <v>43.65</v>
      </c>
      <c r="F716" s="616">
        <v>32737.5</v>
      </c>
      <c r="G716" s="614" t="s">
        <v>424</v>
      </c>
      <c r="H716" s="614">
        <v>201011125</v>
      </c>
      <c r="I716" s="614" t="s">
        <v>199</v>
      </c>
      <c r="J716" s="614" t="s">
        <v>200</v>
      </c>
      <c r="K716" s="614" t="s">
        <v>204</v>
      </c>
      <c r="L716" s="616">
        <v>40.92</v>
      </c>
      <c r="M716" s="616">
        <v>1.2</v>
      </c>
      <c r="N716" s="616">
        <v>3.31</v>
      </c>
      <c r="O716" s="616">
        <v>198.6</v>
      </c>
      <c r="P716" s="616">
        <v>244.03</v>
      </c>
    </row>
    <row r="717" spans="1:16" x14ac:dyDescent="0.3">
      <c r="A717" s="615">
        <v>40442</v>
      </c>
      <c r="B717" s="614" t="s">
        <v>359</v>
      </c>
      <c r="C717" s="614" t="s">
        <v>369</v>
      </c>
      <c r="D717" s="614">
        <v>50</v>
      </c>
      <c r="E717" s="616">
        <v>90.055999999999997</v>
      </c>
      <c r="F717" s="616">
        <v>4502.8</v>
      </c>
      <c r="G717" s="614" t="s">
        <v>425</v>
      </c>
      <c r="H717" s="614">
        <v>2010180</v>
      </c>
      <c r="I717" s="614" t="s">
        <v>199</v>
      </c>
      <c r="J717" s="614" t="s">
        <v>200</v>
      </c>
      <c r="K717" s="614" t="s">
        <v>201</v>
      </c>
      <c r="L717" s="616">
        <v>5.63</v>
      </c>
      <c r="M717" s="616">
        <v>0.16</v>
      </c>
      <c r="N717" s="616">
        <v>0.45</v>
      </c>
      <c r="O717" s="616">
        <v>27.57</v>
      </c>
      <c r="P717" s="616">
        <v>33.81</v>
      </c>
    </row>
    <row r="718" spans="1:16" x14ac:dyDescent="0.3">
      <c r="A718" s="615">
        <v>40442</v>
      </c>
      <c r="B718" s="614" t="s">
        <v>255</v>
      </c>
      <c r="C718" s="614" t="s">
        <v>369</v>
      </c>
      <c r="D718" s="614">
        <v>150</v>
      </c>
      <c r="E718" s="616">
        <v>11.9</v>
      </c>
      <c r="F718" s="616">
        <v>1785</v>
      </c>
      <c r="G718" s="614" t="s">
        <v>426</v>
      </c>
      <c r="H718" s="614">
        <v>2010180</v>
      </c>
      <c r="I718" s="614" t="s">
        <v>199</v>
      </c>
      <c r="J718" s="614" t="s">
        <v>200</v>
      </c>
      <c r="K718" s="614" t="s">
        <v>201</v>
      </c>
      <c r="L718" s="616">
        <v>2.23</v>
      </c>
      <c r="M718" s="616">
        <v>0.06</v>
      </c>
      <c r="N718" s="616">
        <v>0.18</v>
      </c>
      <c r="O718" s="616">
        <v>27.59</v>
      </c>
      <c r="P718" s="616">
        <v>30.06</v>
      </c>
    </row>
    <row r="719" spans="1:16" x14ac:dyDescent="0.3">
      <c r="A719" s="615">
        <v>40434</v>
      </c>
      <c r="B719" s="614" t="s">
        <v>294</v>
      </c>
      <c r="C719" s="614" t="s">
        <v>369</v>
      </c>
      <c r="D719" s="614">
        <v>40</v>
      </c>
      <c r="E719" s="616">
        <v>652.72500000000002</v>
      </c>
      <c r="F719" s="616">
        <v>26109</v>
      </c>
      <c r="G719" s="614" t="s">
        <v>427</v>
      </c>
      <c r="H719" s="614">
        <v>2010174</v>
      </c>
      <c r="I719" s="614" t="s">
        <v>199</v>
      </c>
      <c r="J719" s="614" t="s">
        <v>200</v>
      </c>
      <c r="K719" s="614" t="s">
        <v>201</v>
      </c>
      <c r="L719" s="616">
        <v>6.53</v>
      </c>
      <c r="M719" s="616">
        <v>0.91</v>
      </c>
      <c r="N719" s="616">
        <v>0.52</v>
      </c>
      <c r="O719" s="616">
        <v>0</v>
      </c>
      <c r="P719" s="616">
        <v>7.97</v>
      </c>
    </row>
    <row r="720" spans="1:16" x14ac:dyDescent="0.3">
      <c r="A720" s="615">
        <v>40430</v>
      </c>
      <c r="B720" s="614" t="s">
        <v>298</v>
      </c>
      <c r="C720" s="614" t="s">
        <v>369</v>
      </c>
      <c r="D720" s="614">
        <v>1000</v>
      </c>
      <c r="E720" s="616">
        <v>21.250499999999999</v>
      </c>
      <c r="F720" s="616">
        <v>21250.5</v>
      </c>
      <c r="G720" s="614" t="s">
        <v>428</v>
      </c>
      <c r="H720" s="614">
        <v>201011116</v>
      </c>
      <c r="I720" s="614" t="s">
        <v>199</v>
      </c>
      <c r="J720" s="614" t="s">
        <v>200</v>
      </c>
      <c r="K720" s="614" t="s">
        <v>204</v>
      </c>
      <c r="L720" s="616">
        <v>26.56</v>
      </c>
      <c r="M720" s="616">
        <v>0.8</v>
      </c>
      <c r="N720" s="616">
        <v>2.1</v>
      </c>
      <c r="O720" s="616">
        <v>128.9</v>
      </c>
      <c r="P720" s="616">
        <v>158.36000000000001</v>
      </c>
    </row>
    <row r="721" spans="1:16" x14ac:dyDescent="0.3">
      <c r="A721" s="615">
        <v>40417</v>
      </c>
      <c r="B721" s="614" t="s">
        <v>303</v>
      </c>
      <c r="C721" s="614" t="s">
        <v>369</v>
      </c>
      <c r="D721" s="614">
        <v>750</v>
      </c>
      <c r="E721" s="616">
        <v>19.3</v>
      </c>
      <c r="F721" s="616">
        <v>14475</v>
      </c>
      <c r="G721" s="614" t="s">
        <v>429</v>
      </c>
      <c r="H721" s="614">
        <v>201011107</v>
      </c>
      <c r="I721" s="614" t="s">
        <v>199</v>
      </c>
      <c r="J721" s="614" t="s">
        <v>200</v>
      </c>
      <c r="K721" s="614" t="s">
        <v>204</v>
      </c>
      <c r="L721" s="616">
        <v>18.09</v>
      </c>
      <c r="M721" s="616">
        <v>0.53</v>
      </c>
      <c r="N721" s="616">
        <v>1.43</v>
      </c>
      <c r="O721" s="616">
        <v>87.84</v>
      </c>
      <c r="P721" s="616">
        <v>107.88</v>
      </c>
    </row>
    <row r="722" spans="1:16" x14ac:dyDescent="0.3">
      <c r="A722" s="615">
        <v>40417</v>
      </c>
      <c r="B722" s="614" t="s">
        <v>255</v>
      </c>
      <c r="C722" s="614" t="s">
        <v>369</v>
      </c>
      <c r="D722" s="614">
        <v>1000</v>
      </c>
      <c r="E722" s="616">
        <v>11.4</v>
      </c>
      <c r="F722" s="616">
        <v>11400</v>
      </c>
      <c r="G722" s="614" t="s">
        <v>430</v>
      </c>
      <c r="H722" s="614">
        <v>2010164</v>
      </c>
      <c r="I722" s="614" t="s">
        <v>199</v>
      </c>
      <c r="J722" s="614" t="s">
        <v>200</v>
      </c>
      <c r="K722" s="614" t="s">
        <v>201</v>
      </c>
      <c r="L722" s="616">
        <v>14.25</v>
      </c>
      <c r="M722" s="616">
        <v>0.4</v>
      </c>
      <c r="N722" s="616">
        <v>1.1000000000000001</v>
      </c>
      <c r="O722" s="616">
        <v>69.2</v>
      </c>
      <c r="P722" s="616">
        <v>84.95</v>
      </c>
    </row>
    <row r="723" spans="1:16" x14ac:dyDescent="0.3">
      <c r="A723" s="615">
        <v>40416</v>
      </c>
      <c r="B723" s="614" t="s">
        <v>305</v>
      </c>
      <c r="C723" s="614" t="s">
        <v>369</v>
      </c>
      <c r="D723" s="614">
        <v>1000</v>
      </c>
      <c r="E723" s="616">
        <v>18.45</v>
      </c>
      <c r="F723" s="616">
        <v>18450</v>
      </c>
      <c r="G723" s="614" t="s">
        <v>431</v>
      </c>
      <c r="H723" s="614">
        <v>201011106</v>
      </c>
      <c r="I723" s="614" t="s">
        <v>307</v>
      </c>
      <c r="J723" s="614" t="s">
        <v>200</v>
      </c>
      <c r="K723" s="614" t="s">
        <v>204</v>
      </c>
      <c r="L723" s="616">
        <v>23.06</v>
      </c>
      <c r="M723" s="616">
        <v>0.7</v>
      </c>
      <c r="N723" s="616">
        <v>1.8</v>
      </c>
      <c r="O723" s="616">
        <v>112</v>
      </c>
      <c r="P723" s="616">
        <v>137.56</v>
      </c>
    </row>
    <row r="724" spans="1:16" x14ac:dyDescent="0.3">
      <c r="A724" s="615">
        <v>40413</v>
      </c>
      <c r="B724" s="614" t="s">
        <v>308</v>
      </c>
      <c r="C724" s="614" t="s">
        <v>369</v>
      </c>
      <c r="D724" s="614">
        <v>200</v>
      </c>
      <c r="E724" s="616">
        <v>97.65</v>
      </c>
      <c r="F724" s="616">
        <v>19530</v>
      </c>
      <c r="G724" s="614" t="s">
        <v>432</v>
      </c>
      <c r="H724" s="614">
        <v>2010160</v>
      </c>
      <c r="I724" s="614" t="s">
        <v>199</v>
      </c>
      <c r="J724" s="614" t="s">
        <v>200</v>
      </c>
      <c r="K724" s="614" t="s">
        <v>201</v>
      </c>
      <c r="L724" s="616">
        <v>24.41</v>
      </c>
      <c r="M724" s="616">
        <v>0.68</v>
      </c>
      <c r="N724" s="616">
        <v>1.96</v>
      </c>
      <c r="O724" s="616">
        <v>118.48</v>
      </c>
      <c r="P724" s="616">
        <v>145.53</v>
      </c>
    </row>
    <row r="725" spans="1:16" x14ac:dyDescent="0.3">
      <c r="A725" s="615">
        <v>40408</v>
      </c>
      <c r="B725" s="614" t="s">
        <v>312</v>
      </c>
      <c r="C725" s="614" t="s">
        <v>369</v>
      </c>
      <c r="D725" s="614">
        <v>22</v>
      </c>
      <c r="E725" s="616">
        <v>467</v>
      </c>
      <c r="F725" s="616">
        <v>10274</v>
      </c>
      <c r="G725" s="614" t="s">
        <v>433</v>
      </c>
      <c r="H725" s="614">
        <v>201011100</v>
      </c>
      <c r="I725" s="614" t="s">
        <v>199</v>
      </c>
      <c r="J725" s="614" t="s">
        <v>200</v>
      </c>
      <c r="K725" s="614" t="s">
        <v>204</v>
      </c>
      <c r="L725" s="616">
        <v>12.84</v>
      </c>
      <c r="M725" s="616">
        <v>0.37</v>
      </c>
      <c r="N725" s="616">
        <v>1.02</v>
      </c>
      <c r="O725" s="616">
        <v>62.33</v>
      </c>
      <c r="P725" s="616">
        <v>76.56</v>
      </c>
    </row>
    <row r="726" spans="1:16" x14ac:dyDescent="0.3">
      <c r="A726" s="615">
        <v>40407</v>
      </c>
      <c r="B726" s="614" t="s">
        <v>310</v>
      </c>
      <c r="C726" s="614" t="s">
        <v>369</v>
      </c>
      <c r="D726" s="614">
        <v>40</v>
      </c>
      <c r="E726" s="616">
        <v>254.35</v>
      </c>
      <c r="F726" s="616">
        <v>10174</v>
      </c>
      <c r="G726" s="614" t="s">
        <v>434</v>
      </c>
      <c r="H726" s="614">
        <v>201011099</v>
      </c>
      <c r="I726" s="614" t="s">
        <v>199</v>
      </c>
      <c r="J726" s="614" t="s">
        <v>200</v>
      </c>
      <c r="K726" s="614" t="s">
        <v>204</v>
      </c>
      <c r="L726" s="616">
        <v>12.72</v>
      </c>
      <c r="M726" s="616">
        <v>0.37</v>
      </c>
      <c r="N726" s="616">
        <v>1.01</v>
      </c>
      <c r="O726" s="616">
        <v>61.72</v>
      </c>
      <c r="P726" s="616">
        <v>75.819999999999993</v>
      </c>
    </row>
    <row r="727" spans="1:16" x14ac:dyDescent="0.3">
      <c r="A727" s="615">
        <v>40402</v>
      </c>
      <c r="B727" s="614" t="s">
        <v>318</v>
      </c>
      <c r="C727" s="614" t="s">
        <v>369</v>
      </c>
      <c r="D727" s="614">
        <v>6</v>
      </c>
      <c r="E727" s="616">
        <v>1751.5</v>
      </c>
      <c r="F727" s="616">
        <v>10509</v>
      </c>
      <c r="G727" s="614" t="s">
        <v>435</v>
      </c>
      <c r="H727" s="614">
        <v>201011096</v>
      </c>
      <c r="I727" s="614" t="s">
        <v>199</v>
      </c>
      <c r="J727" s="614" t="s">
        <v>200</v>
      </c>
      <c r="K727" s="614" t="s">
        <v>204</v>
      </c>
      <c r="L727" s="616">
        <v>13.14</v>
      </c>
      <c r="M727" s="616">
        <v>0.38</v>
      </c>
      <c r="N727" s="616">
        <v>1.05</v>
      </c>
      <c r="O727" s="616">
        <v>63.75</v>
      </c>
      <c r="P727" s="616">
        <v>78.319999999999993</v>
      </c>
    </row>
    <row r="728" spans="1:16" x14ac:dyDescent="0.3">
      <c r="A728" s="615">
        <v>40401</v>
      </c>
      <c r="B728" s="614" t="s">
        <v>314</v>
      </c>
      <c r="C728" s="614" t="s">
        <v>369</v>
      </c>
      <c r="D728" s="614">
        <v>25</v>
      </c>
      <c r="E728" s="616">
        <v>427</v>
      </c>
      <c r="F728" s="616">
        <v>10675</v>
      </c>
      <c r="G728" s="614" t="s">
        <v>436</v>
      </c>
      <c r="H728" s="614">
        <v>2010152</v>
      </c>
      <c r="I728" s="614" t="s">
        <v>199</v>
      </c>
      <c r="J728" s="614" t="s">
        <v>200</v>
      </c>
      <c r="K728" s="614" t="s">
        <v>201</v>
      </c>
      <c r="L728" s="616">
        <v>13.34</v>
      </c>
      <c r="M728" s="616">
        <v>0.37</v>
      </c>
      <c r="N728" s="616">
        <v>1.07</v>
      </c>
      <c r="O728" s="616">
        <v>64.760000000000005</v>
      </c>
      <c r="P728" s="616">
        <v>79.55</v>
      </c>
    </row>
    <row r="729" spans="1:16" x14ac:dyDescent="0.3">
      <c r="A729" s="615">
        <v>40395</v>
      </c>
      <c r="B729" s="614" t="s">
        <v>316</v>
      </c>
      <c r="C729" s="614" t="s">
        <v>369</v>
      </c>
      <c r="D729" s="614">
        <v>20</v>
      </c>
      <c r="E729" s="616">
        <v>474.5</v>
      </c>
      <c r="F729" s="616">
        <v>9490</v>
      </c>
      <c r="G729" s="614" t="s">
        <v>437</v>
      </c>
      <c r="H729" s="614">
        <v>2010148</v>
      </c>
      <c r="I729" s="614" t="s">
        <v>199</v>
      </c>
      <c r="J729" s="614" t="s">
        <v>200</v>
      </c>
      <c r="K729" s="614" t="s">
        <v>201</v>
      </c>
      <c r="L729" s="616">
        <v>11.86</v>
      </c>
      <c r="M729" s="616">
        <v>0.33</v>
      </c>
      <c r="N729" s="616">
        <v>0.95</v>
      </c>
      <c r="O729" s="616">
        <v>57.57</v>
      </c>
      <c r="P729" s="616">
        <v>70.709999999999994</v>
      </c>
    </row>
    <row r="730" spans="1:16" x14ac:dyDescent="0.3">
      <c r="A730" s="615">
        <v>40385</v>
      </c>
      <c r="B730" s="614" t="s">
        <v>322</v>
      </c>
      <c r="C730" s="614" t="s">
        <v>369</v>
      </c>
      <c r="D730" s="614">
        <v>85</v>
      </c>
      <c r="E730" s="616">
        <v>90.4</v>
      </c>
      <c r="F730" s="616">
        <v>7684</v>
      </c>
      <c r="G730" s="614" t="s">
        <v>439</v>
      </c>
      <c r="H730" s="614">
        <v>201011083</v>
      </c>
      <c r="I730" s="614" t="s">
        <v>199</v>
      </c>
      <c r="J730" s="614" t="s">
        <v>200</v>
      </c>
      <c r="K730" s="614" t="s">
        <v>204</v>
      </c>
      <c r="L730" s="616">
        <v>9.61</v>
      </c>
      <c r="M730" s="616">
        <v>0.28000000000000003</v>
      </c>
      <c r="N730" s="616">
        <v>0.76</v>
      </c>
      <c r="O730" s="616">
        <v>46.61</v>
      </c>
      <c r="P730" s="616">
        <v>57.26</v>
      </c>
    </row>
    <row r="731" spans="1:16" x14ac:dyDescent="0.3">
      <c r="A731" s="615">
        <v>40385</v>
      </c>
      <c r="B731" s="614" t="s">
        <v>329</v>
      </c>
      <c r="C731" s="614" t="s">
        <v>369</v>
      </c>
      <c r="D731" s="614">
        <v>35</v>
      </c>
      <c r="E731" s="616">
        <v>422</v>
      </c>
      <c r="F731" s="616">
        <v>14770</v>
      </c>
      <c r="G731" s="614" t="s">
        <v>440</v>
      </c>
      <c r="H731" s="614">
        <v>201011083</v>
      </c>
      <c r="I731" s="614" t="s">
        <v>199</v>
      </c>
      <c r="J731" s="614" t="s">
        <v>200</v>
      </c>
      <c r="K731" s="614" t="s">
        <v>204</v>
      </c>
      <c r="L731" s="616">
        <v>18.46</v>
      </c>
      <c r="M731" s="616">
        <v>0.53</v>
      </c>
      <c r="N731" s="616">
        <v>1.47</v>
      </c>
      <c r="O731" s="616">
        <v>89.6</v>
      </c>
      <c r="P731" s="616">
        <v>110.07</v>
      </c>
    </row>
    <row r="732" spans="1:16" x14ac:dyDescent="0.3">
      <c r="A732" s="615">
        <v>40385</v>
      </c>
      <c r="B732" s="614" t="s">
        <v>324</v>
      </c>
      <c r="C732" s="614" t="s">
        <v>369</v>
      </c>
      <c r="D732" s="614">
        <v>35</v>
      </c>
      <c r="E732" s="616">
        <v>204.07859999999999</v>
      </c>
      <c r="F732" s="616">
        <v>7142.75</v>
      </c>
      <c r="G732" s="614" t="s">
        <v>441</v>
      </c>
      <c r="H732" s="614">
        <v>201011083</v>
      </c>
      <c r="I732" s="614" t="s">
        <v>199</v>
      </c>
      <c r="J732" s="614" t="s">
        <v>200</v>
      </c>
      <c r="K732" s="614" t="s">
        <v>204</v>
      </c>
      <c r="L732" s="616">
        <v>8.93</v>
      </c>
      <c r="M732" s="616">
        <v>0.26</v>
      </c>
      <c r="N732" s="616">
        <v>0.71</v>
      </c>
      <c r="O732" s="616">
        <v>43.33</v>
      </c>
      <c r="P732" s="616">
        <v>53.23</v>
      </c>
    </row>
    <row r="733" spans="1:16" x14ac:dyDescent="0.3">
      <c r="A733" s="615">
        <v>40385</v>
      </c>
      <c r="B733" s="614" t="s">
        <v>320</v>
      </c>
      <c r="C733" s="614" t="s">
        <v>369</v>
      </c>
      <c r="D733" s="614">
        <v>100</v>
      </c>
      <c r="E733" s="616">
        <v>89.4</v>
      </c>
      <c r="F733" s="616">
        <v>8940</v>
      </c>
      <c r="G733" s="614" t="s">
        <v>442</v>
      </c>
      <c r="H733" s="614">
        <v>201011083</v>
      </c>
      <c r="I733" s="614" t="s">
        <v>199</v>
      </c>
      <c r="J733" s="614" t="s">
        <v>200</v>
      </c>
      <c r="K733" s="614" t="s">
        <v>204</v>
      </c>
      <c r="L733" s="616">
        <v>11.18</v>
      </c>
      <c r="M733" s="616">
        <v>0.32</v>
      </c>
      <c r="N733" s="616">
        <v>0.89</v>
      </c>
      <c r="O733" s="616">
        <v>54.23</v>
      </c>
      <c r="P733" s="616">
        <v>66.62</v>
      </c>
    </row>
    <row r="734" spans="1:16" x14ac:dyDescent="0.3">
      <c r="A734" s="615">
        <v>40382</v>
      </c>
      <c r="B734" s="614" t="s">
        <v>331</v>
      </c>
      <c r="C734" s="614" t="s">
        <v>369</v>
      </c>
      <c r="D734" s="614">
        <v>500</v>
      </c>
      <c r="E734" s="616">
        <v>18.5</v>
      </c>
      <c r="F734" s="616">
        <v>9250</v>
      </c>
      <c r="G734" s="614" t="s">
        <v>443</v>
      </c>
      <c r="H734" s="614">
        <v>201011082</v>
      </c>
      <c r="I734" s="614" t="s">
        <v>199</v>
      </c>
      <c r="J734" s="614" t="s">
        <v>200</v>
      </c>
      <c r="K734" s="614" t="s">
        <v>204</v>
      </c>
      <c r="L734" s="616">
        <v>11.56</v>
      </c>
      <c r="M734" s="616">
        <v>0.35</v>
      </c>
      <c r="N734" s="616">
        <v>0.95</v>
      </c>
      <c r="O734" s="616">
        <v>56.15</v>
      </c>
      <c r="P734" s="616">
        <v>69.010000000000005</v>
      </c>
    </row>
    <row r="735" spans="1:16" x14ac:dyDescent="0.3">
      <c r="A735" s="615">
        <v>40380</v>
      </c>
      <c r="B735" s="614" t="s">
        <v>327</v>
      </c>
      <c r="C735" s="614" t="s">
        <v>369</v>
      </c>
      <c r="D735" s="614">
        <v>120</v>
      </c>
      <c r="E735" s="616">
        <v>64.45</v>
      </c>
      <c r="F735" s="616">
        <v>7734</v>
      </c>
      <c r="G735" s="614" t="s">
        <v>444</v>
      </c>
      <c r="H735" s="614">
        <v>201011080</v>
      </c>
      <c r="I735" s="614" t="s">
        <v>199</v>
      </c>
      <c r="J735" s="614" t="s">
        <v>200</v>
      </c>
      <c r="K735" s="614" t="s">
        <v>204</v>
      </c>
      <c r="L735" s="616">
        <v>9.67</v>
      </c>
      <c r="M735" s="616">
        <v>0.28000000000000003</v>
      </c>
      <c r="N735" s="616">
        <v>0.77</v>
      </c>
      <c r="O735" s="616">
        <v>46.92</v>
      </c>
      <c r="P735" s="616">
        <v>57.63</v>
      </c>
    </row>
    <row r="736" spans="1:16" x14ac:dyDescent="0.3">
      <c r="A736" s="615">
        <v>40378</v>
      </c>
      <c r="B736" s="614" t="s">
        <v>350</v>
      </c>
      <c r="C736" s="614" t="s">
        <v>369</v>
      </c>
      <c r="D736" s="614">
        <v>30</v>
      </c>
      <c r="E736" s="616">
        <v>245.875</v>
      </c>
      <c r="F736" s="616">
        <v>7376.25</v>
      </c>
      <c r="G736" s="614" t="s">
        <v>445</v>
      </c>
      <c r="H736" s="614">
        <v>201011078</v>
      </c>
      <c r="I736" s="614" t="s">
        <v>199</v>
      </c>
      <c r="J736" s="614" t="s">
        <v>200</v>
      </c>
      <c r="K736" s="614" t="s">
        <v>204</v>
      </c>
      <c r="L736" s="616">
        <v>9.2200000000000006</v>
      </c>
      <c r="M736" s="616">
        <v>0.27</v>
      </c>
      <c r="N736" s="616">
        <v>0.74</v>
      </c>
      <c r="O736" s="616">
        <v>44.75</v>
      </c>
      <c r="P736" s="616">
        <v>54.97</v>
      </c>
    </row>
    <row r="737" spans="1:16" x14ac:dyDescent="0.3">
      <c r="A737" s="615">
        <v>40378</v>
      </c>
      <c r="B737" s="614" t="s">
        <v>235</v>
      </c>
      <c r="C737" s="614" t="s">
        <v>369</v>
      </c>
      <c r="D737" s="614">
        <v>500</v>
      </c>
      <c r="E737" s="616">
        <v>20.65</v>
      </c>
      <c r="F737" s="616">
        <v>10325</v>
      </c>
      <c r="G737" s="614" t="s">
        <v>446</v>
      </c>
      <c r="H737" s="614">
        <v>201011078</v>
      </c>
      <c r="I737" s="614" t="s">
        <v>199</v>
      </c>
      <c r="J737" s="614" t="s">
        <v>200</v>
      </c>
      <c r="K737" s="614" t="s">
        <v>204</v>
      </c>
      <c r="L737" s="616">
        <v>12.91</v>
      </c>
      <c r="M737" s="616">
        <v>0.35</v>
      </c>
      <c r="N737" s="616">
        <v>1.05</v>
      </c>
      <c r="O737" s="616">
        <v>62.65</v>
      </c>
      <c r="P737" s="616">
        <v>76.959999999999994</v>
      </c>
    </row>
    <row r="738" spans="1:16" x14ac:dyDescent="0.3">
      <c r="A738" s="615">
        <v>40375</v>
      </c>
      <c r="B738" s="614" t="s">
        <v>361</v>
      </c>
      <c r="C738" s="614" t="s">
        <v>369</v>
      </c>
      <c r="D738" s="614">
        <v>100</v>
      </c>
      <c r="E738" s="616">
        <v>64.662499999999994</v>
      </c>
      <c r="F738" s="616">
        <v>6466.25</v>
      </c>
      <c r="G738" s="614" t="s">
        <v>447</v>
      </c>
      <c r="H738" s="614">
        <v>201011077</v>
      </c>
      <c r="I738" s="614" t="s">
        <v>199</v>
      </c>
      <c r="J738" s="614" t="s">
        <v>200</v>
      </c>
      <c r="K738" s="614" t="s">
        <v>204</v>
      </c>
      <c r="L738" s="616">
        <v>8.08</v>
      </c>
      <c r="M738" s="616">
        <v>0.23</v>
      </c>
      <c r="N738" s="616">
        <v>0.65</v>
      </c>
      <c r="O738" s="616">
        <v>39.229999999999997</v>
      </c>
      <c r="P738" s="616">
        <v>48.19</v>
      </c>
    </row>
    <row r="739" spans="1:16" x14ac:dyDescent="0.3">
      <c r="A739" s="615">
        <v>40373</v>
      </c>
      <c r="B739" s="614" t="s">
        <v>334</v>
      </c>
      <c r="C739" s="614" t="s">
        <v>369</v>
      </c>
      <c r="D739" s="614">
        <v>200</v>
      </c>
      <c r="E739" s="616">
        <v>30</v>
      </c>
      <c r="F739" s="616">
        <v>6000</v>
      </c>
      <c r="G739" s="614" t="s">
        <v>448</v>
      </c>
      <c r="H739" s="614">
        <v>201011075</v>
      </c>
      <c r="I739" s="614" t="s">
        <v>199</v>
      </c>
      <c r="J739" s="614" t="s">
        <v>200</v>
      </c>
      <c r="K739" s="614" t="s">
        <v>204</v>
      </c>
      <c r="L739" s="616">
        <v>7.5</v>
      </c>
      <c r="M739" s="616">
        <v>0.22</v>
      </c>
      <c r="N739" s="616">
        <v>0.6</v>
      </c>
      <c r="O739" s="616">
        <v>36.4</v>
      </c>
      <c r="P739" s="616">
        <v>44.72</v>
      </c>
    </row>
    <row r="740" spans="1:16" x14ac:dyDescent="0.3">
      <c r="A740" s="615">
        <v>40373</v>
      </c>
      <c r="B740" s="614" t="s">
        <v>336</v>
      </c>
      <c r="C740" s="614" t="s">
        <v>369</v>
      </c>
      <c r="D740" s="614">
        <v>20</v>
      </c>
      <c r="E740" s="616">
        <v>352</v>
      </c>
      <c r="F740" s="616">
        <v>7040</v>
      </c>
      <c r="G740" s="614" t="s">
        <v>449</v>
      </c>
      <c r="H740" s="614">
        <v>201011075</v>
      </c>
      <c r="I740" s="614" t="s">
        <v>199</v>
      </c>
      <c r="J740" s="614" t="s">
        <v>200</v>
      </c>
      <c r="K740" s="614" t="s">
        <v>204</v>
      </c>
      <c r="L740" s="616">
        <v>8.8000000000000007</v>
      </c>
      <c r="M740" s="616">
        <v>0.25</v>
      </c>
      <c r="N740" s="616">
        <v>0.7</v>
      </c>
      <c r="O740" s="616">
        <v>42.71</v>
      </c>
      <c r="P740" s="616">
        <v>52.46</v>
      </c>
    </row>
    <row r="741" spans="1:16" x14ac:dyDescent="0.3">
      <c r="A741" s="615">
        <v>40372</v>
      </c>
      <c r="B741" s="614" t="s">
        <v>346</v>
      </c>
      <c r="C741" s="614" t="s">
        <v>369</v>
      </c>
      <c r="D741" s="614">
        <v>250</v>
      </c>
      <c r="E741" s="616">
        <v>28.45</v>
      </c>
      <c r="F741" s="616">
        <v>7112.5</v>
      </c>
      <c r="G741" s="614" t="s">
        <v>450</v>
      </c>
      <c r="H741" s="614">
        <v>201011074</v>
      </c>
      <c r="I741" s="614" t="s">
        <v>199</v>
      </c>
      <c r="J741" s="614" t="s">
        <v>200</v>
      </c>
      <c r="K741" s="614" t="s">
        <v>204</v>
      </c>
      <c r="L741" s="616">
        <v>8.89</v>
      </c>
      <c r="M741" s="616">
        <v>0.25</v>
      </c>
      <c r="N741" s="616">
        <v>0.7</v>
      </c>
      <c r="O741" s="616">
        <v>43.15</v>
      </c>
      <c r="P741" s="616">
        <v>52.99</v>
      </c>
    </row>
    <row r="742" spans="1:16" x14ac:dyDescent="0.3">
      <c r="A742" s="615">
        <v>40372</v>
      </c>
      <c r="B742" s="614" t="s">
        <v>354</v>
      </c>
      <c r="C742" s="614" t="s">
        <v>369</v>
      </c>
      <c r="D742" s="614">
        <v>200</v>
      </c>
      <c r="E742" s="616">
        <v>32.1</v>
      </c>
      <c r="F742" s="616">
        <v>6420</v>
      </c>
      <c r="G742" s="614" t="s">
        <v>451</v>
      </c>
      <c r="H742" s="614">
        <v>201011074</v>
      </c>
      <c r="I742" s="614" t="s">
        <v>199</v>
      </c>
      <c r="J742" s="614" t="s">
        <v>200</v>
      </c>
      <c r="K742" s="614" t="s">
        <v>204</v>
      </c>
      <c r="L742" s="616">
        <v>8.0299999999999994</v>
      </c>
      <c r="M742" s="616">
        <v>0.24</v>
      </c>
      <c r="N742" s="616">
        <v>0.64</v>
      </c>
      <c r="O742" s="616">
        <v>38.96</v>
      </c>
      <c r="P742" s="616">
        <v>47.87</v>
      </c>
    </row>
    <row r="743" spans="1:16" x14ac:dyDescent="0.3">
      <c r="A743" s="615">
        <v>40372</v>
      </c>
      <c r="B743" s="614" t="s">
        <v>348</v>
      </c>
      <c r="C743" s="614" t="s">
        <v>369</v>
      </c>
      <c r="D743" s="614">
        <v>75</v>
      </c>
      <c r="E743" s="616">
        <v>138.5</v>
      </c>
      <c r="F743" s="616">
        <v>10387.5</v>
      </c>
      <c r="G743" s="614" t="s">
        <v>452</v>
      </c>
      <c r="H743" s="614">
        <v>2010131</v>
      </c>
      <c r="I743" s="614" t="s">
        <v>199</v>
      </c>
      <c r="J743" s="614" t="s">
        <v>200</v>
      </c>
      <c r="K743" s="614" t="s">
        <v>201</v>
      </c>
      <c r="L743" s="616">
        <v>12.98</v>
      </c>
      <c r="M743" s="616">
        <v>0.36</v>
      </c>
      <c r="N743" s="616">
        <v>1.04</v>
      </c>
      <c r="O743" s="616">
        <v>63.02</v>
      </c>
      <c r="P743" s="616">
        <v>77.400000000000006</v>
      </c>
    </row>
    <row r="744" spans="1:16" x14ac:dyDescent="0.3">
      <c r="A744" s="615">
        <v>40368</v>
      </c>
      <c r="B744" s="614" t="s">
        <v>249</v>
      </c>
      <c r="C744" s="614" t="s">
        <v>369</v>
      </c>
      <c r="D744" s="614">
        <v>400</v>
      </c>
      <c r="E744" s="616">
        <v>17</v>
      </c>
      <c r="F744" s="616">
        <v>6800</v>
      </c>
      <c r="G744" s="614" t="s">
        <v>453</v>
      </c>
      <c r="H744" s="614">
        <v>201011072</v>
      </c>
      <c r="I744" s="614" t="s">
        <v>307</v>
      </c>
      <c r="J744" s="614" t="s">
        <v>200</v>
      </c>
      <c r="K744" s="614" t="s">
        <v>204</v>
      </c>
      <c r="L744" s="616">
        <v>8.5</v>
      </c>
      <c r="M744" s="616">
        <v>0.24</v>
      </c>
      <c r="N744" s="616">
        <v>0.68</v>
      </c>
      <c r="O744" s="616">
        <v>41.24</v>
      </c>
      <c r="P744" s="616">
        <v>50.66</v>
      </c>
    </row>
    <row r="745" spans="1:16" x14ac:dyDescent="0.3">
      <c r="A745" s="615">
        <v>40361</v>
      </c>
      <c r="B745" s="614" t="s">
        <v>361</v>
      </c>
      <c r="C745" s="614" t="s">
        <v>369</v>
      </c>
      <c r="D745" s="614">
        <v>260</v>
      </c>
      <c r="E745" s="616">
        <v>67.5</v>
      </c>
      <c r="F745" s="616">
        <v>17550</v>
      </c>
      <c r="G745" s="614" t="s">
        <v>454</v>
      </c>
      <c r="H745" s="614">
        <v>2010124</v>
      </c>
      <c r="I745" s="614" t="s">
        <v>199</v>
      </c>
      <c r="J745" s="614" t="s">
        <v>200</v>
      </c>
      <c r="K745" s="614" t="s">
        <v>201</v>
      </c>
      <c r="L745" s="616">
        <v>21.94</v>
      </c>
      <c r="M745" s="616">
        <v>0.62</v>
      </c>
      <c r="N745" s="616">
        <v>1.76</v>
      </c>
      <c r="O745" s="616">
        <v>106.47</v>
      </c>
      <c r="P745" s="616">
        <v>130.80000000000001</v>
      </c>
    </row>
    <row r="746" spans="1:16" x14ac:dyDescent="0.3">
      <c r="A746" s="615">
        <v>40354</v>
      </c>
      <c r="B746" s="614" t="s">
        <v>255</v>
      </c>
      <c r="C746" s="614" t="s">
        <v>369</v>
      </c>
      <c r="D746" s="614">
        <v>2000</v>
      </c>
      <c r="E746" s="616">
        <v>13.8</v>
      </c>
      <c r="F746" s="616">
        <v>27600</v>
      </c>
      <c r="G746" s="614" t="s">
        <v>455</v>
      </c>
      <c r="H746" s="614">
        <v>2010119</v>
      </c>
      <c r="I746" s="614" t="s">
        <v>199</v>
      </c>
      <c r="J746" s="614" t="s">
        <v>200</v>
      </c>
      <c r="K746" s="614" t="s">
        <v>201</v>
      </c>
      <c r="L746" s="616">
        <v>34.5</v>
      </c>
      <c r="M746" s="616">
        <v>1</v>
      </c>
      <c r="N746" s="616">
        <v>2.8</v>
      </c>
      <c r="O746" s="616">
        <v>167.4</v>
      </c>
      <c r="P746" s="616">
        <v>205.7</v>
      </c>
    </row>
    <row r="747" spans="1:16" x14ac:dyDescent="0.3">
      <c r="A747" s="615">
        <v>40353</v>
      </c>
      <c r="B747" s="614" t="s">
        <v>356</v>
      </c>
      <c r="C747" s="614" t="s">
        <v>369</v>
      </c>
      <c r="D747" s="614">
        <v>75</v>
      </c>
      <c r="E747" s="616">
        <v>81</v>
      </c>
      <c r="F747" s="616">
        <v>6075</v>
      </c>
      <c r="G747" s="614" t="s">
        <v>459</v>
      </c>
      <c r="H747" s="614">
        <v>201011061</v>
      </c>
      <c r="I747" s="614" t="s">
        <v>307</v>
      </c>
      <c r="J747" s="614" t="s">
        <v>200</v>
      </c>
      <c r="K747" s="614" t="s">
        <v>204</v>
      </c>
      <c r="L747" s="616">
        <v>7.59</v>
      </c>
      <c r="M747" s="616">
        <v>0.22</v>
      </c>
      <c r="N747" s="616">
        <v>0.61</v>
      </c>
      <c r="O747" s="616">
        <v>36.86</v>
      </c>
      <c r="P747" s="616">
        <v>45.28</v>
      </c>
    </row>
    <row r="748" spans="1:16" x14ac:dyDescent="0.3">
      <c r="A748" s="615">
        <v>40336</v>
      </c>
      <c r="B748" s="614" t="s">
        <v>235</v>
      </c>
      <c r="C748" s="614" t="s">
        <v>369</v>
      </c>
      <c r="D748" s="614">
        <v>500</v>
      </c>
      <c r="E748" s="616">
        <v>18.399999999999999</v>
      </c>
      <c r="F748" s="616">
        <v>9200</v>
      </c>
      <c r="G748" s="614" t="s">
        <v>460</v>
      </c>
      <c r="H748" s="614">
        <v>201011048</v>
      </c>
      <c r="I748" s="614" t="s">
        <v>199</v>
      </c>
      <c r="J748" s="614" t="s">
        <v>200</v>
      </c>
      <c r="K748" s="614" t="s">
        <v>204</v>
      </c>
      <c r="L748" s="616">
        <v>11.5</v>
      </c>
      <c r="M748" s="616">
        <v>0.35</v>
      </c>
      <c r="N748" s="616">
        <v>0.9</v>
      </c>
      <c r="O748" s="616">
        <v>55.8</v>
      </c>
      <c r="P748" s="616">
        <v>68.55</v>
      </c>
    </row>
    <row r="749" spans="1:16" x14ac:dyDescent="0.3">
      <c r="A749" s="615">
        <v>40304</v>
      </c>
      <c r="B749" s="614" t="s">
        <v>361</v>
      </c>
      <c r="C749" s="614" t="s">
        <v>369</v>
      </c>
      <c r="D749" s="614">
        <v>20</v>
      </c>
      <c r="E749" s="616">
        <v>67.599999999999994</v>
      </c>
      <c r="F749" s="616">
        <v>1352</v>
      </c>
      <c r="G749" s="614" t="s">
        <v>461</v>
      </c>
      <c r="H749" s="614">
        <v>201011026</v>
      </c>
      <c r="I749" s="614" t="s">
        <v>199</v>
      </c>
      <c r="J749" s="614" t="s">
        <v>200</v>
      </c>
      <c r="K749" s="614" t="s">
        <v>204</v>
      </c>
      <c r="L749" s="616">
        <v>1.69</v>
      </c>
      <c r="M749" s="616">
        <v>0.05</v>
      </c>
      <c r="N749" s="616">
        <v>0.14000000000000001</v>
      </c>
      <c r="O749" s="616">
        <v>15</v>
      </c>
      <c r="P749" s="616">
        <v>16.88</v>
      </c>
    </row>
    <row r="750" spans="1:16" x14ac:dyDescent="0.3">
      <c r="A750" s="615">
        <v>40298</v>
      </c>
      <c r="B750" s="614" t="s">
        <v>364</v>
      </c>
      <c r="C750" s="614" t="s">
        <v>369</v>
      </c>
      <c r="D750" s="614">
        <v>150</v>
      </c>
      <c r="E750" s="616">
        <v>59.243699999999997</v>
      </c>
      <c r="F750" s="616">
        <v>8886.5499999999993</v>
      </c>
      <c r="G750" s="614" t="s">
        <v>462</v>
      </c>
      <c r="H750" s="614">
        <v>2010079</v>
      </c>
      <c r="I750" s="614" t="s">
        <v>199</v>
      </c>
      <c r="J750" s="614" t="s">
        <v>200</v>
      </c>
      <c r="K750" s="614" t="s">
        <v>201</v>
      </c>
      <c r="L750" s="616">
        <v>11.11</v>
      </c>
      <c r="M750" s="616">
        <v>0.32</v>
      </c>
      <c r="N750" s="616">
        <v>0.89</v>
      </c>
      <c r="O750" s="616">
        <v>53.91</v>
      </c>
      <c r="P750" s="616">
        <v>66.22</v>
      </c>
    </row>
    <row r="751" spans="1:16" x14ac:dyDescent="0.3">
      <c r="A751" s="615">
        <v>40294</v>
      </c>
      <c r="B751" s="614" t="s">
        <v>364</v>
      </c>
      <c r="C751" s="614" t="s">
        <v>369</v>
      </c>
      <c r="D751" s="614">
        <v>50</v>
      </c>
      <c r="E751" s="616">
        <v>60</v>
      </c>
      <c r="F751" s="616">
        <v>3000</v>
      </c>
      <c r="G751" s="614" t="s">
        <v>463</v>
      </c>
      <c r="H751" s="614">
        <v>201011018</v>
      </c>
      <c r="I751" s="614" t="s">
        <v>199</v>
      </c>
      <c r="J751" s="614" t="s">
        <v>200</v>
      </c>
      <c r="K751" s="614" t="s">
        <v>204</v>
      </c>
      <c r="L751" s="616">
        <v>3.75</v>
      </c>
      <c r="M751" s="616">
        <v>0.11</v>
      </c>
      <c r="N751" s="616">
        <v>0.3</v>
      </c>
      <c r="O751" s="616">
        <v>33.090000000000003</v>
      </c>
      <c r="P751" s="616">
        <v>37.25</v>
      </c>
    </row>
    <row r="752" spans="1:16" x14ac:dyDescent="0.3">
      <c r="A752" s="615">
        <v>40288</v>
      </c>
      <c r="B752" s="614" t="s">
        <v>367</v>
      </c>
      <c r="C752" s="614" t="s">
        <v>369</v>
      </c>
      <c r="D752" s="614">
        <v>65</v>
      </c>
      <c r="E752" s="616">
        <v>77.400000000000006</v>
      </c>
      <c r="F752" s="616">
        <v>5031</v>
      </c>
      <c r="G752" s="614" t="s">
        <v>464</v>
      </c>
      <c r="H752" s="614">
        <v>201011014</v>
      </c>
      <c r="I752" s="614" t="s">
        <v>199</v>
      </c>
      <c r="J752" s="614" t="s">
        <v>200</v>
      </c>
      <c r="K752" s="614" t="s">
        <v>204</v>
      </c>
      <c r="L752" s="616">
        <v>6.29</v>
      </c>
      <c r="M752" s="616">
        <v>0.18</v>
      </c>
      <c r="N752" s="616">
        <v>0.5</v>
      </c>
      <c r="O752" s="616">
        <v>30.52</v>
      </c>
      <c r="P752" s="616">
        <v>37.49</v>
      </c>
    </row>
    <row r="753" spans="1:16" x14ac:dyDescent="0.3">
      <c r="A753" s="615">
        <v>40284</v>
      </c>
      <c r="B753" s="614" t="s">
        <v>465</v>
      </c>
      <c r="C753" s="614" t="s">
        <v>369</v>
      </c>
      <c r="D753" s="614">
        <v>10000</v>
      </c>
      <c r="E753" s="616">
        <v>0.64910000000000001</v>
      </c>
      <c r="F753" s="616">
        <v>6491.02</v>
      </c>
      <c r="G753" s="614" t="s">
        <v>466</v>
      </c>
      <c r="H753" s="614">
        <v>201011012</v>
      </c>
      <c r="I753" s="614" t="s">
        <v>307</v>
      </c>
      <c r="J753" s="614" t="s">
        <v>200</v>
      </c>
      <c r="K753" s="614" t="s">
        <v>204</v>
      </c>
      <c r="L753" s="616">
        <v>8.1300000000000008</v>
      </c>
      <c r="M753" s="616">
        <v>0</v>
      </c>
      <c r="N753" s="616">
        <v>1</v>
      </c>
      <c r="O753" s="616">
        <v>40</v>
      </c>
      <c r="P753" s="616">
        <v>49.13</v>
      </c>
    </row>
    <row r="754" spans="1:16" x14ac:dyDescent="0.3">
      <c r="A754" s="615">
        <v>40267</v>
      </c>
      <c r="B754" s="614" t="s">
        <v>1058</v>
      </c>
      <c r="C754" s="614" t="s">
        <v>369</v>
      </c>
      <c r="D754" s="614">
        <v>125</v>
      </c>
      <c r="E754" s="616">
        <v>153.30000000000001</v>
      </c>
      <c r="F754" s="616">
        <v>19162.5</v>
      </c>
      <c r="G754" s="614" t="s">
        <v>1173</v>
      </c>
      <c r="H754" s="614">
        <v>2010058</v>
      </c>
      <c r="I754" s="614" t="s">
        <v>199</v>
      </c>
      <c r="J754" s="614" t="s">
        <v>200</v>
      </c>
      <c r="K754" s="614" t="s">
        <v>201</v>
      </c>
      <c r="L754" s="616">
        <v>23.95</v>
      </c>
      <c r="M754" s="616">
        <v>0.68</v>
      </c>
      <c r="N754" s="616">
        <v>1.92</v>
      </c>
      <c r="O754" s="616">
        <v>116.25</v>
      </c>
      <c r="P754" s="616">
        <v>142.79</v>
      </c>
    </row>
    <row r="755" spans="1:16" x14ac:dyDescent="0.3">
      <c r="A755" s="615">
        <v>40253</v>
      </c>
      <c r="B755" s="614" t="s">
        <v>298</v>
      </c>
      <c r="C755" s="614" t="s">
        <v>369</v>
      </c>
      <c r="D755" s="614">
        <v>400</v>
      </c>
      <c r="E755" s="616">
        <v>18.896100000000001</v>
      </c>
      <c r="F755" s="616">
        <v>7558.45</v>
      </c>
      <c r="G755" s="614" t="s">
        <v>1174</v>
      </c>
      <c r="H755" s="614">
        <v>200910236</v>
      </c>
      <c r="I755" s="614" t="s">
        <v>199</v>
      </c>
      <c r="J755" s="614" t="s">
        <v>200</v>
      </c>
      <c r="K755" s="614" t="s">
        <v>204</v>
      </c>
      <c r="L755" s="616">
        <v>9.4499999999999993</v>
      </c>
      <c r="M755" s="616">
        <v>0.28000000000000003</v>
      </c>
      <c r="N755" s="616">
        <v>0.76</v>
      </c>
      <c r="O755" s="616">
        <v>45.88</v>
      </c>
      <c r="P755" s="616">
        <v>56.37</v>
      </c>
    </row>
    <row r="756" spans="1:16" x14ac:dyDescent="0.3">
      <c r="A756" s="615">
        <v>40253</v>
      </c>
      <c r="B756" s="614" t="s">
        <v>1071</v>
      </c>
      <c r="C756" s="614" t="s">
        <v>369</v>
      </c>
      <c r="D756" s="614">
        <v>25</v>
      </c>
      <c r="E756" s="616">
        <v>68.900000000000006</v>
      </c>
      <c r="F756" s="616">
        <v>1722.5</v>
      </c>
      <c r="G756" s="614" t="s">
        <v>1175</v>
      </c>
      <c r="H756" s="614">
        <v>2010049</v>
      </c>
      <c r="I756" s="614" t="s">
        <v>199</v>
      </c>
      <c r="J756" s="614" t="s">
        <v>200</v>
      </c>
      <c r="K756" s="614" t="s">
        <v>201</v>
      </c>
      <c r="L756" s="616">
        <v>2.15</v>
      </c>
      <c r="M756" s="616">
        <v>0.06</v>
      </c>
      <c r="N756" s="616">
        <v>0.18</v>
      </c>
      <c r="O756" s="616">
        <v>27.58</v>
      </c>
      <c r="P756" s="616">
        <v>29.97</v>
      </c>
    </row>
    <row r="757" spans="1:16" x14ac:dyDescent="0.3">
      <c r="A757" s="615">
        <v>40252</v>
      </c>
      <c r="B757" s="614" t="s">
        <v>1071</v>
      </c>
      <c r="C757" s="614" t="s">
        <v>369</v>
      </c>
      <c r="D757" s="614">
        <v>175</v>
      </c>
      <c r="E757" s="616">
        <v>64</v>
      </c>
      <c r="F757" s="616">
        <v>11200</v>
      </c>
      <c r="G757" s="614" t="s">
        <v>1176</v>
      </c>
      <c r="H757" s="614">
        <v>2010048</v>
      </c>
      <c r="I757" s="614" t="s">
        <v>199</v>
      </c>
      <c r="J757" s="614" t="s">
        <v>200</v>
      </c>
      <c r="K757" s="614" t="s">
        <v>201</v>
      </c>
      <c r="L757" s="616">
        <v>14</v>
      </c>
      <c r="M757" s="616">
        <v>0.39</v>
      </c>
      <c r="N757" s="616">
        <v>1.1200000000000001</v>
      </c>
      <c r="O757" s="616">
        <v>67.95</v>
      </c>
      <c r="P757" s="616">
        <v>83.45</v>
      </c>
    </row>
    <row r="758" spans="1:16" x14ac:dyDescent="0.3">
      <c r="A758" s="615">
        <v>40252</v>
      </c>
      <c r="B758" s="614" t="s">
        <v>298</v>
      </c>
      <c r="C758" s="614" t="s">
        <v>369</v>
      </c>
      <c r="D758" s="614">
        <v>600</v>
      </c>
      <c r="E758" s="616">
        <v>18.8</v>
      </c>
      <c r="F758" s="616">
        <v>11280</v>
      </c>
      <c r="G758" s="614" t="s">
        <v>1177</v>
      </c>
      <c r="H758" s="614">
        <v>2010048</v>
      </c>
      <c r="I758" s="614" t="s">
        <v>199</v>
      </c>
      <c r="J758" s="614" t="s">
        <v>200</v>
      </c>
      <c r="K758" s="614" t="s">
        <v>201</v>
      </c>
      <c r="L758" s="616">
        <v>14.1</v>
      </c>
      <c r="M758" s="616">
        <v>0.42</v>
      </c>
      <c r="N758" s="616">
        <v>1.1399999999999999</v>
      </c>
      <c r="O758" s="616">
        <v>68.459999999999994</v>
      </c>
      <c r="P758" s="616">
        <v>84.12</v>
      </c>
    </row>
    <row r="759" spans="1:16" x14ac:dyDescent="0.3">
      <c r="A759" s="615">
        <v>40205</v>
      </c>
      <c r="B759" s="614" t="s">
        <v>465</v>
      </c>
      <c r="C759" s="614" t="s">
        <v>369</v>
      </c>
      <c r="D759" s="614">
        <v>10000</v>
      </c>
      <c r="E759" s="616">
        <v>0.74</v>
      </c>
      <c r="F759" s="616">
        <v>7400</v>
      </c>
      <c r="G759" s="614" t="s">
        <v>1178</v>
      </c>
      <c r="H759" s="614">
        <v>200910203</v>
      </c>
      <c r="I759" s="614" t="s">
        <v>199</v>
      </c>
      <c r="J759" s="614" t="s">
        <v>200</v>
      </c>
      <c r="K759" s="614" t="s">
        <v>204</v>
      </c>
      <c r="L759" s="616">
        <v>9.25</v>
      </c>
      <c r="M759" s="616">
        <v>0</v>
      </c>
      <c r="N759" s="616">
        <v>1</v>
      </c>
      <c r="O759" s="616">
        <v>45</v>
      </c>
      <c r="P759" s="616">
        <v>55.25</v>
      </c>
    </row>
    <row r="760" spans="1:16" x14ac:dyDescent="0.3">
      <c r="A760" s="615">
        <v>40190</v>
      </c>
      <c r="B760" s="614" t="s">
        <v>1069</v>
      </c>
      <c r="C760" s="614" t="s">
        <v>369</v>
      </c>
      <c r="D760" s="614">
        <v>150</v>
      </c>
      <c r="E760" s="616">
        <v>85.1</v>
      </c>
      <c r="F760" s="616">
        <v>12765</v>
      </c>
      <c r="G760" s="614" t="s">
        <v>1179</v>
      </c>
      <c r="H760" s="614">
        <v>2010007</v>
      </c>
      <c r="I760" s="614" t="s">
        <v>199</v>
      </c>
      <c r="J760" s="614" t="s">
        <v>200</v>
      </c>
      <c r="K760" s="614" t="s">
        <v>201</v>
      </c>
      <c r="L760" s="616">
        <v>15.96</v>
      </c>
      <c r="M760" s="616">
        <v>0.45</v>
      </c>
      <c r="N760" s="616">
        <v>1.28</v>
      </c>
      <c r="O760" s="616">
        <v>77.459999999999994</v>
      </c>
      <c r="P760" s="616">
        <v>95.15</v>
      </c>
    </row>
    <row r="761" spans="1:16" x14ac:dyDescent="0.3">
      <c r="A761" s="615">
        <v>40129</v>
      </c>
      <c r="B761" s="614" t="s">
        <v>1074</v>
      </c>
      <c r="C761" s="614" t="s">
        <v>369</v>
      </c>
      <c r="D761" s="614">
        <v>100</v>
      </c>
      <c r="E761" s="616">
        <v>40.450000000000003</v>
      </c>
      <c r="F761" s="616">
        <v>4045</v>
      </c>
      <c r="G761" s="614" t="s">
        <v>1180</v>
      </c>
      <c r="H761" s="614">
        <v>2009210</v>
      </c>
      <c r="I761" s="614" t="s">
        <v>199</v>
      </c>
      <c r="J761" s="614" t="s">
        <v>200</v>
      </c>
      <c r="K761" s="614" t="s">
        <v>201</v>
      </c>
      <c r="L761" s="616">
        <v>5.0599999999999996</v>
      </c>
      <c r="M761" s="616">
        <v>0.14000000000000001</v>
      </c>
      <c r="N761" s="616">
        <v>0.4</v>
      </c>
      <c r="O761" s="616">
        <v>33.47</v>
      </c>
      <c r="P761" s="616">
        <v>39.07</v>
      </c>
    </row>
    <row r="762" spans="1:16" x14ac:dyDescent="0.3">
      <c r="A762" s="615">
        <v>40126</v>
      </c>
      <c r="B762" s="614" t="s">
        <v>1076</v>
      </c>
      <c r="C762" s="614" t="s">
        <v>369</v>
      </c>
      <c r="D762" s="614">
        <v>60</v>
      </c>
      <c r="E762" s="616">
        <v>128.2833</v>
      </c>
      <c r="F762" s="616">
        <v>7697</v>
      </c>
      <c r="G762" s="614" t="s">
        <v>1181</v>
      </c>
      <c r="H762" s="614">
        <v>200910150</v>
      </c>
      <c r="I762" s="614" t="s">
        <v>199</v>
      </c>
      <c r="J762" s="614" t="s">
        <v>200</v>
      </c>
      <c r="K762" s="614" t="s">
        <v>204</v>
      </c>
      <c r="L762" s="616">
        <v>9.6199999999999992</v>
      </c>
      <c r="M762" s="616">
        <v>0.28000000000000003</v>
      </c>
      <c r="N762" s="616">
        <v>0.77</v>
      </c>
      <c r="O762" s="616">
        <v>63.67</v>
      </c>
      <c r="P762" s="616">
        <v>74.33</v>
      </c>
    </row>
    <row r="763" spans="1:16" x14ac:dyDescent="0.3">
      <c r="A763" s="615">
        <v>40102</v>
      </c>
      <c r="B763" s="614" t="s">
        <v>1078</v>
      </c>
      <c r="C763" s="614" t="s">
        <v>369</v>
      </c>
      <c r="D763" s="614">
        <v>25</v>
      </c>
      <c r="E763" s="616">
        <v>186</v>
      </c>
      <c r="F763" s="616">
        <v>4650</v>
      </c>
      <c r="G763" s="614" t="s">
        <v>1182</v>
      </c>
      <c r="H763" s="614">
        <v>200910135</v>
      </c>
      <c r="I763" s="614" t="s">
        <v>307</v>
      </c>
      <c r="J763" s="614" t="s">
        <v>200</v>
      </c>
      <c r="K763" s="614" t="s">
        <v>204</v>
      </c>
      <c r="L763" s="616">
        <v>5.81</v>
      </c>
      <c r="M763" s="616">
        <v>0.17</v>
      </c>
      <c r="N763" s="616">
        <v>0.47</v>
      </c>
      <c r="O763" s="616">
        <v>38.47</v>
      </c>
      <c r="P763" s="616">
        <v>44.91</v>
      </c>
    </row>
    <row r="764" spans="1:16" x14ac:dyDescent="0.3">
      <c r="A764" s="615">
        <v>40102</v>
      </c>
      <c r="B764" s="614" t="s">
        <v>1078</v>
      </c>
      <c r="C764" s="614" t="s">
        <v>369</v>
      </c>
      <c r="D764" s="614">
        <v>25</v>
      </c>
      <c r="E764" s="616">
        <v>186.75</v>
      </c>
      <c r="F764" s="616">
        <v>4668.75</v>
      </c>
      <c r="G764" s="614" t="s">
        <v>1183</v>
      </c>
      <c r="H764" s="614">
        <v>2009192</v>
      </c>
      <c r="I764" s="614" t="s">
        <v>307</v>
      </c>
      <c r="J764" s="614" t="s">
        <v>200</v>
      </c>
      <c r="K764" s="614" t="s">
        <v>201</v>
      </c>
      <c r="L764" s="616">
        <v>5.84</v>
      </c>
      <c r="M764" s="616">
        <v>0.16</v>
      </c>
      <c r="N764" s="616">
        <v>0.47</v>
      </c>
      <c r="O764" s="616">
        <v>38.619999999999997</v>
      </c>
      <c r="P764" s="616">
        <v>45.09</v>
      </c>
    </row>
    <row r="765" spans="1:16" x14ac:dyDescent="0.3">
      <c r="A765" s="615">
        <v>40100</v>
      </c>
      <c r="B765" s="614" t="s">
        <v>1074</v>
      </c>
      <c r="C765" s="614" t="s">
        <v>369</v>
      </c>
      <c r="D765" s="614">
        <v>100</v>
      </c>
      <c r="E765" s="616">
        <v>55.3</v>
      </c>
      <c r="F765" s="616">
        <v>5530</v>
      </c>
      <c r="G765" s="614" t="s">
        <v>1184</v>
      </c>
      <c r="H765" s="614">
        <v>2009190</v>
      </c>
      <c r="I765" s="614" t="s">
        <v>199</v>
      </c>
      <c r="J765" s="614" t="s">
        <v>3876</v>
      </c>
      <c r="K765" s="614" t="s">
        <v>201</v>
      </c>
      <c r="L765" s="616">
        <v>6.91</v>
      </c>
      <c r="M765" s="616">
        <v>0.19</v>
      </c>
      <c r="N765" s="616">
        <v>0.55000000000000004</v>
      </c>
      <c r="O765" s="616">
        <v>45.75</v>
      </c>
      <c r="P765" s="616">
        <v>53.4</v>
      </c>
    </row>
    <row r="766" spans="1:16" x14ac:dyDescent="0.3">
      <c r="A766" s="615">
        <v>40100</v>
      </c>
      <c r="B766" s="614" t="s">
        <v>1074</v>
      </c>
      <c r="C766" s="614" t="s">
        <v>369</v>
      </c>
      <c r="D766" s="614">
        <v>100</v>
      </c>
      <c r="E766" s="616">
        <v>55.35</v>
      </c>
      <c r="F766" s="616">
        <v>5535</v>
      </c>
      <c r="G766" s="614" t="s">
        <v>1186</v>
      </c>
      <c r="H766" s="614">
        <v>2009190</v>
      </c>
      <c r="I766" s="614" t="s">
        <v>199</v>
      </c>
      <c r="J766" s="614" t="s">
        <v>200</v>
      </c>
      <c r="K766" s="614" t="s">
        <v>201</v>
      </c>
      <c r="L766" s="616">
        <v>6.92</v>
      </c>
      <c r="M766" s="616">
        <v>0.19</v>
      </c>
      <c r="N766" s="616">
        <v>0.55000000000000004</v>
      </c>
      <c r="O766" s="616">
        <v>45.79</v>
      </c>
      <c r="P766" s="616">
        <v>53.45</v>
      </c>
    </row>
    <row r="767" spans="1:16" x14ac:dyDescent="0.3">
      <c r="A767" s="615">
        <v>40098</v>
      </c>
      <c r="B767" s="614" t="s">
        <v>1084</v>
      </c>
      <c r="C767" s="614" t="s">
        <v>369</v>
      </c>
      <c r="D767" s="614">
        <v>200</v>
      </c>
      <c r="E767" s="616">
        <v>45.45</v>
      </c>
      <c r="F767" s="616">
        <v>9090</v>
      </c>
      <c r="G767" s="614" t="s">
        <v>1187</v>
      </c>
      <c r="H767" s="614">
        <v>2009189</v>
      </c>
      <c r="I767" s="614" t="s">
        <v>199</v>
      </c>
      <c r="J767" s="614" t="s">
        <v>200</v>
      </c>
      <c r="K767" s="614" t="s">
        <v>201</v>
      </c>
      <c r="L767" s="616">
        <v>11.36</v>
      </c>
      <c r="M767" s="616">
        <v>0.32</v>
      </c>
      <c r="N767" s="616">
        <v>0.9</v>
      </c>
      <c r="O767" s="616">
        <v>75.2</v>
      </c>
      <c r="P767" s="616">
        <v>87.78</v>
      </c>
    </row>
    <row r="768" spans="1:16" x14ac:dyDescent="0.3">
      <c r="A768" s="615">
        <v>40098</v>
      </c>
      <c r="B768" s="614" t="s">
        <v>1080</v>
      </c>
      <c r="C768" s="614" t="s">
        <v>369</v>
      </c>
      <c r="D768" s="614">
        <v>200</v>
      </c>
      <c r="E768" s="616">
        <v>39.9</v>
      </c>
      <c r="F768" s="616">
        <v>7980</v>
      </c>
      <c r="G768" s="614" t="s">
        <v>1188</v>
      </c>
      <c r="H768" s="614">
        <v>2009189</v>
      </c>
      <c r="I768" s="614" t="s">
        <v>199</v>
      </c>
      <c r="J768" s="614" t="s">
        <v>3876</v>
      </c>
      <c r="K768" s="614" t="s">
        <v>201</v>
      </c>
      <c r="L768" s="616">
        <v>9.98</v>
      </c>
      <c r="M768" s="616">
        <v>0.28000000000000003</v>
      </c>
      <c r="N768" s="616">
        <v>0.8</v>
      </c>
      <c r="O768" s="616">
        <v>66.02</v>
      </c>
      <c r="P768" s="616">
        <v>77.08</v>
      </c>
    </row>
    <row r="769" spans="1:16" x14ac:dyDescent="0.3">
      <c r="A769" s="615">
        <v>40093</v>
      </c>
      <c r="B769" s="614" t="s">
        <v>1086</v>
      </c>
      <c r="C769" s="614" t="s">
        <v>369</v>
      </c>
      <c r="D769" s="614">
        <v>120</v>
      </c>
      <c r="E769" s="616">
        <v>79.650000000000006</v>
      </c>
      <c r="F769" s="616">
        <v>9558</v>
      </c>
      <c r="G769" s="614" t="s">
        <v>1189</v>
      </c>
      <c r="H769" s="614">
        <v>2009186</v>
      </c>
      <c r="I769" s="614" t="s">
        <v>199</v>
      </c>
      <c r="J769" s="614" t="s">
        <v>3876</v>
      </c>
      <c r="K769" s="614" t="s">
        <v>201</v>
      </c>
      <c r="L769" s="616">
        <v>11.95</v>
      </c>
      <c r="M769" s="616">
        <v>0.34</v>
      </c>
      <c r="N769" s="616">
        <v>0.96</v>
      </c>
      <c r="O769" s="616">
        <v>79.069999999999993</v>
      </c>
      <c r="P769" s="616">
        <v>92.32</v>
      </c>
    </row>
    <row r="770" spans="1:16" x14ac:dyDescent="0.3">
      <c r="A770" s="615">
        <v>40086</v>
      </c>
      <c r="B770" s="614" t="s">
        <v>1089</v>
      </c>
      <c r="C770" s="614" t="s">
        <v>369</v>
      </c>
      <c r="D770" s="614">
        <v>200</v>
      </c>
      <c r="E770" s="616">
        <v>111.95</v>
      </c>
      <c r="F770" s="616">
        <v>22390</v>
      </c>
      <c r="G770" s="614" t="s">
        <v>1190</v>
      </c>
      <c r="H770" s="614">
        <v>2009182</v>
      </c>
      <c r="I770" s="614" t="s">
        <v>199</v>
      </c>
      <c r="J770" s="614" t="s">
        <v>200</v>
      </c>
      <c r="K770" s="614" t="s">
        <v>201</v>
      </c>
      <c r="L770" s="616">
        <v>27.99</v>
      </c>
      <c r="M770" s="616">
        <v>0.88</v>
      </c>
      <c r="N770" s="616">
        <v>2.2400000000000002</v>
      </c>
      <c r="O770" s="616">
        <v>185.22</v>
      </c>
      <c r="P770" s="616">
        <v>216.33</v>
      </c>
    </row>
    <row r="771" spans="1:16" x14ac:dyDescent="0.3">
      <c r="A771" s="615">
        <v>40085</v>
      </c>
      <c r="B771" s="614" t="s">
        <v>1086</v>
      </c>
      <c r="C771" s="614" t="s">
        <v>369</v>
      </c>
      <c r="D771" s="614">
        <v>300</v>
      </c>
      <c r="E771" s="616">
        <v>82.5</v>
      </c>
      <c r="F771" s="616">
        <v>24750</v>
      </c>
      <c r="G771" s="614" t="s">
        <v>1191</v>
      </c>
      <c r="H771" s="614">
        <v>2009181</v>
      </c>
      <c r="I771" s="614" t="s">
        <v>199</v>
      </c>
      <c r="J771" s="614" t="s">
        <v>3876</v>
      </c>
      <c r="K771" s="614" t="s">
        <v>201</v>
      </c>
      <c r="L771" s="616">
        <v>30.94</v>
      </c>
      <c r="M771" s="616">
        <v>0.96</v>
      </c>
      <c r="N771" s="616">
        <v>2.4900000000000002</v>
      </c>
      <c r="O771" s="616">
        <v>204.75</v>
      </c>
      <c r="P771" s="616">
        <v>239.14</v>
      </c>
    </row>
    <row r="772" spans="1:16" x14ac:dyDescent="0.3">
      <c r="A772" s="615">
        <v>40073</v>
      </c>
      <c r="B772" s="614" t="s">
        <v>1092</v>
      </c>
      <c r="C772" s="614" t="s">
        <v>369</v>
      </c>
      <c r="D772" s="614">
        <v>700</v>
      </c>
      <c r="E772" s="616">
        <v>37.75</v>
      </c>
      <c r="F772" s="616">
        <v>26425</v>
      </c>
      <c r="G772" s="614" t="s">
        <v>1192</v>
      </c>
      <c r="H772" s="614">
        <v>200910118</v>
      </c>
      <c r="I772" s="614" t="s">
        <v>199</v>
      </c>
      <c r="J772" s="614" t="s">
        <v>200</v>
      </c>
      <c r="K772" s="614" t="s">
        <v>204</v>
      </c>
      <c r="L772" s="616">
        <v>33.03</v>
      </c>
      <c r="M772" s="616">
        <v>1.05</v>
      </c>
      <c r="N772" s="616">
        <v>2.66</v>
      </c>
      <c r="O772" s="616">
        <v>218.61</v>
      </c>
      <c r="P772" s="616">
        <v>255.35</v>
      </c>
    </row>
    <row r="773" spans="1:16" x14ac:dyDescent="0.3">
      <c r="A773" s="615">
        <v>40073</v>
      </c>
      <c r="B773" s="614" t="s">
        <v>1094</v>
      </c>
      <c r="C773" s="614" t="s">
        <v>369</v>
      </c>
      <c r="D773" s="614">
        <v>90</v>
      </c>
      <c r="E773" s="616">
        <v>320.7</v>
      </c>
      <c r="F773" s="616">
        <v>28863</v>
      </c>
      <c r="G773" s="614" t="s">
        <v>1193</v>
      </c>
      <c r="H773" s="614">
        <v>2009175</v>
      </c>
      <c r="I773" s="614" t="s">
        <v>199</v>
      </c>
      <c r="J773" s="614" t="s">
        <v>200</v>
      </c>
      <c r="K773" s="614" t="s">
        <v>201</v>
      </c>
      <c r="L773" s="616">
        <v>36.08</v>
      </c>
      <c r="M773" s="616">
        <v>1.1299999999999999</v>
      </c>
      <c r="N773" s="616">
        <v>2.89</v>
      </c>
      <c r="O773" s="616">
        <v>238.78</v>
      </c>
      <c r="P773" s="616">
        <v>278.87</v>
      </c>
    </row>
    <row r="774" spans="1:16" x14ac:dyDescent="0.3">
      <c r="A774" s="615">
        <v>40067</v>
      </c>
      <c r="B774" s="614" t="s">
        <v>1086</v>
      </c>
      <c r="C774" s="614" t="s">
        <v>369</v>
      </c>
      <c r="D774" s="614">
        <v>400</v>
      </c>
      <c r="E774" s="616">
        <v>81.8</v>
      </c>
      <c r="F774" s="616">
        <v>32720</v>
      </c>
      <c r="G774" s="614" t="s">
        <v>1194</v>
      </c>
      <c r="H774" s="614">
        <v>2009171</v>
      </c>
      <c r="I774" s="614" t="s">
        <v>199</v>
      </c>
      <c r="J774" s="614" t="s">
        <v>200</v>
      </c>
      <c r="K774" s="614" t="s">
        <v>201</v>
      </c>
      <c r="L774" s="616">
        <v>40.9</v>
      </c>
      <c r="M774" s="616">
        <v>1.28</v>
      </c>
      <c r="N774" s="616">
        <v>3.28</v>
      </c>
      <c r="O774" s="616">
        <v>270.68</v>
      </c>
      <c r="P774" s="616">
        <v>316.14</v>
      </c>
    </row>
    <row r="775" spans="1:16" x14ac:dyDescent="0.3">
      <c r="A775" s="615">
        <v>40067</v>
      </c>
      <c r="B775" s="614" t="s">
        <v>1101</v>
      </c>
      <c r="C775" s="614" t="s">
        <v>369</v>
      </c>
      <c r="D775" s="614">
        <v>20</v>
      </c>
      <c r="E775" s="616">
        <v>552</v>
      </c>
      <c r="F775" s="616">
        <v>11040</v>
      </c>
      <c r="G775" s="614" t="s">
        <v>1195</v>
      </c>
      <c r="H775" s="614">
        <v>2009171</v>
      </c>
      <c r="I775" s="614" t="s">
        <v>199</v>
      </c>
      <c r="J775" s="614" t="s">
        <v>200</v>
      </c>
      <c r="K775" s="614" t="s">
        <v>201</v>
      </c>
      <c r="L775" s="616">
        <v>13.8</v>
      </c>
      <c r="M775" s="616">
        <v>0.43</v>
      </c>
      <c r="N775" s="616">
        <v>1.1000000000000001</v>
      </c>
      <c r="O775" s="616">
        <v>91.33</v>
      </c>
      <c r="P775" s="616">
        <v>106.66</v>
      </c>
    </row>
    <row r="776" spans="1:16" x14ac:dyDescent="0.3">
      <c r="A776" s="615">
        <v>40064</v>
      </c>
      <c r="B776" s="614" t="s">
        <v>1096</v>
      </c>
      <c r="C776" s="614" t="s">
        <v>369</v>
      </c>
      <c r="D776" s="614">
        <v>300</v>
      </c>
      <c r="E776" s="616">
        <v>171.5042</v>
      </c>
      <c r="F776" s="616">
        <v>51451.25</v>
      </c>
      <c r="G776" s="614" t="s">
        <v>1196</v>
      </c>
      <c r="H776" s="614">
        <v>2009168</v>
      </c>
      <c r="I776" s="614" t="s">
        <v>199</v>
      </c>
      <c r="J776" s="614" t="s">
        <v>200</v>
      </c>
      <c r="K776" s="614" t="s">
        <v>201</v>
      </c>
      <c r="L776" s="616">
        <v>12.86</v>
      </c>
      <c r="M776" s="616">
        <v>2.0099999999999998</v>
      </c>
      <c r="N776" s="616">
        <v>1.02</v>
      </c>
      <c r="O776" s="616">
        <v>28.39</v>
      </c>
      <c r="P776" s="616">
        <v>44.28</v>
      </c>
    </row>
    <row r="777" spans="1:16" x14ac:dyDescent="0.3">
      <c r="A777" s="615">
        <v>40064</v>
      </c>
      <c r="B777" s="614" t="s">
        <v>1107</v>
      </c>
      <c r="C777" s="614" t="s">
        <v>369</v>
      </c>
      <c r="D777" s="614">
        <v>125</v>
      </c>
      <c r="E777" s="616">
        <v>81.349999999999994</v>
      </c>
      <c r="F777" s="616">
        <v>10168.75</v>
      </c>
      <c r="G777" s="614" t="s">
        <v>1197</v>
      </c>
      <c r="H777" s="614">
        <v>2009168</v>
      </c>
      <c r="I777" s="614" t="s">
        <v>199</v>
      </c>
      <c r="J777" s="614" t="s">
        <v>200</v>
      </c>
      <c r="K777" s="614" t="s">
        <v>201</v>
      </c>
      <c r="L777" s="616">
        <v>12.71</v>
      </c>
      <c r="M777" s="616">
        <v>0.4</v>
      </c>
      <c r="N777" s="616">
        <v>1.01</v>
      </c>
      <c r="O777" s="616">
        <v>84.11</v>
      </c>
      <c r="P777" s="616">
        <v>98.23</v>
      </c>
    </row>
    <row r="778" spans="1:16" x14ac:dyDescent="0.3">
      <c r="A778" s="615">
        <v>40063</v>
      </c>
      <c r="B778" s="614" t="s">
        <v>1103</v>
      </c>
      <c r="C778" s="614" t="s">
        <v>369</v>
      </c>
      <c r="D778" s="614">
        <v>25</v>
      </c>
      <c r="E778" s="616">
        <v>435.75</v>
      </c>
      <c r="F778" s="616">
        <v>10893.75</v>
      </c>
      <c r="G778" s="614" t="s">
        <v>1198</v>
      </c>
      <c r="H778" s="614">
        <v>2009167</v>
      </c>
      <c r="I778" s="614" t="s">
        <v>199</v>
      </c>
      <c r="J778" s="614" t="s">
        <v>3876</v>
      </c>
      <c r="K778" s="614" t="s">
        <v>201</v>
      </c>
      <c r="L778" s="616">
        <v>13.62</v>
      </c>
      <c r="M778" s="616">
        <v>0.43</v>
      </c>
      <c r="N778" s="616">
        <v>1.0900000000000001</v>
      </c>
      <c r="O778" s="616">
        <v>90.12</v>
      </c>
      <c r="P778" s="616">
        <v>105.25</v>
      </c>
    </row>
    <row r="779" spans="1:16" x14ac:dyDescent="0.3">
      <c r="A779" s="615">
        <v>40063</v>
      </c>
      <c r="B779" s="614" t="s">
        <v>1111</v>
      </c>
      <c r="C779" s="614" t="s">
        <v>369</v>
      </c>
      <c r="D779" s="614">
        <v>175</v>
      </c>
      <c r="E779" s="616">
        <v>59</v>
      </c>
      <c r="F779" s="616">
        <v>10325</v>
      </c>
      <c r="G779" s="614" t="s">
        <v>1199</v>
      </c>
      <c r="H779" s="614">
        <v>2009167</v>
      </c>
      <c r="I779" s="614" t="s">
        <v>199</v>
      </c>
      <c r="J779" s="614" t="s">
        <v>200</v>
      </c>
      <c r="K779" s="614" t="s">
        <v>201</v>
      </c>
      <c r="L779" s="616">
        <v>12.91</v>
      </c>
      <c r="M779" s="616">
        <v>0.4</v>
      </c>
      <c r="N779" s="616">
        <v>1.03</v>
      </c>
      <c r="O779" s="616">
        <v>85.42</v>
      </c>
      <c r="P779" s="616">
        <v>99.76</v>
      </c>
    </row>
    <row r="780" spans="1:16" x14ac:dyDescent="0.3">
      <c r="A780" s="615">
        <v>40059</v>
      </c>
      <c r="B780" s="614" t="s">
        <v>1105</v>
      </c>
      <c r="C780" s="614" t="s">
        <v>369</v>
      </c>
      <c r="D780" s="614">
        <v>200</v>
      </c>
      <c r="E780" s="616">
        <v>45.3</v>
      </c>
      <c r="F780" s="616">
        <v>9060</v>
      </c>
      <c r="G780" s="614" t="s">
        <v>1200</v>
      </c>
      <c r="H780" s="614">
        <v>2009165</v>
      </c>
      <c r="I780" s="614" t="s">
        <v>199</v>
      </c>
      <c r="J780" s="614" t="s">
        <v>3876</v>
      </c>
      <c r="K780" s="614" t="s">
        <v>201</v>
      </c>
      <c r="L780" s="616">
        <v>11.33</v>
      </c>
      <c r="M780" s="616">
        <v>0.36</v>
      </c>
      <c r="N780" s="616">
        <v>0.9</v>
      </c>
      <c r="O780" s="616">
        <v>74.959999999999994</v>
      </c>
      <c r="P780" s="616">
        <v>87.55</v>
      </c>
    </row>
    <row r="781" spans="1:16" x14ac:dyDescent="0.3">
      <c r="A781" s="615">
        <v>40058</v>
      </c>
      <c r="B781" s="614" t="s">
        <v>1109</v>
      </c>
      <c r="C781" s="614" t="s">
        <v>369</v>
      </c>
      <c r="D781" s="614">
        <v>100</v>
      </c>
      <c r="E781" s="616">
        <v>97.85</v>
      </c>
      <c r="F781" s="616">
        <v>9785</v>
      </c>
      <c r="G781" s="614" t="s">
        <v>1201</v>
      </c>
      <c r="H781" s="614">
        <v>2009164</v>
      </c>
      <c r="I781" s="614" t="s">
        <v>199</v>
      </c>
      <c r="J781" s="614" t="s">
        <v>3876</v>
      </c>
      <c r="K781" s="614" t="s">
        <v>201</v>
      </c>
      <c r="L781" s="616">
        <v>12.23</v>
      </c>
      <c r="M781" s="616">
        <v>0.38</v>
      </c>
      <c r="N781" s="616">
        <v>0.98</v>
      </c>
      <c r="O781" s="616">
        <v>80.95</v>
      </c>
      <c r="P781" s="616">
        <v>94.54</v>
      </c>
    </row>
    <row r="782" spans="1:16" x14ac:dyDescent="0.3">
      <c r="A782" s="615">
        <v>40053</v>
      </c>
      <c r="B782" s="614" t="s">
        <v>1113</v>
      </c>
      <c r="C782" s="614" t="s">
        <v>369</v>
      </c>
      <c r="D782" s="614">
        <v>50</v>
      </c>
      <c r="E782" s="616">
        <v>210</v>
      </c>
      <c r="F782" s="616">
        <v>10500</v>
      </c>
      <c r="G782" s="614" t="s">
        <v>1202</v>
      </c>
      <c r="H782" s="614">
        <v>2009161</v>
      </c>
      <c r="I782" s="614" t="s">
        <v>199</v>
      </c>
      <c r="J782" s="614" t="s">
        <v>200</v>
      </c>
      <c r="K782" s="614" t="s">
        <v>201</v>
      </c>
      <c r="L782" s="616">
        <v>13.13</v>
      </c>
      <c r="M782" s="616">
        <v>0.41</v>
      </c>
      <c r="N782" s="616">
        <v>1.05</v>
      </c>
      <c r="O782" s="616">
        <v>86.86</v>
      </c>
      <c r="P782" s="616">
        <v>101.45</v>
      </c>
    </row>
    <row r="783" spans="1:16" x14ac:dyDescent="0.3">
      <c r="A783" s="615">
        <v>40010</v>
      </c>
      <c r="B783" s="614" t="s">
        <v>1115</v>
      </c>
      <c r="C783" s="614" t="s">
        <v>369</v>
      </c>
      <c r="D783" s="614">
        <v>500</v>
      </c>
      <c r="E783" s="616">
        <v>56.497500000000002</v>
      </c>
      <c r="F783" s="616">
        <v>28248.75</v>
      </c>
      <c r="G783" s="614" t="s">
        <v>1203</v>
      </c>
      <c r="H783" s="614">
        <v>2009130</v>
      </c>
      <c r="I783" s="614" t="s">
        <v>199</v>
      </c>
      <c r="J783" s="614" t="s">
        <v>200</v>
      </c>
      <c r="K783" s="614" t="s">
        <v>201</v>
      </c>
      <c r="L783" s="616">
        <v>7.06</v>
      </c>
      <c r="M783" s="616">
        <v>1.1000000000000001</v>
      </c>
      <c r="N783" s="616">
        <v>0.55000000000000004</v>
      </c>
      <c r="O783" s="616">
        <v>16.55</v>
      </c>
      <c r="P783" s="616">
        <v>25.26</v>
      </c>
    </row>
    <row r="784" spans="1:16" x14ac:dyDescent="0.3">
      <c r="A784" s="615">
        <v>40010</v>
      </c>
      <c r="B784" s="614" t="s">
        <v>1115</v>
      </c>
      <c r="C784" s="614" t="s">
        <v>369</v>
      </c>
      <c r="D784" s="614">
        <v>230</v>
      </c>
      <c r="E784" s="616">
        <v>56.65</v>
      </c>
      <c r="F784" s="616">
        <v>13029.5</v>
      </c>
      <c r="G784" s="614" t="s">
        <v>1204</v>
      </c>
      <c r="H784" s="614">
        <v>2009130</v>
      </c>
      <c r="I784" s="614" t="s">
        <v>199</v>
      </c>
      <c r="J784" s="614" t="s">
        <v>200</v>
      </c>
      <c r="K784" s="614" t="s">
        <v>201</v>
      </c>
      <c r="L784" s="616">
        <v>3.26</v>
      </c>
      <c r="M784" s="616">
        <v>0.51</v>
      </c>
      <c r="N784" s="616">
        <v>0.25</v>
      </c>
      <c r="O784" s="616">
        <v>16.54</v>
      </c>
      <c r="P784" s="616">
        <v>20.56</v>
      </c>
    </row>
    <row r="785" spans="1:16" x14ac:dyDescent="0.3">
      <c r="A785" s="615">
        <v>40000</v>
      </c>
      <c r="B785" s="614" t="s">
        <v>1113</v>
      </c>
      <c r="C785" s="614" t="s">
        <v>369</v>
      </c>
      <c r="D785" s="614">
        <v>24</v>
      </c>
      <c r="E785" s="616">
        <v>195.7</v>
      </c>
      <c r="F785" s="616">
        <v>4696.8</v>
      </c>
      <c r="G785" s="614" t="s">
        <v>1205</v>
      </c>
      <c r="H785" s="614">
        <v>200910065</v>
      </c>
      <c r="I785" s="614" t="s">
        <v>199</v>
      </c>
      <c r="J785" s="614" t="s">
        <v>200</v>
      </c>
      <c r="K785" s="614" t="s">
        <v>204</v>
      </c>
      <c r="L785" s="616">
        <v>5.87</v>
      </c>
      <c r="M785" s="616">
        <v>0.18</v>
      </c>
      <c r="N785" s="616">
        <v>0.47</v>
      </c>
      <c r="O785" s="616">
        <v>38.86</v>
      </c>
      <c r="P785" s="616">
        <v>45.39</v>
      </c>
    </row>
    <row r="786" spans="1:16" x14ac:dyDescent="0.3">
      <c r="A786" s="615">
        <v>39996</v>
      </c>
      <c r="B786" s="614" t="s">
        <v>1120</v>
      </c>
      <c r="C786" s="614" t="s">
        <v>369</v>
      </c>
      <c r="D786" s="614">
        <v>140</v>
      </c>
      <c r="E786" s="616">
        <v>19.899999999999999</v>
      </c>
      <c r="F786" s="616">
        <v>2786</v>
      </c>
      <c r="G786" s="614" t="s">
        <v>1206</v>
      </c>
      <c r="H786" s="614">
        <v>2009120</v>
      </c>
      <c r="I786" s="614" t="s">
        <v>199</v>
      </c>
      <c r="J786" s="614" t="s">
        <v>200</v>
      </c>
      <c r="K786" s="614" t="s">
        <v>201</v>
      </c>
      <c r="L786" s="616">
        <v>3.48</v>
      </c>
      <c r="M786" s="616">
        <v>0.11</v>
      </c>
      <c r="N786" s="616">
        <v>0.28000000000000003</v>
      </c>
      <c r="O786" s="616">
        <v>30.88</v>
      </c>
      <c r="P786" s="616">
        <v>34.75</v>
      </c>
    </row>
    <row r="787" spans="1:16" x14ac:dyDescent="0.3">
      <c r="A787" s="615">
        <v>39994</v>
      </c>
      <c r="B787" s="614" t="s">
        <v>1111</v>
      </c>
      <c r="C787" s="614" t="s">
        <v>369</v>
      </c>
      <c r="D787" s="614">
        <v>75</v>
      </c>
      <c r="E787" s="616">
        <v>58.75</v>
      </c>
      <c r="F787" s="616">
        <v>4406.25</v>
      </c>
      <c r="G787" s="614" t="s">
        <v>1207</v>
      </c>
      <c r="H787" s="614">
        <v>2009118</v>
      </c>
      <c r="I787" s="614" t="s">
        <v>199</v>
      </c>
      <c r="J787" s="614" t="s">
        <v>200</v>
      </c>
      <c r="K787" s="614" t="s">
        <v>201</v>
      </c>
      <c r="L787" s="616">
        <v>5.51</v>
      </c>
      <c r="M787" s="616">
        <v>0.18</v>
      </c>
      <c r="N787" s="616">
        <v>0.44</v>
      </c>
      <c r="O787" s="616">
        <v>48.81</v>
      </c>
      <c r="P787" s="616">
        <v>54.94</v>
      </c>
    </row>
    <row r="788" spans="1:16" x14ac:dyDescent="0.3">
      <c r="A788" s="615">
        <v>39994</v>
      </c>
      <c r="B788" s="614" t="s">
        <v>1120</v>
      </c>
      <c r="C788" s="614" t="s">
        <v>369</v>
      </c>
      <c r="D788" s="614">
        <v>70</v>
      </c>
      <c r="E788" s="616">
        <v>20.25</v>
      </c>
      <c r="F788" s="616">
        <v>1417.5</v>
      </c>
      <c r="G788" s="614" t="s">
        <v>1208</v>
      </c>
      <c r="H788" s="614">
        <v>2009118</v>
      </c>
      <c r="I788" s="614" t="s">
        <v>199</v>
      </c>
      <c r="J788" s="614" t="s">
        <v>200</v>
      </c>
      <c r="K788" s="614" t="s">
        <v>201</v>
      </c>
      <c r="L788" s="616">
        <v>1.77</v>
      </c>
      <c r="M788" s="616">
        <v>0.06</v>
      </c>
      <c r="N788" s="616">
        <v>0.14000000000000001</v>
      </c>
      <c r="O788" s="616">
        <v>15.44</v>
      </c>
      <c r="P788" s="616">
        <v>17.399999999999999</v>
      </c>
    </row>
    <row r="789" spans="1:16" x14ac:dyDescent="0.3">
      <c r="A789" s="615">
        <v>39989</v>
      </c>
      <c r="B789" s="614" t="s">
        <v>1142</v>
      </c>
      <c r="C789" s="614" t="s">
        <v>369</v>
      </c>
      <c r="D789" s="614">
        <v>40</v>
      </c>
      <c r="E789" s="616">
        <v>112.5</v>
      </c>
      <c r="F789" s="616">
        <v>4500</v>
      </c>
      <c r="G789" s="614" t="s">
        <v>1209</v>
      </c>
      <c r="H789" s="614">
        <v>200910058</v>
      </c>
      <c r="I789" s="614" t="s">
        <v>199</v>
      </c>
      <c r="J789" s="614" t="s">
        <v>200</v>
      </c>
      <c r="K789" s="614" t="s">
        <v>204</v>
      </c>
      <c r="L789" s="616">
        <v>5.63</v>
      </c>
      <c r="M789" s="616">
        <v>0.18</v>
      </c>
      <c r="N789" s="616">
        <v>0.45</v>
      </c>
      <c r="O789" s="616">
        <v>37.229999999999997</v>
      </c>
      <c r="P789" s="616">
        <v>43.49</v>
      </c>
    </row>
    <row r="790" spans="1:16" x14ac:dyDescent="0.3">
      <c r="A790" s="615">
        <v>39983</v>
      </c>
      <c r="B790" s="614" t="s">
        <v>1142</v>
      </c>
      <c r="C790" s="614" t="s">
        <v>369</v>
      </c>
      <c r="D790" s="614">
        <v>40</v>
      </c>
      <c r="E790" s="616">
        <v>118.45</v>
      </c>
      <c r="F790" s="616">
        <v>4738</v>
      </c>
      <c r="G790" s="614" t="s">
        <v>1210</v>
      </c>
      <c r="H790" s="614">
        <v>2009111</v>
      </c>
      <c r="I790" s="614" t="s">
        <v>199</v>
      </c>
      <c r="J790" s="614" t="s">
        <v>200</v>
      </c>
      <c r="K790" s="614" t="s">
        <v>201</v>
      </c>
      <c r="L790" s="616">
        <v>5.92</v>
      </c>
      <c r="M790" s="616">
        <v>0.19</v>
      </c>
      <c r="N790" s="616">
        <v>0.48</v>
      </c>
      <c r="O790" s="616">
        <v>39.200000000000003</v>
      </c>
      <c r="P790" s="616">
        <v>45.78</v>
      </c>
    </row>
    <row r="791" spans="1:16" x14ac:dyDescent="0.3">
      <c r="A791" s="615">
        <v>39980</v>
      </c>
      <c r="B791" s="614" t="s">
        <v>1149</v>
      </c>
      <c r="C791" s="614" t="s">
        <v>369</v>
      </c>
      <c r="D791" s="614">
        <v>35</v>
      </c>
      <c r="E791" s="616">
        <v>165.6</v>
      </c>
      <c r="F791" s="616">
        <v>5796</v>
      </c>
      <c r="G791" s="614" t="s">
        <v>1211</v>
      </c>
      <c r="H791" s="614">
        <v>2009108</v>
      </c>
      <c r="I791" s="614" t="s">
        <v>199</v>
      </c>
      <c r="J791" s="614" t="s">
        <v>200</v>
      </c>
      <c r="K791" s="614" t="s">
        <v>201</v>
      </c>
      <c r="L791" s="616">
        <v>7.25</v>
      </c>
      <c r="M791" s="616">
        <v>0.23</v>
      </c>
      <c r="N791" s="616">
        <v>0.59</v>
      </c>
      <c r="O791" s="616">
        <v>47.95</v>
      </c>
      <c r="P791" s="616">
        <v>56.02</v>
      </c>
    </row>
    <row r="792" spans="1:16" x14ac:dyDescent="0.3">
      <c r="A792" s="615">
        <v>39976</v>
      </c>
      <c r="B792" s="614" t="s">
        <v>1145</v>
      </c>
      <c r="C792" s="614" t="s">
        <v>369</v>
      </c>
      <c r="D792" s="614">
        <v>130</v>
      </c>
      <c r="E792" s="616">
        <v>27.961500000000001</v>
      </c>
      <c r="F792" s="616">
        <v>3635</v>
      </c>
      <c r="G792" s="614" t="s">
        <v>1264</v>
      </c>
      <c r="H792" s="614">
        <v>2009106</v>
      </c>
      <c r="I792" s="614" t="s">
        <v>199</v>
      </c>
      <c r="J792" s="614" t="s">
        <v>200</v>
      </c>
      <c r="K792" s="614" t="s">
        <v>201</v>
      </c>
      <c r="L792" s="616">
        <v>4.54</v>
      </c>
      <c r="M792" s="616">
        <v>0.14000000000000001</v>
      </c>
      <c r="N792" s="616">
        <v>0.37</v>
      </c>
      <c r="O792" s="616">
        <v>30.08</v>
      </c>
      <c r="P792" s="616">
        <v>35.130000000000003</v>
      </c>
    </row>
    <row r="793" spans="1:16" x14ac:dyDescent="0.3">
      <c r="A793" s="615">
        <v>39975</v>
      </c>
      <c r="B793" s="614" t="s">
        <v>1147</v>
      </c>
      <c r="C793" s="614" t="s">
        <v>369</v>
      </c>
      <c r="D793" s="614">
        <v>175</v>
      </c>
      <c r="E793" s="616">
        <v>61.8</v>
      </c>
      <c r="F793" s="616">
        <v>10815</v>
      </c>
      <c r="G793" s="614" t="s">
        <v>1265</v>
      </c>
      <c r="H793" s="614">
        <v>2009105</v>
      </c>
      <c r="I793" s="614" t="s">
        <v>199</v>
      </c>
      <c r="J793" s="614" t="s">
        <v>200</v>
      </c>
      <c r="K793" s="614" t="s">
        <v>201</v>
      </c>
      <c r="L793" s="616">
        <v>13.52</v>
      </c>
      <c r="M793" s="616">
        <v>0.44</v>
      </c>
      <c r="N793" s="616">
        <v>1.0900000000000001</v>
      </c>
      <c r="O793" s="616">
        <v>119.68</v>
      </c>
      <c r="P793" s="616">
        <v>134.72999999999999</v>
      </c>
    </row>
    <row r="794" spans="1:16" x14ac:dyDescent="0.3">
      <c r="A794" s="615">
        <v>39972</v>
      </c>
      <c r="B794" s="614" t="s">
        <v>1153</v>
      </c>
      <c r="C794" s="614" t="s">
        <v>369</v>
      </c>
      <c r="D794" s="614">
        <v>50</v>
      </c>
      <c r="E794" s="616">
        <v>71.8</v>
      </c>
      <c r="F794" s="616">
        <v>3590</v>
      </c>
      <c r="G794" s="614" t="s">
        <v>1266</v>
      </c>
      <c r="H794" s="614">
        <v>2009102</v>
      </c>
      <c r="I794" s="614" t="s">
        <v>199</v>
      </c>
      <c r="J794" s="614" t="s">
        <v>200</v>
      </c>
      <c r="K794" s="614" t="s">
        <v>201</v>
      </c>
      <c r="L794" s="616">
        <v>4.49</v>
      </c>
      <c r="M794" s="616">
        <v>0.15</v>
      </c>
      <c r="N794" s="616">
        <v>0.36</v>
      </c>
      <c r="O794" s="616">
        <v>29.7</v>
      </c>
      <c r="P794" s="616">
        <v>34.700000000000003</v>
      </c>
    </row>
    <row r="795" spans="1:16" x14ac:dyDescent="0.3">
      <c r="A795" s="615">
        <v>39972</v>
      </c>
      <c r="B795" s="614" t="s">
        <v>1156</v>
      </c>
      <c r="C795" s="614" t="s">
        <v>369</v>
      </c>
      <c r="D795" s="614">
        <v>60</v>
      </c>
      <c r="E795" s="616">
        <v>141.19999999999999</v>
      </c>
      <c r="F795" s="616">
        <v>8472</v>
      </c>
      <c r="G795" s="614" t="s">
        <v>1267</v>
      </c>
      <c r="H795" s="614">
        <v>2009102</v>
      </c>
      <c r="I795" s="614" t="s">
        <v>199</v>
      </c>
      <c r="J795" s="614" t="s">
        <v>200</v>
      </c>
      <c r="K795" s="614" t="s">
        <v>201</v>
      </c>
      <c r="L795" s="616">
        <v>10.59</v>
      </c>
      <c r="M795" s="616">
        <v>0.34</v>
      </c>
      <c r="N795" s="616">
        <v>0.85</v>
      </c>
      <c r="O795" s="616">
        <v>70.09</v>
      </c>
      <c r="P795" s="616">
        <v>81.86</v>
      </c>
    </row>
    <row r="796" spans="1:16" x14ac:dyDescent="0.3">
      <c r="A796" s="615">
        <v>39969</v>
      </c>
      <c r="B796" s="614" t="s">
        <v>1153</v>
      </c>
      <c r="C796" s="614" t="s">
        <v>369</v>
      </c>
      <c r="D796" s="614">
        <v>100</v>
      </c>
      <c r="E796" s="616">
        <v>74.2</v>
      </c>
      <c r="F796" s="616">
        <v>7420</v>
      </c>
      <c r="G796" s="614" t="s">
        <v>1268</v>
      </c>
      <c r="H796" s="614">
        <v>2009101</v>
      </c>
      <c r="I796" s="614" t="s">
        <v>199</v>
      </c>
      <c r="J796" s="614" t="s">
        <v>3876</v>
      </c>
      <c r="K796" s="614" t="s">
        <v>201</v>
      </c>
      <c r="L796" s="616">
        <v>9.2799999999999994</v>
      </c>
      <c r="M796" s="616">
        <v>0.3</v>
      </c>
      <c r="N796" s="616">
        <v>0.74</v>
      </c>
      <c r="O796" s="616">
        <v>61.38</v>
      </c>
      <c r="P796" s="616">
        <v>71.7</v>
      </c>
    </row>
    <row r="797" spans="1:16" x14ac:dyDescent="0.3">
      <c r="A797" s="615">
        <v>39967</v>
      </c>
      <c r="B797" s="614" t="s">
        <v>1160</v>
      </c>
      <c r="C797" s="614" t="s">
        <v>369</v>
      </c>
      <c r="D797" s="614">
        <v>225</v>
      </c>
      <c r="E797" s="616">
        <v>45.25</v>
      </c>
      <c r="F797" s="616">
        <v>10181.25</v>
      </c>
      <c r="G797" s="614" t="s">
        <v>1269</v>
      </c>
      <c r="H797" s="614">
        <v>2009099</v>
      </c>
      <c r="I797" s="614" t="s">
        <v>199</v>
      </c>
      <c r="J797" s="614" t="s">
        <v>200</v>
      </c>
      <c r="K797" s="614" t="s">
        <v>201</v>
      </c>
      <c r="L797" s="616">
        <v>12.73</v>
      </c>
      <c r="M797" s="616">
        <v>0.41</v>
      </c>
      <c r="N797" s="616">
        <v>1.01</v>
      </c>
      <c r="O797" s="616">
        <v>84.24</v>
      </c>
      <c r="P797" s="616">
        <v>98.39</v>
      </c>
    </row>
    <row r="798" spans="1:16" x14ac:dyDescent="0.3">
      <c r="A798" s="615">
        <v>39966</v>
      </c>
      <c r="B798" s="614" t="s">
        <v>1163</v>
      </c>
      <c r="C798" s="614" t="s">
        <v>369</v>
      </c>
      <c r="D798" s="614">
        <v>25</v>
      </c>
      <c r="E798" s="616">
        <v>364.45</v>
      </c>
      <c r="F798" s="616">
        <v>9111.25</v>
      </c>
      <c r="G798" s="614" t="s">
        <v>1270</v>
      </c>
      <c r="H798" s="614">
        <v>2009098</v>
      </c>
      <c r="I798" s="614" t="s">
        <v>199</v>
      </c>
      <c r="J798" s="614" t="s">
        <v>3876</v>
      </c>
      <c r="K798" s="614" t="s">
        <v>201</v>
      </c>
      <c r="L798" s="616">
        <v>11.39</v>
      </c>
      <c r="M798" s="616">
        <v>0.37</v>
      </c>
      <c r="N798" s="616">
        <v>0.91</v>
      </c>
      <c r="O798" s="616">
        <v>75.37</v>
      </c>
      <c r="P798" s="616">
        <v>88.04</v>
      </c>
    </row>
    <row r="799" spans="1:16" x14ac:dyDescent="0.3">
      <c r="A799" s="615">
        <v>39962</v>
      </c>
      <c r="B799" s="614" t="s">
        <v>1158</v>
      </c>
      <c r="C799" s="614" t="s">
        <v>369</v>
      </c>
      <c r="D799" s="614">
        <v>30</v>
      </c>
      <c r="E799" s="616">
        <v>143.5</v>
      </c>
      <c r="F799" s="616">
        <v>4305</v>
      </c>
      <c r="G799" s="614" t="s">
        <v>1271</v>
      </c>
      <c r="H799" s="614">
        <v>200910039</v>
      </c>
      <c r="I799" s="614" t="s">
        <v>199</v>
      </c>
      <c r="J799" s="614" t="s">
        <v>200</v>
      </c>
      <c r="K799" s="614" t="s">
        <v>204</v>
      </c>
      <c r="L799" s="616">
        <v>1.08</v>
      </c>
      <c r="M799" s="616">
        <v>0.15</v>
      </c>
      <c r="N799" s="616">
        <v>0.09</v>
      </c>
      <c r="O799" s="616">
        <v>0</v>
      </c>
      <c r="P799" s="616">
        <v>1.32</v>
      </c>
    </row>
    <row r="800" spans="1:16" x14ac:dyDescent="0.3">
      <c r="A800" s="615">
        <v>39962</v>
      </c>
      <c r="B800" s="614" t="s">
        <v>1149</v>
      </c>
      <c r="C800" s="614" t="s">
        <v>369</v>
      </c>
      <c r="D800" s="614">
        <v>25</v>
      </c>
      <c r="E800" s="616">
        <v>178.4</v>
      </c>
      <c r="F800" s="616">
        <v>4460</v>
      </c>
      <c r="G800" s="614" t="s">
        <v>1272</v>
      </c>
      <c r="H800" s="614">
        <v>2009096</v>
      </c>
      <c r="I800" s="614" t="s">
        <v>199</v>
      </c>
      <c r="J800" s="614" t="s">
        <v>200</v>
      </c>
      <c r="K800" s="614" t="s">
        <v>201</v>
      </c>
      <c r="L800" s="616">
        <v>1.1200000000000001</v>
      </c>
      <c r="M800" s="616">
        <v>0.16</v>
      </c>
      <c r="N800" s="616">
        <v>0.09</v>
      </c>
      <c r="O800" s="616">
        <v>0</v>
      </c>
      <c r="P800" s="616">
        <v>1.37</v>
      </c>
    </row>
    <row r="801" spans="1:16" x14ac:dyDescent="0.3">
      <c r="A801" s="615">
        <v>39952</v>
      </c>
      <c r="B801" s="614" t="s">
        <v>1166</v>
      </c>
      <c r="C801" s="614" t="s">
        <v>369</v>
      </c>
      <c r="D801" s="614">
        <v>10</v>
      </c>
      <c r="E801" s="616">
        <v>673</v>
      </c>
      <c r="F801" s="616">
        <v>6730</v>
      </c>
      <c r="G801" s="614" t="s">
        <v>1273</v>
      </c>
      <c r="H801" s="614">
        <v>2009088</v>
      </c>
      <c r="I801" s="614" t="s">
        <v>199</v>
      </c>
      <c r="J801" s="614" t="s">
        <v>200</v>
      </c>
      <c r="K801" s="614" t="s">
        <v>201</v>
      </c>
      <c r="L801" s="616">
        <v>8.41</v>
      </c>
      <c r="M801" s="616">
        <v>0.24</v>
      </c>
      <c r="N801" s="616">
        <v>0.68</v>
      </c>
      <c r="O801" s="616">
        <v>74.23</v>
      </c>
      <c r="P801" s="616">
        <v>83.55</v>
      </c>
    </row>
    <row r="802" spans="1:16" x14ac:dyDescent="0.3">
      <c r="A802" s="615">
        <v>39944</v>
      </c>
      <c r="B802" s="614" t="s">
        <v>1086</v>
      </c>
      <c r="C802" s="614" t="s">
        <v>369</v>
      </c>
      <c r="D802" s="614">
        <v>100</v>
      </c>
      <c r="E802" s="616">
        <v>38.65</v>
      </c>
      <c r="F802" s="616">
        <v>3865</v>
      </c>
      <c r="G802" s="614" t="s">
        <v>1274</v>
      </c>
      <c r="H802" s="614">
        <v>2009082</v>
      </c>
      <c r="I802" s="614" t="s">
        <v>199</v>
      </c>
      <c r="J802" s="614" t="s">
        <v>200</v>
      </c>
      <c r="K802" s="614" t="s">
        <v>201</v>
      </c>
      <c r="L802" s="616">
        <v>4.83</v>
      </c>
      <c r="M802" s="616">
        <v>0.14000000000000001</v>
      </c>
      <c r="N802" s="616">
        <v>0.39</v>
      </c>
      <c r="O802" s="616">
        <v>43.02</v>
      </c>
      <c r="P802" s="616">
        <v>48.38</v>
      </c>
    </row>
    <row r="803" spans="1:16" x14ac:dyDescent="0.3">
      <c r="A803" s="615">
        <v>39940</v>
      </c>
      <c r="B803" s="614" t="s">
        <v>1168</v>
      </c>
      <c r="C803" s="614" t="s">
        <v>369</v>
      </c>
      <c r="D803" s="614">
        <v>100</v>
      </c>
      <c r="E803" s="616">
        <v>25.5</v>
      </c>
      <c r="F803" s="616">
        <v>2550</v>
      </c>
      <c r="G803" s="614" t="s">
        <v>1275</v>
      </c>
      <c r="H803" s="614">
        <v>200910023</v>
      </c>
      <c r="I803" s="614" t="s">
        <v>199</v>
      </c>
      <c r="J803" s="614" t="s">
        <v>200</v>
      </c>
      <c r="K803" s="614" t="s">
        <v>204</v>
      </c>
      <c r="L803" s="616">
        <v>3.19</v>
      </c>
      <c r="M803" s="616">
        <v>0.09</v>
      </c>
      <c r="N803" s="616">
        <v>0.26</v>
      </c>
      <c r="O803" s="616">
        <v>27.58</v>
      </c>
      <c r="P803" s="616">
        <v>31.12</v>
      </c>
    </row>
    <row r="804" spans="1:16" x14ac:dyDescent="0.3">
      <c r="A804" s="615">
        <v>39939</v>
      </c>
      <c r="B804" s="614" t="s">
        <v>1168</v>
      </c>
      <c r="C804" s="614" t="s">
        <v>369</v>
      </c>
      <c r="D804" s="614">
        <v>100</v>
      </c>
      <c r="E804" s="616">
        <v>24.703499999999998</v>
      </c>
      <c r="F804" s="616">
        <v>2470.35</v>
      </c>
      <c r="G804" s="614" t="s">
        <v>1276</v>
      </c>
      <c r="H804" s="614">
        <v>200910022</v>
      </c>
      <c r="I804" s="614" t="s">
        <v>199</v>
      </c>
      <c r="J804" s="614" t="s">
        <v>200</v>
      </c>
      <c r="K804" s="614" t="s">
        <v>204</v>
      </c>
      <c r="L804" s="616">
        <v>3.09</v>
      </c>
      <c r="M804" s="616">
        <v>0.08</v>
      </c>
      <c r="N804" s="616">
        <v>0.25</v>
      </c>
      <c r="O804" s="616">
        <v>27.58</v>
      </c>
      <c r="P804" s="616">
        <v>31</v>
      </c>
    </row>
    <row r="805" spans="1:16" x14ac:dyDescent="0.3">
      <c r="A805" s="615">
        <v>39932</v>
      </c>
      <c r="B805" s="614" t="s">
        <v>1170</v>
      </c>
      <c r="C805" s="614" t="s">
        <v>369</v>
      </c>
      <c r="D805" s="614">
        <v>200</v>
      </c>
      <c r="E805" s="616">
        <v>29.5</v>
      </c>
      <c r="F805" s="616">
        <v>5900</v>
      </c>
      <c r="G805" s="614" t="s">
        <v>1277</v>
      </c>
      <c r="H805" s="614">
        <v>200910019</v>
      </c>
      <c r="I805" s="614" t="s">
        <v>199</v>
      </c>
      <c r="J805" s="614" t="s">
        <v>200</v>
      </c>
      <c r="K805" s="614" t="s">
        <v>204</v>
      </c>
      <c r="L805" s="616">
        <v>7.38</v>
      </c>
      <c r="M805" s="616">
        <v>0.2</v>
      </c>
      <c r="N805" s="616">
        <v>0.6</v>
      </c>
      <c r="O805" s="616">
        <v>48.82</v>
      </c>
      <c r="P805" s="616">
        <v>57</v>
      </c>
    </row>
    <row r="806" spans="1:16" x14ac:dyDescent="0.3">
      <c r="A806" s="615">
        <v>39905</v>
      </c>
      <c r="B806" s="614" t="s">
        <v>1055</v>
      </c>
      <c r="C806" s="614" t="s">
        <v>369</v>
      </c>
      <c r="D806" s="614">
        <v>175</v>
      </c>
      <c r="E806" s="616">
        <v>34</v>
      </c>
      <c r="F806" s="616">
        <v>5950</v>
      </c>
      <c r="G806" s="614" t="s">
        <v>1278</v>
      </c>
      <c r="H806" s="614">
        <v>2009061</v>
      </c>
      <c r="I806" s="614" t="s">
        <v>199</v>
      </c>
      <c r="J806" s="614" t="s">
        <v>3876</v>
      </c>
      <c r="K806" s="614" t="s">
        <v>201</v>
      </c>
      <c r="L806" s="616">
        <v>7.44</v>
      </c>
      <c r="M806" s="616">
        <v>0.21</v>
      </c>
      <c r="N806" s="616">
        <v>0.59</v>
      </c>
      <c r="O806" s="616">
        <v>49.23</v>
      </c>
      <c r="P806" s="616">
        <v>57.47</v>
      </c>
    </row>
    <row r="807" spans="1:16" x14ac:dyDescent="0.3">
      <c r="A807" s="615">
        <v>39905</v>
      </c>
      <c r="B807" s="614" t="s">
        <v>1055</v>
      </c>
      <c r="C807" s="614" t="s">
        <v>369</v>
      </c>
      <c r="D807" s="614">
        <v>125</v>
      </c>
      <c r="E807" s="616">
        <v>33.950000000000003</v>
      </c>
      <c r="F807" s="616">
        <v>4243.75</v>
      </c>
      <c r="G807" s="614" t="s">
        <v>1279</v>
      </c>
      <c r="H807" s="614">
        <v>2009061</v>
      </c>
      <c r="I807" s="614" t="s">
        <v>199</v>
      </c>
      <c r="J807" s="614" t="s">
        <v>3876</v>
      </c>
      <c r="K807" s="614" t="s">
        <v>201</v>
      </c>
      <c r="L807" s="616">
        <v>5.3</v>
      </c>
      <c r="M807" s="616">
        <v>0.15</v>
      </c>
      <c r="N807" s="616">
        <v>0.43</v>
      </c>
      <c r="O807" s="616">
        <v>35.1</v>
      </c>
      <c r="P807" s="616">
        <v>40.98</v>
      </c>
    </row>
    <row r="808" spans="1:16" x14ac:dyDescent="0.3">
      <c r="A808" s="615">
        <v>39899</v>
      </c>
      <c r="B808" s="614" t="s">
        <v>1541</v>
      </c>
      <c r="C808" s="614" t="s">
        <v>369</v>
      </c>
      <c r="D808" s="614">
        <v>80</v>
      </c>
      <c r="E808" s="616">
        <v>54.3</v>
      </c>
      <c r="F808" s="616">
        <v>4344</v>
      </c>
      <c r="G808" s="614" t="s">
        <v>1750</v>
      </c>
      <c r="H808" s="614">
        <v>2009057</v>
      </c>
      <c r="I808" s="614" t="s">
        <v>199</v>
      </c>
      <c r="J808" s="614" t="s">
        <v>200</v>
      </c>
      <c r="K808" s="614" t="s">
        <v>201</v>
      </c>
      <c r="L808" s="616">
        <v>5.43</v>
      </c>
      <c r="M808" s="616">
        <v>0.15</v>
      </c>
      <c r="N808" s="616">
        <v>0.43</v>
      </c>
      <c r="O808" s="616">
        <v>47.65</v>
      </c>
      <c r="P808" s="616">
        <v>53.66</v>
      </c>
    </row>
    <row r="809" spans="1:16" x14ac:dyDescent="0.3">
      <c r="A809" s="615">
        <v>39897</v>
      </c>
      <c r="B809" s="614" t="s">
        <v>1539</v>
      </c>
      <c r="C809" s="614" t="s">
        <v>369</v>
      </c>
      <c r="D809" s="614">
        <v>100</v>
      </c>
      <c r="E809" s="616">
        <v>48.8</v>
      </c>
      <c r="F809" s="616">
        <v>4880</v>
      </c>
      <c r="G809" s="614" t="s">
        <v>1751</v>
      </c>
      <c r="H809" s="614">
        <v>2009055</v>
      </c>
      <c r="I809" s="614" t="s">
        <v>199</v>
      </c>
      <c r="J809" s="614" t="s">
        <v>3876</v>
      </c>
      <c r="K809" s="614" t="s">
        <v>201</v>
      </c>
      <c r="L809" s="616">
        <v>6.1</v>
      </c>
      <c r="M809" s="616">
        <v>0.17</v>
      </c>
      <c r="N809" s="616">
        <v>0.49</v>
      </c>
      <c r="O809" s="616">
        <v>40.369999999999997</v>
      </c>
      <c r="P809" s="616">
        <v>47.13</v>
      </c>
    </row>
    <row r="810" spans="1:16" x14ac:dyDescent="0.3">
      <c r="A810" s="615">
        <v>39885</v>
      </c>
      <c r="B810" s="614" t="s">
        <v>1543</v>
      </c>
      <c r="C810" s="614" t="s">
        <v>369</v>
      </c>
      <c r="D810" s="614">
        <v>50</v>
      </c>
      <c r="E810" s="616">
        <v>165.1</v>
      </c>
      <c r="F810" s="616">
        <v>8255</v>
      </c>
      <c r="G810" s="614" t="s">
        <v>1752</v>
      </c>
      <c r="H810" s="614">
        <v>2009047</v>
      </c>
      <c r="I810" s="614" t="s">
        <v>199</v>
      </c>
      <c r="J810" s="614" t="s">
        <v>200</v>
      </c>
      <c r="K810" s="614" t="s">
        <v>201</v>
      </c>
      <c r="L810" s="616">
        <v>10.32</v>
      </c>
      <c r="M810" s="616">
        <v>0.28999999999999998</v>
      </c>
      <c r="N810" s="616">
        <v>0.83</v>
      </c>
      <c r="O810" s="616">
        <v>91</v>
      </c>
      <c r="P810" s="616">
        <v>102.44</v>
      </c>
    </row>
    <row r="811" spans="1:16" x14ac:dyDescent="0.3">
      <c r="A811" s="615">
        <v>39826</v>
      </c>
      <c r="B811" s="614" t="s">
        <v>1539</v>
      </c>
      <c r="C811" s="614" t="s">
        <v>369</v>
      </c>
      <c r="D811" s="614">
        <v>150</v>
      </c>
      <c r="E811" s="616">
        <v>44.5</v>
      </c>
      <c r="F811" s="616">
        <v>6675</v>
      </c>
      <c r="G811" s="614" t="s">
        <v>1753</v>
      </c>
      <c r="H811" s="614">
        <v>2009008</v>
      </c>
      <c r="I811" s="614" t="s">
        <v>199</v>
      </c>
      <c r="J811" s="614" t="s">
        <v>200</v>
      </c>
      <c r="K811" s="614" t="s">
        <v>201</v>
      </c>
      <c r="L811" s="616">
        <v>8.34</v>
      </c>
      <c r="M811" s="616">
        <v>0.24</v>
      </c>
      <c r="N811" s="616">
        <v>0.68</v>
      </c>
      <c r="O811" s="616">
        <v>56.27</v>
      </c>
      <c r="P811" s="616">
        <v>65.53</v>
      </c>
    </row>
    <row r="812" spans="1:16" x14ac:dyDescent="0.3">
      <c r="A812" s="615">
        <v>39826</v>
      </c>
      <c r="B812" s="614" t="s">
        <v>1553</v>
      </c>
      <c r="C812" s="614" t="s">
        <v>369</v>
      </c>
      <c r="D812" s="614">
        <v>75</v>
      </c>
      <c r="E812" s="616">
        <v>99</v>
      </c>
      <c r="F812" s="616">
        <v>7425</v>
      </c>
      <c r="G812" s="614" t="s">
        <v>1754</v>
      </c>
      <c r="H812" s="614">
        <v>2009008</v>
      </c>
      <c r="I812" s="614" t="s">
        <v>199</v>
      </c>
      <c r="J812" s="614" t="s">
        <v>200</v>
      </c>
      <c r="K812" s="614" t="s">
        <v>201</v>
      </c>
      <c r="L812" s="616">
        <v>9.2799999999999994</v>
      </c>
      <c r="M812" s="616">
        <v>0.26</v>
      </c>
      <c r="N812" s="616">
        <v>0.74</v>
      </c>
      <c r="O812" s="616">
        <v>62.54</v>
      </c>
      <c r="P812" s="616">
        <v>72.819999999999993</v>
      </c>
    </row>
    <row r="813" spans="1:16" x14ac:dyDescent="0.3">
      <c r="A813" s="615">
        <v>39826</v>
      </c>
      <c r="B813" s="614" t="s">
        <v>1547</v>
      </c>
      <c r="C813" s="614" t="s">
        <v>369</v>
      </c>
      <c r="D813" s="614">
        <v>100</v>
      </c>
      <c r="E813" s="616">
        <v>71.003500000000003</v>
      </c>
      <c r="F813" s="616">
        <v>7100.35</v>
      </c>
      <c r="G813" s="614" t="s">
        <v>1755</v>
      </c>
      <c r="H813" s="614">
        <v>2009008</v>
      </c>
      <c r="I813" s="614" t="s">
        <v>199</v>
      </c>
      <c r="J813" s="614" t="s">
        <v>200</v>
      </c>
      <c r="K813" s="614" t="s">
        <v>201</v>
      </c>
      <c r="L813" s="616">
        <v>8.8800000000000008</v>
      </c>
      <c r="M813" s="616">
        <v>0.25</v>
      </c>
      <c r="N813" s="616">
        <v>0.71</v>
      </c>
      <c r="O813" s="616">
        <v>59.84</v>
      </c>
      <c r="P813" s="616">
        <v>69.680000000000007</v>
      </c>
    </row>
    <row r="814" spans="1:16" x14ac:dyDescent="0.3">
      <c r="A814" s="615">
        <v>39822</v>
      </c>
      <c r="B814" s="614" t="s">
        <v>1545</v>
      </c>
      <c r="C814" s="614" t="s">
        <v>369</v>
      </c>
      <c r="D814" s="614">
        <v>150</v>
      </c>
      <c r="E814" s="616">
        <v>17.75</v>
      </c>
      <c r="F814" s="616">
        <v>2662.5</v>
      </c>
      <c r="G814" s="614" t="s">
        <v>1756</v>
      </c>
      <c r="H814" s="614">
        <v>2009006</v>
      </c>
      <c r="I814" s="614" t="s">
        <v>199</v>
      </c>
      <c r="J814" s="614" t="s">
        <v>3876</v>
      </c>
      <c r="K814" s="614" t="s">
        <v>201</v>
      </c>
      <c r="L814" s="616">
        <v>3.33</v>
      </c>
      <c r="M814" s="616">
        <v>0.09</v>
      </c>
      <c r="N814" s="616">
        <v>0.27</v>
      </c>
      <c r="O814" s="616">
        <v>28.1</v>
      </c>
      <c r="P814" s="616">
        <v>31.79</v>
      </c>
    </row>
    <row r="815" spans="1:16" x14ac:dyDescent="0.3">
      <c r="A815" s="615">
        <v>39820</v>
      </c>
      <c r="B815" s="614" t="s">
        <v>1555</v>
      </c>
      <c r="C815" s="614" t="s">
        <v>369</v>
      </c>
      <c r="D815" s="614">
        <v>100</v>
      </c>
      <c r="E815" s="616">
        <v>110</v>
      </c>
      <c r="F815" s="616">
        <v>11000</v>
      </c>
      <c r="G815" s="614" t="s">
        <v>1757</v>
      </c>
      <c r="H815" s="614">
        <v>2009005</v>
      </c>
      <c r="I815" s="614" t="s">
        <v>199</v>
      </c>
      <c r="J815" s="614" t="s">
        <v>200</v>
      </c>
      <c r="K815" s="614" t="s">
        <v>201</v>
      </c>
      <c r="L815" s="616">
        <v>13.75</v>
      </c>
      <c r="M815" s="616">
        <v>0.39</v>
      </c>
      <c r="N815" s="616">
        <v>1.1000000000000001</v>
      </c>
      <c r="O815" s="616">
        <v>92.7</v>
      </c>
      <c r="P815" s="616">
        <v>107.94</v>
      </c>
    </row>
    <row r="816" spans="1:16" x14ac:dyDescent="0.3">
      <c r="A816" s="615">
        <v>39814</v>
      </c>
      <c r="B816" s="614" t="s">
        <v>1549</v>
      </c>
      <c r="C816" s="614" t="s">
        <v>369</v>
      </c>
      <c r="D816" s="614">
        <v>10</v>
      </c>
      <c r="E816" s="616">
        <v>788.26</v>
      </c>
      <c r="F816" s="616">
        <v>7882.6</v>
      </c>
      <c r="G816" s="614" t="s">
        <v>1758</v>
      </c>
      <c r="H816" s="614">
        <v>2009001</v>
      </c>
      <c r="I816" s="614" t="s">
        <v>199</v>
      </c>
      <c r="J816" s="614" t="s">
        <v>200</v>
      </c>
      <c r="K816" s="614" t="s">
        <v>201</v>
      </c>
      <c r="L816" s="616">
        <v>9.85</v>
      </c>
      <c r="M816" s="616">
        <v>0.28000000000000003</v>
      </c>
      <c r="N816" s="616">
        <v>0.79</v>
      </c>
      <c r="O816" s="616">
        <v>66.430000000000007</v>
      </c>
      <c r="P816" s="616">
        <v>77.34</v>
      </c>
    </row>
    <row r="817" spans="1:16" x14ac:dyDescent="0.3">
      <c r="A817" s="615">
        <v>39806</v>
      </c>
      <c r="B817" s="614" t="s">
        <v>1551</v>
      </c>
      <c r="C817" s="614" t="s">
        <v>369</v>
      </c>
      <c r="D817" s="614">
        <v>8</v>
      </c>
      <c r="E817" s="616">
        <v>1189.5</v>
      </c>
      <c r="F817" s="616">
        <v>9516</v>
      </c>
      <c r="G817" s="614" t="s">
        <v>1759</v>
      </c>
      <c r="H817" s="614">
        <v>2008242</v>
      </c>
      <c r="I817" s="614" t="s">
        <v>199</v>
      </c>
      <c r="J817" s="614" t="s">
        <v>200</v>
      </c>
      <c r="K817" s="614" t="s">
        <v>201</v>
      </c>
      <c r="L817" s="616">
        <v>11.9</v>
      </c>
      <c r="M817" s="616">
        <v>0.33</v>
      </c>
      <c r="N817" s="616">
        <v>0.95</v>
      </c>
      <c r="O817" s="616">
        <v>80.19</v>
      </c>
      <c r="P817" s="616">
        <v>93.37</v>
      </c>
    </row>
    <row r="818" spans="1:16" x14ac:dyDescent="0.3">
      <c r="A818" s="615">
        <v>39792</v>
      </c>
      <c r="B818" s="614" t="s">
        <v>1559</v>
      </c>
      <c r="C818" s="614" t="s">
        <v>369</v>
      </c>
      <c r="D818" s="614">
        <v>7</v>
      </c>
      <c r="E818" s="616">
        <v>1180</v>
      </c>
      <c r="F818" s="616">
        <v>8260</v>
      </c>
      <c r="G818" s="614" t="s">
        <v>1760</v>
      </c>
      <c r="H818" s="614">
        <v>2008232</v>
      </c>
      <c r="I818" s="614" t="s">
        <v>199</v>
      </c>
      <c r="J818" s="614" t="s">
        <v>200</v>
      </c>
      <c r="K818" s="614" t="s">
        <v>201</v>
      </c>
      <c r="L818" s="616">
        <v>10.33</v>
      </c>
      <c r="M818" s="616">
        <v>0.28999999999999998</v>
      </c>
      <c r="N818" s="616">
        <v>0.83</v>
      </c>
      <c r="O818" s="616">
        <v>69.61</v>
      </c>
      <c r="P818" s="616">
        <v>81.05</v>
      </c>
    </row>
    <row r="819" spans="1:16" x14ac:dyDescent="0.3">
      <c r="A819" s="615">
        <v>39784</v>
      </c>
      <c r="B819" s="614" t="s">
        <v>1561</v>
      </c>
      <c r="C819" s="614" t="s">
        <v>369</v>
      </c>
      <c r="D819" s="614">
        <v>50</v>
      </c>
      <c r="E819" s="616">
        <v>115.85</v>
      </c>
      <c r="F819" s="616">
        <v>5792.5</v>
      </c>
      <c r="G819" s="614" t="s">
        <v>1761</v>
      </c>
      <c r="H819" s="614">
        <v>2008227</v>
      </c>
      <c r="I819" s="614" t="s">
        <v>199</v>
      </c>
      <c r="J819" s="614" t="s">
        <v>3876</v>
      </c>
      <c r="K819" s="614" t="s">
        <v>201</v>
      </c>
      <c r="L819" s="616">
        <v>7.24</v>
      </c>
      <c r="M819" s="616">
        <v>0.21</v>
      </c>
      <c r="N819" s="616">
        <v>0.59</v>
      </c>
      <c r="O819" s="616">
        <v>48.82</v>
      </c>
      <c r="P819" s="616">
        <v>56.85</v>
      </c>
    </row>
    <row r="820" spans="1:16" x14ac:dyDescent="0.3">
      <c r="A820" s="615">
        <v>39783</v>
      </c>
      <c r="B820" s="614" t="s">
        <v>1555</v>
      </c>
      <c r="C820" s="614" t="s">
        <v>369</v>
      </c>
      <c r="D820" s="614">
        <v>150</v>
      </c>
      <c r="E820" s="616">
        <v>84.403999999999996</v>
      </c>
      <c r="F820" s="616">
        <v>12660.6</v>
      </c>
      <c r="G820" s="614" t="s">
        <v>1762</v>
      </c>
      <c r="H820" s="614">
        <v>200809166</v>
      </c>
      <c r="I820" s="614" t="s">
        <v>199</v>
      </c>
      <c r="J820" s="614" t="s">
        <v>200</v>
      </c>
      <c r="K820" s="614" t="s">
        <v>204</v>
      </c>
      <c r="L820" s="616">
        <v>15.83</v>
      </c>
      <c r="M820" s="616">
        <v>0.44</v>
      </c>
      <c r="N820" s="616">
        <v>1.27</v>
      </c>
      <c r="O820" s="616">
        <v>106.68</v>
      </c>
      <c r="P820" s="616">
        <v>124.21</v>
      </c>
    </row>
    <row r="821" spans="1:16" x14ac:dyDescent="0.3">
      <c r="A821" s="615">
        <v>39783</v>
      </c>
      <c r="B821" s="614" t="s">
        <v>1563</v>
      </c>
      <c r="C821" s="614" t="s">
        <v>369</v>
      </c>
      <c r="D821" s="614">
        <v>50</v>
      </c>
      <c r="E821" s="616">
        <v>112.9</v>
      </c>
      <c r="F821" s="616">
        <v>5645</v>
      </c>
      <c r="G821" s="614" t="s">
        <v>1763</v>
      </c>
      <c r="H821" s="614">
        <v>2008226</v>
      </c>
      <c r="I821" s="614" t="s">
        <v>199</v>
      </c>
      <c r="J821" s="614" t="s">
        <v>3876</v>
      </c>
      <c r="K821" s="614" t="s">
        <v>201</v>
      </c>
      <c r="L821" s="616">
        <v>7.06</v>
      </c>
      <c r="M821" s="616">
        <v>0.2</v>
      </c>
      <c r="N821" s="616">
        <v>0.56999999999999995</v>
      </c>
      <c r="O821" s="616">
        <v>47.58</v>
      </c>
      <c r="P821" s="616">
        <v>55.41</v>
      </c>
    </row>
    <row r="822" spans="1:16" x14ac:dyDescent="0.3">
      <c r="A822" s="615">
        <v>39778</v>
      </c>
      <c r="B822" s="614" t="s">
        <v>1585</v>
      </c>
      <c r="C822" s="614" t="s">
        <v>369</v>
      </c>
      <c r="D822" s="614">
        <v>100</v>
      </c>
      <c r="E822" s="616">
        <v>132.75</v>
      </c>
      <c r="F822" s="616">
        <v>13275</v>
      </c>
      <c r="G822" s="614" t="s">
        <v>1764</v>
      </c>
      <c r="H822" s="614">
        <v>2008224</v>
      </c>
      <c r="I822" s="614" t="s">
        <v>199</v>
      </c>
      <c r="J822" s="614" t="s">
        <v>3876</v>
      </c>
      <c r="K822" s="614" t="s">
        <v>201</v>
      </c>
      <c r="L822" s="616">
        <v>16.59</v>
      </c>
      <c r="M822" s="616">
        <v>0.46</v>
      </c>
      <c r="N822" s="616">
        <v>1.33</v>
      </c>
      <c r="O822" s="616">
        <v>111.87</v>
      </c>
      <c r="P822" s="616">
        <v>130.25</v>
      </c>
    </row>
    <row r="823" spans="1:16" x14ac:dyDescent="0.3">
      <c r="A823" s="615">
        <v>39776</v>
      </c>
      <c r="B823" s="614" t="s">
        <v>1532</v>
      </c>
      <c r="C823" s="614" t="s">
        <v>369</v>
      </c>
      <c r="D823" s="614">
        <v>190</v>
      </c>
      <c r="E823" s="616">
        <v>189</v>
      </c>
      <c r="F823" s="616">
        <v>35910</v>
      </c>
      <c r="G823" s="614" t="s">
        <v>1765</v>
      </c>
      <c r="H823" s="614">
        <v>2008222</v>
      </c>
      <c r="I823" s="614" t="s">
        <v>199</v>
      </c>
      <c r="J823" s="614" t="s">
        <v>200</v>
      </c>
      <c r="K823" s="614" t="s">
        <v>201</v>
      </c>
      <c r="L823" s="616">
        <v>44.89</v>
      </c>
      <c r="M823" s="616">
        <v>1.25</v>
      </c>
      <c r="N823" s="616">
        <v>3.59</v>
      </c>
      <c r="O823" s="616">
        <v>403.48</v>
      </c>
      <c r="P823" s="616">
        <v>453.22</v>
      </c>
    </row>
    <row r="824" spans="1:16" x14ac:dyDescent="0.3">
      <c r="A824" s="615">
        <v>39748</v>
      </c>
      <c r="B824" s="614" t="s">
        <v>282</v>
      </c>
      <c r="C824" s="614" t="s">
        <v>369</v>
      </c>
      <c r="D824" s="614">
        <v>1000</v>
      </c>
      <c r="E824" s="616">
        <v>9.75</v>
      </c>
      <c r="F824" s="616">
        <v>9750</v>
      </c>
      <c r="G824" s="614" t="s">
        <v>1766</v>
      </c>
      <c r="H824" s="614">
        <v>2008204</v>
      </c>
      <c r="I824" s="614" t="s">
        <v>199</v>
      </c>
      <c r="J824" s="614" t="s">
        <v>200</v>
      </c>
      <c r="K824" s="614" t="s">
        <v>201</v>
      </c>
      <c r="L824" s="616">
        <v>12.19</v>
      </c>
      <c r="M824" s="616">
        <v>0.3</v>
      </c>
      <c r="N824" s="616">
        <v>1</v>
      </c>
      <c r="O824" s="616">
        <v>82.1</v>
      </c>
      <c r="P824" s="616">
        <v>95.59</v>
      </c>
    </row>
    <row r="825" spans="1:16" x14ac:dyDescent="0.3">
      <c r="A825" s="615">
        <v>39748</v>
      </c>
      <c r="B825" s="614" t="s">
        <v>282</v>
      </c>
      <c r="C825" s="614" t="s">
        <v>369</v>
      </c>
      <c r="D825" s="614">
        <v>1000</v>
      </c>
      <c r="E825" s="616">
        <v>10.4</v>
      </c>
      <c r="F825" s="616">
        <v>10400</v>
      </c>
      <c r="G825" s="614" t="s">
        <v>1767</v>
      </c>
      <c r="H825" s="614">
        <v>2008204</v>
      </c>
      <c r="I825" s="614" t="s">
        <v>199</v>
      </c>
      <c r="J825" s="614" t="s">
        <v>200</v>
      </c>
      <c r="K825" s="614" t="s">
        <v>201</v>
      </c>
      <c r="L825" s="616">
        <v>13</v>
      </c>
      <c r="M825" s="616">
        <v>0.4</v>
      </c>
      <c r="N825" s="616">
        <v>1</v>
      </c>
      <c r="O825" s="616">
        <v>87.6</v>
      </c>
      <c r="P825" s="616">
        <v>102</v>
      </c>
    </row>
    <row r="826" spans="1:16" x14ac:dyDescent="0.3">
      <c r="A826" s="615">
        <v>39728</v>
      </c>
      <c r="B826" s="614" t="s">
        <v>1563</v>
      </c>
      <c r="C826" s="614" t="s">
        <v>369</v>
      </c>
      <c r="D826" s="614">
        <v>50</v>
      </c>
      <c r="E826" s="616">
        <v>277</v>
      </c>
      <c r="F826" s="616">
        <v>13850</v>
      </c>
      <c r="G826" s="614" t="s">
        <v>1768</v>
      </c>
      <c r="H826" s="614">
        <v>2008191</v>
      </c>
      <c r="I826" s="614" t="s">
        <v>199</v>
      </c>
      <c r="J826" s="614" t="s">
        <v>200</v>
      </c>
      <c r="K826" s="614" t="s">
        <v>201</v>
      </c>
      <c r="L826" s="616">
        <v>17.309999999999999</v>
      </c>
      <c r="M826" s="616">
        <v>0.49</v>
      </c>
      <c r="N826" s="616">
        <v>1.39</v>
      </c>
      <c r="O826" s="616">
        <v>116.72</v>
      </c>
      <c r="P826" s="616">
        <v>135.9</v>
      </c>
    </row>
    <row r="827" spans="1:16" x14ac:dyDescent="0.3">
      <c r="A827" s="615">
        <v>39728</v>
      </c>
      <c r="B827" s="614" t="s">
        <v>1588</v>
      </c>
      <c r="C827" s="614" t="s">
        <v>369</v>
      </c>
      <c r="D827" s="614">
        <v>100</v>
      </c>
      <c r="E827" s="616">
        <v>85.581999999999994</v>
      </c>
      <c r="F827" s="616">
        <v>8558.2000000000007</v>
      </c>
      <c r="G827" s="614" t="s">
        <v>1769</v>
      </c>
      <c r="H827" s="614">
        <v>2008191</v>
      </c>
      <c r="I827" s="614" t="s">
        <v>199</v>
      </c>
      <c r="J827" s="614" t="s">
        <v>200</v>
      </c>
      <c r="K827" s="614" t="s">
        <v>201</v>
      </c>
      <c r="L827" s="616">
        <v>10.7</v>
      </c>
      <c r="M827" s="616">
        <v>0.3</v>
      </c>
      <c r="N827" s="616">
        <v>0.86</v>
      </c>
      <c r="O827" s="616">
        <v>72.11</v>
      </c>
      <c r="P827" s="616">
        <v>83.97</v>
      </c>
    </row>
    <row r="828" spans="1:16" x14ac:dyDescent="0.3">
      <c r="A828" s="615">
        <v>39710</v>
      </c>
      <c r="B828" s="614" t="s">
        <v>1588</v>
      </c>
      <c r="C828" s="614" t="s">
        <v>369</v>
      </c>
      <c r="D828" s="614">
        <v>100</v>
      </c>
      <c r="E828" s="616">
        <v>102.2</v>
      </c>
      <c r="F828" s="616">
        <v>10220</v>
      </c>
      <c r="G828" s="614" t="s">
        <v>1770</v>
      </c>
      <c r="H828" s="614">
        <v>2008180</v>
      </c>
      <c r="I828" s="614" t="s">
        <v>199</v>
      </c>
      <c r="J828" s="614" t="s">
        <v>3876</v>
      </c>
      <c r="K828" s="614" t="s">
        <v>201</v>
      </c>
      <c r="L828" s="616">
        <v>12.78</v>
      </c>
      <c r="M828" s="616">
        <v>0.36</v>
      </c>
      <c r="N828" s="616">
        <v>1.02</v>
      </c>
      <c r="O828" s="616">
        <v>86.12</v>
      </c>
      <c r="P828" s="616">
        <v>100.28</v>
      </c>
    </row>
    <row r="829" spans="1:16" x14ac:dyDescent="0.3">
      <c r="A829" s="615">
        <v>39710</v>
      </c>
      <c r="B829" s="614" t="s">
        <v>1058</v>
      </c>
      <c r="C829" s="614" t="s">
        <v>369</v>
      </c>
      <c r="D829" s="614">
        <v>100</v>
      </c>
      <c r="E829" s="616">
        <v>161.35</v>
      </c>
      <c r="F829" s="616">
        <v>16135</v>
      </c>
      <c r="G829" s="614" t="s">
        <v>1771</v>
      </c>
      <c r="H829" s="614">
        <v>2008180</v>
      </c>
      <c r="I829" s="614" t="s">
        <v>199</v>
      </c>
      <c r="J829" s="614" t="s">
        <v>200</v>
      </c>
      <c r="K829" s="614" t="s">
        <v>201</v>
      </c>
      <c r="L829" s="616">
        <v>20.170000000000002</v>
      </c>
      <c r="M829" s="616">
        <v>0.56000000000000005</v>
      </c>
      <c r="N829" s="616">
        <v>1.61</v>
      </c>
      <c r="O829" s="616">
        <v>135.97</v>
      </c>
      <c r="P829" s="616">
        <v>158.31</v>
      </c>
    </row>
    <row r="830" spans="1:16" x14ac:dyDescent="0.3">
      <c r="A830" s="615">
        <v>39710</v>
      </c>
      <c r="B830" s="614" t="s">
        <v>1526</v>
      </c>
      <c r="C830" s="614" t="s">
        <v>369</v>
      </c>
      <c r="D830" s="614">
        <v>161</v>
      </c>
      <c r="E830" s="616">
        <v>135</v>
      </c>
      <c r="F830" s="616">
        <v>21735</v>
      </c>
      <c r="G830" s="614" t="s">
        <v>1772</v>
      </c>
      <c r="H830" s="614">
        <v>2008180</v>
      </c>
      <c r="I830" s="614" t="s">
        <v>199</v>
      </c>
      <c r="J830" s="614" t="s">
        <v>200</v>
      </c>
      <c r="K830" s="614" t="s">
        <v>201</v>
      </c>
      <c r="L830" s="616">
        <v>27.17</v>
      </c>
      <c r="M830" s="616">
        <v>0.76</v>
      </c>
      <c r="N830" s="616">
        <v>2.17</v>
      </c>
      <c r="O830" s="616">
        <v>183.15</v>
      </c>
      <c r="P830" s="616">
        <v>213.25</v>
      </c>
    </row>
    <row r="831" spans="1:16" x14ac:dyDescent="0.3">
      <c r="A831" s="615">
        <v>39710</v>
      </c>
      <c r="B831" s="614" t="s">
        <v>1526</v>
      </c>
      <c r="C831" s="614" t="s">
        <v>369</v>
      </c>
      <c r="D831" s="614">
        <v>29</v>
      </c>
      <c r="E831" s="616">
        <v>135</v>
      </c>
      <c r="F831" s="616">
        <v>3915</v>
      </c>
      <c r="G831" s="614" t="s">
        <v>1773</v>
      </c>
      <c r="H831" s="614">
        <v>2008180</v>
      </c>
      <c r="I831" s="614" t="s">
        <v>199</v>
      </c>
      <c r="J831" s="614" t="s">
        <v>3876</v>
      </c>
      <c r="K831" s="614" t="s">
        <v>201</v>
      </c>
      <c r="L831" s="616">
        <v>4.8899999999999997</v>
      </c>
      <c r="M831" s="616">
        <v>0.14000000000000001</v>
      </c>
      <c r="N831" s="616">
        <v>0.39</v>
      </c>
      <c r="O831" s="616">
        <v>32.99</v>
      </c>
      <c r="P831" s="616">
        <v>38.4</v>
      </c>
    </row>
    <row r="832" spans="1:16" x14ac:dyDescent="0.3">
      <c r="A832" s="615">
        <v>39703</v>
      </c>
      <c r="B832" s="614" t="s">
        <v>1663</v>
      </c>
      <c r="C832" s="614" t="s">
        <v>369</v>
      </c>
      <c r="D832" s="614">
        <v>300</v>
      </c>
      <c r="E832" s="616">
        <v>12.35</v>
      </c>
      <c r="F832" s="616">
        <v>3705</v>
      </c>
      <c r="G832" s="614" t="s">
        <v>1774</v>
      </c>
      <c r="H832" s="614">
        <v>200809115</v>
      </c>
      <c r="I832" s="614" t="s">
        <v>307</v>
      </c>
      <c r="J832" s="614" t="s">
        <v>200</v>
      </c>
      <c r="K832" s="614" t="s">
        <v>204</v>
      </c>
      <c r="L832" s="616">
        <v>4.63</v>
      </c>
      <c r="M832" s="616">
        <v>0</v>
      </c>
      <c r="N832" s="616">
        <v>0</v>
      </c>
      <c r="O832" s="616">
        <v>31.2</v>
      </c>
      <c r="P832" s="616">
        <v>35.83</v>
      </c>
    </row>
    <row r="833" spans="1:16" x14ac:dyDescent="0.3">
      <c r="A833" s="615">
        <v>39703</v>
      </c>
      <c r="B833" s="614" t="s">
        <v>1675</v>
      </c>
      <c r="C833" s="614" t="s">
        <v>369</v>
      </c>
      <c r="D833" s="614">
        <v>200</v>
      </c>
      <c r="E833" s="616">
        <v>11.3</v>
      </c>
      <c r="F833" s="616">
        <v>2260</v>
      </c>
      <c r="G833" s="614" t="s">
        <v>1775</v>
      </c>
      <c r="H833" s="614">
        <v>200809115</v>
      </c>
      <c r="I833" s="614" t="s">
        <v>199</v>
      </c>
      <c r="J833" s="614" t="s">
        <v>200</v>
      </c>
      <c r="K833" s="614" t="s">
        <v>204</v>
      </c>
      <c r="L833" s="616">
        <v>2.83</v>
      </c>
      <c r="M833" s="616">
        <v>0</v>
      </c>
      <c r="N833" s="616">
        <v>0</v>
      </c>
      <c r="O833" s="616">
        <v>28.1</v>
      </c>
      <c r="P833" s="616">
        <v>30.93</v>
      </c>
    </row>
    <row r="834" spans="1:16" x14ac:dyDescent="0.3">
      <c r="A834" s="615">
        <v>39700</v>
      </c>
      <c r="B834" s="614" t="s">
        <v>1601</v>
      </c>
      <c r="C834" s="614" t="s">
        <v>369</v>
      </c>
      <c r="D834" s="614">
        <v>200</v>
      </c>
      <c r="E834" s="616">
        <v>76.849999999999994</v>
      </c>
      <c r="F834" s="616">
        <v>15370</v>
      </c>
      <c r="G834" s="614" t="s">
        <v>1776</v>
      </c>
      <c r="H834" s="614">
        <v>2008172</v>
      </c>
      <c r="I834" s="614" t="s">
        <v>199</v>
      </c>
      <c r="J834" s="614" t="s">
        <v>200</v>
      </c>
      <c r="K834" s="614" t="s">
        <v>201</v>
      </c>
      <c r="L834" s="616">
        <v>19.21</v>
      </c>
      <c r="M834" s="616">
        <v>0</v>
      </c>
      <c r="N834" s="616">
        <v>0</v>
      </c>
      <c r="O834" s="616">
        <v>129.52000000000001</v>
      </c>
      <c r="P834" s="616">
        <v>148.72999999999999</v>
      </c>
    </row>
    <row r="835" spans="1:16" x14ac:dyDescent="0.3">
      <c r="A835" s="615">
        <v>39689</v>
      </c>
      <c r="B835" s="614" t="s">
        <v>1605</v>
      </c>
      <c r="C835" s="614" t="s">
        <v>369</v>
      </c>
      <c r="D835" s="614">
        <v>5</v>
      </c>
      <c r="E835" s="616">
        <v>2092.4499999999998</v>
      </c>
      <c r="F835" s="616">
        <v>10462.25</v>
      </c>
      <c r="G835" s="614" t="s">
        <v>1777</v>
      </c>
      <c r="H835" s="614">
        <v>2008166</v>
      </c>
      <c r="I835" s="614" t="s">
        <v>199</v>
      </c>
      <c r="J835" s="614" t="s">
        <v>200</v>
      </c>
      <c r="K835" s="614" t="s">
        <v>201</v>
      </c>
      <c r="L835" s="616">
        <v>13.08</v>
      </c>
      <c r="M835" s="616">
        <v>0</v>
      </c>
      <c r="N835" s="616">
        <v>0</v>
      </c>
      <c r="O835" s="616">
        <v>88.17</v>
      </c>
      <c r="P835" s="616">
        <v>101.25</v>
      </c>
    </row>
    <row r="836" spans="1:16" x14ac:dyDescent="0.3">
      <c r="A836" s="615">
        <v>39681</v>
      </c>
      <c r="B836" s="614" t="s">
        <v>1512</v>
      </c>
      <c r="C836" s="614" t="s">
        <v>369</v>
      </c>
      <c r="D836" s="614">
        <v>20</v>
      </c>
      <c r="E836" s="616">
        <v>337.95</v>
      </c>
      <c r="F836" s="616">
        <v>6759</v>
      </c>
      <c r="G836" s="614" t="s">
        <v>1778</v>
      </c>
      <c r="H836" s="614">
        <v>2008160</v>
      </c>
      <c r="I836" s="614" t="s">
        <v>199</v>
      </c>
      <c r="J836" s="614" t="s">
        <v>200</v>
      </c>
      <c r="K836" s="614" t="s">
        <v>201</v>
      </c>
      <c r="L836" s="616">
        <v>8.4499999999999993</v>
      </c>
      <c r="M836" s="616">
        <v>0</v>
      </c>
      <c r="N836" s="616">
        <v>0</v>
      </c>
      <c r="O836" s="616">
        <v>56.96</v>
      </c>
      <c r="P836" s="616">
        <v>65.41</v>
      </c>
    </row>
    <row r="837" spans="1:16" x14ac:dyDescent="0.3">
      <c r="A837" s="615">
        <v>39680</v>
      </c>
      <c r="B837" s="614" t="s">
        <v>1512</v>
      </c>
      <c r="C837" s="614" t="s">
        <v>369</v>
      </c>
      <c r="D837" s="614">
        <v>10</v>
      </c>
      <c r="E837" s="616">
        <v>348</v>
      </c>
      <c r="F837" s="616">
        <v>3480</v>
      </c>
      <c r="G837" s="614" t="s">
        <v>1779</v>
      </c>
      <c r="H837" s="614">
        <v>2008159</v>
      </c>
      <c r="I837" s="614" t="s">
        <v>199</v>
      </c>
      <c r="J837" s="614" t="s">
        <v>200</v>
      </c>
      <c r="K837" s="614" t="s">
        <v>201</v>
      </c>
      <c r="L837" s="616">
        <v>4.3499999999999996</v>
      </c>
      <c r="M837" s="616">
        <v>0</v>
      </c>
      <c r="N837" s="616">
        <v>0</v>
      </c>
      <c r="O837" s="616">
        <v>29.33</v>
      </c>
      <c r="P837" s="616">
        <v>33.68</v>
      </c>
    </row>
    <row r="838" spans="1:16" x14ac:dyDescent="0.3">
      <c r="A838" s="615">
        <v>39679</v>
      </c>
      <c r="B838" s="614" t="s">
        <v>1681</v>
      </c>
      <c r="C838" s="614" t="s">
        <v>369</v>
      </c>
      <c r="D838" s="614">
        <v>50</v>
      </c>
      <c r="E838" s="616">
        <v>91.7</v>
      </c>
      <c r="F838" s="616">
        <v>4585</v>
      </c>
      <c r="G838" s="614" t="s">
        <v>1780</v>
      </c>
      <c r="H838" s="614">
        <v>2008158</v>
      </c>
      <c r="I838" s="614" t="s">
        <v>307</v>
      </c>
      <c r="J838" s="614" t="s">
        <v>200</v>
      </c>
      <c r="K838" s="614" t="s">
        <v>201</v>
      </c>
      <c r="L838" s="616">
        <v>5.73</v>
      </c>
      <c r="M838" s="616">
        <v>0</v>
      </c>
      <c r="N838" s="616">
        <v>0</v>
      </c>
      <c r="O838" s="616">
        <v>38.64</v>
      </c>
      <c r="P838" s="616">
        <v>44.37</v>
      </c>
    </row>
    <row r="839" spans="1:16" x14ac:dyDescent="0.3">
      <c r="A839" s="615">
        <v>39673</v>
      </c>
      <c r="B839" s="614" t="s">
        <v>1677</v>
      </c>
      <c r="C839" s="614" t="s">
        <v>369</v>
      </c>
      <c r="D839" s="614">
        <v>75</v>
      </c>
      <c r="E839" s="616">
        <v>65.7</v>
      </c>
      <c r="F839" s="616">
        <v>4927.5</v>
      </c>
      <c r="G839" s="614" t="s">
        <v>1781</v>
      </c>
      <c r="H839" s="614">
        <v>200809095</v>
      </c>
      <c r="I839" s="614" t="s">
        <v>307</v>
      </c>
      <c r="J839" s="614" t="s">
        <v>200</v>
      </c>
      <c r="K839" s="614" t="s">
        <v>204</v>
      </c>
      <c r="L839" s="616">
        <v>6.16</v>
      </c>
      <c r="M839" s="616">
        <v>0</v>
      </c>
      <c r="N839" s="616">
        <v>0</v>
      </c>
      <c r="O839" s="616">
        <v>41.53</v>
      </c>
      <c r="P839" s="616">
        <v>47.69</v>
      </c>
    </row>
    <row r="840" spans="1:16" x14ac:dyDescent="0.3">
      <c r="A840" s="615">
        <v>39665</v>
      </c>
      <c r="B840" s="614" t="s">
        <v>1553</v>
      </c>
      <c r="C840" s="614" t="s">
        <v>369</v>
      </c>
      <c r="D840" s="614">
        <v>81</v>
      </c>
      <c r="E840" s="616">
        <v>204</v>
      </c>
      <c r="F840" s="616">
        <v>16524</v>
      </c>
      <c r="G840" s="614" t="s">
        <v>1782</v>
      </c>
      <c r="H840" s="614">
        <v>2008149</v>
      </c>
      <c r="I840" s="614" t="s">
        <v>199</v>
      </c>
      <c r="J840" s="614" t="s">
        <v>200</v>
      </c>
      <c r="K840" s="614" t="s">
        <v>201</v>
      </c>
      <c r="L840" s="616">
        <v>20.66</v>
      </c>
      <c r="M840" s="616">
        <v>0</v>
      </c>
      <c r="N840" s="616">
        <v>0</v>
      </c>
      <c r="O840" s="616">
        <v>139.25</v>
      </c>
      <c r="P840" s="616">
        <v>159.91</v>
      </c>
    </row>
    <row r="841" spans="1:16" x14ac:dyDescent="0.3">
      <c r="A841" s="615">
        <v>39665</v>
      </c>
      <c r="B841" s="614" t="s">
        <v>1553</v>
      </c>
      <c r="C841" s="614" t="s">
        <v>369</v>
      </c>
      <c r="D841" s="614">
        <v>19</v>
      </c>
      <c r="E841" s="616">
        <v>204.95</v>
      </c>
      <c r="F841" s="616">
        <v>3894.05</v>
      </c>
      <c r="G841" s="614" t="s">
        <v>1783</v>
      </c>
      <c r="H841" s="614">
        <v>2008149</v>
      </c>
      <c r="I841" s="614" t="s">
        <v>199</v>
      </c>
      <c r="J841" s="614" t="s">
        <v>200</v>
      </c>
      <c r="K841" s="614" t="s">
        <v>201</v>
      </c>
      <c r="L841" s="616">
        <v>4.87</v>
      </c>
      <c r="M841" s="616">
        <v>0</v>
      </c>
      <c r="N841" s="616">
        <v>0</v>
      </c>
      <c r="O841" s="616">
        <v>32.81</v>
      </c>
      <c r="P841" s="616">
        <v>37.68</v>
      </c>
    </row>
    <row r="842" spans="1:16" x14ac:dyDescent="0.3">
      <c r="A842" s="615">
        <v>39665</v>
      </c>
      <c r="B842" s="614" t="s">
        <v>1608</v>
      </c>
      <c r="C842" s="614" t="s">
        <v>369</v>
      </c>
      <c r="D842" s="614">
        <v>8</v>
      </c>
      <c r="E842" s="616">
        <v>351</v>
      </c>
      <c r="F842" s="616">
        <v>2808</v>
      </c>
      <c r="G842" s="614" t="s">
        <v>1784</v>
      </c>
      <c r="H842" s="614">
        <v>2008149</v>
      </c>
      <c r="I842" s="614" t="s">
        <v>199</v>
      </c>
      <c r="J842" s="614" t="s">
        <v>200</v>
      </c>
      <c r="K842" s="614" t="s">
        <v>201</v>
      </c>
      <c r="L842" s="616">
        <v>3.51</v>
      </c>
      <c r="M842" s="616">
        <v>0</v>
      </c>
      <c r="N842" s="616">
        <v>0</v>
      </c>
      <c r="O842" s="616">
        <v>28.09</v>
      </c>
      <c r="P842" s="616">
        <v>31.6</v>
      </c>
    </row>
    <row r="843" spans="1:16" x14ac:dyDescent="0.3">
      <c r="A843" s="615">
        <v>39664</v>
      </c>
      <c r="B843" s="614" t="s">
        <v>1608</v>
      </c>
      <c r="C843" s="614" t="s">
        <v>369</v>
      </c>
      <c r="D843" s="614">
        <v>20</v>
      </c>
      <c r="E843" s="616">
        <v>344.2</v>
      </c>
      <c r="F843" s="616">
        <v>6884</v>
      </c>
      <c r="G843" s="614" t="s">
        <v>1785</v>
      </c>
      <c r="H843" s="614">
        <v>2008148</v>
      </c>
      <c r="I843" s="614" t="s">
        <v>199</v>
      </c>
      <c r="J843" s="614" t="s">
        <v>200</v>
      </c>
      <c r="K843" s="614" t="s">
        <v>201</v>
      </c>
      <c r="L843" s="616">
        <v>8.61</v>
      </c>
      <c r="M843" s="616">
        <v>0</v>
      </c>
      <c r="N843" s="616">
        <v>0</v>
      </c>
      <c r="O843" s="616">
        <v>58.01</v>
      </c>
      <c r="P843" s="616">
        <v>66.62</v>
      </c>
    </row>
    <row r="844" spans="1:16" x14ac:dyDescent="0.3">
      <c r="A844" s="615">
        <v>39654</v>
      </c>
      <c r="B844" s="614" t="s">
        <v>1526</v>
      </c>
      <c r="C844" s="614" t="s">
        <v>369</v>
      </c>
      <c r="D844" s="614">
        <v>100</v>
      </c>
      <c r="E844" s="616">
        <v>164.4</v>
      </c>
      <c r="F844" s="616">
        <v>16440</v>
      </c>
      <c r="G844" s="614" t="s">
        <v>1786</v>
      </c>
      <c r="H844" s="614">
        <v>2008142</v>
      </c>
      <c r="I844" s="614" t="s">
        <v>199</v>
      </c>
      <c r="J844" s="614" t="s">
        <v>200</v>
      </c>
      <c r="K844" s="614" t="s">
        <v>201</v>
      </c>
      <c r="L844" s="616">
        <v>20.55</v>
      </c>
      <c r="M844" s="616">
        <v>0</v>
      </c>
      <c r="N844" s="616">
        <v>0</v>
      </c>
      <c r="O844" s="616">
        <v>138.54</v>
      </c>
      <c r="P844" s="616">
        <v>159.09</v>
      </c>
    </row>
    <row r="845" spans="1:16" x14ac:dyDescent="0.3">
      <c r="A845" s="615">
        <v>39646</v>
      </c>
      <c r="B845" s="614" t="s">
        <v>1526</v>
      </c>
      <c r="C845" s="614" t="s">
        <v>369</v>
      </c>
      <c r="D845" s="614">
        <v>50</v>
      </c>
      <c r="E845" s="616">
        <v>146</v>
      </c>
      <c r="F845" s="616">
        <v>7300</v>
      </c>
      <c r="G845" s="614" t="s">
        <v>1787</v>
      </c>
      <c r="H845" s="614">
        <v>2008136</v>
      </c>
      <c r="I845" s="614" t="s">
        <v>199</v>
      </c>
      <c r="J845" s="614" t="s">
        <v>3876</v>
      </c>
      <c r="K845" s="614" t="s">
        <v>201</v>
      </c>
      <c r="L845" s="616">
        <v>9.1300000000000008</v>
      </c>
      <c r="M845" s="616">
        <v>0</v>
      </c>
      <c r="N845" s="616">
        <v>0</v>
      </c>
      <c r="O845" s="616">
        <v>61.52</v>
      </c>
      <c r="P845" s="616">
        <v>70.650000000000006</v>
      </c>
    </row>
    <row r="846" spans="1:16" x14ac:dyDescent="0.3">
      <c r="A846" s="615">
        <v>39646</v>
      </c>
      <c r="B846" s="614" t="s">
        <v>1585</v>
      </c>
      <c r="C846" s="614" t="s">
        <v>369</v>
      </c>
      <c r="D846" s="614">
        <v>25</v>
      </c>
      <c r="E846" s="616">
        <v>203.75</v>
      </c>
      <c r="F846" s="616">
        <v>5093.75</v>
      </c>
      <c r="G846" s="614" t="s">
        <v>1788</v>
      </c>
      <c r="H846" s="614">
        <v>2008136</v>
      </c>
      <c r="I846" s="614" t="s">
        <v>199</v>
      </c>
      <c r="J846" s="614" t="s">
        <v>3876</v>
      </c>
      <c r="K846" s="614" t="s">
        <v>201</v>
      </c>
      <c r="L846" s="616">
        <v>6.37</v>
      </c>
      <c r="M846" s="616">
        <v>0</v>
      </c>
      <c r="N846" s="616">
        <v>0</v>
      </c>
      <c r="O846" s="616">
        <v>42.93</v>
      </c>
      <c r="P846" s="616">
        <v>49.3</v>
      </c>
    </row>
    <row r="847" spans="1:16" x14ac:dyDescent="0.3">
      <c r="A847" s="615">
        <v>39646</v>
      </c>
      <c r="B847" s="614" t="s">
        <v>1510</v>
      </c>
      <c r="C847" s="614" t="s">
        <v>369</v>
      </c>
      <c r="D847" s="614">
        <v>5</v>
      </c>
      <c r="E847" s="616">
        <v>1275</v>
      </c>
      <c r="F847" s="616">
        <v>6375</v>
      </c>
      <c r="G847" s="614" t="s">
        <v>1789</v>
      </c>
      <c r="H847" s="614">
        <v>2008136</v>
      </c>
      <c r="I847" s="614" t="s">
        <v>199</v>
      </c>
      <c r="J847" s="614" t="s">
        <v>3876</v>
      </c>
      <c r="K847" s="614" t="s">
        <v>201</v>
      </c>
      <c r="L847" s="616">
        <v>7.97</v>
      </c>
      <c r="M847" s="616">
        <v>0</v>
      </c>
      <c r="N847" s="616">
        <v>0</v>
      </c>
      <c r="O847" s="616">
        <v>53.72</v>
      </c>
      <c r="P847" s="616">
        <v>61.69</v>
      </c>
    </row>
    <row r="848" spans="1:16" x14ac:dyDescent="0.3">
      <c r="A848" s="615">
        <v>39633</v>
      </c>
      <c r="B848" s="614" t="s">
        <v>1657</v>
      </c>
      <c r="C848" s="614" t="s">
        <v>369</v>
      </c>
      <c r="D848" s="614">
        <v>50</v>
      </c>
      <c r="E848" s="616">
        <v>86.5</v>
      </c>
      <c r="F848" s="616">
        <v>4325</v>
      </c>
      <c r="G848" s="614" t="s">
        <v>1790</v>
      </c>
      <c r="H848" s="614">
        <v>2008127</v>
      </c>
      <c r="I848" s="614" t="s">
        <v>199</v>
      </c>
      <c r="J848" s="614" t="s">
        <v>200</v>
      </c>
      <c r="K848" s="614" t="s">
        <v>201</v>
      </c>
      <c r="L848" s="616">
        <v>5.41</v>
      </c>
      <c r="M848" s="616">
        <v>0</v>
      </c>
      <c r="N848" s="616">
        <v>0</v>
      </c>
      <c r="O848" s="616">
        <v>36.450000000000003</v>
      </c>
      <c r="P848" s="616">
        <v>41.86</v>
      </c>
    </row>
    <row r="849" spans="1:16" x14ac:dyDescent="0.3">
      <c r="A849" s="615">
        <v>39633</v>
      </c>
      <c r="B849" s="614" t="s">
        <v>1585</v>
      </c>
      <c r="C849" s="614" t="s">
        <v>369</v>
      </c>
      <c r="D849" s="614">
        <v>25</v>
      </c>
      <c r="E849" s="616">
        <v>225.2</v>
      </c>
      <c r="F849" s="616">
        <v>5630</v>
      </c>
      <c r="G849" s="614" t="s">
        <v>1791</v>
      </c>
      <c r="H849" s="614">
        <v>2008127</v>
      </c>
      <c r="I849" s="614" t="s">
        <v>199</v>
      </c>
      <c r="J849" s="614" t="s">
        <v>200</v>
      </c>
      <c r="K849" s="614" t="s">
        <v>201</v>
      </c>
      <c r="L849" s="616">
        <v>7.04</v>
      </c>
      <c r="M849" s="616">
        <v>0</v>
      </c>
      <c r="N849" s="616">
        <v>0</v>
      </c>
      <c r="O849" s="616">
        <v>47.45</v>
      </c>
      <c r="P849" s="616">
        <v>54.49</v>
      </c>
    </row>
    <row r="850" spans="1:16" x14ac:dyDescent="0.3">
      <c r="A850" s="615">
        <v>39633</v>
      </c>
      <c r="B850" s="614" t="s">
        <v>1526</v>
      </c>
      <c r="C850" s="614" t="s">
        <v>369</v>
      </c>
      <c r="D850" s="614">
        <v>50</v>
      </c>
      <c r="E850" s="616">
        <v>153.69999999999999</v>
      </c>
      <c r="F850" s="616">
        <v>7685</v>
      </c>
      <c r="G850" s="614" t="s">
        <v>1792</v>
      </c>
      <c r="H850" s="614">
        <v>2008127</v>
      </c>
      <c r="I850" s="614" t="s">
        <v>199</v>
      </c>
      <c r="J850" s="614" t="s">
        <v>200</v>
      </c>
      <c r="K850" s="614" t="s">
        <v>201</v>
      </c>
      <c r="L850" s="616">
        <v>9.61</v>
      </c>
      <c r="M850" s="616">
        <v>0</v>
      </c>
      <c r="N850" s="616">
        <v>0</v>
      </c>
      <c r="O850" s="616">
        <v>64.77</v>
      </c>
      <c r="P850" s="616">
        <v>74.38</v>
      </c>
    </row>
    <row r="851" spans="1:16" x14ac:dyDescent="0.3">
      <c r="A851" s="615">
        <v>39632</v>
      </c>
      <c r="B851" s="614" t="s">
        <v>1653</v>
      </c>
      <c r="C851" s="614" t="s">
        <v>369</v>
      </c>
      <c r="D851" s="614">
        <v>150</v>
      </c>
      <c r="E851" s="616">
        <v>30.75</v>
      </c>
      <c r="F851" s="616">
        <v>4612.5</v>
      </c>
      <c r="G851" s="614" t="s">
        <v>1793</v>
      </c>
      <c r="H851" s="614">
        <v>2008126</v>
      </c>
      <c r="I851" s="614" t="s">
        <v>199</v>
      </c>
      <c r="J851" s="614" t="s">
        <v>200</v>
      </c>
      <c r="K851" s="614" t="s">
        <v>201</v>
      </c>
      <c r="L851" s="616">
        <v>5.77</v>
      </c>
      <c r="M851" s="616">
        <v>0</v>
      </c>
      <c r="N851" s="616">
        <v>0</v>
      </c>
      <c r="O851" s="616">
        <v>38.869999999999997</v>
      </c>
      <c r="P851" s="616">
        <v>44.64</v>
      </c>
    </row>
    <row r="852" spans="1:16" x14ac:dyDescent="0.3">
      <c r="A852" s="615">
        <v>39632</v>
      </c>
      <c r="B852" s="614" t="s">
        <v>1655</v>
      </c>
      <c r="C852" s="614" t="s">
        <v>369</v>
      </c>
      <c r="D852" s="614">
        <v>150</v>
      </c>
      <c r="E852" s="616">
        <v>21.75</v>
      </c>
      <c r="F852" s="616">
        <v>3262.5</v>
      </c>
      <c r="G852" s="614" t="s">
        <v>1794</v>
      </c>
      <c r="H852" s="614">
        <v>2008126</v>
      </c>
      <c r="I852" s="614" t="s">
        <v>199</v>
      </c>
      <c r="J852" s="614" t="s">
        <v>200</v>
      </c>
      <c r="K852" s="614" t="s">
        <v>201</v>
      </c>
      <c r="L852" s="616">
        <v>4.08</v>
      </c>
      <c r="M852" s="616">
        <v>0</v>
      </c>
      <c r="N852" s="616">
        <v>0</v>
      </c>
      <c r="O852" s="616">
        <v>28.1</v>
      </c>
      <c r="P852" s="616">
        <v>32.18</v>
      </c>
    </row>
    <row r="853" spans="1:16" x14ac:dyDescent="0.3">
      <c r="A853" s="615">
        <v>39629</v>
      </c>
      <c r="B853" s="614" t="s">
        <v>1074</v>
      </c>
      <c r="C853" s="614" t="s">
        <v>369</v>
      </c>
      <c r="D853" s="614">
        <v>100</v>
      </c>
      <c r="E853" s="616">
        <v>71.400000000000006</v>
      </c>
      <c r="F853" s="616">
        <v>7140</v>
      </c>
      <c r="G853" s="614" t="s">
        <v>1795</v>
      </c>
      <c r="H853" s="614">
        <v>2008123</v>
      </c>
      <c r="I853" s="614" t="s">
        <v>199</v>
      </c>
      <c r="J853" s="614" t="s">
        <v>200</v>
      </c>
      <c r="K853" s="614" t="s">
        <v>201</v>
      </c>
      <c r="L853" s="616">
        <v>8.93</v>
      </c>
      <c r="M853" s="616">
        <v>0</v>
      </c>
      <c r="N853" s="616">
        <v>0</v>
      </c>
      <c r="O853" s="616">
        <v>16.850000000000001</v>
      </c>
      <c r="P853" s="616">
        <v>25.78</v>
      </c>
    </row>
    <row r="854" spans="1:16" x14ac:dyDescent="0.3">
      <c r="A854" s="615">
        <v>39629</v>
      </c>
      <c r="B854" s="614" t="s">
        <v>1074</v>
      </c>
      <c r="C854" s="614" t="s">
        <v>369</v>
      </c>
      <c r="D854" s="614">
        <v>300</v>
      </c>
      <c r="E854" s="616">
        <v>71.3</v>
      </c>
      <c r="F854" s="616">
        <v>21390</v>
      </c>
      <c r="G854" s="614" t="s">
        <v>1796</v>
      </c>
      <c r="H854" s="614">
        <v>2008123</v>
      </c>
      <c r="I854" s="614" t="s">
        <v>199</v>
      </c>
      <c r="J854" s="614" t="s">
        <v>200</v>
      </c>
      <c r="K854" s="614" t="s">
        <v>201</v>
      </c>
      <c r="L854" s="616">
        <v>19.61</v>
      </c>
      <c r="M854" s="616">
        <v>0</v>
      </c>
      <c r="N854" s="616">
        <v>0</v>
      </c>
      <c r="O854" s="616">
        <v>180.28</v>
      </c>
      <c r="P854" s="616">
        <v>199.89</v>
      </c>
    </row>
    <row r="855" spans="1:16" x14ac:dyDescent="0.3">
      <c r="A855" s="615">
        <v>39629</v>
      </c>
      <c r="B855" s="614" t="s">
        <v>1526</v>
      </c>
      <c r="C855" s="614" t="s">
        <v>369</v>
      </c>
      <c r="D855" s="614">
        <v>25</v>
      </c>
      <c r="E855" s="616">
        <v>145</v>
      </c>
      <c r="F855" s="616">
        <v>3625</v>
      </c>
      <c r="G855" s="614" t="s">
        <v>1797</v>
      </c>
      <c r="H855" s="614">
        <v>2008123</v>
      </c>
      <c r="I855" s="614" t="s">
        <v>199</v>
      </c>
      <c r="J855" s="614" t="s">
        <v>200</v>
      </c>
      <c r="K855" s="614" t="s">
        <v>201</v>
      </c>
      <c r="L855" s="616">
        <v>4.53</v>
      </c>
      <c r="M855" s="616">
        <v>0</v>
      </c>
      <c r="N855" s="616">
        <v>0</v>
      </c>
      <c r="O855" s="616">
        <v>30.55</v>
      </c>
      <c r="P855" s="616">
        <v>35.08</v>
      </c>
    </row>
    <row r="856" spans="1:16" x14ac:dyDescent="0.3">
      <c r="A856" s="615">
        <v>39626</v>
      </c>
      <c r="B856" s="614" t="s">
        <v>1660</v>
      </c>
      <c r="C856" s="614" t="s">
        <v>369</v>
      </c>
      <c r="D856" s="614">
        <v>50</v>
      </c>
      <c r="E856" s="616">
        <v>195.5</v>
      </c>
      <c r="F856" s="616">
        <v>9775</v>
      </c>
      <c r="G856" s="614" t="s">
        <v>1798</v>
      </c>
      <c r="H856" s="614">
        <v>200809062</v>
      </c>
      <c r="I856" s="614" t="s">
        <v>199</v>
      </c>
      <c r="J856" s="614" t="s">
        <v>200</v>
      </c>
      <c r="K856" s="614" t="s">
        <v>204</v>
      </c>
      <c r="L856" s="616">
        <v>12.22</v>
      </c>
      <c r="M856" s="616">
        <v>0</v>
      </c>
      <c r="N856" s="616">
        <v>0</v>
      </c>
      <c r="O856" s="616">
        <v>82.38</v>
      </c>
      <c r="P856" s="616">
        <v>94.6</v>
      </c>
    </row>
    <row r="857" spans="1:16" x14ac:dyDescent="0.3">
      <c r="A857" s="615">
        <v>39626</v>
      </c>
      <c r="B857" s="614" t="s">
        <v>1653</v>
      </c>
      <c r="C857" s="614" t="s">
        <v>369</v>
      </c>
      <c r="D857" s="614">
        <v>210</v>
      </c>
      <c r="E857" s="616">
        <v>35.1</v>
      </c>
      <c r="F857" s="616">
        <v>7371</v>
      </c>
      <c r="G857" s="614" t="s">
        <v>1799</v>
      </c>
      <c r="H857" s="614">
        <v>2008122</v>
      </c>
      <c r="I857" s="614" t="s">
        <v>199</v>
      </c>
      <c r="J857" s="614" t="s">
        <v>200</v>
      </c>
      <c r="K857" s="614" t="s">
        <v>201</v>
      </c>
      <c r="L857" s="616">
        <v>9.2100000000000009</v>
      </c>
      <c r="M857" s="616">
        <v>0</v>
      </c>
      <c r="N857" s="616">
        <v>0</v>
      </c>
      <c r="O857" s="616">
        <v>62.12</v>
      </c>
      <c r="P857" s="616">
        <v>71.33</v>
      </c>
    </row>
    <row r="858" spans="1:16" x14ac:dyDescent="0.3">
      <c r="A858" s="615">
        <v>39622</v>
      </c>
      <c r="B858" s="614" t="s">
        <v>1107</v>
      </c>
      <c r="C858" s="614" t="s">
        <v>369</v>
      </c>
      <c r="D858" s="614">
        <v>100</v>
      </c>
      <c r="E858" s="616">
        <v>103</v>
      </c>
      <c r="F858" s="616">
        <v>10300</v>
      </c>
      <c r="G858" s="614" t="s">
        <v>1800</v>
      </c>
      <c r="H858" s="614">
        <v>2008118</v>
      </c>
      <c r="I858" s="614" t="s">
        <v>199</v>
      </c>
      <c r="J858" s="614" t="s">
        <v>200</v>
      </c>
      <c r="K858" s="614" t="s">
        <v>201</v>
      </c>
      <c r="L858" s="616">
        <v>12.88</v>
      </c>
      <c r="M858" s="616">
        <v>0</v>
      </c>
      <c r="N858" s="616">
        <v>0</v>
      </c>
      <c r="O858" s="616">
        <v>86.8</v>
      </c>
      <c r="P858" s="616">
        <v>99.68</v>
      </c>
    </row>
    <row r="859" spans="1:16" x14ac:dyDescent="0.3">
      <c r="A859" s="615">
        <v>39622</v>
      </c>
      <c r="B859" s="614" t="s">
        <v>1553</v>
      </c>
      <c r="C859" s="614" t="s">
        <v>369</v>
      </c>
      <c r="D859" s="614">
        <v>25</v>
      </c>
      <c r="E859" s="616">
        <v>218.4</v>
      </c>
      <c r="F859" s="616">
        <v>5460</v>
      </c>
      <c r="G859" s="614" t="s">
        <v>1801</v>
      </c>
      <c r="H859" s="614">
        <v>2008118</v>
      </c>
      <c r="I859" s="614" t="s">
        <v>199</v>
      </c>
      <c r="J859" s="614" t="s">
        <v>200</v>
      </c>
      <c r="K859" s="614" t="s">
        <v>201</v>
      </c>
      <c r="L859" s="616">
        <v>6.83</v>
      </c>
      <c r="M859" s="616">
        <v>0</v>
      </c>
      <c r="N859" s="616">
        <v>0</v>
      </c>
      <c r="O859" s="616">
        <v>46.01</v>
      </c>
      <c r="P859" s="616">
        <v>52.84</v>
      </c>
    </row>
    <row r="860" spans="1:16" x14ac:dyDescent="0.3">
      <c r="A860" s="615">
        <v>39608</v>
      </c>
      <c r="B860" s="614" t="s">
        <v>1683</v>
      </c>
      <c r="C860" s="614" t="s">
        <v>369</v>
      </c>
      <c r="D860" s="614">
        <v>100</v>
      </c>
      <c r="E860" s="616">
        <v>61.6</v>
      </c>
      <c r="F860" s="616">
        <v>6160</v>
      </c>
      <c r="G860" s="614" t="s">
        <v>1802</v>
      </c>
      <c r="H860" s="614">
        <v>200809048</v>
      </c>
      <c r="I860" s="614" t="s">
        <v>307</v>
      </c>
      <c r="J860" s="614" t="s">
        <v>200</v>
      </c>
      <c r="K860" s="614" t="s">
        <v>204</v>
      </c>
      <c r="L860" s="616">
        <v>7.7</v>
      </c>
      <c r="M860" s="616">
        <v>0</v>
      </c>
      <c r="N860" s="616">
        <v>0</v>
      </c>
      <c r="O860" s="616">
        <v>51.91</v>
      </c>
      <c r="P860" s="616">
        <v>59.61</v>
      </c>
    </row>
    <row r="861" spans="1:16" x14ac:dyDescent="0.3">
      <c r="A861" s="615">
        <v>39605</v>
      </c>
      <c r="B861" s="614" t="s">
        <v>1107</v>
      </c>
      <c r="C861" s="614" t="s">
        <v>369</v>
      </c>
      <c r="D861" s="614">
        <v>150</v>
      </c>
      <c r="E861" s="616">
        <v>105.7</v>
      </c>
      <c r="F861" s="616">
        <v>15855</v>
      </c>
      <c r="G861" s="614" t="s">
        <v>1803</v>
      </c>
      <c r="H861" s="614">
        <v>200809047</v>
      </c>
      <c r="I861" s="614" t="s">
        <v>199</v>
      </c>
      <c r="J861" s="614" t="s">
        <v>200</v>
      </c>
      <c r="K861" s="614" t="s">
        <v>204</v>
      </c>
      <c r="L861" s="616">
        <v>19.82</v>
      </c>
      <c r="M861" s="616">
        <v>0</v>
      </c>
      <c r="N861" s="616">
        <v>0</v>
      </c>
      <c r="O861" s="616">
        <v>133.62</v>
      </c>
      <c r="P861" s="616">
        <v>153.44</v>
      </c>
    </row>
    <row r="862" spans="1:16" x14ac:dyDescent="0.3">
      <c r="A862" s="615">
        <v>39605</v>
      </c>
      <c r="B862" s="614" t="s">
        <v>1683</v>
      </c>
      <c r="C862" s="614" t="s">
        <v>369</v>
      </c>
      <c r="D862" s="614">
        <v>95</v>
      </c>
      <c r="E862" s="616">
        <v>64.123699999999999</v>
      </c>
      <c r="F862" s="616">
        <v>6091.75</v>
      </c>
      <c r="G862" s="614" t="s">
        <v>1804</v>
      </c>
      <c r="H862" s="614">
        <v>200809047</v>
      </c>
      <c r="I862" s="614" t="s">
        <v>307</v>
      </c>
      <c r="J862" s="614" t="s">
        <v>200</v>
      </c>
      <c r="K862" s="614" t="s">
        <v>204</v>
      </c>
      <c r="L862" s="616">
        <v>7.61</v>
      </c>
      <c r="M862" s="616">
        <v>0</v>
      </c>
      <c r="N862" s="616">
        <v>0</v>
      </c>
      <c r="O862" s="616">
        <v>51.33</v>
      </c>
      <c r="P862" s="616">
        <v>58.94</v>
      </c>
    </row>
    <row r="863" spans="1:16" x14ac:dyDescent="0.3">
      <c r="A863" s="615">
        <v>39605</v>
      </c>
      <c r="B863" s="614" t="s">
        <v>1686</v>
      </c>
      <c r="C863" s="614" t="s">
        <v>369</v>
      </c>
      <c r="D863" s="614">
        <v>175</v>
      </c>
      <c r="E863" s="616">
        <v>49.1</v>
      </c>
      <c r="F863" s="616">
        <v>8592.5</v>
      </c>
      <c r="G863" s="614" t="s">
        <v>1805</v>
      </c>
      <c r="H863" s="614">
        <v>2008107</v>
      </c>
      <c r="I863" s="614" t="s">
        <v>199</v>
      </c>
      <c r="J863" s="614" t="s">
        <v>200</v>
      </c>
      <c r="K863" s="614" t="s">
        <v>201</v>
      </c>
      <c r="L863" s="616">
        <v>10.74</v>
      </c>
      <c r="M863" s="616">
        <v>0</v>
      </c>
      <c r="N863" s="616">
        <v>0</v>
      </c>
      <c r="O863" s="616">
        <v>72.42</v>
      </c>
      <c r="P863" s="616">
        <v>83.16</v>
      </c>
    </row>
    <row r="864" spans="1:16" x14ac:dyDescent="0.3">
      <c r="A864" s="615">
        <v>39605</v>
      </c>
      <c r="B864" s="614" t="s">
        <v>1702</v>
      </c>
      <c r="C864" s="614" t="s">
        <v>369</v>
      </c>
      <c r="D864" s="614">
        <v>100</v>
      </c>
      <c r="E864" s="616">
        <v>157.6</v>
      </c>
      <c r="F864" s="616">
        <v>15760</v>
      </c>
      <c r="G864" s="614" t="s">
        <v>1806</v>
      </c>
      <c r="H864" s="614">
        <v>2008107</v>
      </c>
      <c r="I864" s="614" t="s">
        <v>199</v>
      </c>
      <c r="J864" s="614" t="s">
        <v>200</v>
      </c>
      <c r="K864" s="614" t="s">
        <v>201</v>
      </c>
      <c r="L864" s="616">
        <v>19.7</v>
      </c>
      <c r="M864" s="616">
        <v>0</v>
      </c>
      <c r="N864" s="616">
        <v>0</v>
      </c>
      <c r="O864" s="616">
        <v>132.81</v>
      </c>
      <c r="P864" s="616">
        <v>152.51</v>
      </c>
    </row>
    <row r="865" spans="1:16" x14ac:dyDescent="0.3">
      <c r="A865" s="615">
        <v>39605</v>
      </c>
      <c r="B865" s="614" t="s">
        <v>1553</v>
      </c>
      <c r="C865" s="614" t="s">
        <v>369</v>
      </c>
      <c r="D865" s="614">
        <v>50</v>
      </c>
      <c r="E865" s="616">
        <v>234.2</v>
      </c>
      <c r="F865" s="616">
        <v>11710</v>
      </c>
      <c r="G865" s="614" t="s">
        <v>1807</v>
      </c>
      <c r="H865" s="614">
        <v>2008107</v>
      </c>
      <c r="I865" s="614" t="s">
        <v>199</v>
      </c>
      <c r="J865" s="614" t="s">
        <v>200</v>
      </c>
      <c r="K865" s="614" t="s">
        <v>201</v>
      </c>
      <c r="L865" s="616">
        <v>14.64</v>
      </c>
      <c r="M865" s="616">
        <v>0</v>
      </c>
      <c r="N865" s="616">
        <v>0</v>
      </c>
      <c r="O865" s="616">
        <v>98.68</v>
      </c>
      <c r="P865" s="616">
        <v>113.32</v>
      </c>
    </row>
    <row r="866" spans="1:16" x14ac:dyDescent="0.3">
      <c r="A866" s="615">
        <v>39605</v>
      </c>
      <c r="B866" s="614" t="s">
        <v>1660</v>
      </c>
      <c r="C866" s="614" t="s">
        <v>369</v>
      </c>
      <c r="D866" s="614">
        <v>30</v>
      </c>
      <c r="E866" s="616">
        <v>223</v>
      </c>
      <c r="F866" s="616">
        <v>6690</v>
      </c>
      <c r="G866" s="614" t="s">
        <v>1808</v>
      </c>
      <c r="H866" s="614">
        <v>2008107</v>
      </c>
      <c r="I866" s="614" t="s">
        <v>199</v>
      </c>
      <c r="J866" s="614" t="s">
        <v>3876</v>
      </c>
      <c r="K866" s="614" t="s">
        <v>201</v>
      </c>
      <c r="L866" s="616">
        <v>8.36</v>
      </c>
      <c r="M866" s="616">
        <v>0</v>
      </c>
      <c r="N866" s="616">
        <v>0</v>
      </c>
      <c r="O866" s="616">
        <v>56.38</v>
      </c>
      <c r="P866" s="616">
        <v>64.739999999999995</v>
      </c>
    </row>
    <row r="867" spans="1:16" x14ac:dyDescent="0.3">
      <c r="A867" s="615">
        <v>39603</v>
      </c>
      <c r="B867" s="614" t="s">
        <v>1708</v>
      </c>
      <c r="C867" s="614" t="s">
        <v>369</v>
      </c>
      <c r="D867" s="614">
        <v>400</v>
      </c>
      <c r="E867" s="616">
        <v>25.95</v>
      </c>
      <c r="F867" s="616">
        <v>10380</v>
      </c>
      <c r="G867" s="614" t="s">
        <v>1809</v>
      </c>
      <c r="H867" s="614">
        <v>200809045</v>
      </c>
      <c r="I867" s="614" t="s">
        <v>199</v>
      </c>
      <c r="J867" s="614" t="s">
        <v>200</v>
      </c>
      <c r="K867" s="614" t="s">
        <v>204</v>
      </c>
      <c r="L867" s="616">
        <v>12.98</v>
      </c>
      <c r="M867" s="616">
        <v>0</v>
      </c>
      <c r="N867" s="616">
        <v>0</v>
      </c>
      <c r="O867" s="616">
        <v>87.48</v>
      </c>
      <c r="P867" s="616">
        <v>100.46</v>
      </c>
    </row>
    <row r="868" spans="1:16" x14ac:dyDescent="0.3">
      <c r="A868" s="615">
        <v>39602</v>
      </c>
      <c r="B868" s="614" t="s">
        <v>1697</v>
      </c>
      <c r="C868" s="614" t="s">
        <v>369</v>
      </c>
      <c r="D868" s="614">
        <v>20</v>
      </c>
      <c r="E868" s="616">
        <v>840.75</v>
      </c>
      <c r="F868" s="616">
        <v>16815</v>
      </c>
      <c r="G868" s="614" t="s">
        <v>1810</v>
      </c>
      <c r="H868" s="614">
        <v>2008104</v>
      </c>
      <c r="I868" s="614" t="s">
        <v>199</v>
      </c>
      <c r="J868" s="614" t="s">
        <v>200</v>
      </c>
      <c r="K868" s="614" t="s">
        <v>201</v>
      </c>
      <c r="L868" s="616">
        <v>21.02</v>
      </c>
      <c r="M868" s="616">
        <v>0</v>
      </c>
      <c r="N868" s="616">
        <v>0</v>
      </c>
      <c r="O868" s="616">
        <v>141.69999999999999</v>
      </c>
      <c r="P868" s="616">
        <v>162.72</v>
      </c>
    </row>
    <row r="869" spans="1:16" x14ac:dyDescent="0.3">
      <c r="A869" s="615">
        <v>39580</v>
      </c>
      <c r="B869" s="614" t="s">
        <v>1549</v>
      </c>
      <c r="C869" s="614" t="s">
        <v>369</v>
      </c>
      <c r="D869" s="614">
        <v>5</v>
      </c>
      <c r="E869" s="616">
        <v>2797.8</v>
      </c>
      <c r="F869" s="616">
        <v>13989</v>
      </c>
      <c r="G869" s="614" t="s">
        <v>1811</v>
      </c>
      <c r="H869" s="614">
        <v>200809029</v>
      </c>
      <c r="I869" s="614" t="s">
        <v>199</v>
      </c>
      <c r="J869" s="614" t="s">
        <v>200</v>
      </c>
      <c r="K869" s="614" t="s">
        <v>204</v>
      </c>
      <c r="L869" s="616">
        <v>17.489999999999998</v>
      </c>
      <c r="M869" s="616">
        <v>0</v>
      </c>
      <c r="N869" s="616">
        <v>0</v>
      </c>
      <c r="O869" s="616">
        <v>117.89</v>
      </c>
      <c r="P869" s="616">
        <v>135.38</v>
      </c>
    </row>
    <row r="870" spans="1:16" x14ac:dyDescent="0.3">
      <c r="A870" s="615">
        <v>39580</v>
      </c>
      <c r="B870" s="614" t="s">
        <v>1510</v>
      </c>
      <c r="C870" s="614" t="s">
        <v>369</v>
      </c>
      <c r="D870" s="614">
        <v>7</v>
      </c>
      <c r="E870" s="616">
        <v>2215</v>
      </c>
      <c r="F870" s="616">
        <v>15505</v>
      </c>
      <c r="G870" s="614" t="s">
        <v>1812</v>
      </c>
      <c r="H870" s="614">
        <v>2008089</v>
      </c>
      <c r="I870" s="614" t="s">
        <v>199</v>
      </c>
      <c r="J870" s="614" t="s">
        <v>200</v>
      </c>
      <c r="K870" s="614" t="s">
        <v>201</v>
      </c>
      <c r="L870" s="616">
        <v>19.38</v>
      </c>
      <c r="M870" s="616">
        <v>0</v>
      </c>
      <c r="N870" s="616">
        <v>0</v>
      </c>
      <c r="O870" s="616">
        <v>130.66</v>
      </c>
      <c r="P870" s="616">
        <v>150.04</v>
      </c>
    </row>
    <row r="871" spans="1:16" x14ac:dyDescent="0.3">
      <c r="A871" s="615">
        <v>39580</v>
      </c>
      <c r="B871" s="614" t="s">
        <v>1712</v>
      </c>
      <c r="C871" s="614" t="s">
        <v>369</v>
      </c>
      <c r="D871" s="614">
        <v>35</v>
      </c>
      <c r="E871" s="616">
        <v>554</v>
      </c>
      <c r="F871" s="616">
        <v>19390</v>
      </c>
      <c r="G871" s="614" t="s">
        <v>1813</v>
      </c>
      <c r="H871" s="614">
        <v>2008089</v>
      </c>
      <c r="I871" s="614" t="s">
        <v>199</v>
      </c>
      <c r="J871" s="614" t="s">
        <v>200</v>
      </c>
      <c r="K871" s="614" t="s">
        <v>201</v>
      </c>
      <c r="L871" s="616">
        <v>24.24</v>
      </c>
      <c r="M871" s="616">
        <v>0</v>
      </c>
      <c r="N871" s="616">
        <v>0</v>
      </c>
      <c r="O871" s="616">
        <v>163.4</v>
      </c>
      <c r="P871" s="616">
        <v>187.64</v>
      </c>
    </row>
    <row r="872" spans="1:16" x14ac:dyDescent="0.3">
      <c r="A872" s="615">
        <v>39574</v>
      </c>
      <c r="B872" s="614" t="s">
        <v>1526</v>
      </c>
      <c r="C872" s="614" t="s">
        <v>369</v>
      </c>
      <c r="D872" s="614">
        <v>100</v>
      </c>
      <c r="E872" s="616">
        <v>285</v>
      </c>
      <c r="F872" s="616">
        <v>28500</v>
      </c>
      <c r="G872" s="614" t="s">
        <v>1814</v>
      </c>
      <c r="H872" s="614">
        <v>200809025</v>
      </c>
      <c r="I872" s="614" t="s">
        <v>199</v>
      </c>
      <c r="J872" s="614" t="s">
        <v>200</v>
      </c>
      <c r="K872" s="614" t="s">
        <v>204</v>
      </c>
      <c r="L872" s="616">
        <v>35.630000000000003</v>
      </c>
      <c r="M872" s="616">
        <v>0</v>
      </c>
      <c r="N872" s="616">
        <v>0</v>
      </c>
      <c r="O872" s="616">
        <v>240.17</v>
      </c>
      <c r="P872" s="616">
        <v>275.8</v>
      </c>
    </row>
    <row r="873" spans="1:16" x14ac:dyDescent="0.3">
      <c r="A873" s="615">
        <v>39568</v>
      </c>
      <c r="B873" s="614" t="s">
        <v>1535</v>
      </c>
      <c r="C873" s="614" t="s">
        <v>369</v>
      </c>
      <c r="D873" s="614">
        <v>75</v>
      </c>
      <c r="E873" s="616">
        <v>195.0153</v>
      </c>
      <c r="F873" s="616">
        <v>14626.15</v>
      </c>
      <c r="G873" s="614" t="s">
        <v>1815</v>
      </c>
      <c r="H873" s="614">
        <v>2008082</v>
      </c>
      <c r="I873" s="614" t="s">
        <v>199</v>
      </c>
      <c r="J873" s="614" t="s">
        <v>200</v>
      </c>
      <c r="K873" s="614" t="s">
        <v>201</v>
      </c>
      <c r="L873" s="616">
        <v>18.28</v>
      </c>
      <c r="M873" s="616">
        <v>0</v>
      </c>
      <c r="N873" s="616">
        <v>0</v>
      </c>
      <c r="O873" s="616">
        <v>123.23</v>
      </c>
      <c r="P873" s="616">
        <v>141.51</v>
      </c>
    </row>
    <row r="874" spans="1:16" x14ac:dyDescent="0.3">
      <c r="A874" s="615">
        <v>39563</v>
      </c>
      <c r="B874" s="614" t="s">
        <v>1170</v>
      </c>
      <c r="C874" s="614" t="s">
        <v>369</v>
      </c>
      <c r="D874" s="614">
        <v>185</v>
      </c>
      <c r="E874" s="616">
        <v>46.4</v>
      </c>
      <c r="F874" s="616">
        <v>8584</v>
      </c>
      <c r="G874" s="614" t="s">
        <v>1816</v>
      </c>
      <c r="H874" s="614">
        <v>2008079</v>
      </c>
      <c r="I874" s="614" t="s">
        <v>199</v>
      </c>
      <c r="J874" s="614" t="s">
        <v>200</v>
      </c>
      <c r="K874" s="614" t="s">
        <v>201</v>
      </c>
      <c r="L874" s="616">
        <v>10.73</v>
      </c>
      <c r="M874" s="616">
        <v>0</v>
      </c>
      <c r="N874" s="616">
        <v>0</v>
      </c>
      <c r="O874" s="616">
        <v>72.34</v>
      </c>
      <c r="P874" s="616">
        <v>83.07</v>
      </c>
    </row>
    <row r="875" spans="1:16" x14ac:dyDescent="0.3">
      <c r="A875" s="615">
        <v>39562</v>
      </c>
      <c r="B875" s="614" t="s">
        <v>1683</v>
      </c>
      <c r="C875" s="614" t="s">
        <v>369</v>
      </c>
      <c r="D875" s="614">
        <v>190</v>
      </c>
      <c r="E875" s="616">
        <v>54.4</v>
      </c>
      <c r="F875" s="616">
        <v>10336</v>
      </c>
      <c r="G875" s="614" t="s">
        <v>1817</v>
      </c>
      <c r="H875" s="614">
        <v>200809018</v>
      </c>
      <c r="I875" s="614" t="s">
        <v>307</v>
      </c>
      <c r="J875" s="614" t="s">
        <v>200</v>
      </c>
      <c r="K875" s="614" t="s">
        <v>204</v>
      </c>
      <c r="L875" s="616">
        <v>12.92</v>
      </c>
      <c r="M875" s="616">
        <v>0</v>
      </c>
      <c r="N875" s="616">
        <v>0</v>
      </c>
      <c r="O875" s="616">
        <v>87.1</v>
      </c>
      <c r="P875" s="616">
        <v>100.02</v>
      </c>
    </row>
    <row r="876" spans="1:16" x14ac:dyDescent="0.3">
      <c r="A876" s="615">
        <v>39559</v>
      </c>
      <c r="B876" s="614" t="s">
        <v>1731</v>
      </c>
      <c r="C876" s="614" t="s">
        <v>369</v>
      </c>
      <c r="D876" s="614">
        <v>20</v>
      </c>
      <c r="E876" s="616">
        <v>208.5</v>
      </c>
      <c r="F876" s="616">
        <v>4170</v>
      </c>
      <c r="G876" s="614" t="s">
        <v>1818</v>
      </c>
      <c r="H876" s="614">
        <v>200809015</v>
      </c>
      <c r="I876" s="614" t="s">
        <v>199</v>
      </c>
      <c r="J876" s="614" t="s">
        <v>200</v>
      </c>
      <c r="K876" s="614" t="s">
        <v>204</v>
      </c>
      <c r="L876" s="616">
        <v>5.21</v>
      </c>
      <c r="M876" s="616">
        <v>0</v>
      </c>
      <c r="N876" s="616">
        <v>0</v>
      </c>
      <c r="O876" s="616">
        <v>35.14</v>
      </c>
      <c r="P876" s="616">
        <v>40.35</v>
      </c>
    </row>
    <row r="877" spans="1:16" x14ac:dyDescent="0.3">
      <c r="A877" s="615">
        <v>39549</v>
      </c>
      <c r="B877" s="614" t="s">
        <v>1743</v>
      </c>
      <c r="C877" s="614" t="s">
        <v>369</v>
      </c>
      <c r="D877" s="614">
        <v>300</v>
      </c>
      <c r="E877" s="616">
        <v>6.6</v>
      </c>
      <c r="F877" s="616">
        <v>1980</v>
      </c>
      <c r="G877" s="614" t="s">
        <v>1819</v>
      </c>
      <c r="H877" s="614">
        <v>200809011</v>
      </c>
      <c r="I877" s="614" t="s">
        <v>199</v>
      </c>
      <c r="J877" s="614" t="s">
        <v>200</v>
      </c>
      <c r="K877" s="614" t="s">
        <v>204</v>
      </c>
      <c r="L877" s="616">
        <v>2.48</v>
      </c>
      <c r="M877" s="616">
        <v>0</v>
      </c>
      <c r="N877" s="616">
        <v>0</v>
      </c>
      <c r="O877" s="616">
        <v>28.08</v>
      </c>
      <c r="P877" s="616">
        <v>30.56</v>
      </c>
    </row>
    <row r="878" spans="1:16" x14ac:dyDescent="0.3">
      <c r="A878" s="615">
        <v>39549</v>
      </c>
      <c r="B878" s="614" t="s">
        <v>1734</v>
      </c>
      <c r="C878" s="614" t="s">
        <v>369</v>
      </c>
      <c r="D878" s="614">
        <v>7</v>
      </c>
      <c r="E878" s="616">
        <v>1795.1</v>
      </c>
      <c r="F878" s="616">
        <v>12565.7</v>
      </c>
      <c r="G878" s="614" t="s">
        <v>1820</v>
      </c>
      <c r="H878" s="614">
        <v>2008071</v>
      </c>
      <c r="I878" s="614" t="s">
        <v>199</v>
      </c>
      <c r="J878" s="614" t="s">
        <v>200</v>
      </c>
      <c r="K878" s="614" t="s">
        <v>201</v>
      </c>
      <c r="L878" s="616">
        <v>15.71</v>
      </c>
      <c r="M878" s="616">
        <v>0</v>
      </c>
      <c r="N878" s="616">
        <v>0</v>
      </c>
      <c r="O878" s="616">
        <v>105.89</v>
      </c>
      <c r="P878" s="616">
        <v>121.6</v>
      </c>
    </row>
    <row r="879" spans="1:16" x14ac:dyDescent="0.3">
      <c r="A879" s="615">
        <v>39549</v>
      </c>
      <c r="B879" s="614" t="s">
        <v>1734</v>
      </c>
      <c r="C879" s="614" t="s">
        <v>369</v>
      </c>
      <c r="D879" s="614">
        <v>25</v>
      </c>
      <c r="E879" s="616">
        <v>1808.0219999999999</v>
      </c>
      <c r="F879" s="616">
        <v>45200.55</v>
      </c>
      <c r="G879" s="614" t="s">
        <v>1821</v>
      </c>
      <c r="H879" s="614">
        <v>2008071</v>
      </c>
      <c r="I879" s="614" t="s">
        <v>199</v>
      </c>
      <c r="J879" s="614" t="s">
        <v>200</v>
      </c>
      <c r="K879" s="614" t="s">
        <v>201</v>
      </c>
      <c r="L879" s="616">
        <v>11.3</v>
      </c>
      <c r="M879" s="616">
        <v>0</v>
      </c>
      <c r="N879" s="616">
        <v>0</v>
      </c>
      <c r="O879" s="616">
        <v>25.39</v>
      </c>
      <c r="P879" s="616">
        <v>36.69</v>
      </c>
    </row>
    <row r="880" spans="1:16" x14ac:dyDescent="0.3">
      <c r="A880" s="615">
        <v>39549</v>
      </c>
      <c r="B880" s="614" t="s">
        <v>1734</v>
      </c>
      <c r="C880" s="614" t="s">
        <v>369</v>
      </c>
      <c r="D880" s="614">
        <v>50</v>
      </c>
      <c r="E880" s="616">
        <v>1822.2</v>
      </c>
      <c r="F880" s="616">
        <v>91110</v>
      </c>
      <c r="G880" s="614" t="s">
        <v>1822</v>
      </c>
      <c r="H880" s="614">
        <v>2008071</v>
      </c>
      <c r="I880" s="614" t="s">
        <v>199</v>
      </c>
      <c r="J880" s="614" t="s">
        <v>200</v>
      </c>
      <c r="K880" s="614" t="s">
        <v>201</v>
      </c>
      <c r="L880" s="616">
        <v>22.78</v>
      </c>
      <c r="M880" s="616">
        <v>0</v>
      </c>
      <c r="N880" s="616">
        <v>0</v>
      </c>
      <c r="O880" s="616">
        <v>51.19</v>
      </c>
      <c r="P880" s="616">
        <v>73.97</v>
      </c>
    </row>
    <row r="881" spans="1:16" x14ac:dyDescent="0.3">
      <c r="A881" s="615">
        <v>39549</v>
      </c>
      <c r="B881" s="614" t="s">
        <v>1734</v>
      </c>
      <c r="C881" s="614" t="s">
        <v>369</v>
      </c>
      <c r="D881" s="614">
        <v>50</v>
      </c>
      <c r="E881" s="616">
        <v>1829.2249999999999</v>
      </c>
      <c r="F881" s="616">
        <v>91461.25</v>
      </c>
      <c r="G881" s="614" t="s">
        <v>1823</v>
      </c>
      <c r="H881" s="614">
        <v>2008071</v>
      </c>
      <c r="I881" s="614" t="s">
        <v>199</v>
      </c>
      <c r="J881" s="614" t="s">
        <v>200</v>
      </c>
      <c r="K881" s="614" t="s">
        <v>201</v>
      </c>
      <c r="L881" s="616">
        <v>22.87</v>
      </c>
      <c r="M881" s="616">
        <v>0</v>
      </c>
      <c r="N881" s="616">
        <v>0</v>
      </c>
      <c r="O881" s="616">
        <v>51.38</v>
      </c>
      <c r="P881" s="616">
        <v>74.25</v>
      </c>
    </row>
    <row r="882" spans="1:16" x14ac:dyDescent="0.3">
      <c r="A882" s="615">
        <v>39549</v>
      </c>
      <c r="B882" s="614" t="s">
        <v>1734</v>
      </c>
      <c r="C882" s="614" t="s">
        <v>369</v>
      </c>
      <c r="D882" s="614">
        <v>50</v>
      </c>
      <c r="E882" s="616">
        <v>1830</v>
      </c>
      <c r="F882" s="616">
        <v>91500</v>
      </c>
      <c r="G882" s="614" t="s">
        <v>1824</v>
      </c>
      <c r="H882" s="614">
        <v>2008071</v>
      </c>
      <c r="I882" s="614" t="s">
        <v>199</v>
      </c>
      <c r="J882" s="614" t="s">
        <v>200</v>
      </c>
      <c r="K882" s="614" t="s">
        <v>201</v>
      </c>
      <c r="L882" s="616">
        <v>22.88</v>
      </c>
      <c r="M882" s="616">
        <v>0</v>
      </c>
      <c r="N882" s="616">
        <v>0</v>
      </c>
      <c r="O882" s="616">
        <v>51.41</v>
      </c>
      <c r="P882" s="616">
        <v>74.290000000000006</v>
      </c>
    </row>
    <row r="883" spans="1:16" x14ac:dyDescent="0.3">
      <c r="A883" s="615">
        <v>39549</v>
      </c>
      <c r="B883" s="614" t="s">
        <v>1734</v>
      </c>
      <c r="C883" s="614" t="s">
        <v>369</v>
      </c>
      <c r="D883" s="614">
        <v>50</v>
      </c>
      <c r="E883" s="616">
        <v>1830.3</v>
      </c>
      <c r="F883" s="616">
        <v>91515</v>
      </c>
      <c r="G883" s="614" t="s">
        <v>1825</v>
      </c>
      <c r="H883" s="614">
        <v>2008071</v>
      </c>
      <c r="I883" s="614" t="s">
        <v>199</v>
      </c>
      <c r="J883" s="614" t="s">
        <v>200</v>
      </c>
      <c r="K883" s="614" t="s">
        <v>201</v>
      </c>
      <c r="L883" s="616">
        <v>22.88</v>
      </c>
      <c r="M883" s="616">
        <v>0</v>
      </c>
      <c r="N883" s="616">
        <v>0</v>
      </c>
      <c r="O883" s="616">
        <v>51.42</v>
      </c>
      <c r="P883" s="616">
        <v>74.3</v>
      </c>
    </row>
    <row r="884" spans="1:16" x14ac:dyDescent="0.3">
      <c r="A884" s="615">
        <v>39542</v>
      </c>
      <c r="B884" s="614" t="s">
        <v>1535</v>
      </c>
      <c r="C884" s="614" t="s">
        <v>369</v>
      </c>
      <c r="D884" s="614">
        <v>75</v>
      </c>
      <c r="E884" s="616">
        <v>140</v>
      </c>
      <c r="F884" s="616">
        <v>10500</v>
      </c>
      <c r="G884" s="614" t="s">
        <v>1826</v>
      </c>
      <c r="H884" s="614">
        <v>200809006</v>
      </c>
      <c r="I884" s="614" t="s">
        <v>199</v>
      </c>
      <c r="J884" s="614" t="s">
        <v>200</v>
      </c>
      <c r="K884" s="614" t="s">
        <v>204</v>
      </c>
      <c r="L884" s="616">
        <v>13.13</v>
      </c>
      <c r="M884" s="616">
        <v>0</v>
      </c>
      <c r="N884" s="616">
        <v>0</v>
      </c>
      <c r="O884" s="616">
        <v>88.49</v>
      </c>
      <c r="P884" s="616">
        <v>101.62</v>
      </c>
    </row>
    <row r="885" spans="1:16" x14ac:dyDescent="0.3">
      <c r="A885" s="615">
        <v>39541</v>
      </c>
      <c r="B885" s="614" t="s">
        <v>1526</v>
      </c>
      <c r="C885" s="614" t="s">
        <v>369</v>
      </c>
      <c r="D885" s="614">
        <v>149</v>
      </c>
      <c r="E885" s="616">
        <v>235.7295</v>
      </c>
      <c r="F885" s="616">
        <v>35123.699999999997</v>
      </c>
      <c r="G885" s="614" t="s">
        <v>1827</v>
      </c>
      <c r="H885" s="614">
        <v>2008065</v>
      </c>
      <c r="I885" s="614" t="s">
        <v>199</v>
      </c>
      <c r="J885" s="614" t="s">
        <v>200</v>
      </c>
      <c r="K885" s="614" t="s">
        <v>201</v>
      </c>
      <c r="L885" s="616">
        <v>43.9</v>
      </c>
      <c r="M885" s="616">
        <v>0</v>
      </c>
      <c r="N885" s="616">
        <v>0</v>
      </c>
      <c r="O885" s="616">
        <v>295.99</v>
      </c>
      <c r="P885" s="616">
        <v>339.89</v>
      </c>
    </row>
    <row r="886" spans="1:16" x14ac:dyDescent="0.3">
      <c r="A886" s="615">
        <v>39534</v>
      </c>
      <c r="B886" s="614" t="s">
        <v>1512</v>
      </c>
      <c r="C886" s="614" t="s">
        <v>369</v>
      </c>
      <c r="D886" s="614">
        <v>15</v>
      </c>
      <c r="E886" s="616">
        <v>506</v>
      </c>
      <c r="F886" s="616">
        <v>7590</v>
      </c>
      <c r="G886" s="614" t="s">
        <v>2267</v>
      </c>
      <c r="H886" s="614">
        <v>2008060</v>
      </c>
      <c r="I886" s="614" t="s">
        <v>199</v>
      </c>
      <c r="J886" s="614" t="s">
        <v>200</v>
      </c>
      <c r="K886" s="614" t="s">
        <v>201</v>
      </c>
      <c r="L886" s="616">
        <v>9.49</v>
      </c>
      <c r="M886" s="616">
        <v>0</v>
      </c>
      <c r="N886" s="616">
        <v>0</v>
      </c>
      <c r="O886" s="616">
        <v>63.96</v>
      </c>
      <c r="P886" s="616">
        <v>73.45</v>
      </c>
    </row>
    <row r="887" spans="1:16" x14ac:dyDescent="0.3">
      <c r="A887" s="615">
        <v>39534</v>
      </c>
      <c r="B887" s="614" t="s">
        <v>1512</v>
      </c>
      <c r="C887" s="614" t="s">
        <v>369</v>
      </c>
      <c r="D887" s="614">
        <v>7</v>
      </c>
      <c r="E887" s="616">
        <v>511.3</v>
      </c>
      <c r="F887" s="616">
        <v>3579.1</v>
      </c>
      <c r="G887" s="614" t="s">
        <v>2268</v>
      </c>
      <c r="H887" s="614">
        <v>2008060</v>
      </c>
      <c r="I887" s="614" t="s">
        <v>199</v>
      </c>
      <c r="J887" s="614" t="s">
        <v>200</v>
      </c>
      <c r="K887" s="614" t="s">
        <v>201</v>
      </c>
      <c r="L887" s="616">
        <v>4.47</v>
      </c>
      <c r="M887" s="616">
        <v>0</v>
      </c>
      <c r="N887" s="616">
        <v>0</v>
      </c>
      <c r="O887" s="616">
        <v>30.16</v>
      </c>
      <c r="P887" s="616">
        <v>34.630000000000003</v>
      </c>
    </row>
    <row r="888" spans="1:16" x14ac:dyDescent="0.3">
      <c r="A888" s="615">
        <v>39532</v>
      </c>
      <c r="B888" s="614" t="s">
        <v>2002</v>
      </c>
      <c r="C888" s="614" t="s">
        <v>369</v>
      </c>
      <c r="D888" s="614">
        <v>100</v>
      </c>
      <c r="E888" s="616">
        <v>38.5</v>
      </c>
      <c r="F888" s="616">
        <v>3850</v>
      </c>
      <c r="G888" s="614" t="s">
        <v>2269</v>
      </c>
      <c r="H888" s="614">
        <v>200708249</v>
      </c>
      <c r="I888" s="614" t="s">
        <v>199</v>
      </c>
      <c r="J888" s="614" t="s">
        <v>200</v>
      </c>
      <c r="K888" s="614" t="s">
        <v>204</v>
      </c>
      <c r="L888" s="616">
        <v>4.8099999999999996</v>
      </c>
      <c r="M888" s="616">
        <v>0</v>
      </c>
      <c r="N888" s="616">
        <v>0</v>
      </c>
      <c r="O888" s="616">
        <v>32.450000000000003</v>
      </c>
      <c r="P888" s="616">
        <v>37.26</v>
      </c>
    </row>
    <row r="889" spans="1:16" x14ac:dyDescent="0.3">
      <c r="A889" s="615">
        <v>39532</v>
      </c>
      <c r="B889" s="614" t="s">
        <v>2002</v>
      </c>
      <c r="C889" s="614" t="s">
        <v>369</v>
      </c>
      <c r="D889" s="614">
        <v>20</v>
      </c>
      <c r="E889" s="616">
        <v>38.549999999999997</v>
      </c>
      <c r="F889" s="616">
        <v>771</v>
      </c>
      <c r="G889" s="614" t="s">
        <v>2270</v>
      </c>
      <c r="H889" s="614">
        <v>200708249</v>
      </c>
      <c r="I889" s="614" t="s">
        <v>199</v>
      </c>
      <c r="J889" s="614" t="s">
        <v>200</v>
      </c>
      <c r="K889" s="614" t="s">
        <v>204</v>
      </c>
      <c r="L889" s="616">
        <v>0.96</v>
      </c>
      <c r="M889" s="616">
        <v>0</v>
      </c>
      <c r="N889" s="616">
        <v>0</v>
      </c>
      <c r="O889" s="616">
        <v>21.66</v>
      </c>
      <c r="P889" s="616">
        <v>22.62</v>
      </c>
    </row>
    <row r="890" spans="1:16" x14ac:dyDescent="0.3">
      <c r="A890" s="615">
        <v>39532</v>
      </c>
      <c r="B890" s="614" t="s">
        <v>2002</v>
      </c>
      <c r="C890" s="614" t="s">
        <v>369</v>
      </c>
      <c r="D890" s="614">
        <v>120</v>
      </c>
      <c r="E890" s="616">
        <v>38.549999999999997</v>
      </c>
      <c r="F890" s="616">
        <v>4626</v>
      </c>
      <c r="G890" s="614" t="s">
        <v>2271</v>
      </c>
      <c r="H890" s="614">
        <v>200708249</v>
      </c>
      <c r="I890" s="614" t="s">
        <v>199</v>
      </c>
      <c r="J890" s="614" t="s">
        <v>200</v>
      </c>
      <c r="K890" s="614" t="s">
        <v>204</v>
      </c>
      <c r="L890" s="616">
        <v>5.78</v>
      </c>
      <c r="M890" s="616">
        <v>0</v>
      </c>
      <c r="N890" s="616">
        <v>0</v>
      </c>
      <c r="O890" s="616">
        <v>38.979999999999997</v>
      </c>
      <c r="P890" s="616">
        <v>44.76</v>
      </c>
    </row>
    <row r="891" spans="1:16" x14ac:dyDescent="0.3">
      <c r="A891" s="615">
        <v>39532</v>
      </c>
      <c r="B891" s="614" t="s">
        <v>2002</v>
      </c>
      <c r="C891" s="614" t="s">
        <v>369</v>
      </c>
      <c r="D891" s="614">
        <v>160</v>
      </c>
      <c r="E891" s="616">
        <v>38.549999999999997</v>
      </c>
      <c r="F891" s="616">
        <v>6168</v>
      </c>
      <c r="G891" s="614" t="s">
        <v>2272</v>
      </c>
      <c r="H891" s="614">
        <v>200708249</v>
      </c>
      <c r="I891" s="614" t="s">
        <v>199</v>
      </c>
      <c r="J891" s="614" t="s">
        <v>200</v>
      </c>
      <c r="K891" s="614" t="s">
        <v>204</v>
      </c>
      <c r="L891" s="616">
        <v>7.71</v>
      </c>
      <c r="M891" s="616">
        <v>0</v>
      </c>
      <c r="N891" s="616">
        <v>0</v>
      </c>
      <c r="O891" s="616">
        <v>51.97</v>
      </c>
      <c r="P891" s="616">
        <v>59.68</v>
      </c>
    </row>
    <row r="892" spans="1:16" x14ac:dyDescent="0.3">
      <c r="A892" s="615">
        <v>39520</v>
      </c>
      <c r="B892" s="614" t="s">
        <v>1510</v>
      </c>
      <c r="C892" s="614" t="s">
        <v>369</v>
      </c>
      <c r="D892" s="614">
        <v>7</v>
      </c>
      <c r="E892" s="616">
        <v>2385.1</v>
      </c>
      <c r="F892" s="616">
        <v>16695.7</v>
      </c>
      <c r="G892" s="614" t="s">
        <v>2273</v>
      </c>
      <c r="H892" s="614">
        <v>200708243</v>
      </c>
      <c r="I892" s="614" t="s">
        <v>199</v>
      </c>
      <c r="J892" s="614" t="s">
        <v>200</v>
      </c>
      <c r="K892" s="614" t="s">
        <v>204</v>
      </c>
      <c r="L892" s="616">
        <v>20.87</v>
      </c>
      <c r="M892" s="616">
        <v>0</v>
      </c>
      <c r="N892" s="616">
        <v>0</v>
      </c>
      <c r="O892" s="616">
        <v>140.69999999999999</v>
      </c>
      <c r="P892" s="616">
        <v>161.57</v>
      </c>
    </row>
    <row r="893" spans="1:16" x14ac:dyDescent="0.3">
      <c r="A893" s="615">
        <v>39514</v>
      </c>
      <c r="B893" s="614" t="s">
        <v>1992</v>
      </c>
      <c r="C893" s="614" t="s">
        <v>369</v>
      </c>
      <c r="D893" s="614">
        <v>50</v>
      </c>
      <c r="E893" s="616">
        <v>238.7</v>
      </c>
      <c r="F893" s="616">
        <v>11935</v>
      </c>
      <c r="G893" s="614" t="s">
        <v>2286</v>
      </c>
      <c r="H893" s="614">
        <v>2008048</v>
      </c>
      <c r="I893" s="614" t="s">
        <v>199</v>
      </c>
      <c r="J893" s="614" t="s">
        <v>200</v>
      </c>
      <c r="K893" s="614" t="s">
        <v>201</v>
      </c>
      <c r="L893" s="616">
        <v>14.92</v>
      </c>
      <c r="M893" s="616">
        <v>0</v>
      </c>
      <c r="N893" s="616">
        <v>0</v>
      </c>
      <c r="O893" s="616">
        <v>100.58</v>
      </c>
      <c r="P893" s="616">
        <v>115.5</v>
      </c>
    </row>
    <row r="894" spans="1:16" x14ac:dyDescent="0.3">
      <c r="A894" s="615">
        <v>39504</v>
      </c>
      <c r="B894" s="614" t="s">
        <v>1510</v>
      </c>
      <c r="C894" s="614" t="s">
        <v>369</v>
      </c>
      <c r="D894" s="614">
        <v>5</v>
      </c>
      <c r="E894" s="616">
        <v>2792.9</v>
      </c>
      <c r="F894" s="616">
        <v>13964.5</v>
      </c>
      <c r="G894" s="614" t="s">
        <v>2287</v>
      </c>
      <c r="H894" s="614">
        <v>200708232</v>
      </c>
      <c r="I894" s="614" t="s">
        <v>199</v>
      </c>
      <c r="J894" s="614" t="s">
        <v>200</v>
      </c>
      <c r="K894" s="614" t="s">
        <v>204</v>
      </c>
      <c r="L894" s="616">
        <v>17.46</v>
      </c>
      <c r="M894" s="616">
        <v>0</v>
      </c>
      <c r="N894" s="616">
        <v>0</v>
      </c>
      <c r="O894" s="616">
        <v>117.68</v>
      </c>
      <c r="P894" s="616">
        <v>135.13999999999999</v>
      </c>
    </row>
    <row r="895" spans="1:16" x14ac:dyDescent="0.3">
      <c r="A895" s="615">
        <v>39499</v>
      </c>
      <c r="B895" s="614" t="s">
        <v>1605</v>
      </c>
      <c r="C895" s="614" t="s">
        <v>369</v>
      </c>
      <c r="D895" s="614">
        <v>5</v>
      </c>
      <c r="E895" s="616">
        <v>3972</v>
      </c>
      <c r="F895" s="616">
        <v>19860</v>
      </c>
      <c r="G895" s="614" t="s">
        <v>2288</v>
      </c>
      <c r="H895" s="614">
        <v>200708229</v>
      </c>
      <c r="I895" s="614" t="s">
        <v>199</v>
      </c>
      <c r="J895" s="614" t="s">
        <v>200</v>
      </c>
      <c r="K895" s="614" t="s">
        <v>204</v>
      </c>
      <c r="L895" s="616">
        <v>24.83</v>
      </c>
      <c r="M895" s="616">
        <v>0</v>
      </c>
      <c r="N895" s="616">
        <v>0</v>
      </c>
      <c r="O895" s="616">
        <v>167.36</v>
      </c>
      <c r="P895" s="616">
        <v>192.19</v>
      </c>
    </row>
    <row r="896" spans="1:16" x14ac:dyDescent="0.3">
      <c r="A896" s="615">
        <v>39493</v>
      </c>
      <c r="B896" s="614" t="s">
        <v>2009</v>
      </c>
      <c r="C896" s="614" t="s">
        <v>369</v>
      </c>
      <c r="D896" s="614">
        <v>10</v>
      </c>
      <c r="E896" s="616">
        <v>908</v>
      </c>
      <c r="F896" s="616">
        <v>9080</v>
      </c>
      <c r="G896" s="614" t="s">
        <v>2289</v>
      </c>
      <c r="H896" s="614">
        <v>200708225</v>
      </c>
      <c r="I896" s="614" t="s">
        <v>199</v>
      </c>
      <c r="J896" s="614" t="s">
        <v>200</v>
      </c>
      <c r="K896" s="614" t="s">
        <v>204</v>
      </c>
      <c r="L896" s="616">
        <v>11.35</v>
      </c>
      <c r="M896" s="616">
        <v>0</v>
      </c>
      <c r="N896" s="616">
        <v>0</v>
      </c>
      <c r="O896" s="616">
        <v>76.52</v>
      </c>
      <c r="P896" s="616">
        <v>87.87</v>
      </c>
    </row>
    <row r="897" spans="1:16" x14ac:dyDescent="0.3">
      <c r="A897" s="615">
        <v>39493</v>
      </c>
      <c r="B897" s="614" t="s">
        <v>1058</v>
      </c>
      <c r="C897" s="614" t="s">
        <v>369</v>
      </c>
      <c r="D897" s="614">
        <v>16</v>
      </c>
      <c r="E897" s="616">
        <v>385</v>
      </c>
      <c r="F897" s="616">
        <v>6160</v>
      </c>
      <c r="G897" s="614" t="s">
        <v>2360</v>
      </c>
      <c r="H897" s="614">
        <v>200708225</v>
      </c>
      <c r="I897" s="614" t="s">
        <v>199</v>
      </c>
      <c r="J897" s="614" t="s">
        <v>200</v>
      </c>
      <c r="K897" s="614" t="s">
        <v>204</v>
      </c>
      <c r="L897" s="616">
        <v>7.7</v>
      </c>
      <c r="M897" s="616">
        <v>0</v>
      </c>
      <c r="N897" s="616">
        <v>0</v>
      </c>
      <c r="O897" s="616">
        <v>51.91</v>
      </c>
      <c r="P897" s="616">
        <v>59.61</v>
      </c>
    </row>
    <row r="898" spans="1:16" x14ac:dyDescent="0.3">
      <c r="A898" s="615">
        <v>39484</v>
      </c>
      <c r="B898" s="614" t="s">
        <v>1657</v>
      </c>
      <c r="C898" s="614" t="s">
        <v>369</v>
      </c>
      <c r="D898" s="614">
        <v>100</v>
      </c>
      <c r="E898" s="616">
        <v>180</v>
      </c>
      <c r="F898" s="616">
        <v>18000</v>
      </c>
      <c r="G898" s="614" t="s">
        <v>2290</v>
      </c>
      <c r="H898" s="614">
        <v>2008027</v>
      </c>
      <c r="I898" s="614" t="s">
        <v>199</v>
      </c>
      <c r="J898" s="614" t="s">
        <v>200</v>
      </c>
      <c r="K898" s="614" t="s">
        <v>201</v>
      </c>
      <c r="L898" s="616">
        <v>4.5</v>
      </c>
      <c r="M898" s="616">
        <v>0</v>
      </c>
      <c r="N898" s="616">
        <v>0</v>
      </c>
      <c r="O898" s="616">
        <v>16.850000000000001</v>
      </c>
      <c r="P898" s="616">
        <v>21.35</v>
      </c>
    </row>
    <row r="899" spans="1:16" x14ac:dyDescent="0.3">
      <c r="A899" s="615">
        <v>39484</v>
      </c>
      <c r="B899" s="614" t="s">
        <v>1998</v>
      </c>
      <c r="C899" s="614" t="s">
        <v>369</v>
      </c>
      <c r="D899" s="614">
        <v>100</v>
      </c>
      <c r="E899" s="616">
        <v>64.400000000000006</v>
      </c>
      <c r="F899" s="616">
        <v>6440</v>
      </c>
      <c r="G899" s="614" t="s">
        <v>2291</v>
      </c>
      <c r="H899" s="614">
        <v>2008027</v>
      </c>
      <c r="I899" s="614" t="s">
        <v>199</v>
      </c>
      <c r="J899" s="614" t="s">
        <v>200</v>
      </c>
      <c r="K899" s="614" t="s">
        <v>201</v>
      </c>
      <c r="L899" s="616">
        <v>1.61</v>
      </c>
      <c r="M899" s="616">
        <v>0</v>
      </c>
      <c r="N899" s="616">
        <v>0</v>
      </c>
      <c r="O899" s="616">
        <v>16.850000000000001</v>
      </c>
      <c r="P899" s="616">
        <v>18.46</v>
      </c>
    </row>
    <row r="900" spans="1:16" x14ac:dyDescent="0.3">
      <c r="A900" s="615">
        <v>39484</v>
      </c>
      <c r="B900" s="614" t="s">
        <v>1998</v>
      </c>
      <c r="C900" s="614" t="s">
        <v>369</v>
      </c>
      <c r="D900" s="614">
        <v>100</v>
      </c>
      <c r="E900" s="616">
        <v>64.7</v>
      </c>
      <c r="F900" s="616">
        <v>6470</v>
      </c>
      <c r="G900" s="614" t="s">
        <v>2292</v>
      </c>
      <c r="H900" s="614">
        <v>2008027</v>
      </c>
      <c r="I900" s="614" t="s">
        <v>199</v>
      </c>
      <c r="J900" s="614" t="s">
        <v>200</v>
      </c>
      <c r="K900" s="614" t="s">
        <v>201</v>
      </c>
      <c r="L900" s="616">
        <v>1.62</v>
      </c>
      <c r="M900" s="616">
        <v>0</v>
      </c>
      <c r="N900" s="616">
        <v>0</v>
      </c>
      <c r="O900" s="616">
        <v>16.850000000000001</v>
      </c>
      <c r="P900" s="616">
        <v>18.47</v>
      </c>
    </row>
    <row r="901" spans="1:16" x14ac:dyDescent="0.3">
      <c r="A901" s="615">
        <v>39484</v>
      </c>
      <c r="B901" s="614" t="s">
        <v>1998</v>
      </c>
      <c r="C901" s="614" t="s">
        <v>369</v>
      </c>
      <c r="D901" s="614">
        <v>200</v>
      </c>
      <c r="E901" s="616">
        <v>67.599999999999994</v>
      </c>
      <c r="F901" s="616">
        <v>13520</v>
      </c>
      <c r="G901" s="614" t="s">
        <v>2293</v>
      </c>
      <c r="H901" s="614">
        <v>2008027</v>
      </c>
      <c r="I901" s="614" t="s">
        <v>199</v>
      </c>
      <c r="J901" s="614" t="s">
        <v>200</v>
      </c>
      <c r="K901" s="614" t="s">
        <v>201</v>
      </c>
      <c r="L901" s="616">
        <v>3.38</v>
      </c>
      <c r="M901" s="616">
        <v>0</v>
      </c>
      <c r="N901" s="616">
        <v>0</v>
      </c>
      <c r="O901" s="616">
        <v>16.86</v>
      </c>
      <c r="P901" s="616">
        <v>20.239999999999998</v>
      </c>
    </row>
    <row r="902" spans="1:16" x14ac:dyDescent="0.3">
      <c r="A902" s="615">
        <v>39479</v>
      </c>
      <c r="B902" s="614" t="s">
        <v>2014</v>
      </c>
      <c r="C902" s="614" t="s">
        <v>369</v>
      </c>
      <c r="D902" s="614">
        <v>10</v>
      </c>
      <c r="E902" s="616">
        <v>932</v>
      </c>
      <c r="F902" s="616">
        <v>9320</v>
      </c>
      <c r="G902" s="614" t="s">
        <v>2294</v>
      </c>
      <c r="H902" s="614">
        <v>200708215</v>
      </c>
      <c r="I902" s="614" t="s">
        <v>199</v>
      </c>
      <c r="J902" s="614" t="s">
        <v>200</v>
      </c>
      <c r="K902" s="614" t="s">
        <v>204</v>
      </c>
      <c r="L902" s="616">
        <v>11.65</v>
      </c>
      <c r="M902" s="616">
        <v>0</v>
      </c>
      <c r="N902" s="616">
        <v>0</v>
      </c>
      <c r="O902" s="616">
        <v>78.540000000000006</v>
      </c>
      <c r="P902" s="616">
        <v>90.19</v>
      </c>
    </row>
    <row r="903" spans="1:16" x14ac:dyDescent="0.3">
      <c r="A903" s="615">
        <v>39476</v>
      </c>
      <c r="B903" s="614" t="s">
        <v>1657</v>
      </c>
      <c r="C903" s="614" t="s">
        <v>369</v>
      </c>
      <c r="D903" s="614">
        <v>100</v>
      </c>
      <c r="E903" s="616">
        <v>184</v>
      </c>
      <c r="F903" s="616">
        <v>18400</v>
      </c>
      <c r="G903" s="614" t="s">
        <v>2300</v>
      </c>
      <c r="H903" s="614">
        <v>2008021</v>
      </c>
      <c r="I903" s="614" t="s">
        <v>199</v>
      </c>
      <c r="J903" s="614" t="s">
        <v>200</v>
      </c>
      <c r="K903" s="614" t="s">
        <v>201</v>
      </c>
      <c r="L903" s="616">
        <v>4.5999999999999996</v>
      </c>
      <c r="M903" s="616">
        <v>0</v>
      </c>
      <c r="N903" s="616">
        <v>0</v>
      </c>
      <c r="O903" s="616">
        <v>16.850000000000001</v>
      </c>
      <c r="P903" s="616">
        <v>21.45</v>
      </c>
    </row>
    <row r="904" spans="1:16" x14ac:dyDescent="0.3">
      <c r="A904" s="615">
        <v>39476</v>
      </c>
      <c r="B904" s="614" t="s">
        <v>1657</v>
      </c>
      <c r="C904" s="614" t="s">
        <v>369</v>
      </c>
      <c r="D904" s="614">
        <v>100</v>
      </c>
      <c r="E904" s="616">
        <v>186</v>
      </c>
      <c r="F904" s="616">
        <v>18600</v>
      </c>
      <c r="G904" s="614" t="s">
        <v>2301</v>
      </c>
      <c r="H904" s="614">
        <v>2008021</v>
      </c>
      <c r="I904" s="614" t="s">
        <v>199</v>
      </c>
      <c r="J904" s="614" t="s">
        <v>200</v>
      </c>
      <c r="K904" s="614" t="s">
        <v>201</v>
      </c>
      <c r="L904" s="616">
        <v>4.6500000000000004</v>
      </c>
      <c r="M904" s="616">
        <v>0</v>
      </c>
      <c r="N904" s="616">
        <v>0</v>
      </c>
      <c r="O904" s="616">
        <v>16.86</v>
      </c>
      <c r="P904" s="616">
        <v>21.51</v>
      </c>
    </row>
    <row r="905" spans="1:16" x14ac:dyDescent="0.3">
      <c r="A905" s="615">
        <v>39476</v>
      </c>
      <c r="B905" s="614" t="s">
        <v>1657</v>
      </c>
      <c r="C905" s="614" t="s">
        <v>369</v>
      </c>
      <c r="D905" s="614">
        <v>100</v>
      </c>
      <c r="E905" s="616">
        <v>183.6</v>
      </c>
      <c r="F905" s="616">
        <v>18360</v>
      </c>
      <c r="G905" s="614" t="s">
        <v>2302</v>
      </c>
      <c r="H905" s="614">
        <v>2008021</v>
      </c>
      <c r="I905" s="614" t="s">
        <v>199</v>
      </c>
      <c r="J905" s="614" t="s">
        <v>200</v>
      </c>
      <c r="K905" s="614" t="s">
        <v>201</v>
      </c>
      <c r="L905" s="616">
        <v>4.59</v>
      </c>
      <c r="M905" s="616">
        <v>0</v>
      </c>
      <c r="N905" s="616">
        <v>0</v>
      </c>
      <c r="O905" s="616">
        <v>16.850000000000001</v>
      </c>
      <c r="P905" s="616">
        <v>21.44</v>
      </c>
    </row>
    <row r="906" spans="1:16" x14ac:dyDescent="0.3">
      <c r="A906" s="615">
        <v>39472</v>
      </c>
      <c r="B906" s="614" t="s">
        <v>211</v>
      </c>
      <c r="C906" s="614" t="s">
        <v>369</v>
      </c>
      <c r="D906" s="614">
        <v>25</v>
      </c>
      <c r="E906" s="616">
        <v>370.55</v>
      </c>
      <c r="F906" s="616">
        <v>9263.75</v>
      </c>
      <c r="G906" s="614" t="s">
        <v>2303</v>
      </c>
      <c r="H906" s="614">
        <v>200708210</v>
      </c>
      <c r="I906" s="614" t="s">
        <v>199</v>
      </c>
      <c r="J906" s="614" t="s">
        <v>200</v>
      </c>
      <c r="K906" s="614" t="s">
        <v>204</v>
      </c>
      <c r="L906" s="616">
        <v>11.58</v>
      </c>
      <c r="M906" s="616">
        <v>0</v>
      </c>
      <c r="N906" s="616">
        <v>0</v>
      </c>
      <c r="O906" s="616">
        <v>78.069999999999993</v>
      </c>
      <c r="P906" s="616">
        <v>89.65</v>
      </c>
    </row>
    <row r="907" spans="1:16" x14ac:dyDescent="0.3">
      <c r="A907" s="615">
        <v>39472</v>
      </c>
      <c r="B907" s="614" t="s">
        <v>2019</v>
      </c>
      <c r="C907" s="614" t="s">
        <v>369</v>
      </c>
      <c r="D907" s="614">
        <v>100</v>
      </c>
      <c r="E907" s="616">
        <v>61.100999999999999</v>
      </c>
      <c r="F907" s="616">
        <v>6110.1</v>
      </c>
      <c r="G907" s="614" t="s">
        <v>2304</v>
      </c>
      <c r="H907" s="614">
        <v>2008019</v>
      </c>
      <c r="I907" s="614" t="s">
        <v>199</v>
      </c>
      <c r="J907" s="614" t="s">
        <v>200</v>
      </c>
      <c r="K907" s="614" t="s">
        <v>201</v>
      </c>
      <c r="L907" s="616">
        <v>7.64</v>
      </c>
      <c r="M907" s="616">
        <v>0</v>
      </c>
      <c r="N907" s="616">
        <v>0</v>
      </c>
      <c r="O907" s="616">
        <v>51.49</v>
      </c>
      <c r="P907" s="616">
        <v>59.13</v>
      </c>
    </row>
    <row r="908" spans="1:16" x14ac:dyDescent="0.3">
      <c r="A908" s="615">
        <v>39458</v>
      </c>
      <c r="B908" s="614" t="s">
        <v>2002</v>
      </c>
      <c r="C908" s="614" t="s">
        <v>369</v>
      </c>
      <c r="D908" s="614">
        <v>200</v>
      </c>
      <c r="E908" s="616">
        <v>106.5</v>
      </c>
      <c r="F908" s="616">
        <v>21300</v>
      </c>
      <c r="G908" s="614" t="s">
        <v>2305</v>
      </c>
      <c r="H908" s="614">
        <v>200708200</v>
      </c>
      <c r="I908" s="614" t="s">
        <v>199</v>
      </c>
      <c r="J908" s="614" t="s">
        <v>200</v>
      </c>
      <c r="K908" s="614" t="s">
        <v>204</v>
      </c>
      <c r="L908" s="616">
        <v>26.63</v>
      </c>
      <c r="M908" s="616">
        <v>0</v>
      </c>
      <c r="N908" s="616">
        <v>0</v>
      </c>
      <c r="O908" s="616">
        <v>179.5</v>
      </c>
      <c r="P908" s="616">
        <v>206.13</v>
      </c>
    </row>
    <row r="909" spans="1:16" x14ac:dyDescent="0.3">
      <c r="A909" s="615">
        <v>39455</v>
      </c>
      <c r="B909" s="614" t="s">
        <v>2025</v>
      </c>
      <c r="C909" s="614" t="s">
        <v>369</v>
      </c>
      <c r="D909" s="614">
        <v>50</v>
      </c>
      <c r="E909" s="616">
        <v>330</v>
      </c>
      <c r="F909" s="616">
        <v>16500</v>
      </c>
      <c r="G909" s="614" t="s">
        <v>2306</v>
      </c>
      <c r="H909" s="614">
        <v>2008006</v>
      </c>
      <c r="I909" s="614" t="s">
        <v>199</v>
      </c>
      <c r="J909" s="614" t="s">
        <v>200</v>
      </c>
      <c r="K909" s="614" t="s">
        <v>201</v>
      </c>
      <c r="L909" s="616">
        <v>20.63</v>
      </c>
      <c r="M909" s="616">
        <v>0</v>
      </c>
      <c r="N909" s="616">
        <v>0</v>
      </c>
      <c r="O909" s="616">
        <v>139.05000000000001</v>
      </c>
      <c r="P909" s="616">
        <v>159.68</v>
      </c>
    </row>
    <row r="910" spans="1:16" x14ac:dyDescent="0.3">
      <c r="A910" s="615">
        <v>39443</v>
      </c>
      <c r="B910" s="614" t="s">
        <v>2032</v>
      </c>
      <c r="C910" s="614" t="s">
        <v>369</v>
      </c>
      <c r="D910" s="614">
        <v>25</v>
      </c>
      <c r="E910" s="616">
        <v>549.9</v>
      </c>
      <c r="F910" s="616">
        <v>13747.5</v>
      </c>
      <c r="G910" s="614" t="s">
        <v>2307</v>
      </c>
      <c r="H910" s="614">
        <v>200708189</v>
      </c>
      <c r="I910" s="614" t="s">
        <v>199</v>
      </c>
      <c r="J910" s="614" t="s">
        <v>200</v>
      </c>
      <c r="K910" s="614" t="s">
        <v>204</v>
      </c>
      <c r="L910" s="616">
        <v>17.18</v>
      </c>
      <c r="M910" s="616">
        <v>0</v>
      </c>
      <c r="N910" s="616">
        <v>0</v>
      </c>
      <c r="O910" s="616">
        <v>115.85</v>
      </c>
      <c r="P910" s="616">
        <v>133.03</v>
      </c>
    </row>
    <row r="911" spans="1:16" x14ac:dyDescent="0.3">
      <c r="A911" s="615">
        <v>39443</v>
      </c>
      <c r="B911" s="614" t="s">
        <v>2032</v>
      </c>
      <c r="C911" s="614" t="s">
        <v>369</v>
      </c>
      <c r="D911" s="614">
        <v>10</v>
      </c>
      <c r="E911" s="616">
        <v>547.5</v>
      </c>
      <c r="F911" s="616">
        <v>5475</v>
      </c>
      <c r="G911" s="614" t="s">
        <v>2308</v>
      </c>
      <c r="H911" s="614">
        <v>200708189</v>
      </c>
      <c r="I911" s="614" t="s">
        <v>199</v>
      </c>
      <c r="J911" s="614" t="s">
        <v>200</v>
      </c>
      <c r="K911" s="614" t="s">
        <v>204</v>
      </c>
      <c r="L911" s="616">
        <v>6.84</v>
      </c>
      <c r="M911" s="616">
        <v>0</v>
      </c>
      <c r="N911" s="616">
        <v>0</v>
      </c>
      <c r="O911" s="616">
        <v>46.14</v>
      </c>
      <c r="P911" s="616">
        <v>52.98</v>
      </c>
    </row>
    <row r="912" spans="1:16" x14ac:dyDescent="0.3">
      <c r="A912" s="615">
        <v>39443</v>
      </c>
      <c r="B912" s="614" t="s">
        <v>2032</v>
      </c>
      <c r="C912" s="614" t="s">
        <v>369</v>
      </c>
      <c r="D912" s="614">
        <v>15</v>
      </c>
      <c r="E912" s="616">
        <v>561</v>
      </c>
      <c r="F912" s="616">
        <v>8415</v>
      </c>
      <c r="G912" s="614" t="s">
        <v>2309</v>
      </c>
      <c r="H912" s="614">
        <v>200708189</v>
      </c>
      <c r="I912" s="614" t="s">
        <v>199</v>
      </c>
      <c r="J912" s="614" t="s">
        <v>200</v>
      </c>
      <c r="K912" s="614" t="s">
        <v>204</v>
      </c>
      <c r="L912" s="616">
        <v>10.52</v>
      </c>
      <c r="M912" s="616">
        <v>0</v>
      </c>
      <c r="N912" s="616">
        <v>0</v>
      </c>
      <c r="O912" s="616">
        <v>70.91</v>
      </c>
      <c r="P912" s="616">
        <v>81.430000000000007</v>
      </c>
    </row>
    <row r="913" spans="1:16" x14ac:dyDescent="0.3">
      <c r="A913" s="615">
        <v>39436</v>
      </c>
      <c r="B913" s="614" t="s">
        <v>1657</v>
      </c>
      <c r="C913" s="614" t="s">
        <v>369</v>
      </c>
      <c r="D913" s="614">
        <v>50</v>
      </c>
      <c r="E913" s="616">
        <v>237.2</v>
      </c>
      <c r="F913" s="616">
        <v>11860</v>
      </c>
      <c r="G913" s="614" t="s">
        <v>2310</v>
      </c>
      <c r="H913" s="614">
        <v>200708186</v>
      </c>
      <c r="I913" s="614" t="s">
        <v>199</v>
      </c>
      <c r="J913" s="614" t="s">
        <v>200</v>
      </c>
      <c r="K913" s="614" t="s">
        <v>204</v>
      </c>
      <c r="L913" s="616">
        <v>14.83</v>
      </c>
      <c r="M913" s="616">
        <v>0</v>
      </c>
      <c r="N913" s="616">
        <v>0</v>
      </c>
      <c r="O913" s="616">
        <v>99.94</v>
      </c>
      <c r="P913" s="616">
        <v>114.77</v>
      </c>
    </row>
    <row r="914" spans="1:16" x14ac:dyDescent="0.3">
      <c r="A914" s="615">
        <v>39436</v>
      </c>
      <c r="B914" s="614" t="s">
        <v>1657</v>
      </c>
      <c r="C914" s="614" t="s">
        <v>369</v>
      </c>
      <c r="D914" s="614">
        <v>25</v>
      </c>
      <c r="E914" s="616">
        <v>237.2</v>
      </c>
      <c r="F914" s="616">
        <v>5930</v>
      </c>
      <c r="G914" s="614" t="s">
        <v>2311</v>
      </c>
      <c r="H914" s="614">
        <v>2007244</v>
      </c>
      <c r="I914" s="614" t="s">
        <v>199</v>
      </c>
      <c r="J914" s="614" t="s">
        <v>3876</v>
      </c>
      <c r="K914" s="614" t="s">
        <v>201</v>
      </c>
      <c r="L914" s="616">
        <v>7.41</v>
      </c>
      <c r="M914" s="616">
        <v>0</v>
      </c>
      <c r="N914" s="616">
        <v>0</v>
      </c>
      <c r="O914" s="616">
        <v>49.97</v>
      </c>
      <c r="P914" s="616">
        <v>57.38</v>
      </c>
    </row>
    <row r="915" spans="1:16" x14ac:dyDescent="0.3">
      <c r="A915" s="615">
        <v>39433</v>
      </c>
      <c r="B915" s="614" t="s">
        <v>2034</v>
      </c>
      <c r="C915" s="614" t="s">
        <v>369</v>
      </c>
      <c r="D915" s="614">
        <v>40</v>
      </c>
      <c r="E915" s="616">
        <v>287.85000000000002</v>
      </c>
      <c r="F915" s="616">
        <v>11514</v>
      </c>
      <c r="G915" s="614" t="s">
        <v>2312</v>
      </c>
      <c r="H915" s="614">
        <v>200708183</v>
      </c>
      <c r="I915" s="614" t="s">
        <v>199</v>
      </c>
      <c r="J915" s="614" t="s">
        <v>200</v>
      </c>
      <c r="K915" s="614" t="s">
        <v>204</v>
      </c>
      <c r="L915" s="616">
        <v>14.39</v>
      </c>
      <c r="M915" s="616">
        <v>0</v>
      </c>
      <c r="N915" s="616">
        <v>0</v>
      </c>
      <c r="O915" s="616">
        <v>97.03</v>
      </c>
      <c r="P915" s="616">
        <v>111.42</v>
      </c>
    </row>
    <row r="916" spans="1:16" x14ac:dyDescent="0.3">
      <c r="A916" s="615">
        <v>39429</v>
      </c>
      <c r="B916" s="614" t="s">
        <v>1655</v>
      </c>
      <c r="C916" s="614" t="s">
        <v>369</v>
      </c>
      <c r="D916" s="614">
        <v>50</v>
      </c>
      <c r="E916" s="616">
        <v>52.75</v>
      </c>
      <c r="F916" s="616">
        <v>2637.5</v>
      </c>
      <c r="G916" s="614" t="s">
        <v>2313</v>
      </c>
      <c r="H916" s="614">
        <v>200708181</v>
      </c>
      <c r="I916" s="614" t="s">
        <v>199</v>
      </c>
      <c r="J916" s="614" t="s">
        <v>200</v>
      </c>
      <c r="K916" s="614" t="s">
        <v>204</v>
      </c>
      <c r="L916" s="616">
        <v>3.3</v>
      </c>
      <c r="M916" s="616">
        <v>0</v>
      </c>
      <c r="N916" s="616">
        <v>0</v>
      </c>
      <c r="O916" s="616">
        <v>28.09</v>
      </c>
      <c r="P916" s="616">
        <v>31.39</v>
      </c>
    </row>
    <row r="917" spans="1:16" x14ac:dyDescent="0.3">
      <c r="A917" s="615">
        <v>39423</v>
      </c>
      <c r="B917" s="614" t="s">
        <v>1657</v>
      </c>
      <c r="C917" s="614" t="s">
        <v>369</v>
      </c>
      <c r="D917" s="614">
        <v>150</v>
      </c>
      <c r="E917" s="616">
        <v>248</v>
      </c>
      <c r="F917" s="616">
        <v>37200</v>
      </c>
      <c r="G917" s="614" t="s">
        <v>2314</v>
      </c>
      <c r="H917" s="614">
        <v>200708177</v>
      </c>
      <c r="I917" s="614" t="s">
        <v>199</v>
      </c>
      <c r="J917" s="614" t="s">
        <v>200</v>
      </c>
      <c r="K917" s="614" t="s">
        <v>204</v>
      </c>
      <c r="L917" s="616">
        <v>46.5</v>
      </c>
      <c r="M917" s="616">
        <v>0</v>
      </c>
      <c r="N917" s="616">
        <v>0</v>
      </c>
      <c r="O917" s="616">
        <v>313.49</v>
      </c>
      <c r="P917" s="616">
        <v>359.99</v>
      </c>
    </row>
    <row r="918" spans="1:16" x14ac:dyDescent="0.3">
      <c r="A918" s="615">
        <v>39421</v>
      </c>
      <c r="B918" s="614" t="s">
        <v>2047</v>
      </c>
      <c r="C918" s="614" t="s">
        <v>369</v>
      </c>
      <c r="D918" s="614">
        <v>25</v>
      </c>
      <c r="E918" s="616">
        <v>344.1</v>
      </c>
      <c r="F918" s="616">
        <v>8602.5</v>
      </c>
      <c r="G918" s="614" t="s">
        <v>2315</v>
      </c>
      <c r="H918" s="614">
        <v>200708175</v>
      </c>
      <c r="I918" s="614" t="s">
        <v>199</v>
      </c>
      <c r="J918" s="614" t="s">
        <v>200</v>
      </c>
      <c r="K918" s="614" t="s">
        <v>204</v>
      </c>
      <c r="L918" s="616">
        <v>10.75</v>
      </c>
      <c r="M918" s="616">
        <v>0</v>
      </c>
      <c r="N918" s="616">
        <v>0</v>
      </c>
      <c r="O918" s="616">
        <v>72.5</v>
      </c>
      <c r="P918" s="616">
        <v>83.25</v>
      </c>
    </row>
    <row r="919" spans="1:16" x14ac:dyDescent="0.3">
      <c r="A919" s="615">
        <v>39419</v>
      </c>
      <c r="B919" s="614" t="s">
        <v>282</v>
      </c>
      <c r="C919" s="614" t="s">
        <v>369</v>
      </c>
      <c r="D919" s="614">
        <v>250</v>
      </c>
      <c r="E919" s="616">
        <v>43</v>
      </c>
      <c r="F919" s="616">
        <v>10750</v>
      </c>
      <c r="G919" s="614" t="s">
        <v>2316</v>
      </c>
      <c r="H919" s="614">
        <v>2007231</v>
      </c>
      <c r="I919" s="614" t="s">
        <v>307</v>
      </c>
      <c r="J919" s="614" t="s">
        <v>200</v>
      </c>
      <c r="K919" s="614" t="s">
        <v>201</v>
      </c>
      <c r="L919" s="616">
        <v>13.44</v>
      </c>
      <c r="M919" s="616">
        <v>0</v>
      </c>
      <c r="N919" s="616">
        <v>0</v>
      </c>
      <c r="O919" s="616">
        <v>90.6</v>
      </c>
      <c r="P919" s="616">
        <v>104.04</v>
      </c>
    </row>
    <row r="920" spans="1:16" x14ac:dyDescent="0.3">
      <c r="A920" s="615">
        <v>39419</v>
      </c>
      <c r="B920" s="614" t="s">
        <v>2047</v>
      </c>
      <c r="C920" s="614" t="s">
        <v>369</v>
      </c>
      <c r="D920" s="614">
        <v>5</v>
      </c>
      <c r="E920" s="616">
        <v>349.1</v>
      </c>
      <c r="F920" s="616">
        <v>1745.5</v>
      </c>
      <c r="G920" s="614" t="s">
        <v>2317</v>
      </c>
      <c r="H920" s="614">
        <v>2007231</v>
      </c>
      <c r="I920" s="614" t="s">
        <v>199</v>
      </c>
      <c r="J920" s="614" t="s">
        <v>200</v>
      </c>
      <c r="K920" s="614" t="s">
        <v>201</v>
      </c>
      <c r="L920" s="616">
        <v>2.1800000000000002</v>
      </c>
      <c r="M920" s="616">
        <v>0</v>
      </c>
      <c r="N920" s="616">
        <v>0</v>
      </c>
      <c r="O920" s="616">
        <v>28.09</v>
      </c>
      <c r="P920" s="616">
        <v>30.27</v>
      </c>
    </row>
    <row r="921" spans="1:16" x14ac:dyDescent="0.3">
      <c r="A921" s="615">
        <v>39416</v>
      </c>
      <c r="B921" s="614" t="s">
        <v>2177</v>
      </c>
      <c r="C921" s="614" t="s">
        <v>369</v>
      </c>
      <c r="D921" s="614">
        <v>10</v>
      </c>
      <c r="E921" s="616">
        <v>674.9</v>
      </c>
      <c r="F921" s="616">
        <v>6749</v>
      </c>
      <c r="G921" s="614" t="s">
        <v>2318</v>
      </c>
      <c r="H921" s="614">
        <v>200708172</v>
      </c>
      <c r="I921" s="614" t="s">
        <v>199</v>
      </c>
      <c r="J921" s="614" t="s">
        <v>200</v>
      </c>
      <c r="K921" s="614" t="s">
        <v>204</v>
      </c>
      <c r="L921" s="616">
        <v>8.44</v>
      </c>
      <c r="M921" s="616">
        <v>0</v>
      </c>
      <c r="N921" s="616">
        <v>0</v>
      </c>
      <c r="O921" s="616">
        <v>56.87</v>
      </c>
      <c r="P921" s="616">
        <v>65.31</v>
      </c>
    </row>
    <row r="922" spans="1:16" x14ac:dyDescent="0.3">
      <c r="A922" s="615">
        <v>39416</v>
      </c>
      <c r="B922" s="614" t="s">
        <v>1697</v>
      </c>
      <c r="C922" s="614" t="s">
        <v>369</v>
      </c>
      <c r="D922" s="614">
        <v>15</v>
      </c>
      <c r="E922" s="616">
        <v>940</v>
      </c>
      <c r="F922" s="616">
        <v>14100</v>
      </c>
      <c r="G922" s="614" t="s">
        <v>2319</v>
      </c>
      <c r="H922" s="614">
        <v>2007230</v>
      </c>
      <c r="I922" s="614" t="s">
        <v>199</v>
      </c>
      <c r="J922" s="614" t="s">
        <v>200</v>
      </c>
      <c r="K922" s="614" t="s">
        <v>201</v>
      </c>
      <c r="L922" s="616">
        <v>17.63</v>
      </c>
      <c r="M922" s="616">
        <v>0</v>
      </c>
      <c r="N922" s="616">
        <v>0</v>
      </c>
      <c r="O922" s="616">
        <v>118.82</v>
      </c>
      <c r="P922" s="616">
        <v>136.44999999999999</v>
      </c>
    </row>
    <row r="923" spans="1:16" x14ac:dyDescent="0.3">
      <c r="A923" s="615">
        <v>39414</v>
      </c>
      <c r="B923" s="614" t="s">
        <v>2049</v>
      </c>
      <c r="C923" s="614" t="s">
        <v>369</v>
      </c>
      <c r="D923" s="614">
        <v>1</v>
      </c>
      <c r="E923" s="616">
        <v>2000.15</v>
      </c>
      <c r="F923" s="616">
        <v>2000.15</v>
      </c>
      <c r="G923" s="614" t="s">
        <v>2320</v>
      </c>
      <c r="H923" s="614">
        <v>2007228</v>
      </c>
      <c r="I923" s="614" t="s">
        <v>199</v>
      </c>
      <c r="J923" s="614" t="s">
        <v>200</v>
      </c>
      <c r="K923" s="614" t="s">
        <v>201</v>
      </c>
      <c r="L923" s="616">
        <v>2.5</v>
      </c>
      <c r="M923" s="616">
        <v>0</v>
      </c>
      <c r="N923" s="616">
        <v>0</v>
      </c>
      <c r="O923" s="616">
        <v>28.09</v>
      </c>
      <c r="P923" s="616">
        <v>30.59</v>
      </c>
    </row>
    <row r="924" spans="1:16" x14ac:dyDescent="0.3">
      <c r="A924" s="615">
        <v>39412</v>
      </c>
      <c r="B924" s="614" t="s">
        <v>1551</v>
      </c>
      <c r="C924" s="614" t="s">
        <v>369</v>
      </c>
      <c r="D924" s="614">
        <v>2</v>
      </c>
      <c r="E924" s="616">
        <v>1588.15</v>
      </c>
      <c r="F924" s="616">
        <v>3176.3</v>
      </c>
      <c r="G924" s="614" t="s">
        <v>2321</v>
      </c>
      <c r="H924" s="614">
        <v>2007226</v>
      </c>
      <c r="I924" s="614" t="s">
        <v>199</v>
      </c>
      <c r="J924" s="614" t="s">
        <v>200</v>
      </c>
      <c r="K924" s="614" t="s">
        <v>201</v>
      </c>
      <c r="L924" s="616">
        <v>3.97</v>
      </c>
      <c r="M924" s="616">
        <v>0</v>
      </c>
      <c r="N924" s="616">
        <v>0</v>
      </c>
      <c r="O924" s="616">
        <v>28.09</v>
      </c>
      <c r="P924" s="616">
        <v>32.06</v>
      </c>
    </row>
    <row r="925" spans="1:16" x14ac:dyDescent="0.3">
      <c r="A925" s="615">
        <v>39407</v>
      </c>
      <c r="B925" s="614" t="s">
        <v>1657</v>
      </c>
      <c r="C925" s="614" t="s">
        <v>369</v>
      </c>
      <c r="D925" s="614">
        <v>100</v>
      </c>
      <c r="E925" s="616">
        <v>232</v>
      </c>
      <c r="F925" s="616">
        <v>23200</v>
      </c>
      <c r="G925" s="614" t="s">
        <v>2322</v>
      </c>
      <c r="H925" s="614">
        <v>2007223</v>
      </c>
      <c r="I925" s="614" t="s">
        <v>199</v>
      </c>
      <c r="J925" s="614" t="s">
        <v>200</v>
      </c>
      <c r="K925" s="614" t="s">
        <v>201</v>
      </c>
      <c r="L925" s="616">
        <v>5.8</v>
      </c>
      <c r="M925" s="616">
        <v>0</v>
      </c>
      <c r="N925" s="616">
        <v>0</v>
      </c>
      <c r="O925" s="616">
        <v>16.850000000000001</v>
      </c>
      <c r="P925" s="616">
        <v>22.65</v>
      </c>
    </row>
    <row r="926" spans="1:16" x14ac:dyDescent="0.3">
      <c r="A926" s="615">
        <v>39407</v>
      </c>
      <c r="B926" s="614" t="s">
        <v>1657</v>
      </c>
      <c r="C926" s="614" t="s">
        <v>369</v>
      </c>
      <c r="D926" s="614">
        <v>100</v>
      </c>
      <c r="E926" s="616">
        <v>232</v>
      </c>
      <c r="F926" s="616">
        <v>23200</v>
      </c>
      <c r="G926" s="614" t="s">
        <v>2323</v>
      </c>
      <c r="H926" s="614">
        <v>2007223</v>
      </c>
      <c r="I926" s="614" t="s">
        <v>199</v>
      </c>
      <c r="J926" s="614" t="s">
        <v>200</v>
      </c>
      <c r="K926" s="614" t="s">
        <v>201</v>
      </c>
      <c r="L926" s="616">
        <v>5.8</v>
      </c>
      <c r="M926" s="616">
        <v>0</v>
      </c>
      <c r="N926" s="616">
        <v>0</v>
      </c>
      <c r="O926" s="616">
        <v>16.850000000000001</v>
      </c>
      <c r="P926" s="616">
        <v>22.65</v>
      </c>
    </row>
    <row r="927" spans="1:16" x14ac:dyDescent="0.3">
      <c r="A927" s="615">
        <v>39407</v>
      </c>
      <c r="B927" s="614" t="s">
        <v>1657</v>
      </c>
      <c r="C927" s="614" t="s">
        <v>369</v>
      </c>
      <c r="D927" s="614">
        <v>200</v>
      </c>
      <c r="E927" s="616">
        <v>230</v>
      </c>
      <c r="F927" s="616">
        <v>46000</v>
      </c>
      <c r="G927" s="614" t="s">
        <v>2324</v>
      </c>
      <c r="H927" s="614">
        <v>2007223</v>
      </c>
      <c r="I927" s="614" t="s">
        <v>199</v>
      </c>
      <c r="J927" s="614" t="s">
        <v>200</v>
      </c>
      <c r="K927" s="614" t="s">
        <v>201</v>
      </c>
      <c r="L927" s="616">
        <v>11.5</v>
      </c>
      <c r="M927" s="616">
        <v>0</v>
      </c>
      <c r="N927" s="616">
        <v>0</v>
      </c>
      <c r="O927" s="616">
        <v>16.86</v>
      </c>
      <c r="P927" s="616">
        <v>28.36</v>
      </c>
    </row>
    <row r="928" spans="1:16" x14ac:dyDescent="0.3">
      <c r="A928" s="615">
        <v>39400</v>
      </c>
      <c r="B928" s="614" t="s">
        <v>2180</v>
      </c>
      <c r="C928" s="614" t="s">
        <v>369</v>
      </c>
      <c r="D928" s="614">
        <v>150</v>
      </c>
      <c r="E928" s="616">
        <v>45.45</v>
      </c>
      <c r="F928" s="616">
        <v>6817.5</v>
      </c>
      <c r="G928" s="614" t="s">
        <v>2325</v>
      </c>
      <c r="H928" s="614">
        <v>200708160</v>
      </c>
      <c r="I928" s="614" t="s">
        <v>199</v>
      </c>
      <c r="J928" s="614" t="s">
        <v>200</v>
      </c>
      <c r="K928" s="614" t="s">
        <v>204</v>
      </c>
      <c r="L928" s="616">
        <v>8.52</v>
      </c>
      <c r="M928" s="616">
        <v>0</v>
      </c>
      <c r="N928" s="616">
        <v>0</v>
      </c>
      <c r="O928" s="616">
        <v>57.45</v>
      </c>
      <c r="P928" s="616">
        <v>65.97</v>
      </c>
    </row>
    <row r="929" spans="1:16" x14ac:dyDescent="0.3">
      <c r="A929" s="615">
        <v>39399</v>
      </c>
      <c r="B929" s="614" t="s">
        <v>2195</v>
      </c>
      <c r="C929" s="614" t="s">
        <v>369</v>
      </c>
      <c r="D929" s="614">
        <v>5</v>
      </c>
      <c r="E929" s="616">
        <v>320.60000000000002</v>
      </c>
      <c r="F929" s="616">
        <v>1603</v>
      </c>
      <c r="G929" s="614" t="s">
        <v>2326</v>
      </c>
      <c r="H929" s="614">
        <v>2007217</v>
      </c>
      <c r="I929" s="614" t="s">
        <v>199</v>
      </c>
      <c r="J929" s="614" t="s">
        <v>200</v>
      </c>
      <c r="K929" s="614" t="s">
        <v>201</v>
      </c>
      <c r="L929" s="616">
        <v>2</v>
      </c>
      <c r="M929" s="616">
        <v>0</v>
      </c>
      <c r="N929" s="616">
        <v>0</v>
      </c>
      <c r="O929" s="616">
        <v>28.09</v>
      </c>
      <c r="P929" s="616">
        <v>30.09</v>
      </c>
    </row>
    <row r="930" spans="1:16" x14ac:dyDescent="0.3">
      <c r="A930" s="615">
        <v>39398</v>
      </c>
      <c r="B930" s="614" t="s">
        <v>2049</v>
      </c>
      <c r="C930" s="614" t="s">
        <v>369</v>
      </c>
      <c r="D930" s="614">
        <v>1</v>
      </c>
      <c r="E930" s="616">
        <v>2165</v>
      </c>
      <c r="F930" s="616">
        <v>2165</v>
      </c>
      <c r="G930" s="614" t="s">
        <v>2327</v>
      </c>
      <c r="H930" s="614">
        <v>2007216</v>
      </c>
      <c r="I930" s="614" t="s">
        <v>199</v>
      </c>
      <c r="J930" s="614" t="s">
        <v>200</v>
      </c>
      <c r="K930" s="614" t="s">
        <v>201</v>
      </c>
      <c r="L930" s="616">
        <v>2.71</v>
      </c>
      <c r="M930" s="616">
        <v>0</v>
      </c>
      <c r="N930" s="616">
        <v>0</v>
      </c>
      <c r="O930" s="616">
        <v>28.09</v>
      </c>
      <c r="P930" s="616">
        <v>30.8</v>
      </c>
    </row>
    <row r="931" spans="1:16" x14ac:dyDescent="0.3">
      <c r="A931" s="615">
        <v>39392</v>
      </c>
      <c r="B931" s="614" t="s">
        <v>282</v>
      </c>
      <c r="C931" s="614" t="s">
        <v>369</v>
      </c>
      <c r="D931" s="614">
        <v>250</v>
      </c>
      <c r="E931" s="616">
        <v>43.05</v>
      </c>
      <c r="F931" s="616">
        <v>10762.5</v>
      </c>
      <c r="G931" s="614" t="s">
        <v>2328</v>
      </c>
      <c r="H931" s="614">
        <v>2007212</v>
      </c>
      <c r="I931" s="614" t="s">
        <v>199</v>
      </c>
      <c r="J931" s="614" t="s">
        <v>200</v>
      </c>
      <c r="K931" s="614" t="s">
        <v>201</v>
      </c>
      <c r="L931" s="616">
        <v>13.45</v>
      </c>
      <c r="M931" s="616">
        <v>0</v>
      </c>
      <c r="N931" s="616">
        <v>0</v>
      </c>
      <c r="O931" s="616">
        <v>90.7</v>
      </c>
      <c r="P931" s="616">
        <v>104.15</v>
      </c>
    </row>
    <row r="932" spans="1:16" x14ac:dyDescent="0.3">
      <c r="A932" s="615">
        <v>39391</v>
      </c>
      <c r="B932" s="614" t="s">
        <v>2219</v>
      </c>
      <c r="C932" s="614" t="s">
        <v>369</v>
      </c>
      <c r="D932" s="614">
        <v>10</v>
      </c>
      <c r="E932" s="616">
        <v>1012.7</v>
      </c>
      <c r="F932" s="616">
        <v>10127</v>
      </c>
      <c r="G932" s="614" t="s">
        <v>2329</v>
      </c>
      <c r="H932" s="614">
        <v>2007211</v>
      </c>
      <c r="I932" s="614" t="s">
        <v>199</v>
      </c>
      <c r="J932" s="614" t="s">
        <v>200</v>
      </c>
      <c r="K932" s="614" t="s">
        <v>201</v>
      </c>
      <c r="L932" s="616">
        <v>12.66</v>
      </c>
      <c r="M932" s="616">
        <v>0</v>
      </c>
      <c r="N932" s="616">
        <v>0</v>
      </c>
      <c r="O932" s="616">
        <v>85.34</v>
      </c>
      <c r="P932" s="616">
        <v>98</v>
      </c>
    </row>
    <row r="933" spans="1:16" x14ac:dyDescent="0.3">
      <c r="A933" s="615">
        <v>39386</v>
      </c>
      <c r="B933" s="614" t="s">
        <v>1553</v>
      </c>
      <c r="C933" s="614" t="s">
        <v>369</v>
      </c>
      <c r="D933" s="614">
        <v>3</v>
      </c>
      <c r="E933" s="616">
        <v>355</v>
      </c>
      <c r="F933" s="616">
        <v>1065</v>
      </c>
      <c r="G933" s="614" t="s">
        <v>2330</v>
      </c>
      <c r="H933" s="614">
        <v>2007208</v>
      </c>
      <c r="I933" s="614" t="s">
        <v>199</v>
      </c>
      <c r="J933" s="614" t="s">
        <v>200</v>
      </c>
      <c r="K933" s="614" t="s">
        <v>201</v>
      </c>
      <c r="L933" s="616">
        <v>1.33</v>
      </c>
      <c r="M933" s="616">
        <v>0</v>
      </c>
      <c r="N933" s="616">
        <v>0</v>
      </c>
      <c r="O933" s="616">
        <v>28.09</v>
      </c>
      <c r="P933" s="616">
        <v>29.42</v>
      </c>
    </row>
    <row r="934" spans="1:16" x14ac:dyDescent="0.3">
      <c r="A934" s="615">
        <v>39385</v>
      </c>
      <c r="B934" s="614" t="s">
        <v>2197</v>
      </c>
      <c r="C934" s="614" t="s">
        <v>369</v>
      </c>
      <c r="D934" s="614">
        <v>10</v>
      </c>
      <c r="E934" s="616">
        <v>1010</v>
      </c>
      <c r="F934" s="616">
        <v>10100</v>
      </c>
      <c r="G934" s="614" t="s">
        <v>2331</v>
      </c>
      <c r="H934" s="614">
        <v>2007207</v>
      </c>
      <c r="I934" s="614" t="s">
        <v>199</v>
      </c>
      <c r="J934" s="614" t="s">
        <v>200</v>
      </c>
      <c r="K934" s="614" t="s">
        <v>201</v>
      </c>
      <c r="L934" s="616">
        <v>12.63</v>
      </c>
      <c r="M934" s="616">
        <v>0</v>
      </c>
      <c r="N934" s="616">
        <v>0</v>
      </c>
      <c r="O934" s="616">
        <v>85.11</v>
      </c>
      <c r="P934" s="616">
        <v>97.74</v>
      </c>
    </row>
    <row r="935" spans="1:16" x14ac:dyDescent="0.3">
      <c r="A935" s="615">
        <v>39381</v>
      </c>
      <c r="B935" s="614" t="s">
        <v>1107</v>
      </c>
      <c r="C935" s="614" t="s">
        <v>369</v>
      </c>
      <c r="D935" s="614">
        <v>100</v>
      </c>
      <c r="E935" s="616">
        <v>143.25</v>
      </c>
      <c r="F935" s="616">
        <v>14325</v>
      </c>
      <c r="G935" s="614" t="s">
        <v>2332</v>
      </c>
      <c r="H935" s="614">
        <v>200708147</v>
      </c>
      <c r="I935" s="614" t="s">
        <v>199</v>
      </c>
      <c r="J935" s="614" t="s">
        <v>200</v>
      </c>
      <c r="K935" s="614" t="s">
        <v>204</v>
      </c>
      <c r="L935" s="616">
        <v>17.91</v>
      </c>
      <c r="M935" s="616">
        <v>0</v>
      </c>
      <c r="N935" s="616">
        <v>0</v>
      </c>
      <c r="O935" s="616">
        <v>120.72</v>
      </c>
      <c r="P935" s="616">
        <v>138.63</v>
      </c>
    </row>
    <row r="936" spans="1:16" x14ac:dyDescent="0.3">
      <c r="A936" s="615">
        <v>39380</v>
      </c>
      <c r="B936" s="614" t="s">
        <v>2209</v>
      </c>
      <c r="C936" s="614" t="s">
        <v>369</v>
      </c>
      <c r="D936" s="614">
        <v>5</v>
      </c>
      <c r="E936" s="616">
        <v>208.05</v>
      </c>
      <c r="F936" s="616">
        <v>1040.25</v>
      </c>
      <c r="G936" s="614" t="s">
        <v>2333</v>
      </c>
      <c r="H936" s="614">
        <v>2007204</v>
      </c>
      <c r="I936" s="614" t="s">
        <v>199</v>
      </c>
      <c r="J936" s="614" t="s">
        <v>200</v>
      </c>
      <c r="K936" s="614" t="s">
        <v>201</v>
      </c>
      <c r="L936" s="616">
        <v>1.3</v>
      </c>
      <c r="M936" s="616">
        <v>0</v>
      </c>
      <c r="N936" s="616">
        <v>0</v>
      </c>
      <c r="O936" s="616">
        <v>28.09</v>
      </c>
      <c r="P936" s="616">
        <v>29.39</v>
      </c>
    </row>
    <row r="937" spans="1:16" x14ac:dyDescent="0.3">
      <c r="A937" s="615">
        <v>39371</v>
      </c>
      <c r="B937" s="614" t="s">
        <v>2204</v>
      </c>
      <c r="C937" s="614" t="s">
        <v>369</v>
      </c>
      <c r="D937" s="614">
        <v>10</v>
      </c>
      <c r="E937" s="616">
        <v>72.75</v>
      </c>
      <c r="F937" s="616">
        <v>727.5</v>
      </c>
      <c r="G937" s="614" t="s">
        <v>2334</v>
      </c>
      <c r="H937" s="614">
        <v>200708139</v>
      </c>
      <c r="I937" s="614" t="s">
        <v>199</v>
      </c>
      <c r="J937" s="614" t="s">
        <v>200</v>
      </c>
      <c r="K937" s="614" t="s">
        <v>204</v>
      </c>
      <c r="L937" s="616">
        <v>0.91</v>
      </c>
      <c r="M937" s="616">
        <v>0</v>
      </c>
      <c r="N937" s="616">
        <v>0</v>
      </c>
      <c r="O937" s="616">
        <v>20.440000000000001</v>
      </c>
      <c r="P937" s="616">
        <v>21.35</v>
      </c>
    </row>
    <row r="938" spans="1:16" x14ac:dyDescent="0.3">
      <c r="A938" s="615">
        <v>39371</v>
      </c>
      <c r="B938" s="614" t="s">
        <v>2217</v>
      </c>
      <c r="C938" s="614" t="s">
        <v>369</v>
      </c>
      <c r="D938" s="614">
        <v>10</v>
      </c>
      <c r="E938" s="616">
        <v>201.25</v>
      </c>
      <c r="F938" s="616">
        <v>2012.5</v>
      </c>
      <c r="G938" s="614" t="s">
        <v>2335</v>
      </c>
      <c r="H938" s="614">
        <v>200708139</v>
      </c>
      <c r="I938" s="614" t="s">
        <v>199</v>
      </c>
      <c r="J938" s="614" t="s">
        <v>200</v>
      </c>
      <c r="K938" s="614" t="s">
        <v>204</v>
      </c>
      <c r="L938" s="616">
        <v>2.52</v>
      </c>
      <c r="M938" s="616">
        <v>0</v>
      </c>
      <c r="N938" s="616">
        <v>0</v>
      </c>
      <c r="O938" s="616">
        <v>28.09</v>
      </c>
      <c r="P938" s="616">
        <v>30.61</v>
      </c>
    </row>
    <row r="939" spans="1:16" x14ac:dyDescent="0.3">
      <c r="A939" s="615">
        <v>39371</v>
      </c>
      <c r="B939" s="614" t="s">
        <v>2206</v>
      </c>
      <c r="C939" s="614" t="s">
        <v>369</v>
      </c>
      <c r="D939" s="614">
        <v>5</v>
      </c>
      <c r="E939" s="616">
        <v>186.5</v>
      </c>
      <c r="F939" s="616">
        <v>932.5</v>
      </c>
      <c r="G939" s="614" t="s">
        <v>2336</v>
      </c>
      <c r="H939" s="614">
        <v>2007197</v>
      </c>
      <c r="I939" s="614" t="s">
        <v>199</v>
      </c>
      <c r="J939" s="614" t="s">
        <v>200</v>
      </c>
      <c r="K939" s="614" t="s">
        <v>201</v>
      </c>
      <c r="L939" s="616">
        <v>1.17</v>
      </c>
      <c r="M939" s="616">
        <v>0</v>
      </c>
      <c r="N939" s="616">
        <v>0</v>
      </c>
      <c r="O939" s="616">
        <v>26.19</v>
      </c>
      <c r="P939" s="616">
        <v>27.36</v>
      </c>
    </row>
    <row r="940" spans="1:16" x14ac:dyDescent="0.3">
      <c r="A940" s="615">
        <v>39371</v>
      </c>
      <c r="B940" s="614" t="s">
        <v>2211</v>
      </c>
      <c r="C940" s="614" t="s">
        <v>369</v>
      </c>
      <c r="D940" s="614">
        <v>20</v>
      </c>
      <c r="E940" s="616">
        <v>31.1</v>
      </c>
      <c r="F940" s="616">
        <v>622</v>
      </c>
      <c r="G940" s="614" t="s">
        <v>2337</v>
      </c>
      <c r="H940" s="614">
        <v>2007197</v>
      </c>
      <c r="I940" s="614" t="s">
        <v>199</v>
      </c>
      <c r="J940" s="614" t="s">
        <v>200</v>
      </c>
      <c r="K940" s="614" t="s">
        <v>201</v>
      </c>
      <c r="L940" s="616">
        <v>0.78</v>
      </c>
      <c r="M940" s="616">
        <v>0</v>
      </c>
      <c r="N940" s="616">
        <v>0</v>
      </c>
      <c r="O940" s="616">
        <v>17.47</v>
      </c>
      <c r="P940" s="616">
        <v>18.25</v>
      </c>
    </row>
    <row r="941" spans="1:16" x14ac:dyDescent="0.3">
      <c r="A941" s="615">
        <v>39371</v>
      </c>
      <c r="B941" s="614" t="s">
        <v>211</v>
      </c>
      <c r="C941" s="614" t="s">
        <v>369</v>
      </c>
      <c r="D941" s="614">
        <v>3</v>
      </c>
      <c r="E941" s="616">
        <v>428</v>
      </c>
      <c r="F941" s="616">
        <v>1284</v>
      </c>
      <c r="G941" s="614" t="s">
        <v>2338</v>
      </c>
      <c r="H941" s="614">
        <v>2007197</v>
      </c>
      <c r="I941" s="614" t="s">
        <v>199</v>
      </c>
      <c r="J941" s="614" t="s">
        <v>200</v>
      </c>
      <c r="K941" s="614" t="s">
        <v>201</v>
      </c>
      <c r="L941" s="616">
        <v>1.61</v>
      </c>
      <c r="M941" s="616">
        <v>0</v>
      </c>
      <c r="N941" s="616">
        <v>0</v>
      </c>
      <c r="O941" s="616">
        <v>28.09</v>
      </c>
      <c r="P941" s="616">
        <v>29.7</v>
      </c>
    </row>
    <row r="942" spans="1:16" x14ac:dyDescent="0.3">
      <c r="A942" s="615">
        <v>39366</v>
      </c>
      <c r="B942" s="614" t="s">
        <v>2200</v>
      </c>
      <c r="C942" s="614" t="s">
        <v>369</v>
      </c>
      <c r="D942" s="614">
        <v>2</v>
      </c>
      <c r="E942" s="616">
        <v>622</v>
      </c>
      <c r="F942" s="616">
        <v>1244</v>
      </c>
      <c r="G942" s="614" t="s">
        <v>2339</v>
      </c>
      <c r="H942" s="614">
        <v>200708136</v>
      </c>
      <c r="I942" s="614" t="s">
        <v>199</v>
      </c>
      <c r="J942" s="614" t="s">
        <v>200</v>
      </c>
      <c r="K942" s="614" t="s">
        <v>204</v>
      </c>
      <c r="L942" s="616">
        <v>1.56</v>
      </c>
      <c r="M942" s="616">
        <v>0</v>
      </c>
      <c r="N942" s="616">
        <v>0</v>
      </c>
      <c r="O942" s="616">
        <v>28.09</v>
      </c>
      <c r="P942" s="616">
        <v>29.65</v>
      </c>
    </row>
    <row r="943" spans="1:16" x14ac:dyDescent="0.3">
      <c r="A943" s="615">
        <v>39364</v>
      </c>
      <c r="B943" s="614" t="s">
        <v>2215</v>
      </c>
      <c r="C943" s="614" t="s">
        <v>369</v>
      </c>
      <c r="D943" s="614">
        <v>20</v>
      </c>
      <c r="E943" s="616">
        <v>40.299999999999997</v>
      </c>
      <c r="F943" s="616">
        <v>806</v>
      </c>
      <c r="G943" s="614" t="s">
        <v>2340</v>
      </c>
      <c r="H943" s="614">
        <v>2007192</v>
      </c>
      <c r="I943" s="614" t="s">
        <v>199</v>
      </c>
      <c r="J943" s="614" t="s">
        <v>200</v>
      </c>
      <c r="K943" s="614" t="s">
        <v>201</v>
      </c>
      <c r="L943" s="616">
        <v>1.01</v>
      </c>
      <c r="M943" s="616">
        <v>0</v>
      </c>
      <c r="N943" s="616">
        <v>0</v>
      </c>
      <c r="O943" s="616">
        <v>22.64</v>
      </c>
      <c r="P943" s="616">
        <v>23.65</v>
      </c>
    </row>
    <row r="944" spans="1:16" x14ac:dyDescent="0.3">
      <c r="A944" s="615">
        <v>39360</v>
      </c>
      <c r="B944" s="614" t="s">
        <v>2213</v>
      </c>
      <c r="C944" s="614" t="s">
        <v>369</v>
      </c>
      <c r="D944" s="614">
        <v>10</v>
      </c>
      <c r="E944" s="616">
        <v>92</v>
      </c>
      <c r="F944" s="616">
        <v>920</v>
      </c>
      <c r="G944" s="614" t="s">
        <v>2341</v>
      </c>
      <c r="H944" s="614">
        <v>2007190</v>
      </c>
      <c r="I944" s="614" t="s">
        <v>199</v>
      </c>
      <c r="J944" s="614" t="s">
        <v>200</v>
      </c>
      <c r="K944" s="614" t="s">
        <v>201</v>
      </c>
      <c r="L944" s="616">
        <v>1.1499999999999999</v>
      </c>
      <c r="M944" s="616">
        <v>0</v>
      </c>
      <c r="N944" s="616">
        <v>0</v>
      </c>
      <c r="O944" s="616">
        <v>25.84</v>
      </c>
      <c r="P944" s="616">
        <v>26.99</v>
      </c>
    </row>
    <row r="945" spans="1:16" x14ac:dyDescent="0.3">
      <c r="A945" s="615">
        <v>39351</v>
      </c>
      <c r="B945" s="614" t="s">
        <v>1998</v>
      </c>
      <c r="C945" s="614" t="s">
        <v>369</v>
      </c>
      <c r="D945" s="614">
        <v>300</v>
      </c>
      <c r="E945" s="616">
        <v>98.25</v>
      </c>
      <c r="F945" s="616">
        <v>29475</v>
      </c>
      <c r="G945" s="614" t="s">
        <v>2342</v>
      </c>
      <c r="H945" s="614">
        <v>2007184</v>
      </c>
      <c r="I945" s="614" t="s">
        <v>199</v>
      </c>
      <c r="J945" s="614" t="s">
        <v>200</v>
      </c>
      <c r="K945" s="614" t="s">
        <v>201</v>
      </c>
      <c r="L945" s="616">
        <v>36.840000000000003</v>
      </c>
      <c r="M945" s="616">
        <v>0</v>
      </c>
      <c r="N945" s="616">
        <v>0</v>
      </c>
      <c r="O945" s="616">
        <v>248.4</v>
      </c>
      <c r="P945" s="616">
        <v>285.24</v>
      </c>
    </row>
    <row r="946" spans="1:16" x14ac:dyDescent="0.3">
      <c r="A946" s="615">
        <v>39351</v>
      </c>
      <c r="B946" s="614" t="s">
        <v>2222</v>
      </c>
      <c r="C946" s="614" t="s">
        <v>369</v>
      </c>
      <c r="D946" s="614">
        <v>50</v>
      </c>
      <c r="E946" s="616">
        <v>158.19999999999999</v>
      </c>
      <c r="F946" s="616">
        <v>7910</v>
      </c>
      <c r="G946" s="614" t="s">
        <v>2343</v>
      </c>
      <c r="H946" s="614">
        <v>2007184</v>
      </c>
      <c r="I946" s="614" t="s">
        <v>199</v>
      </c>
      <c r="J946" s="614" t="s">
        <v>200</v>
      </c>
      <c r="K946" s="614" t="s">
        <v>201</v>
      </c>
      <c r="L946" s="616">
        <v>9.89</v>
      </c>
      <c r="M946" s="616">
        <v>0</v>
      </c>
      <c r="N946" s="616">
        <v>0</v>
      </c>
      <c r="O946" s="616">
        <v>66.66</v>
      </c>
      <c r="P946" s="616">
        <v>76.55</v>
      </c>
    </row>
    <row r="947" spans="1:16" x14ac:dyDescent="0.3">
      <c r="A947" s="615">
        <v>39351</v>
      </c>
      <c r="B947" s="614" t="s">
        <v>1998</v>
      </c>
      <c r="C947" s="614" t="s">
        <v>369</v>
      </c>
      <c r="D947" s="614">
        <v>100</v>
      </c>
      <c r="E947" s="616">
        <v>98.25</v>
      </c>
      <c r="F947" s="616">
        <v>9825</v>
      </c>
      <c r="G947" s="614" t="s">
        <v>2344</v>
      </c>
      <c r="H947" s="614">
        <v>2007184</v>
      </c>
      <c r="I947" s="614" t="s">
        <v>199</v>
      </c>
      <c r="J947" s="614" t="s">
        <v>200</v>
      </c>
      <c r="K947" s="614" t="s">
        <v>201</v>
      </c>
      <c r="L947" s="616">
        <v>12.28</v>
      </c>
      <c r="M947" s="616">
        <v>0</v>
      </c>
      <c r="N947" s="616">
        <v>0</v>
      </c>
      <c r="O947" s="616">
        <v>82.8</v>
      </c>
      <c r="P947" s="616">
        <v>95.08</v>
      </c>
    </row>
    <row r="948" spans="1:16" x14ac:dyDescent="0.3">
      <c r="A948" s="615">
        <v>39296</v>
      </c>
      <c r="B948" s="614" t="s">
        <v>1983</v>
      </c>
      <c r="C948" s="614" t="s">
        <v>369</v>
      </c>
      <c r="D948" s="614">
        <v>5</v>
      </c>
      <c r="E948" s="616">
        <v>1277</v>
      </c>
      <c r="F948" s="616">
        <v>6385</v>
      </c>
      <c r="G948" s="614" t="s">
        <v>2345</v>
      </c>
      <c r="H948" s="614">
        <v>2007146</v>
      </c>
      <c r="I948" s="614" t="s">
        <v>199</v>
      </c>
      <c r="J948" s="614" t="s">
        <v>200</v>
      </c>
      <c r="K948" s="614" t="s">
        <v>201</v>
      </c>
      <c r="L948" s="616">
        <v>7.98</v>
      </c>
      <c r="M948" s="616">
        <v>0</v>
      </c>
      <c r="N948" s="616">
        <v>0</v>
      </c>
      <c r="O948" s="616">
        <v>53.81</v>
      </c>
      <c r="P948" s="616">
        <v>61.79</v>
      </c>
    </row>
    <row r="949" spans="1:16" x14ac:dyDescent="0.3">
      <c r="A949" s="615">
        <v>39296</v>
      </c>
      <c r="B949" s="614" t="s">
        <v>2230</v>
      </c>
      <c r="C949" s="614" t="s">
        <v>369</v>
      </c>
      <c r="D949" s="614">
        <v>30</v>
      </c>
      <c r="E949" s="616">
        <v>605</v>
      </c>
      <c r="F949" s="616">
        <v>18150</v>
      </c>
      <c r="G949" s="614" t="s">
        <v>2346</v>
      </c>
      <c r="H949" s="614">
        <v>2007146</v>
      </c>
      <c r="I949" s="614" t="s">
        <v>199</v>
      </c>
      <c r="J949" s="614" t="s">
        <v>200</v>
      </c>
      <c r="K949" s="614" t="s">
        <v>201</v>
      </c>
      <c r="L949" s="616">
        <v>22.69</v>
      </c>
      <c r="M949" s="616">
        <v>0</v>
      </c>
      <c r="N949" s="616">
        <v>0</v>
      </c>
      <c r="O949" s="616">
        <v>152.94999999999999</v>
      </c>
      <c r="P949" s="616">
        <v>175.64</v>
      </c>
    </row>
    <row r="950" spans="1:16" x14ac:dyDescent="0.3">
      <c r="A950" s="615">
        <v>39269</v>
      </c>
      <c r="B950" s="614" t="s">
        <v>1983</v>
      </c>
      <c r="C950" s="614" t="s">
        <v>369</v>
      </c>
      <c r="D950" s="614">
        <v>15</v>
      </c>
      <c r="E950" s="616">
        <v>1470</v>
      </c>
      <c r="F950" s="616">
        <v>22050</v>
      </c>
      <c r="G950" s="614" t="s">
        <v>2347</v>
      </c>
      <c r="H950" s="614">
        <v>2007127</v>
      </c>
      <c r="I950" s="614" t="s">
        <v>199</v>
      </c>
      <c r="J950" s="614" t="s">
        <v>200</v>
      </c>
      <c r="K950" s="614" t="s">
        <v>201</v>
      </c>
      <c r="L950" s="616">
        <v>27.56</v>
      </c>
      <c r="M950" s="616">
        <v>0</v>
      </c>
      <c r="N950" s="616">
        <v>0</v>
      </c>
      <c r="O950" s="616">
        <v>185.82</v>
      </c>
      <c r="P950" s="616">
        <v>213.38</v>
      </c>
    </row>
    <row r="951" spans="1:16" x14ac:dyDescent="0.3">
      <c r="A951" s="615">
        <v>39241</v>
      </c>
      <c r="B951" s="614" t="s">
        <v>1101</v>
      </c>
      <c r="C951" s="614" t="s">
        <v>369</v>
      </c>
      <c r="D951" s="614">
        <v>20</v>
      </c>
      <c r="E951" s="616">
        <v>550</v>
      </c>
      <c r="F951" s="616">
        <v>11000</v>
      </c>
      <c r="G951" s="614" t="s">
        <v>2348</v>
      </c>
      <c r="H951" s="614">
        <v>2007107</v>
      </c>
      <c r="I951" s="614" t="s">
        <v>199</v>
      </c>
      <c r="J951" s="614" t="s">
        <v>200</v>
      </c>
      <c r="K951" s="614" t="s">
        <v>201</v>
      </c>
      <c r="L951" s="616">
        <v>13.75</v>
      </c>
      <c r="M951" s="616">
        <v>0</v>
      </c>
      <c r="N951" s="616">
        <v>0</v>
      </c>
      <c r="O951" s="616">
        <v>92.7</v>
      </c>
      <c r="P951" s="616">
        <v>106.45</v>
      </c>
    </row>
    <row r="952" spans="1:16" x14ac:dyDescent="0.3">
      <c r="A952" s="615">
        <v>39238</v>
      </c>
      <c r="B952" s="614" t="s">
        <v>1686</v>
      </c>
      <c r="C952" s="614" t="s">
        <v>369</v>
      </c>
      <c r="D952" s="614">
        <v>100</v>
      </c>
      <c r="E952" s="616">
        <v>124.5</v>
      </c>
      <c r="F952" s="616">
        <v>12450</v>
      </c>
      <c r="G952" s="614" t="s">
        <v>2349</v>
      </c>
      <c r="H952" s="614">
        <v>2007104</v>
      </c>
      <c r="I952" s="614" t="s">
        <v>199</v>
      </c>
      <c r="J952" s="614" t="s">
        <v>200</v>
      </c>
      <c r="K952" s="614" t="s">
        <v>201</v>
      </c>
      <c r="L952" s="616">
        <v>15.56</v>
      </c>
      <c r="M952" s="616">
        <v>0</v>
      </c>
      <c r="N952" s="616">
        <v>0</v>
      </c>
      <c r="O952" s="616">
        <v>104.92</v>
      </c>
      <c r="P952" s="616">
        <v>120.48</v>
      </c>
    </row>
    <row r="953" spans="1:16" x14ac:dyDescent="0.3">
      <c r="A953" s="615">
        <v>39219</v>
      </c>
      <c r="B953" s="614" t="s">
        <v>1697</v>
      </c>
      <c r="C953" s="614" t="s">
        <v>369</v>
      </c>
      <c r="D953" s="614">
        <v>100</v>
      </c>
      <c r="E953" s="616">
        <v>856.07600000000002</v>
      </c>
      <c r="F953" s="616">
        <v>85607.6</v>
      </c>
      <c r="G953" s="614" t="s">
        <v>2350</v>
      </c>
      <c r="H953" s="614">
        <v>2007091</v>
      </c>
      <c r="I953" s="614" t="s">
        <v>199</v>
      </c>
      <c r="J953" s="614" t="s">
        <v>200</v>
      </c>
      <c r="K953" s="614" t="s">
        <v>201</v>
      </c>
      <c r="L953" s="616">
        <v>107.01</v>
      </c>
      <c r="M953" s="616">
        <v>0</v>
      </c>
      <c r="N953" s="616">
        <v>0</v>
      </c>
      <c r="O953" s="616">
        <v>721.42</v>
      </c>
      <c r="P953" s="616">
        <v>828.43</v>
      </c>
    </row>
    <row r="954" spans="1:16" x14ac:dyDescent="0.3">
      <c r="A954" s="615">
        <v>39218</v>
      </c>
      <c r="B954" s="614" t="s">
        <v>1686</v>
      </c>
      <c r="C954" s="614" t="s">
        <v>369</v>
      </c>
      <c r="D954" s="614">
        <v>250</v>
      </c>
      <c r="E954" s="616">
        <v>123.7</v>
      </c>
      <c r="F954" s="616">
        <v>30925</v>
      </c>
      <c r="G954" s="614" t="s">
        <v>2351</v>
      </c>
      <c r="H954" s="614">
        <v>2007090</v>
      </c>
      <c r="I954" s="614" t="s">
        <v>199</v>
      </c>
      <c r="J954" s="614" t="s">
        <v>200</v>
      </c>
      <c r="K954" s="614" t="s">
        <v>201</v>
      </c>
      <c r="L954" s="616">
        <v>38.659999999999997</v>
      </c>
      <c r="M954" s="616">
        <v>0</v>
      </c>
      <c r="N954" s="616">
        <v>0</v>
      </c>
      <c r="O954" s="616">
        <v>260.63</v>
      </c>
      <c r="P954" s="616">
        <v>299.29000000000002</v>
      </c>
    </row>
    <row r="955" spans="1:16" x14ac:dyDescent="0.3">
      <c r="A955" s="615">
        <v>39202</v>
      </c>
      <c r="B955" s="614" t="s">
        <v>1697</v>
      </c>
      <c r="C955" s="614" t="s">
        <v>369</v>
      </c>
      <c r="D955" s="614">
        <v>100</v>
      </c>
      <c r="E955" s="616">
        <v>812.10550000000001</v>
      </c>
      <c r="F955" s="616">
        <v>81210.55</v>
      </c>
      <c r="G955" s="614" t="s">
        <v>2352</v>
      </c>
      <c r="H955" s="614">
        <v>2007080</v>
      </c>
      <c r="I955" s="614" t="s">
        <v>199</v>
      </c>
      <c r="J955" s="614" t="s">
        <v>200</v>
      </c>
      <c r="K955" s="614" t="s">
        <v>201</v>
      </c>
      <c r="L955" s="616">
        <v>20.3</v>
      </c>
      <c r="M955" s="616">
        <v>0</v>
      </c>
      <c r="N955" s="616">
        <v>0</v>
      </c>
      <c r="O955" s="616">
        <v>45.63</v>
      </c>
      <c r="P955" s="616">
        <v>65.930000000000007</v>
      </c>
    </row>
    <row r="956" spans="1:16" x14ac:dyDescent="0.3">
      <c r="A956" s="615">
        <v>39202</v>
      </c>
      <c r="B956" s="614" t="s">
        <v>1697</v>
      </c>
      <c r="C956" s="614" t="s">
        <v>369</v>
      </c>
      <c r="D956" s="614">
        <v>100</v>
      </c>
      <c r="E956" s="616">
        <v>812.45</v>
      </c>
      <c r="F956" s="616">
        <v>81245</v>
      </c>
      <c r="G956" s="614" t="s">
        <v>2353</v>
      </c>
      <c r="H956" s="614">
        <v>2007080</v>
      </c>
      <c r="I956" s="614" t="s">
        <v>199</v>
      </c>
      <c r="J956" s="614" t="s">
        <v>200</v>
      </c>
      <c r="K956" s="614" t="s">
        <v>201</v>
      </c>
      <c r="L956" s="616">
        <v>20.309999999999999</v>
      </c>
      <c r="M956" s="616">
        <v>0</v>
      </c>
      <c r="N956" s="616">
        <v>0</v>
      </c>
      <c r="O956" s="616">
        <v>45.6</v>
      </c>
      <c r="P956" s="616">
        <v>65.91</v>
      </c>
    </row>
    <row r="957" spans="1:16" x14ac:dyDescent="0.3">
      <c r="A957" s="615">
        <v>39189</v>
      </c>
      <c r="B957" s="614" t="s">
        <v>2261</v>
      </c>
      <c r="C957" s="614" t="s">
        <v>369</v>
      </c>
      <c r="D957" s="614">
        <v>10</v>
      </c>
      <c r="E957" s="616">
        <v>1243.9000000000001</v>
      </c>
      <c r="F957" s="616">
        <v>12439</v>
      </c>
      <c r="G957" s="614" t="s">
        <v>2354</v>
      </c>
      <c r="H957" s="614">
        <v>2007071</v>
      </c>
      <c r="I957" s="614" t="s">
        <v>199</v>
      </c>
      <c r="J957" s="614" t="s">
        <v>200</v>
      </c>
      <c r="K957" s="614" t="s">
        <v>201</v>
      </c>
      <c r="L957" s="616">
        <v>15.55</v>
      </c>
      <c r="M957" s="616">
        <v>0</v>
      </c>
      <c r="N957" s="616">
        <v>0</v>
      </c>
      <c r="O957" s="616">
        <v>104.71</v>
      </c>
      <c r="P957" s="616">
        <v>120.26</v>
      </c>
    </row>
    <row r="958" spans="1:16" x14ac:dyDescent="0.3">
      <c r="A958" s="615">
        <v>39189</v>
      </c>
      <c r="B958" s="614" t="s">
        <v>1983</v>
      </c>
      <c r="C958" s="614" t="s">
        <v>369</v>
      </c>
      <c r="D958" s="614">
        <v>15</v>
      </c>
      <c r="E958" s="616">
        <v>1474</v>
      </c>
      <c r="F958" s="616">
        <v>22110</v>
      </c>
      <c r="G958" s="614" t="s">
        <v>2355</v>
      </c>
      <c r="H958" s="614">
        <v>2007071</v>
      </c>
      <c r="I958" s="614" t="s">
        <v>199</v>
      </c>
      <c r="J958" s="614" t="s">
        <v>200</v>
      </c>
      <c r="K958" s="614" t="s">
        <v>201</v>
      </c>
      <c r="L958" s="616">
        <v>27.64</v>
      </c>
      <c r="M958" s="616">
        <v>0</v>
      </c>
      <c r="N958" s="616">
        <v>0</v>
      </c>
      <c r="O958" s="616">
        <v>186.12</v>
      </c>
      <c r="P958" s="616">
        <v>213.76</v>
      </c>
    </row>
    <row r="959" spans="1:16" x14ac:dyDescent="0.3">
      <c r="A959" s="615">
        <v>39189</v>
      </c>
      <c r="B959" s="614" t="s">
        <v>1551</v>
      </c>
      <c r="C959" s="614" t="s">
        <v>369</v>
      </c>
      <c r="D959" s="614">
        <v>10</v>
      </c>
      <c r="E959" s="616">
        <v>2086</v>
      </c>
      <c r="F959" s="616">
        <v>20860</v>
      </c>
      <c r="G959" s="614" t="s">
        <v>2356</v>
      </c>
      <c r="H959" s="614">
        <v>2007071</v>
      </c>
      <c r="I959" s="614" t="s">
        <v>199</v>
      </c>
      <c r="J959" s="614" t="s">
        <v>200</v>
      </c>
      <c r="K959" s="614" t="s">
        <v>201</v>
      </c>
      <c r="L959" s="616">
        <v>26.08</v>
      </c>
      <c r="M959" s="616">
        <v>0</v>
      </c>
      <c r="N959" s="616">
        <v>0</v>
      </c>
      <c r="O959" s="616">
        <v>175.6</v>
      </c>
      <c r="P959" s="616">
        <v>201.68</v>
      </c>
    </row>
    <row r="960" spans="1:16" x14ac:dyDescent="0.3">
      <c r="A960" s="615">
        <v>39184</v>
      </c>
      <c r="B960" s="614" t="s">
        <v>2177</v>
      </c>
      <c r="C960" s="614" t="s">
        <v>369</v>
      </c>
      <c r="D960" s="614">
        <v>40</v>
      </c>
      <c r="E960" s="616">
        <v>411.3</v>
      </c>
      <c r="F960" s="616">
        <v>16452</v>
      </c>
      <c r="G960" s="614" t="s">
        <v>2357</v>
      </c>
      <c r="H960" s="614">
        <v>2007068</v>
      </c>
      <c r="I960" s="614" t="s">
        <v>199</v>
      </c>
      <c r="J960" s="614" t="s">
        <v>200</v>
      </c>
      <c r="K960" s="614" t="s">
        <v>201</v>
      </c>
      <c r="L960" s="616">
        <v>20.57</v>
      </c>
      <c r="M960" s="616">
        <v>0</v>
      </c>
      <c r="N960" s="616">
        <v>0</v>
      </c>
      <c r="O960" s="616">
        <v>138.5</v>
      </c>
      <c r="P960" s="616">
        <v>159.07</v>
      </c>
    </row>
    <row r="961" spans="1:16" x14ac:dyDescent="0.3">
      <c r="A961" s="615">
        <v>39184</v>
      </c>
      <c r="B961" s="614" t="s">
        <v>1697</v>
      </c>
      <c r="C961" s="614" t="s">
        <v>369</v>
      </c>
      <c r="D961" s="614">
        <v>40</v>
      </c>
      <c r="E961" s="616">
        <v>771</v>
      </c>
      <c r="F961" s="616">
        <v>30840</v>
      </c>
      <c r="G961" s="614" t="s">
        <v>2358</v>
      </c>
      <c r="H961" s="614">
        <v>2007068</v>
      </c>
      <c r="I961" s="614" t="s">
        <v>199</v>
      </c>
      <c r="J961" s="614" t="s">
        <v>200</v>
      </c>
      <c r="K961" s="614" t="s">
        <v>201</v>
      </c>
      <c r="L961" s="616">
        <v>38.549999999999997</v>
      </c>
      <c r="M961" s="616">
        <v>0</v>
      </c>
      <c r="N961" s="616">
        <v>0</v>
      </c>
      <c r="O961" s="616">
        <v>259.61</v>
      </c>
      <c r="P961" s="616">
        <v>298.16000000000003</v>
      </c>
    </row>
    <row r="962" spans="1:16" x14ac:dyDescent="0.3">
      <c r="A962" s="615">
        <v>39174</v>
      </c>
      <c r="B962" s="614" t="s">
        <v>1107</v>
      </c>
      <c r="C962" s="614" t="s">
        <v>369</v>
      </c>
      <c r="D962" s="614">
        <v>50</v>
      </c>
      <c r="E962" s="616">
        <v>93.35</v>
      </c>
      <c r="F962" s="616">
        <v>4667.5</v>
      </c>
      <c r="G962" s="614" t="s">
        <v>2359</v>
      </c>
      <c r="H962" s="614">
        <v>2007061</v>
      </c>
      <c r="I962" s="614" t="s">
        <v>199</v>
      </c>
      <c r="J962" s="614" t="s">
        <v>200</v>
      </c>
      <c r="K962" s="614" t="s">
        <v>201</v>
      </c>
      <c r="L962" s="616">
        <v>5.83</v>
      </c>
      <c r="M962" s="616">
        <v>0</v>
      </c>
      <c r="N962" s="616">
        <v>0</v>
      </c>
      <c r="O962" s="616">
        <v>39.29</v>
      </c>
      <c r="P962" s="616">
        <v>45.12</v>
      </c>
    </row>
    <row r="963" spans="1:16" x14ac:dyDescent="0.3">
      <c r="A963" s="615">
        <v>39169</v>
      </c>
      <c r="B963" s="614" t="s">
        <v>205</v>
      </c>
      <c r="C963" s="614" t="s">
        <v>369</v>
      </c>
      <c r="D963" s="614">
        <v>7</v>
      </c>
      <c r="E963" s="616">
        <v>1359</v>
      </c>
      <c r="F963" s="616">
        <v>9513</v>
      </c>
      <c r="G963" s="614" t="s">
        <v>152</v>
      </c>
      <c r="H963" s="614">
        <v>2007058</v>
      </c>
      <c r="I963" s="614" t="s">
        <v>199</v>
      </c>
      <c r="J963" s="614" t="s">
        <v>200</v>
      </c>
      <c r="K963" s="614" t="s">
        <v>201</v>
      </c>
      <c r="L963" s="616">
        <v>11.89</v>
      </c>
      <c r="M963" s="616">
        <v>0</v>
      </c>
      <c r="N963" s="616">
        <v>0</v>
      </c>
      <c r="O963" s="616">
        <v>80.08</v>
      </c>
      <c r="P963" s="616">
        <v>91.97</v>
      </c>
    </row>
    <row r="964" spans="1:16" x14ac:dyDescent="0.3">
      <c r="A964" s="615">
        <v>39164</v>
      </c>
      <c r="B964" s="614" t="s">
        <v>205</v>
      </c>
      <c r="C964" s="614" t="s">
        <v>369</v>
      </c>
      <c r="D964" s="614">
        <v>7</v>
      </c>
      <c r="E964" s="616">
        <v>1372</v>
      </c>
      <c r="F964" s="616">
        <v>9604</v>
      </c>
      <c r="G964" s="614" t="s">
        <v>153</v>
      </c>
      <c r="H964" s="614">
        <v>2007056</v>
      </c>
      <c r="I964" s="614" t="s">
        <v>199</v>
      </c>
      <c r="J964" s="614" t="s">
        <v>200</v>
      </c>
      <c r="K964" s="614" t="s">
        <v>201</v>
      </c>
      <c r="L964" s="616">
        <v>12.01</v>
      </c>
      <c r="M964" s="616">
        <v>0</v>
      </c>
      <c r="N964" s="616">
        <v>0</v>
      </c>
      <c r="O964" s="616">
        <v>80.849999999999994</v>
      </c>
      <c r="P964" s="616">
        <v>92.86</v>
      </c>
    </row>
    <row r="965" spans="1:16" x14ac:dyDescent="0.3">
      <c r="A965" s="615">
        <v>39164</v>
      </c>
      <c r="B965" s="614" t="s">
        <v>2261</v>
      </c>
      <c r="C965" s="614" t="s">
        <v>369</v>
      </c>
      <c r="D965" s="614">
        <v>10</v>
      </c>
      <c r="E965" s="616">
        <v>1303</v>
      </c>
      <c r="F965" s="616">
        <v>13030</v>
      </c>
      <c r="G965" s="614" t="s">
        <v>154</v>
      </c>
      <c r="H965" s="614">
        <v>2007056</v>
      </c>
      <c r="I965" s="614" t="s">
        <v>199</v>
      </c>
      <c r="J965" s="614" t="s">
        <v>200</v>
      </c>
      <c r="K965" s="614" t="s">
        <v>201</v>
      </c>
      <c r="L965" s="616">
        <v>16.29</v>
      </c>
      <c r="M965" s="616">
        <v>0</v>
      </c>
      <c r="N965" s="616">
        <v>0</v>
      </c>
      <c r="O965" s="616">
        <v>109.69</v>
      </c>
      <c r="P965" s="616">
        <v>125.98</v>
      </c>
    </row>
    <row r="966" spans="1:16" x14ac:dyDescent="0.3">
      <c r="A966" s="615">
        <v>39164</v>
      </c>
      <c r="B966" s="614" t="s">
        <v>1697</v>
      </c>
      <c r="C966" s="614" t="s">
        <v>369</v>
      </c>
      <c r="D966" s="614">
        <v>40</v>
      </c>
      <c r="E966" s="616">
        <v>787</v>
      </c>
      <c r="F966" s="616">
        <v>31480</v>
      </c>
      <c r="G966" s="614" t="s">
        <v>155</v>
      </c>
      <c r="H966" s="614">
        <v>2007056</v>
      </c>
      <c r="I966" s="614" t="s">
        <v>199</v>
      </c>
      <c r="J966" s="614" t="s">
        <v>200</v>
      </c>
      <c r="K966" s="614" t="s">
        <v>201</v>
      </c>
      <c r="L966" s="616">
        <v>39.35</v>
      </c>
      <c r="M966" s="616">
        <v>0</v>
      </c>
      <c r="N966" s="616">
        <v>0</v>
      </c>
      <c r="O966" s="616">
        <v>265</v>
      </c>
      <c r="P966" s="616">
        <v>304.35000000000002</v>
      </c>
    </row>
    <row r="967" spans="1:16" x14ac:dyDescent="0.3">
      <c r="A967" s="615">
        <v>39162</v>
      </c>
      <c r="B967" s="614" t="s">
        <v>205</v>
      </c>
      <c r="C967" s="614" t="s">
        <v>369</v>
      </c>
      <c r="D967" s="614">
        <v>3</v>
      </c>
      <c r="E967" s="616">
        <v>1320</v>
      </c>
      <c r="F967" s="616">
        <v>3960</v>
      </c>
      <c r="G967" s="614" t="s">
        <v>156</v>
      </c>
      <c r="H967" s="614">
        <v>2007054</v>
      </c>
      <c r="I967" s="614" t="s">
        <v>199</v>
      </c>
      <c r="J967" s="614" t="s">
        <v>200</v>
      </c>
      <c r="K967" s="614" t="s">
        <v>201</v>
      </c>
      <c r="L967" s="616">
        <v>4.95</v>
      </c>
      <c r="M967" s="616">
        <v>0</v>
      </c>
      <c r="N967" s="616">
        <v>0</v>
      </c>
      <c r="O967" s="616">
        <v>33.340000000000003</v>
      </c>
      <c r="P967" s="616">
        <v>38.29</v>
      </c>
    </row>
    <row r="968" spans="1:16" x14ac:dyDescent="0.3">
      <c r="A968" s="615">
        <v>39160</v>
      </c>
      <c r="B968" s="614" t="s">
        <v>205</v>
      </c>
      <c r="C968" s="614" t="s">
        <v>369</v>
      </c>
      <c r="D968" s="614">
        <v>2</v>
      </c>
      <c r="E968" s="616">
        <v>1301</v>
      </c>
      <c r="F968" s="616">
        <v>2602</v>
      </c>
      <c r="G968" s="614" t="s">
        <v>157</v>
      </c>
      <c r="H968" s="614">
        <v>2007052</v>
      </c>
      <c r="I968" s="614" t="s">
        <v>199</v>
      </c>
      <c r="J968" s="614" t="s">
        <v>200</v>
      </c>
      <c r="K968" s="614" t="s">
        <v>201</v>
      </c>
      <c r="L968" s="616">
        <v>3.25</v>
      </c>
      <c r="M968" s="616">
        <v>0</v>
      </c>
      <c r="N968" s="616">
        <v>0</v>
      </c>
      <c r="O968" s="616">
        <v>28.06</v>
      </c>
      <c r="P968" s="616">
        <v>31.31</v>
      </c>
    </row>
    <row r="969" spans="1:16" x14ac:dyDescent="0.3">
      <c r="A969" s="615">
        <v>39149</v>
      </c>
      <c r="B969" s="614" t="s">
        <v>1697</v>
      </c>
      <c r="C969" s="614" t="s">
        <v>369</v>
      </c>
      <c r="D969" s="614">
        <v>40</v>
      </c>
      <c r="E969" s="616">
        <v>746.9</v>
      </c>
      <c r="F969" s="616">
        <v>29876</v>
      </c>
      <c r="G969" s="614" t="s">
        <v>158</v>
      </c>
      <c r="H969" s="614">
        <v>2007045</v>
      </c>
      <c r="I969" s="614" t="s">
        <v>199</v>
      </c>
      <c r="J969" s="614" t="s">
        <v>200</v>
      </c>
      <c r="K969" s="614" t="s">
        <v>201</v>
      </c>
      <c r="L969" s="616">
        <v>37.35</v>
      </c>
      <c r="M969" s="616">
        <v>0</v>
      </c>
      <c r="N969" s="616">
        <v>0</v>
      </c>
      <c r="O969" s="616">
        <v>251.5</v>
      </c>
      <c r="P969" s="616">
        <v>288.85000000000002</v>
      </c>
    </row>
    <row r="970" spans="1:16" x14ac:dyDescent="0.3">
      <c r="A970" s="615">
        <v>39094</v>
      </c>
      <c r="B970" s="614" t="s">
        <v>1113</v>
      </c>
      <c r="C970" s="614" t="s">
        <v>369</v>
      </c>
      <c r="D970" s="614">
        <v>60</v>
      </c>
      <c r="E970" s="616">
        <v>139.6</v>
      </c>
      <c r="F970" s="616">
        <v>8376</v>
      </c>
      <c r="G970" s="614" t="s">
        <v>159</v>
      </c>
      <c r="H970" s="614">
        <v>2007009</v>
      </c>
      <c r="I970" s="614" t="s">
        <v>199</v>
      </c>
      <c r="J970" s="614" t="s">
        <v>200</v>
      </c>
      <c r="K970" s="614" t="s">
        <v>201</v>
      </c>
      <c r="L970" s="616">
        <v>10.47</v>
      </c>
      <c r="M970" s="616">
        <v>0</v>
      </c>
      <c r="N970" s="616">
        <v>0</v>
      </c>
      <c r="O970" s="616">
        <v>70.510000000000005</v>
      </c>
      <c r="P970" s="616">
        <v>80.98</v>
      </c>
    </row>
    <row r="971" spans="1:16" x14ac:dyDescent="0.3">
      <c r="A971" s="615">
        <v>39079</v>
      </c>
      <c r="B971" s="614" t="s">
        <v>2261</v>
      </c>
      <c r="C971" s="614" t="s">
        <v>369</v>
      </c>
      <c r="D971" s="614">
        <v>10</v>
      </c>
      <c r="E971" s="616">
        <v>1205</v>
      </c>
      <c r="F971" s="616">
        <v>12050</v>
      </c>
      <c r="G971" s="614" t="s">
        <v>160</v>
      </c>
      <c r="H971" s="614">
        <v>2006247</v>
      </c>
      <c r="I971" s="614" t="s">
        <v>199</v>
      </c>
      <c r="J971" s="614" t="s">
        <v>200</v>
      </c>
      <c r="K971" s="614" t="s">
        <v>201</v>
      </c>
      <c r="L971" s="616">
        <v>15.06</v>
      </c>
      <c r="M971" s="616">
        <v>0</v>
      </c>
      <c r="N971" s="616">
        <v>0</v>
      </c>
      <c r="O971" s="616">
        <v>101.44</v>
      </c>
      <c r="P971" s="616">
        <v>116.5</v>
      </c>
    </row>
    <row r="972" spans="1:16" x14ac:dyDescent="0.3">
      <c r="A972" s="615">
        <v>39077</v>
      </c>
      <c r="B972" s="614" t="s">
        <v>1697</v>
      </c>
      <c r="C972" s="614" t="s">
        <v>369</v>
      </c>
      <c r="D972" s="614">
        <v>20</v>
      </c>
      <c r="E972" s="616">
        <v>620</v>
      </c>
      <c r="F972" s="616">
        <v>12400</v>
      </c>
      <c r="G972" s="614" t="s">
        <v>161</v>
      </c>
      <c r="H972" s="614">
        <v>2006245</v>
      </c>
      <c r="I972" s="614" t="s">
        <v>199</v>
      </c>
      <c r="J972" s="614" t="s">
        <v>200</v>
      </c>
      <c r="K972" s="614" t="s">
        <v>201</v>
      </c>
      <c r="L972" s="616">
        <v>15.5</v>
      </c>
      <c r="M972" s="616">
        <v>0</v>
      </c>
      <c r="N972" s="616">
        <v>0</v>
      </c>
      <c r="O972" s="616">
        <v>104.38</v>
      </c>
      <c r="P972" s="616">
        <v>119.88</v>
      </c>
    </row>
    <row r="973" spans="1:16" x14ac:dyDescent="0.3">
      <c r="A973" s="615">
        <v>39073</v>
      </c>
      <c r="B973" s="614" t="s">
        <v>1551</v>
      </c>
      <c r="C973" s="614" t="s">
        <v>369</v>
      </c>
      <c r="D973" s="614">
        <v>5</v>
      </c>
      <c r="E973" s="616">
        <v>2168</v>
      </c>
      <c r="F973" s="616">
        <v>10840</v>
      </c>
      <c r="G973" s="614" t="s">
        <v>162</v>
      </c>
      <c r="H973" s="614">
        <v>2006244</v>
      </c>
      <c r="I973" s="614" t="s">
        <v>199</v>
      </c>
      <c r="J973" s="614" t="s">
        <v>200</v>
      </c>
      <c r="K973" s="614" t="s">
        <v>201</v>
      </c>
      <c r="L973" s="616">
        <v>13.55</v>
      </c>
      <c r="M973" s="616">
        <v>0</v>
      </c>
      <c r="N973" s="616">
        <v>0</v>
      </c>
      <c r="O973" s="616">
        <v>91.25</v>
      </c>
      <c r="P973" s="616">
        <v>104.8</v>
      </c>
    </row>
    <row r="974" spans="1:16" x14ac:dyDescent="0.3">
      <c r="A974" s="615">
        <v>39062</v>
      </c>
      <c r="B974" s="614" t="s">
        <v>1463</v>
      </c>
      <c r="C974" s="614" t="s">
        <v>369</v>
      </c>
      <c r="D974" s="614">
        <v>100</v>
      </c>
      <c r="E974" s="616">
        <v>183</v>
      </c>
      <c r="F974" s="616">
        <v>18300</v>
      </c>
      <c r="G974" s="614" t="s">
        <v>163</v>
      </c>
      <c r="H974" s="614">
        <v>2006235</v>
      </c>
      <c r="I974" s="614" t="s">
        <v>199</v>
      </c>
      <c r="J974" s="614" t="s">
        <v>200</v>
      </c>
      <c r="K974" s="614" t="s">
        <v>201</v>
      </c>
      <c r="L974" s="616">
        <v>22.88</v>
      </c>
      <c r="M974" s="616">
        <v>0</v>
      </c>
      <c r="N974" s="616">
        <v>0</v>
      </c>
      <c r="O974" s="616">
        <v>154.05000000000001</v>
      </c>
      <c r="P974" s="616">
        <v>176.93</v>
      </c>
    </row>
    <row r="975" spans="1:16" x14ac:dyDescent="0.3">
      <c r="A975" s="615">
        <v>39043</v>
      </c>
      <c r="B975" s="614" t="s">
        <v>142</v>
      </c>
      <c r="C975" s="614" t="s">
        <v>369</v>
      </c>
      <c r="D975" s="614">
        <v>15</v>
      </c>
      <c r="E975" s="616">
        <v>728</v>
      </c>
      <c r="F975" s="616">
        <v>10920</v>
      </c>
      <c r="G975" s="614" t="s">
        <v>164</v>
      </c>
      <c r="H975" s="614">
        <v>2006222</v>
      </c>
      <c r="I975" s="614" t="s">
        <v>199</v>
      </c>
      <c r="J975" s="614" t="s">
        <v>200</v>
      </c>
      <c r="K975" s="614" t="s">
        <v>201</v>
      </c>
      <c r="L975" s="616">
        <v>13.65</v>
      </c>
      <c r="M975" s="616">
        <v>0</v>
      </c>
      <c r="N975" s="616">
        <v>0</v>
      </c>
      <c r="O975" s="616">
        <v>91.92</v>
      </c>
      <c r="P975" s="616">
        <v>105.57</v>
      </c>
    </row>
    <row r="976" spans="1:16" x14ac:dyDescent="0.3">
      <c r="A976" s="615">
        <v>39016</v>
      </c>
      <c r="B976" s="614" t="s">
        <v>1983</v>
      </c>
      <c r="C976" s="614" t="s">
        <v>369</v>
      </c>
      <c r="D976" s="614">
        <v>10</v>
      </c>
      <c r="E976" s="616">
        <v>905</v>
      </c>
      <c r="F976" s="616">
        <v>9050</v>
      </c>
      <c r="G976" s="614" t="s">
        <v>165</v>
      </c>
      <c r="H976" s="614">
        <v>2006203</v>
      </c>
      <c r="I976" s="614" t="s">
        <v>199</v>
      </c>
      <c r="J976" s="614" t="s">
        <v>200</v>
      </c>
      <c r="K976" s="614" t="s">
        <v>201</v>
      </c>
      <c r="L976" s="616">
        <v>11.31</v>
      </c>
      <c r="M976" s="616">
        <v>0</v>
      </c>
      <c r="N976" s="616">
        <v>0</v>
      </c>
      <c r="O976" s="616">
        <v>76.180000000000007</v>
      </c>
      <c r="P976" s="616">
        <v>87.49</v>
      </c>
    </row>
    <row r="977" spans="1:16" x14ac:dyDescent="0.3">
      <c r="A977" s="615">
        <v>39009</v>
      </c>
      <c r="B977" s="614" t="s">
        <v>1551</v>
      </c>
      <c r="C977" s="614" t="s">
        <v>369</v>
      </c>
      <c r="D977" s="614">
        <v>1</v>
      </c>
      <c r="E977" s="616">
        <v>2074.1</v>
      </c>
      <c r="F977" s="616">
        <v>2074.1</v>
      </c>
      <c r="G977" s="614" t="s">
        <v>166</v>
      </c>
      <c r="H977" s="614">
        <v>2006199</v>
      </c>
      <c r="I977" s="614" t="s">
        <v>199</v>
      </c>
      <c r="J977" s="614" t="s">
        <v>200</v>
      </c>
      <c r="K977" s="614" t="s">
        <v>201</v>
      </c>
      <c r="L977" s="616">
        <v>2.59</v>
      </c>
      <c r="M977" s="616">
        <v>0</v>
      </c>
      <c r="N977" s="616">
        <v>0</v>
      </c>
      <c r="O977" s="616">
        <v>28.06</v>
      </c>
      <c r="P977" s="616">
        <v>30.65</v>
      </c>
    </row>
    <row r="978" spans="1:16" x14ac:dyDescent="0.3">
      <c r="A978" s="615">
        <v>38968</v>
      </c>
      <c r="B978" s="614" t="s">
        <v>211</v>
      </c>
      <c r="C978" s="614" t="s">
        <v>369</v>
      </c>
      <c r="D978" s="614">
        <v>40</v>
      </c>
      <c r="E978" s="616">
        <v>417</v>
      </c>
      <c r="F978" s="616">
        <v>16680</v>
      </c>
      <c r="G978" s="614" t="s">
        <v>167</v>
      </c>
      <c r="H978" s="614">
        <v>2006171</v>
      </c>
      <c r="I978" s="614" t="s">
        <v>199</v>
      </c>
      <c r="J978" s="614" t="s">
        <v>200</v>
      </c>
      <c r="K978" s="614" t="s">
        <v>201</v>
      </c>
      <c r="L978" s="616">
        <v>20.85</v>
      </c>
      <c r="M978" s="616">
        <v>0</v>
      </c>
      <c r="N978" s="616">
        <v>0</v>
      </c>
      <c r="O978" s="616">
        <v>140.41</v>
      </c>
      <c r="P978" s="616">
        <v>161.26</v>
      </c>
    </row>
    <row r="979" spans="1:16" x14ac:dyDescent="0.3">
      <c r="A979" s="615">
        <v>38958</v>
      </c>
      <c r="B979" s="614" t="s">
        <v>1463</v>
      </c>
      <c r="C979" s="614" t="s">
        <v>369</v>
      </c>
      <c r="D979" s="614">
        <v>40</v>
      </c>
      <c r="E979" s="616">
        <v>185</v>
      </c>
      <c r="F979" s="616">
        <v>7400</v>
      </c>
      <c r="G979" s="614" t="s">
        <v>168</v>
      </c>
      <c r="H979" s="614">
        <v>2006163</v>
      </c>
      <c r="I979" s="614" t="s">
        <v>199</v>
      </c>
      <c r="J979" s="614" t="s">
        <v>200</v>
      </c>
      <c r="K979" s="614" t="s">
        <v>201</v>
      </c>
      <c r="L979" s="616">
        <v>9.25</v>
      </c>
      <c r="M979" s="616">
        <v>0</v>
      </c>
      <c r="N979" s="616">
        <v>0</v>
      </c>
      <c r="O979" s="616">
        <v>5.61</v>
      </c>
      <c r="P979" s="616">
        <v>14.86</v>
      </c>
    </row>
    <row r="980" spans="1:16" x14ac:dyDescent="0.3">
      <c r="A980" s="615">
        <v>38957</v>
      </c>
      <c r="B980" s="614" t="s">
        <v>2222</v>
      </c>
      <c r="C980" s="614" t="s">
        <v>369</v>
      </c>
      <c r="D980" s="614">
        <v>200</v>
      </c>
      <c r="E980" s="616">
        <v>63.25</v>
      </c>
      <c r="F980" s="616">
        <v>12650</v>
      </c>
      <c r="G980" s="614" t="s">
        <v>169</v>
      </c>
      <c r="H980" s="614">
        <v>2006162</v>
      </c>
      <c r="I980" s="614" t="s">
        <v>199</v>
      </c>
      <c r="J980" s="614" t="s">
        <v>200</v>
      </c>
      <c r="K980" s="614" t="s">
        <v>201</v>
      </c>
      <c r="L980" s="616">
        <v>15.81</v>
      </c>
      <c r="M980" s="616">
        <v>0</v>
      </c>
      <c r="N980" s="616">
        <v>0</v>
      </c>
      <c r="O980" s="616">
        <v>5.62</v>
      </c>
      <c r="P980" s="616">
        <v>21.43</v>
      </c>
    </row>
    <row r="985" spans="1:16" x14ac:dyDescent="0.3">
      <c r="D985" s="624">
        <f>SUM(D584:D984)</f>
        <v>112273</v>
      </c>
      <c r="F985" s="619">
        <f>SUM(F584:F984)</f>
        <v>6149016.9700000007</v>
      </c>
      <c r="P985" s="619">
        <f>SUM(P584:P984)</f>
        <v>45056.060000000012</v>
      </c>
    </row>
    <row r="989" spans="1:16" ht="15" thickBot="1" x14ac:dyDescent="0.35"/>
    <row r="990" spans="1:16" ht="15" thickBot="1" x14ac:dyDescent="0.35">
      <c r="E990" s="616" t="s">
        <v>659</v>
      </c>
      <c r="F990" s="621">
        <f>F985-P985</f>
        <v>6103960.9100000011</v>
      </c>
    </row>
    <row r="994" spans="5:6" x14ac:dyDescent="0.3">
      <c r="E994" s="622" t="s">
        <v>4025</v>
      </c>
      <c r="F994" s="623">
        <f>F990-F566</f>
        <v>-195619.66999999993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0"/>
  <sheetViews>
    <sheetView topLeftCell="A462" workbookViewId="0">
      <selection activeCell="A497" sqref="A497:B497"/>
    </sheetView>
  </sheetViews>
  <sheetFormatPr defaultColWidth="9.21875" defaultRowHeight="14.4" x14ac:dyDescent="0.3"/>
  <cols>
    <col min="1" max="1" width="10.21875" style="614" bestFit="1" customWidth="1"/>
    <col min="2" max="2" width="35" style="614" bestFit="1" customWidth="1"/>
    <col min="3" max="3" width="5" style="614" bestFit="1" customWidth="1"/>
    <col min="4" max="5" width="9.77734375" style="614" customWidth="1"/>
    <col min="6" max="6" width="10.77734375" style="629" customWidth="1"/>
    <col min="7" max="7" width="11.5546875" style="629" bestFit="1" customWidth="1"/>
    <col min="8" max="8" width="20.77734375" style="614" bestFit="1" customWidth="1"/>
    <col min="9" max="9" width="9.21875" style="616" customWidth="1"/>
    <col min="10" max="10" width="11.21875" style="616" customWidth="1"/>
    <col min="11" max="11" width="6.5546875" style="616" bestFit="1" customWidth="1"/>
    <col min="12" max="12" width="9" style="616" bestFit="1" customWidth="1"/>
    <col min="13" max="13" width="10.5546875" style="616" customWidth="1"/>
    <col min="14" max="14" width="10" style="616" bestFit="1" customWidth="1"/>
    <col min="15" max="15" width="10.77734375" style="616" customWidth="1"/>
    <col min="16" max="16384" width="9.21875" style="614"/>
  </cols>
  <sheetData>
    <row r="1" spans="1:16" ht="50.1" customHeight="1" x14ac:dyDescent="0.3">
      <c r="A1" s="613" t="s">
        <v>3449</v>
      </c>
      <c r="B1" s="613" t="s">
        <v>468</v>
      </c>
      <c r="C1" s="613" t="s">
        <v>3450</v>
      </c>
      <c r="D1" s="613" t="s">
        <v>186</v>
      </c>
      <c r="E1" s="613" t="s">
        <v>469</v>
      </c>
      <c r="F1" s="627" t="s">
        <v>664</v>
      </c>
      <c r="G1" s="627" t="s">
        <v>470</v>
      </c>
      <c r="H1" s="613" t="s">
        <v>191</v>
      </c>
      <c r="I1" s="628" t="s">
        <v>3731</v>
      </c>
      <c r="J1" s="628" t="s">
        <v>3451</v>
      </c>
      <c r="K1" s="628" t="s">
        <v>2247</v>
      </c>
      <c r="L1" s="628" t="s">
        <v>3452</v>
      </c>
      <c r="M1" s="628" t="s">
        <v>471</v>
      </c>
      <c r="N1" s="628" t="s">
        <v>3453</v>
      </c>
      <c r="O1" s="628" t="s">
        <v>3371</v>
      </c>
      <c r="P1" s="613"/>
    </row>
    <row r="2" spans="1:16" x14ac:dyDescent="0.3">
      <c r="A2" s="615">
        <v>41992</v>
      </c>
      <c r="B2" s="614" t="s">
        <v>3694</v>
      </c>
      <c r="C2" s="614" t="s">
        <v>201</v>
      </c>
      <c r="D2" s="614" t="s">
        <v>197</v>
      </c>
      <c r="E2" s="614">
        <v>9000</v>
      </c>
      <c r="F2" s="629">
        <v>0.3</v>
      </c>
      <c r="G2" s="629">
        <v>2700</v>
      </c>
      <c r="H2" s="614" t="s">
        <v>3738</v>
      </c>
      <c r="I2" s="616">
        <v>0</v>
      </c>
      <c r="J2" s="616">
        <v>1.52</v>
      </c>
      <c r="K2" s="616">
        <v>0.16</v>
      </c>
      <c r="L2" s="616">
        <v>0.01</v>
      </c>
      <c r="M2" s="616">
        <v>95</v>
      </c>
      <c r="N2" s="616">
        <v>11.74</v>
      </c>
      <c r="O2" s="616">
        <v>108.43</v>
      </c>
    </row>
    <row r="3" spans="1:16" x14ac:dyDescent="0.3">
      <c r="A3" s="615">
        <v>41992</v>
      </c>
      <c r="B3" s="614" t="s">
        <v>3694</v>
      </c>
      <c r="C3" s="614" t="s">
        <v>201</v>
      </c>
      <c r="D3" s="614" t="s">
        <v>197</v>
      </c>
      <c r="E3" s="614">
        <v>9000</v>
      </c>
      <c r="F3" s="629">
        <v>0.3</v>
      </c>
      <c r="G3" s="629">
        <v>2700</v>
      </c>
      <c r="H3" s="614" t="s">
        <v>3739</v>
      </c>
      <c r="I3" s="616">
        <v>0</v>
      </c>
      <c r="J3" s="616">
        <v>1.52</v>
      </c>
      <c r="K3" s="616">
        <v>0.16</v>
      </c>
      <c r="L3" s="616">
        <v>0.01</v>
      </c>
      <c r="M3" s="616">
        <v>95</v>
      </c>
      <c r="N3" s="616">
        <v>11.74</v>
      </c>
      <c r="O3" s="616">
        <v>108.43</v>
      </c>
    </row>
    <row r="4" spans="1:16" x14ac:dyDescent="0.3">
      <c r="A4" s="615">
        <v>41991</v>
      </c>
      <c r="B4" s="614" t="s">
        <v>3694</v>
      </c>
      <c r="C4" s="614" t="s">
        <v>201</v>
      </c>
      <c r="D4" s="614" t="s">
        <v>197</v>
      </c>
      <c r="E4" s="614">
        <v>9000</v>
      </c>
      <c r="F4" s="629">
        <v>0.55000000000000004</v>
      </c>
      <c r="G4" s="629">
        <v>4950</v>
      </c>
      <c r="H4" s="614" t="s">
        <v>3695</v>
      </c>
      <c r="I4" s="616">
        <v>0</v>
      </c>
      <c r="J4" s="616">
        <v>2.78</v>
      </c>
      <c r="K4" s="616">
        <v>0.3</v>
      </c>
      <c r="L4" s="616">
        <v>0.01</v>
      </c>
      <c r="M4" s="616">
        <v>95</v>
      </c>
      <c r="N4" s="616">
        <v>11.74</v>
      </c>
      <c r="O4" s="616">
        <v>109.83</v>
      </c>
    </row>
    <row r="5" spans="1:16" x14ac:dyDescent="0.3">
      <c r="A5" s="615">
        <v>41990</v>
      </c>
      <c r="B5" s="614" t="s">
        <v>3694</v>
      </c>
      <c r="C5" s="614" t="s">
        <v>201</v>
      </c>
      <c r="D5" s="614" t="s">
        <v>197</v>
      </c>
      <c r="E5" s="614">
        <v>9000</v>
      </c>
      <c r="F5" s="629">
        <v>0.95</v>
      </c>
      <c r="G5" s="629">
        <v>8550</v>
      </c>
      <c r="H5" s="614" t="s">
        <v>3696</v>
      </c>
      <c r="I5" s="616">
        <v>0</v>
      </c>
      <c r="J5" s="616">
        <v>4.8099999999999996</v>
      </c>
      <c r="K5" s="616">
        <v>0.51</v>
      </c>
      <c r="L5" s="616">
        <v>0.02</v>
      </c>
      <c r="M5" s="616">
        <v>95</v>
      </c>
      <c r="N5" s="616">
        <v>11.74</v>
      </c>
      <c r="O5" s="616">
        <v>112.08</v>
      </c>
    </row>
    <row r="6" spans="1:16" x14ac:dyDescent="0.3">
      <c r="A6" s="615">
        <v>41985</v>
      </c>
      <c r="B6" s="614" t="s">
        <v>3697</v>
      </c>
      <c r="C6" s="614" t="s">
        <v>201</v>
      </c>
      <c r="D6" s="614" t="s">
        <v>197</v>
      </c>
      <c r="E6" s="614">
        <v>2000</v>
      </c>
      <c r="F6" s="629">
        <v>2.5499999999999998</v>
      </c>
      <c r="G6" s="629">
        <v>5100</v>
      </c>
      <c r="H6" s="614" t="s">
        <v>3698</v>
      </c>
      <c r="I6" s="616">
        <v>0</v>
      </c>
      <c r="J6" s="616">
        <v>2.87</v>
      </c>
      <c r="K6" s="616">
        <v>0.31</v>
      </c>
      <c r="L6" s="616">
        <v>0.01</v>
      </c>
      <c r="M6" s="616">
        <v>95</v>
      </c>
      <c r="N6" s="616">
        <v>11.74</v>
      </c>
      <c r="O6" s="616">
        <v>109.93</v>
      </c>
    </row>
    <row r="7" spans="1:16" x14ac:dyDescent="0.3">
      <c r="A7" s="615">
        <v>41984</v>
      </c>
      <c r="B7" s="614" t="s">
        <v>3697</v>
      </c>
      <c r="C7" s="614" t="s">
        <v>201</v>
      </c>
      <c r="D7" s="614" t="s">
        <v>197</v>
      </c>
      <c r="E7" s="614">
        <v>2000</v>
      </c>
      <c r="F7" s="629">
        <v>2.5499999999999998</v>
      </c>
      <c r="G7" s="629">
        <v>5100</v>
      </c>
      <c r="H7" s="614" t="s">
        <v>3699</v>
      </c>
      <c r="I7" s="616">
        <v>0</v>
      </c>
      <c r="J7" s="616">
        <v>2.87</v>
      </c>
      <c r="K7" s="616">
        <v>0.31</v>
      </c>
      <c r="L7" s="616">
        <v>0.01</v>
      </c>
      <c r="M7" s="616">
        <v>95</v>
      </c>
      <c r="N7" s="616">
        <v>11.74</v>
      </c>
      <c r="O7" s="616">
        <v>109.93</v>
      </c>
    </row>
    <row r="8" spans="1:16" x14ac:dyDescent="0.3">
      <c r="A8" s="615">
        <v>41984</v>
      </c>
      <c r="B8" s="614" t="s">
        <v>3697</v>
      </c>
      <c r="C8" s="614" t="s">
        <v>201</v>
      </c>
      <c r="D8" s="614" t="s">
        <v>197</v>
      </c>
      <c r="E8" s="614">
        <v>2000</v>
      </c>
      <c r="F8" s="629">
        <v>2.5499999999999998</v>
      </c>
      <c r="G8" s="629">
        <v>5100</v>
      </c>
      <c r="H8" s="614" t="s">
        <v>3700</v>
      </c>
      <c r="I8" s="616">
        <v>0</v>
      </c>
      <c r="J8" s="616">
        <v>2.87</v>
      </c>
      <c r="K8" s="616">
        <v>0.31</v>
      </c>
      <c r="L8" s="616">
        <v>0.01</v>
      </c>
      <c r="M8" s="616">
        <v>95</v>
      </c>
      <c r="N8" s="616">
        <v>11.74</v>
      </c>
      <c r="O8" s="616">
        <v>109.93</v>
      </c>
    </row>
    <row r="9" spans="1:16" x14ac:dyDescent="0.3">
      <c r="A9" s="615">
        <v>41984</v>
      </c>
      <c r="B9" s="614" t="s">
        <v>3697</v>
      </c>
      <c r="C9" s="614" t="s">
        <v>201</v>
      </c>
      <c r="D9" s="614" t="s">
        <v>197</v>
      </c>
      <c r="E9" s="614">
        <v>4000</v>
      </c>
      <c r="F9" s="629">
        <v>2.5</v>
      </c>
      <c r="G9" s="629">
        <v>10000</v>
      </c>
      <c r="H9" s="614" t="s">
        <v>3701</v>
      </c>
      <c r="I9" s="616">
        <v>0</v>
      </c>
      <c r="J9" s="616">
        <v>5.62</v>
      </c>
      <c r="K9" s="616">
        <v>0.6</v>
      </c>
      <c r="L9" s="616">
        <v>0.02</v>
      </c>
      <c r="M9" s="616">
        <v>190</v>
      </c>
      <c r="N9" s="616">
        <v>23.48</v>
      </c>
      <c r="O9" s="616">
        <v>219.72</v>
      </c>
    </row>
    <row r="10" spans="1:16" x14ac:dyDescent="0.3">
      <c r="A10" s="615">
        <v>41984</v>
      </c>
      <c r="B10" s="614" t="s">
        <v>3702</v>
      </c>
      <c r="C10" s="614" t="s">
        <v>201</v>
      </c>
      <c r="D10" s="614" t="s">
        <v>197</v>
      </c>
      <c r="E10" s="614">
        <v>2000</v>
      </c>
      <c r="F10" s="629">
        <v>1.5</v>
      </c>
      <c r="G10" s="629">
        <v>3000</v>
      </c>
      <c r="H10" s="614" t="s">
        <v>3703</v>
      </c>
      <c r="I10" s="616">
        <v>0</v>
      </c>
      <c r="J10" s="616">
        <v>1.69</v>
      </c>
      <c r="K10" s="616">
        <v>0.18</v>
      </c>
      <c r="L10" s="616">
        <v>0.01</v>
      </c>
      <c r="M10" s="616">
        <v>95</v>
      </c>
      <c r="N10" s="616">
        <v>11.74</v>
      </c>
      <c r="O10" s="616">
        <v>108.62</v>
      </c>
    </row>
    <row r="11" spans="1:16" x14ac:dyDescent="0.3">
      <c r="A11" s="615">
        <v>41983</v>
      </c>
      <c r="B11" s="614" t="s">
        <v>3704</v>
      </c>
      <c r="C11" s="614" t="s">
        <v>201</v>
      </c>
      <c r="D11" s="614" t="s">
        <v>197</v>
      </c>
      <c r="E11" s="614">
        <v>4000</v>
      </c>
      <c r="F11" s="629">
        <v>0.6</v>
      </c>
      <c r="G11" s="629">
        <v>2400</v>
      </c>
      <c r="H11" s="614" t="s">
        <v>3705</v>
      </c>
      <c r="I11" s="616">
        <v>0</v>
      </c>
      <c r="J11" s="616">
        <v>1.35</v>
      </c>
      <c r="K11" s="616">
        <v>0.14000000000000001</v>
      </c>
      <c r="L11" s="616">
        <v>0</v>
      </c>
      <c r="M11" s="616">
        <v>95</v>
      </c>
      <c r="N11" s="616">
        <v>11.74</v>
      </c>
      <c r="O11" s="616">
        <v>108.23</v>
      </c>
    </row>
    <row r="12" spans="1:16" x14ac:dyDescent="0.3">
      <c r="A12" s="615">
        <v>41982</v>
      </c>
      <c r="B12" s="614" t="s">
        <v>3704</v>
      </c>
      <c r="C12" s="614" t="s">
        <v>201</v>
      </c>
      <c r="D12" s="614" t="s">
        <v>197</v>
      </c>
      <c r="E12" s="614">
        <v>8000</v>
      </c>
      <c r="F12" s="629">
        <v>0.55000000000000004</v>
      </c>
      <c r="G12" s="629">
        <v>4400</v>
      </c>
      <c r="H12" s="614" t="s">
        <v>3706</v>
      </c>
      <c r="I12" s="616">
        <v>0</v>
      </c>
      <c r="J12" s="616">
        <v>2.4700000000000002</v>
      </c>
      <c r="K12" s="616">
        <v>0.26</v>
      </c>
      <c r="L12" s="616">
        <v>0.01</v>
      </c>
      <c r="M12" s="616">
        <v>190</v>
      </c>
      <c r="N12" s="616">
        <v>23.48</v>
      </c>
      <c r="O12" s="616">
        <v>216.22</v>
      </c>
    </row>
    <row r="13" spans="1:16" x14ac:dyDescent="0.3">
      <c r="A13" s="615">
        <v>41981</v>
      </c>
      <c r="B13" s="614" t="s">
        <v>3704</v>
      </c>
      <c r="C13" s="614" t="s">
        <v>201</v>
      </c>
      <c r="D13" s="614" t="s">
        <v>197</v>
      </c>
      <c r="E13" s="614">
        <v>8000</v>
      </c>
      <c r="F13" s="629">
        <v>0.8</v>
      </c>
      <c r="G13" s="629">
        <v>6400</v>
      </c>
      <c r="H13" s="614" t="s">
        <v>3707</v>
      </c>
      <c r="I13" s="616">
        <v>0</v>
      </c>
      <c r="J13" s="616">
        <v>3.6</v>
      </c>
      <c r="K13" s="616">
        <v>0.38</v>
      </c>
      <c r="L13" s="616">
        <v>0.02</v>
      </c>
      <c r="M13" s="616">
        <v>190</v>
      </c>
      <c r="N13" s="616">
        <v>23.48</v>
      </c>
      <c r="O13" s="616">
        <v>217.48</v>
      </c>
    </row>
    <row r="14" spans="1:16" x14ac:dyDescent="0.3">
      <c r="A14" s="615">
        <v>41977</v>
      </c>
      <c r="B14" s="614" t="s">
        <v>3704</v>
      </c>
      <c r="C14" s="614" t="s">
        <v>201</v>
      </c>
      <c r="D14" s="614" t="s">
        <v>197</v>
      </c>
      <c r="E14" s="614">
        <v>4000</v>
      </c>
      <c r="F14" s="629">
        <v>1.2</v>
      </c>
      <c r="G14" s="629">
        <v>4800</v>
      </c>
      <c r="H14" s="614" t="s">
        <v>3708</v>
      </c>
      <c r="I14" s="616">
        <v>0</v>
      </c>
      <c r="J14" s="616">
        <v>2.7</v>
      </c>
      <c r="K14" s="616">
        <v>0.28999999999999998</v>
      </c>
      <c r="L14" s="616">
        <v>0.01</v>
      </c>
      <c r="M14" s="616">
        <v>95</v>
      </c>
      <c r="N14" s="616">
        <v>11.74</v>
      </c>
      <c r="O14" s="616">
        <v>109.74</v>
      </c>
    </row>
    <row r="15" spans="1:16" x14ac:dyDescent="0.3">
      <c r="A15" s="615">
        <v>41977</v>
      </c>
      <c r="B15" s="614" t="s">
        <v>3702</v>
      </c>
      <c r="C15" s="614" t="s">
        <v>201</v>
      </c>
      <c r="D15" s="614" t="s">
        <v>197</v>
      </c>
      <c r="E15" s="614">
        <v>4000</v>
      </c>
      <c r="F15" s="629">
        <v>3</v>
      </c>
      <c r="G15" s="629">
        <v>12000</v>
      </c>
      <c r="H15" s="614" t="s">
        <v>3709</v>
      </c>
      <c r="I15" s="616">
        <v>0</v>
      </c>
      <c r="J15" s="616">
        <v>6.74</v>
      </c>
      <c r="K15" s="616">
        <v>0.72</v>
      </c>
      <c r="L15" s="616">
        <v>0.02</v>
      </c>
      <c r="M15" s="616">
        <v>190</v>
      </c>
      <c r="N15" s="616">
        <v>23.48</v>
      </c>
      <c r="O15" s="616">
        <v>220.96</v>
      </c>
    </row>
    <row r="16" spans="1:16" x14ac:dyDescent="0.3">
      <c r="A16" s="615">
        <v>41977</v>
      </c>
      <c r="B16" s="614" t="s">
        <v>3704</v>
      </c>
      <c r="C16" s="614" t="s">
        <v>201</v>
      </c>
      <c r="D16" s="614" t="s">
        <v>197</v>
      </c>
      <c r="E16" s="614">
        <v>4000</v>
      </c>
      <c r="F16" s="629">
        <v>1.55</v>
      </c>
      <c r="G16" s="629">
        <v>6200</v>
      </c>
      <c r="H16" s="614" t="s">
        <v>3710</v>
      </c>
      <c r="I16" s="616">
        <v>0</v>
      </c>
      <c r="J16" s="616">
        <v>3.48</v>
      </c>
      <c r="K16" s="616">
        <v>0.37</v>
      </c>
      <c r="L16" s="616">
        <v>0.01</v>
      </c>
      <c r="M16" s="616">
        <v>95</v>
      </c>
      <c r="N16" s="616">
        <v>11.74</v>
      </c>
      <c r="O16" s="616">
        <v>110.6</v>
      </c>
    </row>
    <row r="17" spans="1:15" x14ac:dyDescent="0.3">
      <c r="A17" s="615">
        <v>41976</v>
      </c>
      <c r="B17" s="614" t="s">
        <v>3711</v>
      </c>
      <c r="C17" s="614" t="s">
        <v>201</v>
      </c>
      <c r="D17" s="614" t="s">
        <v>197</v>
      </c>
      <c r="E17" s="614">
        <v>2000</v>
      </c>
      <c r="F17" s="629">
        <v>2.5</v>
      </c>
      <c r="G17" s="629">
        <v>5000</v>
      </c>
      <c r="H17" s="614" t="s">
        <v>3712</v>
      </c>
      <c r="I17" s="616">
        <v>0</v>
      </c>
      <c r="J17" s="616">
        <v>2.81</v>
      </c>
      <c r="K17" s="616">
        <v>0.3</v>
      </c>
      <c r="L17" s="616">
        <v>0.01</v>
      </c>
      <c r="M17" s="616">
        <v>95</v>
      </c>
      <c r="N17" s="616">
        <v>11.74</v>
      </c>
      <c r="O17" s="616">
        <v>109.86</v>
      </c>
    </row>
    <row r="18" spans="1:15" x14ac:dyDescent="0.3">
      <c r="A18" s="615">
        <v>41976</v>
      </c>
      <c r="B18" s="614" t="s">
        <v>3702</v>
      </c>
      <c r="C18" s="614" t="s">
        <v>201</v>
      </c>
      <c r="D18" s="614" t="s">
        <v>197</v>
      </c>
      <c r="E18" s="614">
        <v>2000</v>
      </c>
      <c r="F18" s="629">
        <v>3.55</v>
      </c>
      <c r="G18" s="629">
        <v>7100</v>
      </c>
      <c r="H18" s="614" t="s">
        <v>3713</v>
      </c>
      <c r="I18" s="616">
        <v>0</v>
      </c>
      <c r="J18" s="616">
        <v>3.99</v>
      </c>
      <c r="K18" s="616">
        <v>0.43</v>
      </c>
      <c r="L18" s="616">
        <v>0.01</v>
      </c>
      <c r="M18" s="616">
        <v>95</v>
      </c>
      <c r="N18" s="616">
        <v>11.74</v>
      </c>
      <c r="O18" s="616">
        <v>111.17</v>
      </c>
    </row>
    <row r="19" spans="1:15" x14ac:dyDescent="0.3">
      <c r="A19" s="615">
        <v>41975</v>
      </c>
      <c r="B19" s="614" t="s">
        <v>3704</v>
      </c>
      <c r="C19" s="614" t="s">
        <v>201</v>
      </c>
      <c r="D19" s="614" t="s">
        <v>197</v>
      </c>
      <c r="E19" s="614">
        <v>8000</v>
      </c>
      <c r="F19" s="629">
        <v>1.5</v>
      </c>
      <c r="G19" s="629">
        <v>12000</v>
      </c>
      <c r="H19" s="614" t="s">
        <v>3714</v>
      </c>
      <c r="I19" s="616">
        <v>0</v>
      </c>
      <c r="J19" s="616">
        <v>6.74</v>
      </c>
      <c r="K19" s="616">
        <v>0.72</v>
      </c>
      <c r="L19" s="616">
        <v>0.02</v>
      </c>
      <c r="M19" s="616">
        <v>190</v>
      </c>
      <c r="N19" s="616">
        <v>23.48</v>
      </c>
      <c r="O19" s="616">
        <v>220.96</v>
      </c>
    </row>
    <row r="20" spans="1:15" x14ac:dyDescent="0.3">
      <c r="A20" s="615">
        <v>41967</v>
      </c>
      <c r="B20" s="614" t="s">
        <v>3715</v>
      </c>
      <c r="C20" s="614" t="s">
        <v>201</v>
      </c>
      <c r="D20" s="614" t="s">
        <v>197</v>
      </c>
      <c r="E20" s="614">
        <v>1250</v>
      </c>
      <c r="F20" s="629">
        <v>2.1</v>
      </c>
      <c r="G20" s="629">
        <v>2625</v>
      </c>
      <c r="H20" s="614" t="s">
        <v>3716</v>
      </c>
      <c r="I20" s="616">
        <v>0</v>
      </c>
      <c r="J20" s="616">
        <v>1.48</v>
      </c>
      <c r="K20" s="616">
        <v>0.16</v>
      </c>
      <c r="L20" s="616">
        <v>0.01</v>
      </c>
      <c r="M20" s="616">
        <v>95</v>
      </c>
      <c r="N20" s="616">
        <v>11.74</v>
      </c>
      <c r="O20" s="616">
        <v>108.39</v>
      </c>
    </row>
    <row r="21" spans="1:15" x14ac:dyDescent="0.3">
      <c r="A21" s="615">
        <v>41964</v>
      </c>
      <c r="B21" s="614" t="s">
        <v>3715</v>
      </c>
      <c r="C21" s="614" t="s">
        <v>201</v>
      </c>
      <c r="D21" s="614" t="s">
        <v>197</v>
      </c>
      <c r="E21" s="614">
        <v>1250</v>
      </c>
      <c r="F21" s="629">
        <v>2.8</v>
      </c>
      <c r="G21" s="629">
        <v>3500</v>
      </c>
      <c r="H21" s="614" t="s">
        <v>3717</v>
      </c>
      <c r="I21" s="616">
        <v>0</v>
      </c>
      <c r="J21" s="616">
        <v>1.97</v>
      </c>
      <c r="K21" s="616">
        <v>0.21</v>
      </c>
      <c r="L21" s="616">
        <v>0.01</v>
      </c>
      <c r="M21" s="616">
        <v>95</v>
      </c>
      <c r="N21" s="616">
        <v>11.74</v>
      </c>
      <c r="O21" s="616">
        <v>108.93</v>
      </c>
    </row>
    <row r="22" spans="1:15" x14ac:dyDescent="0.3">
      <c r="A22" s="615">
        <v>41962</v>
      </c>
      <c r="B22" s="614" t="s">
        <v>3718</v>
      </c>
      <c r="C22" s="614" t="s">
        <v>201</v>
      </c>
      <c r="D22" s="614" t="s">
        <v>197</v>
      </c>
      <c r="E22" s="614">
        <v>1250</v>
      </c>
      <c r="F22" s="629">
        <v>1.6</v>
      </c>
      <c r="G22" s="629">
        <v>2000</v>
      </c>
      <c r="H22" s="614" t="s">
        <v>3719</v>
      </c>
      <c r="I22" s="616">
        <v>0</v>
      </c>
      <c r="J22" s="616">
        <v>1.1200000000000001</v>
      </c>
      <c r="K22" s="616">
        <v>0.12</v>
      </c>
      <c r="L22" s="616">
        <v>0</v>
      </c>
      <c r="M22" s="616">
        <v>95</v>
      </c>
      <c r="N22" s="616">
        <v>11.74</v>
      </c>
      <c r="O22" s="616">
        <v>107.98</v>
      </c>
    </row>
    <row r="23" spans="1:15" x14ac:dyDescent="0.3">
      <c r="A23" s="615">
        <v>41962</v>
      </c>
      <c r="B23" s="614" t="s">
        <v>3718</v>
      </c>
      <c r="C23" s="614" t="s">
        <v>201</v>
      </c>
      <c r="D23" s="614" t="s">
        <v>197</v>
      </c>
      <c r="E23" s="614">
        <v>2500</v>
      </c>
      <c r="F23" s="629">
        <v>1.9</v>
      </c>
      <c r="G23" s="629">
        <v>4750</v>
      </c>
      <c r="H23" s="614" t="s">
        <v>3720</v>
      </c>
      <c r="I23" s="616">
        <v>0</v>
      </c>
      <c r="J23" s="616">
        <v>2.67</v>
      </c>
      <c r="K23" s="616">
        <v>0.28999999999999998</v>
      </c>
      <c r="L23" s="616">
        <v>0.01</v>
      </c>
      <c r="M23" s="616">
        <v>190</v>
      </c>
      <c r="N23" s="616">
        <v>23.48</v>
      </c>
      <c r="O23" s="616">
        <v>216.45</v>
      </c>
    </row>
    <row r="24" spans="1:15" x14ac:dyDescent="0.3">
      <c r="A24" s="615">
        <v>41956</v>
      </c>
      <c r="B24" s="614" t="s">
        <v>3715</v>
      </c>
      <c r="C24" s="614" t="s">
        <v>201</v>
      </c>
      <c r="D24" s="614" t="s">
        <v>197</v>
      </c>
      <c r="E24" s="614">
        <v>1250</v>
      </c>
      <c r="F24" s="629">
        <v>5.15</v>
      </c>
      <c r="G24" s="629">
        <v>6437.5</v>
      </c>
      <c r="H24" s="614" t="s">
        <v>3721</v>
      </c>
      <c r="I24" s="616">
        <v>0</v>
      </c>
      <c r="J24" s="616">
        <v>3.62</v>
      </c>
      <c r="K24" s="616">
        <v>0.39</v>
      </c>
      <c r="L24" s="616">
        <v>0.01</v>
      </c>
      <c r="M24" s="616">
        <v>95</v>
      </c>
      <c r="N24" s="616">
        <v>11.74</v>
      </c>
      <c r="O24" s="616">
        <v>110.76</v>
      </c>
    </row>
    <row r="25" spans="1:15" x14ac:dyDescent="0.3">
      <c r="A25" s="615">
        <v>41955</v>
      </c>
      <c r="B25" s="614" t="s">
        <v>3715</v>
      </c>
      <c r="C25" s="614" t="s">
        <v>201</v>
      </c>
      <c r="D25" s="614" t="s">
        <v>197</v>
      </c>
      <c r="E25" s="614">
        <v>1250</v>
      </c>
      <c r="F25" s="629">
        <v>6</v>
      </c>
      <c r="G25" s="629">
        <v>7500</v>
      </c>
      <c r="H25" s="614" t="s">
        <v>3722</v>
      </c>
      <c r="I25" s="616">
        <v>0</v>
      </c>
      <c r="J25" s="616">
        <v>4.22</v>
      </c>
      <c r="K25" s="616">
        <v>0.45</v>
      </c>
      <c r="L25" s="616">
        <v>0.02</v>
      </c>
      <c r="M25" s="616">
        <v>95</v>
      </c>
      <c r="N25" s="616">
        <v>11.74</v>
      </c>
      <c r="O25" s="616">
        <v>111.43</v>
      </c>
    </row>
    <row r="26" spans="1:15" x14ac:dyDescent="0.3">
      <c r="A26" s="615">
        <v>41800</v>
      </c>
      <c r="B26" s="614" t="s">
        <v>3454</v>
      </c>
      <c r="C26" s="614" t="s">
        <v>201</v>
      </c>
      <c r="D26" s="614" t="s">
        <v>197</v>
      </c>
      <c r="E26" s="614">
        <v>1000</v>
      </c>
      <c r="F26" s="629">
        <v>6</v>
      </c>
      <c r="G26" s="629">
        <v>6000</v>
      </c>
      <c r="H26" s="614" t="s">
        <v>3456</v>
      </c>
      <c r="I26" s="616">
        <v>0</v>
      </c>
      <c r="J26" s="616">
        <v>3.37</v>
      </c>
      <c r="K26" s="616">
        <v>0.36</v>
      </c>
      <c r="L26" s="616">
        <v>0.01</v>
      </c>
      <c r="M26" s="616">
        <v>380</v>
      </c>
      <c r="N26" s="616">
        <v>46.96</v>
      </c>
      <c r="O26" s="616">
        <v>430.7</v>
      </c>
    </row>
    <row r="27" spans="1:15" x14ac:dyDescent="0.3">
      <c r="A27" s="615">
        <v>41648</v>
      </c>
      <c r="B27" s="614" t="s">
        <v>3316</v>
      </c>
      <c r="C27" s="614" t="s">
        <v>201</v>
      </c>
      <c r="D27" s="614" t="s">
        <v>197</v>
      </c>
      <c r="E27" s="614">
        <v>100</v>
      </c>
      <c r="F27" s="629">
        <v>36.85</v>
      </c>
      <c r="G27" s="629">
        <v>3685</v>
      </c>
      <c r="H27" s="614" t="s">
        <v>3317</v>
      </c>
      <c r="I27" s="616">
        <v>0</v>
      </c>
      <c r="J27" s="616">
        <v>2.0699999999999998</v>
      </c>
      <c r="K27" s="616">
        <v>0.22</v>
      </c>
      <c r="L27" s="616">
        <v>0</v>
      </c>
      <c r="M27" s="616">
        <v>190</v>
      </c>
      <c r="N27" s="616">
        <v>23.48</v>
      </c>
      <c r="O27" s="616">
        <v>215.77</v>
      </c>
    </row>
    <row r="28" spans="1:15" x14ac:dyDescent="0.3">
      <c r="A28" s="615">
        <v>41648</v>
      </c>
      <c r="B28" s="614" t="s">
        <v>3316</v>
      </c>
      <c r="C28" s="614" t="s">
        <v>201</v>
      </c>
      <c r="D28" s="614" t="s">
        <v>197</v>
      </c>
      <c r="E28" s="614">
        <v>100</v>
      </c>
      <c r="F28" s="629">
        <v>40.799999999999997</v>
      </c>
      <c r="G28" s="629">
        <v>4080</v>
      </c>
      <c r="H28" s="614" t="s">
        <v>3318</v>
      </c>
      <c r="I28" s="616">
        <v>0</v>
      </c>
      <c r="J28" s="616">
        <v>2.29</v>
      </c>
      <c r="K28" s="616">
        <v>0.24</v>
      </c>
      <c r="L28" s="616">
        <v>0</v>
      </c>
      <c r="M28" s="616">
        <v>190</v>
      </c>
      <c r="N28" s="616">
        <v>23.48</v>
      </c>
      <c r="O28" s="616">
        <v>216.01</v>
      </c>
    </row>
    <row r="29" spans="1:15" x14ac:dyDescent="0.3">
      <c r="A29" s="615">
        <v>41645</v>
      </c>
      <c r="B29" s="614" t="s">
        <v>3316</v>
      </c>
      <c r="C29" s="614" t="s">
        <v>201</v>
      </c>
      <c r="D29" s="614" t="s">
        <v>197</v>
      </c>
      <c r="E29" s="614">
        <v>100</v>
      </c>
      <c r="F29" s="629">
        <v>57</v>
      </c>
      <c r="G29" s="629">
        <v>5700</v>
      </c>
      <c r="H29" s="614" t="s">
        <v>3319</v>
      </c>
      <c r="I29" s="616">
        <v>0</v>
      </c>
      <c r="J29" s="616">
        <v>3.2</v>
      </c>
      <c r="K29" s="616">
        <v>0.34</v>
      </c>
      <c r="L29" s="616">
        <v>0.01</v>
      </c>
      <c r="M29" s="616">
        <v>190</v>
      </c>
      <c r="N29" s="616">
        <v>23.48</v>
      </c>
      <c r="O29" s="616">
        <v>217.03</v>
      </c>
    </row>
    <row r="30" spans="1:15" x14ac:dyDescent="0.3">
      <c r="A30" s="615">
        <v>41645</v>
      </c>
      <c r="B30" s="614" t="s">
        <v>3316</v>
      </c>
      <c r="C30" s="614" t="s">
        <v>201</v>
      </c>
      <c r="D30" s="614" t="s">
        <v>197</v>
      </c>
      <c r="E30" s="614">
        <v>100</v>
      </c>
      <c r="F30" s="629">
        <v>64.599999999999994</v>
      </c>
      <c r="G30" s="629">
        <v>6460</v>
      </c>
      <c r="H30" s="614" t="s">
        <v>3320</v>
      </c>
      <c r="I30" s="616">
        <v>0</v>
      </c>
      <c r="J30" s="616">
        <v>3.63</v>
      </c>
      <c r="K30" s="616">
        <v>0.39</v>
      </c>
      <c r="L30" s="616">
        <v>0.01</v>
      </c>
      <c r="M30" s="616">
        <v>190</v>
      </c>
      <c r="N30" s="616">
        <v>23.48</v>
      </c>
      <c r="O30" s="616">
        <v>217.51</v>
      </c>
    </row>
    <row r="31" spans="1:15" x14ac:dyDescent="0.3">
      <c r="A31" s="615">
        <v>41645</v>
      </c>
      <c r="B31" s="614" t="s">
        <v>3740</v>
      </c>
      <c r="C31" s="614" t="s">
        <v>201</v>
      </c>
      <c r="D31" s="614" t="s">
        <v>197</v>
      </c>
      <c r="E31" s="614">
        <v>250</v>
      </c>
      <c r="F31" s="629">
        <v>23.1</v>
      </c>
      <c r="G31" s="629">
        <v>5775</v>
      </c>
      <c r="H31" s="614" t="s">
        <v>3322</v>
      </c>
      <c r="I31" s="616">
        <v>0</v>
      </c>
      <c r="J31" s="616">
        <v>3.25</v>
      </c>
      <c r="K31" s="616">
        <v>0.35</v>
      </c>
      <c r="L31" s="616">
        <v>0.01</v>
      </c>
      <c r="M31" s="616">
        <v>25</v>
      </c>
      <c r="N31" s="616">
        <v>3.09</v>
      </c>
      <c r="O31" s="616">
        <v>31.7</v>
      </c>
    </row>
    <row r="32" spans="1:15" x14ac:dyDescent="0.3">
      <c r="A32" s="615">
        <v>41642</v>
      </c>
      <c r="B32" s="614" t="s">
        <v>3323</v>
      </c>
      <c r="C32" s="614" t="s">
        <v>201</v>
      </c>
      <c r="D32" s="614" t="s">
        <v>197</v>
      </c>
      <c r="E32" s="614">
        <v>1000</v>
      </c>
      <c r="F32" s="629">
        <v>7.3</v>
      </c>
      <c r="G32" s="629">
        <v>7300</v>
      </c>
      <c r="H32" s="614" t="s">
        <v>3324</v>
      </c>
      <c r="I32" s="616">
        <v>0</v>
      </c>
      <c r="J32" s="616">
        <v>4.0999999999999996</v>
      </c>
      <c r="K32" s="616">
        <v>0.44</v>
      </c>
      <c r="L32" s="616">
        <v>0.01</v>
      </c>
      <c r="M32" s="616">
        <v>190</v>
      </c>
      <c r="N32" s="616">
        <v>23.48</v>
      </c>
      <c r="O32" s="616">
        <v>218.03</v>
      </c>
    </row>
    <row r="33" spans="1:15" x14ac:dyDescent="0.3">
      <c r="A33" s="615">
        <v>41626</v>
      </c>
      <c r="B33" s="614" t="s">
        <v>3325</v>
      </c>
      <c r="C33" s="614" t="s">
        <v>201</v>
      </c>
      <c r="D33" s="614" t="s">
        <v>197</v>
      </c>
      <c r="E33" s="614">
        <v>150</v>
      </c>
      <c r="F33" s="629">
        <v>39.07</v>
      </c>
      <c r="G33" s="629">
        <v>5860</v>
      </c>
      <c r="H33" s="614" t="s">
        <v>3326</v>
      </c>
      <c r="I33" s="616">
        <v>0</v>
      </c>
      <c r="J33" s="616">
        <v>3.29</v>
      </c>
      <c r="K33" s="616">
        <v>0.36</v>
      </c>
      <c r="L33" s="616">
        <v>0</v>
      </c>
      <c r="M33" s="616">
        <v>570</v>
      </c>
      <c r="N33" s="616">
        <v>70.45</v>
      </c>
      <c r="O33" s="616">
        <v>644.1</v>
      </c>
    </row>
    <row r="34" spans="1:15" x14ac:dyDescent="0.3">
      <c r="A34" s="615">
        <v>41491</v>
      </c>
      <c r="B34" s="614" t="s">
        <v>3327</v>
      </c>
      <c r="C34" s="614" t="s">
        <v>201</v>
      </c>
      <c r="D34" s="614" t="s">
        <v>197</v>
      </c>
      <c r="E34" s="614">
        <v>250</v>
      </c>
      <c r="F34" s="629">
        <v>44</v>
      </c>
      <c r="G34" s="629">
        <v>11000</v>
      </c>
      <c r="H34" s="614" t="s">
        <v>3328</v>
      </c>
      <c r="I34" s="616">
        <v>0</v>
      </c>
      <c r="J34" s="616">
        <v>6.18</v>
      </c>
      <c r="K34" s="616">
        <v>0.66</v>
      </c>
      <c r="L34" s="616">
        <v>0.01</v>
      </c>
      <c r="M34" s="616">
        <v>475</v>
      </c>
      <c r="N34" s="616">
        <v>58.71</v>
      </c>
      <c r="O34" s="616">
        <v>540.55999999999995</v>
      </c>
    </row>
    <row r="35" spans="1:15" x14ac:dyDescent="0.3">
      <c r="A35" s="615">
        <v>41487</v>
      </c>
      <c r="B35" s="614" t="s">
        <v>3327</v>
      </c>
      <c r="C35" s="614" t="s">
        <v>201</v>
      </c>
      <c r="D35" s="614" t="s">
        <v>197</v>
      </c>
      <c r="E35" s="614">
        <v>50</v>
      </c>
      <c r="F35" s="629">
        <v>54</v>
      </c>
      <c r="G35" s="629">
        <v>2700</v>
      </c>
      <c r="H35" s="614" t="s">
        <v>3329</v>
      </c>
      <c r="I35" s="616">
        <v>0</v>
      </c>
      <c r="J35" s="616">
        <v>1.52</v>
      </c>
      <c r="K35" s="616">
        <v>0.16</v>
      </c>
      <c r="L35" s="616">
        <v>0</v>
      </c>
      <c r="M35" s="616">
        <v>95</v>
      </c>
      <c r="N35" s="616">
        <v>11.74</v>
      </c>
      <c r="O35" s="616">
        <v>108.42</v>
      </c>
    </row>
    <row r="36" spans="1:15" x14ac:dyDescent="0.3">
      <c r="A36" s="615">
        <v>41400</v>
      </c>
      <c r="B36" s="614" t="s">
        <v>3330</v>
      </c>
      <c r="C36" s="614" t="s">
        <v>201</v>
      </c>
      <c r="D36" s="614" t="s">
        <v>197</v>
      </c>
      <c r="E36" s="614">
        <v>100</v>
      </c>
      <c r="F36" s="629">
        <v>35.5</v>
      </c>
      <c r="G36" s="629">
        <v>3550</v>
      </c>
      <c r="H36" s="614" t="s">
        <v>3331</v>
      </c>
      <c r="I36" s="616">
        <v>0</v>
      </c>
      <c r="J36" s="616">
        <v>2</v>
      </c>
      <c r="K36" s="616">
        <v>0.21</v>
      </c>
      <c r="L36" s="616">
        <v>0</v>
      </c>
      <c r="M36" s="616">
        <v>190</v>
      </c>
      <c r="N36" s="616">
        <v>23.48</v>
      </c>
      <c r="O36" s="616">
        <v>215.69</v>
      </c>
    </row>
    <row r="37" spans="1:15" x14ac:dyDescent="0.3">
      <c r="A37" s="615">
        <v>41397</v>
      </c>
      <c r="B37" s="614" t="s">
        <v>3330</v>
      </c>
      <c r="C37" s="614" t="s">
        <v>201</v>
      </c>
      <c r="D37" s="614" t="s">
        <v>197</v>
      </c>
      <c r="E37" s="614">
        <v>50</v>
      </c>
      <c r="F37" s="629">
        <v>41.15</v>
      </c>
      <c r="G37" s="629">
        <v>2057.5</v>
      </c>
      <c r="H37" s="614" t="s">
        <v>3332</v>
      </c>
      <c r="I37" s="616">
        <v>0</v>
      </c>
      <c r="J37" s="616">
        <v>1.1599999999999999</v>
      </c>
      <c r="K37" s="616">
        <v>0.12</v>
      </c>
      <c r="L37" s="616">
        <v>0</v>
      </c>
      <c r="M37" s="616">
        <v>95</v>
      </c>
      <c r="N37" s="616">
        <v>11.74</v>
      </c>
      <c r="O37" s="616">
        <v>108.02</v>
      </c>
    </row>
    <row r="38" spans="1:15" x14ac:dyDescent="0.3">
      <c r="A38" s="615">
        <v>41397</v>
      </c>
      <c r="B38" s="614" t="s">
        <v>3330</v>
      </c>
      <c r="C38" s="614" t="s">
        <v>201</v>
      </c>
      <c r="D38" s="614" t="s">
        <v>197</v>
      </c>
      <c r="E38" s="614">
        <v>200</v>
      </c>
      <c r="F38" s="629">
        <v>44.9</v>
      </c>
      <c r="G38" s="629">
        <v>8980</v>
      </c>
      <c r="H38" s="614" t="s">
        <v>3333</v>
      </c>
      <c r="I38" s="616">
        <v>0</v>
      </c>
      <c r="J38" s="616">
        <v>5.05</v>
      </c>
      <c r="K38" s="616">
        <v>0.54</v>
      </c>
      <c r="L38" s="616">
        <v>0.01</v>
      </c>
      <c r="M38" s="616">
        <v>380</v>
      </c>
      <c r="N38" s="616">
        <v>46.97</v>
      </c>
      <c r="O38" s="616">
        <v>432.57</v>
      </c>
    </row>
    <row r="39" spans="1:15" x14ac:dyDescent="0.3">
      <c r="A39" s="615">
        <v>41396</v>
      </c>
      <c r="B39" s="614" t="s">
        <v>3330</v>
      </c>
      <c r="C39" s="614" t="s">
        <v>201</v>
      </c>
      <c r="D39" s="614" t="s">
        <v>197</v>
      </c>
      <c r="E39" s="614">
        <v>150</v>
      </c>
      <c r="F39" s="629">
        <v>57</v>
      </c>
      <c r="G39" s="629">
        <v>8550</v>
      </c>
      <c r="H39" s="614" t="s">
        <v>3334</v>
      </c>
      <c r="I39" s="616">
        <v>0</v>
      </c>
      <c r="J39" s="616">
        <v>4.8</v>
      </c>
      <c r="K39" s="616">
        <v>0.51</v>
      </c>
      <c r="L39" s="616">
        <v>0.01</v>
      </c>
      <c r="M39" s="616">
        <v>285</v>
      </c>
      <c r="N39" s="616">
        <v>35.22</v>
      </c>
      <c r="O39" s="616">
        <v>325.54000000000002</v>
      </c>
    </row>
    <row r="40" spans="1:15" x14ac:dyDescent="0.3">
      <c r="A40" s="615">
        <v>41341</v>
      </c>
      <c r="B40" s="614" t="s">
        <v>2977</v>
      </c>
      <c r="C40" s="614" t="s">
        <v>201</v>
      </c>
      <c r="D40" s="614" t="s">
        <v>197</v>
      </c>
      <c r="E40" s="614">
        <v>2000</v>
      </c>
      <c r="F40" s="629">
        <v>2</v>
      </c>
      <c r="G40" s="629">
        <v>4000</v>
      </c>
      <c r="H40" s="614" t="s">
        <v>2978</v>
      </c>
      <c r="I40" s="616">
        <v>0</v>
      </c>
      <c r="J40" s="616">
        <v>2.25</v>
      </c>
      <c r="K40" s="616">
        <v>0.24</v>
      </c>
      <c r="L40" s="616">
        <v>0</v>
      </c>
      <c r="M40" s="616">
        <v>95</v>
      </c>
      <c r="N40" s="616">
        <v>11.74</v>
      </c>
      <c r="O40" s="616">
        <v>109.23</v>
      </c>
    </row>
    <row r="41" spans="1:15" x14ac:dyDescent="0.3">
      <c r="A41" s="615">
        <v>41305</v>
      </c>
      <c r="B41" s="614" t="s">
        <v>2979</v>
      </c>
      <c r="C41" s="614" t="s">
        <v>201</v>
      </c>
      <c r="D41" s="614" t="s">
        <v>197</v>
      </c>
      <c r="E41" s="614">
        <v>500</v>
      </c>
      <c r="F41" s="629">
        <v>31.4</v>
      </c>
      <c r="G41" s="629">
        <v>15700</v>
      </c>
      <c r="H41" s="614" t="s">
        <v>2980</v>
      </c>
      <c r="I41" s="616">
        <v>0</v>
      </c>
      <c r="J41" s="616">
        <v>8.82</v>
      </c>
      <c r="K41" s="616">
        <v>0.94</v>
      </c>
      <c r="L41" s="616">
        <v>0.02</v>
      </c>
      <c r="M41" s="616">
        <v>190</v>
      </c>
      <c r="N41" s="616">
        <v>23.48</v>
      </c>
      <c r="O41" s="616">
        <v>223.26</v>
      </c>
    </row>
    <row r="42" spans="1:15" x14ac:dyDescent="0.3">
      <c r="A42" s="615">
        <v>41276</v>
      </c>
      <c r="B42" s="614" t="s">
        <v>2981</v>
      </c>
      <c r="C42" s="614" t="s">
        <v>201</v>
      </c>
      <c r="D42" s="614" t="s">
        <v>197</v>
      </c>
      <c r="E42" s="614">
        <v>1000</v>
      </c>
      <c r="F42" s="629">
        <v>27.99</v>
      </c>
      <c r="G42" s="629">
        <v>27987.5</v>
      </c>
      <c r="H42" s="614" t="s">
        <v>2982</v>
      </c>
      <c r="I42" s="616">
        <v>0</v>
      </c>
      <c r="J42" s="616">
        <v>15.72</v>
      </c>
      <c r="K42" s="616">
        <v>1.68</v>
      </c>
      <c r="L42" s="616">
        <v>0.04</v>
      </c>
      <c r="M42" s="616">
        <v>380</v>
      </c>
      <c r="N42" s="616">
        <v>46.96</v>
      </c>
      <c r="O42" s="616">
        <v>444.4</v>
      </c>
    </row>
    <row r="43" spans="1:15" x14ac:dyDescent="0.3">
      <c r="A43" s="615">
        <v>41262</v>
      </c>
      <c r="B43" s="614" t="s">
        <v>2983</v>
      </c>
      <c r="C43" s="614" t="s">
        <v>201</v>
      </c>
      <c r="D43" s="614" t="s">
        <v>197</v>
      </c>
      <c r="E43" s="614">
        <v>8000</v>
      </c>
      <c r="F43" s="629">
        <v>2.75</v>
      </c>
      <c r="G43" s="629">
        <v>22000</v>
      </c>
      <c r="H43" s="614" t="s">
        <v>2984</v>
      </c>
      <c r="I43" s="616">
        <v>0</v>
      </c>
      <c r="J43" s="616">
        <v>12.36</v>
      </c>
      <c r="K43" s="616">
        <v>1.32</v>
      </c>
      <c r="L43" s="616">
        <v>0.04</v>
      </c>
      <c r="M43" s="616">
        <v>380</v>
      </c>
      <c r="N43" s="616">
        <v>46.96</v>
      </c>
      <c r="O43" s="616">
        <v>440.68</v>
      </c>
    </row>
    <row r="44" spans="1:15" x14ac:dyDescent="0.3">
      <c r="A44" s="615">
        <v>41254</v>
      </c>
      <c r="B44" s="614" t="s">
        <v>2985</v>
      </c>
      <c r="C44" s="614" t="s">
        <v>201</v>
      </c>
      <c r="D44" s="614" t="s">
        <v>197</v>
      </c>
      <c r="E44" s="614">
        <v>500</v>
      </c>
      <c r="F44" s="629">
        <v>99.11</v>
      </c>
      <c r="G44" s="629">
        <v>49555</v>
      </c>
      <c r="H44" s="614" t="s">
        <v>2986</v>
      </c>
      <c r="I44" s="616">
        <v>0</v>
      </c>
      <c r="J44" s="616">
        <v>27.85</v>
      </c>
      <c r="K44" s="616">
        <v>2.98</v>
      </c>
      <c r="L44" s="616">
        <v>0.04</v>
      </c>
      <c r="M44" s="616">
        <v>950</v>
      </c>
      <c r="N44" s="616">
        <v>117.42</v>
      </c>
      <c r="O44" s="616">
        <v>1098.29</v>
      </c>
    </row>
    <row r="45" spans="1:15" x14ac:dyDescent="0.3">
      <c r="A45" s="615">
        <v>41253</v>
      </c>
      <c r="B45" s="614" t="s">
        <v>2985</v>
      </c>
      <c r="C45" s="614" t="s">
        <v>201</v>
      </c>
      <c r="D45" s="614" t="s">
        <v>197</v>
      </c>
      <c r="E45" s="614">
        <v>1000</v>
      </c>
      <c r="F45" s="629">
        <v>95.9</v>
      </c>
      <c r="G45" s="629">
        <v>95900</v>
      </c>
      <c r="H45" s="614" t="s">
        <v>2987</v>
      </c>
      <c r="I45" s="616">
        <v>0</v>
      </c>
      <c r="J45" s="616">
        <v>53.9</v>
      </c>
      <c r="K45" s="616">
        <v>5.75</v>
      </c>
      <c r="L45" s="616">
        <v>0.1</v>
      </c>
      <c r="M45" s="616">
        <v>1900</v>
      </c>
      <c r="N45" s="616">
        <v>234.84</v>
      </c>
      <c r="O45" s="616">
        <v>2194.59</v>
      </c>
    </row>
    <row r="46" spans="1:15" x14ac:dyDescent="0.3">
      <c r="A46" s="615">
        <v>41253</v>
      </c>
      <c r="B46" s="614" t="s">
        <v>2988</v>
      </c>
      <c r="C46" s="614" t="s">
        <v>201</v>
      </c>
      <c r="D46" s="614" t="s">
        <v>197</v>
      </c>
      <c r="E46" s="614">
        <v>100</v>
      </c>
      <c r="F46" s="629">
        <v>95</v>
      </c>
      <c r="G46" s="629">
        <v>9500</v>
      </c>
      <c r="H46" s="614" t="s">
        <v>2989</v>
      </c>
      <c r="I46" s="616">
        <v>0</v>
      </c>
      <c r="J46" s="616">
        <v>5.34</v>
      </c>
      <c r="K46" s="616">
        <v>0.56999999999999995</v>
      </c>
      <c r="L46" s="616">
        <v>0.01</v>
      </c>
      <c r="M46" s="616">
        <v>50</v>
      </c>
      <c r="N46" s="616">
        <v>6.18</v>
      </c>
      <c r="O46" s="616">
        <v>62.1</v>
      </c>
    </row>
    <row r="47" spans="1:15" x14ac:dyDescent="0.3">
      <c r="A47" s="615">
        <v>41225</v>
      </c>
      <c r="B47" s="614" t="s">
        <v>1415</v>
      </c>
      <c r="C47" s="614" t="s">
        <v>201</v>
      </c>
      <c r="D47" s="614" t="s">
        <v>197</v>
      </c>
      <c r="E47" s="614">
        <v>4000</v>
      </c>
      <c r="F47" s="629">
        <v>1.9</v>
      </c>
      <c r="G47" s="629">
        <v>7600</v>
      </c>
      <c r="H47" s="614" t="s">
        <v>1416</v>
      </c>
      <c r="I47" s="616">
        <v>0</v>
      </c>
      <c r="J47" s="616">
        <v>4.2699999999999996</v>
      </c>
      <c r="K47" s="616">
        <v>0.46</v>
      </c>
      <c r="L47" s="616">
        <v>0.01</v>
      </c>
      <c r="M47" s="616">
        <v>95</v>
      </c>
      <c r="N47" s="616">
        <v>11.74</v>
      </c>
      <c r="O47" s="616">
        <v>111.48</v>
      </c>
    </row>
    <row r="48" spans="1:15" x14ac:dyDescent="0.3">
      <c r="A48" s="615">
        <v>41225</v>
      </c>
      <c r="B48" s="614" t="s">
        <v>1417</v>
      </c>
      <c r="C48" s="614" t="s">
        <v>201</v>
      </c>
      <c r="D48" s="614" t="s">
        <v>197</v>
      </c>
      <c r="E48" s="614">
        <v>2500</v>
      </c>
      <c r="F48" s="629">
        <v>5.9</v>
      </c>
      <c r="G48" s="629">
        <v>14750</v>
      </c>
      <c r="H48" s="614" t="s">
        <v>1418</v>
      </c>
      <c r="I48" s="616">
        <v>0</v>
      </c>
      <c r="J48" s="616">
        <v>8.2899999999999991</v>
      </c>
      <c r="K48" s="616">
        <v>0.89</v>
      </c>
      <c r="L48" s="616">
        <v>0.01</v>
      </c>
      <c r="M48" s="616">
        <v>475</v>
      </c>
      <c r="N48" s="616">
        <v>58.71</v>
      </c>
      <c r="O48" s="616">
        <v>542.9</v>
      </c>
    </row>
    <row r="49" spans="1:15" x14ac:dyDescent="0.3">
      <c r="A49" s="615">
        <v>41213</v>
      </c>
      <c r="B49" s="614" t="s">
        <v>1419</v>
      </c>
      <c r="C49" s="614" t="s">
        <v>201</v>
      </c>
      <c r="D49" s="614" t="s">
        <v>197</v>
      </c>
      <c r="E49" s="614">
        <v>8000</v>
      </c>
      <c r="F49" s="629">
        <v>1.45</v>
      </c>
      <c r="G49" s="629">
        <v>11600</v>
      </c>
      <c r="H49" s="614" t="s">
        <v>1420</v>
      </c>
      <c r="I49" s="616">
        <v>0</v>
      </c>
      <c r="J49" s="616">
        <v>6.52</v>
      </c>
      <c r="K49" s="616">
        <v>0.7</v>
      </c>
      <c r="L49" s="616">
        <v>0.01</v>
      </c>
      <c r="M49" s="616">
        <v>95</v>
      </c>
      <c r="N49" s="616">
        <v>11.74</v>
      </c>
      <c r="O49" s="616">
        <v>113.97</v>
      </c>
    </row>
    <row r="50" spans="1:15" x14ac:dyDescent="0.3">
      <c r="A50" s="615">
        <v>41201</v>
      </c>
      <c r="B50" s="614" t="s">
        <v>1421</v>
      </c>
      <c r="C50" s="614" t="s">
        <v>201</v>
      </c>
      <c r="D50" s="614" t="s">
        <v>197</v>
      </c>
      <c r="E50" s="614">
        <v>300</v>
      </c>
      <c r="F50" s="629">
        <v>95</v>
      </c>
      <c r="G50" s="629">
        <v>28500</v>
      </c>
      <c r="H50" s="614" t="s">
        <v>1422</v>
      </c>
      <c r="I50" s="616">
        <v>0</v>
      </c>
      <c r="J50" s="616">
        <v>16.02</v>
      </c>
      <c r="K50" s="616">
        <v>1.71</v>
      </c>
      <c r="L50" s="616">
        <v>0.03</v>
      </c>
      <c r="M50" s="616">
        <v>570</v>
      </c>
      <c r="N50" s="616">
        <v>70.45</v>
      </c>
      <c r="O50" s="616">
        <v>658.21</v>
      </c>
    </row>
    <row r="51" spans="1:15" x14ac:dyDescent="0.3">
      <c r="A51" s="615">
        <v>41163</v>
      </c>
      <c r="B51" s="614" t="s">
        <v>1423</v>
      </c>
      <c r="C51" s="614" t="s">
        <v>201</v>
      </c>
      <c r="D51" s="614" t="s">
        <v>197</v>
      </c>
      <c r="E51" s="614">
        <v>500</v>
      </c>
      <c r="F51" s="629">
        <v>60</v>
      </c>
      <c r="G51" s="629">
        <v>30000</v>
      </c>
      <c r="H51" s="614" t="s">
        <v>1424</v>
      </c>
      <c r="I51" s="616">
        <v>0</v>
      </c>
      <c r="J51" s="616">
        <v>16.86</v>
      </c>
      <c r="K51" s="616">
        <v>1.8</v>
      </c>
      <c r="L51" s="616">
        <v>0.03</v>
      </c>
      <c r="M51" s="616">
        <v>950</v>
      </c>
      <c r="N51" s="616">
        <v>117.42</v>
      </c>
      <c r="O51" s="616">
        <v>1086.1099999999999</v>
      </c>
    </row>
    <row r="52" spans="1:15" x14ac:dyDescent="0.3">
      <c r="A52" s="615">
        <v>41150</v>
      </c>
      <c r="B52" s="614" t="s">
        <v>2635</v>
      </c>
      <c r="C52" s="614" t="s">
        <v>201</v>
      </c>
      <c r="D52" s="614" t="s">
        <v>197</v>
      </c>
      <c r="E52" s="614">
        <v>100</v>
      </c>
      <c r="F52" s="629">
        <v>199.45</v>
      </c>
      <c r="G52" s="629">
        <v>19945</v>
      </c>
      <c r="H52" s="614" t="s">
        <v>2638</v>
      </c>
      <c r="I52" s="616">
        <v>0</v>
      </c>
      <c r="J52" s="616">
        <v>11.21</v>
      </c>
      <c r="K52" s="616">
        <v>1.2</v>
      </c>
      <c r="L52" s="616">
        <v>0.02</v>
      </c>
      <c r="M52" s="616">
        <v>190</v>
      </c>
      <c r="N52" s="616">
        <v>23.48</v>
      </c>
      <c r="O52" s="616">
        <v>225.91</v>
      </c>
    </row>
    <row r="53" spans="1:15" x14ac:dyDescent="0.3">
      <c r="A53" s="615">
        <v>41145</v>
      </c>
      <c r="B53" s="614" t="s">
        <v>2636</v>
      </c>
      <c r="C53" s="614" t="s">
        <v>201</v>
      </c>
      <c r="D53" s="614" t="s">
        <v>197</v>
      </c>
      <c r="E53" s="614">
        <v>150</v>
      </c>
      <c r="F53" s="629">
        <v>95</v>
      </c>
      <c r="G53" s="629">
        <v>14250</v>
      </c>
      <c r="H53" s="614" t="s">
        <v>2640</v>
      </c>
      <c r="I53" s="616">
        <v>0</v>
      </c>
      <c r="J53" s="616">
        <v>8.01</v>
      </c>
      <c r="K53" s="616">
        <v>0.86</v>
      </c>
      <c r="L53" s="616">
        <v>0.01</v>
      </c>
      <c r="M53" s="616">
        <v>285</v>
      </c>
      <c r="N53" s="616">
        <v>35.229999999999997</v>
      </c>
      <c r="O53" s="616">
        <v>329.11</v>
      </c>
    </row>
    <row r="54" spans="1:15" x14ac:dyDescent="0.3">
      <c r="A54" s="615">
        <v>41046</v>
      </c>
      <c r="B54" s="614" t="s">
        <v>810</v>
      </c>
      <c r="C54" s="614" t="s">
        <v>201</v>
      </c>
      <c r="D54" s="614" t="s">
        <v>197</v>
      </c>
      <c r="E54" s="614">
        <v>150</v>
      </c>
      <c r="F54" s="629">
        <v>36.450000000000003</v>
      </c>
      <c r="G54" s="629">
        <v>5467.5</v>
      </c>
      <c r="H54" s="614" t="s">
        <v>1425</v>
      </c>
      <c r="I54" s="616">
        <v>0</v>
      </c>
      <c r="J54" s="616">
        <v>3.07</v>
      </c>
      <c r="K54" s="616">
        <v>0.33</v>
      </c>
      <c r="L54" s="616">
        <v>0.01</v>
      </c>
      <c r="M54" s="616">
        <v>285</v>
      </c>
      <c r="N54" s="616">
        <v>35.229999999999997</v>
      </c>
      <c r="O54" s="616">
        <v>323.64</v>
      </c>
    </row>
    <row r="55" spans="1:15" x14ac:dyDescent="0.3">
      <c r="A55" s="615">
        <v>41012</v>
      </c>
      <c r="B55" s="614" t="s">
        <v>1935</v>
      </c>
      <c r="C55" s="614" t="s">
        <v>201</v>
      </c>
      <c r="D55" s="614" t="s">
        <v>197</v>
      </c>
      <c r="E55" s="614">
        <v>200</v>
      </c>
      <c r="F55" s="629">
        <v>22.9</v>
      </c>
      <c r="G55" s="629">
        <v>4580</v>
      </c>
      <c r="H55" s="614" t="s">
        <v>1426</v>
      </c>
      <c r="I55" s="616">
        <v>0</v>
      </c>
      <c r="J55" s="616">
        <v>2.57</v>
      </c>
      <c r="K55" s="616">
        <v>0.27</v>
      </c>
      <c r="L55" s="616">
        <v>0</v>
      </c>
      <c r="M55" s="616">
        <v>380</v>
      </c>
      <c r="N55" s="616">
        <v>46.97</v>
      </c>
      <c r="O55" s="616">
        <v>429.81</v>
      </c>
    </row>
    <row r="56" spans="1:15" x14ac:dyDescent="0.3">
      <c r="A56" s="615">
        <v>41008</v>
      </c>
      <c r="B56" s="614" t="s">
        <v>1935</v>
      </c>
      <c r="C56" s="614" t="s">
        <v>201</v>
      </c>
      <c r="D56" s="614" t="s">
        <v>197</v>
      </c>
      <c r="E56" s="614">
        <v>300</v>
      </c>
      <c r="F56" s="629">
        <v>35.5</v>
      </c>
      <c r="G56" s="629">
        <v>10650</v>
      </c>
      <c r="H56" s="614" t="s">
        <v>1427</v>
      </c>
      <c r="I56" s="616">
        <v>0</v>
      </c>
      <c r="J56" s="616">
        <v>5.99</v>
      </c>
      <c r="K56" s="616">
        <v>0.64</v>
      </c>
      <c r="L56" s="616">
        <v>0.01</v>
      </c>
      <c r="M56" s="616">
        <v>570</v>
      </c>
      <c r="N56" s="616">
        <v>70.45</v>
      </c>
      <c r="O56" s="616">
        <v>647.09</v>
      </c>
    </row>
    <row r="57" spans="1:15" x14ac:dyDescent="0.3">
      <c r="A57" s="615">
        <v>41008</v>
      </c>
      <c r="B57" s="614" t="s">
        <v>1935</v>
      </c>
      <c r="C57" s="614" t="s">
        <v>201</v>
      </c>
      <c r="D57" s="614" t="s">
        <v>197</v>
      </c>
      <c r="E57" s="614">
        <v>500</v>
      </c>
      <c r="F57" s="629">
        <v>42</v>
      </c>
      <c r="G57" s="629">
        <v>21000</v>
      </c>
      <c r="H57" s="614" t="s">
        <v>1428</v>
      </c>
      <c r="I57" s="616">
        <v>0</v>
      </c>
      <c r="J57" s="616">
        <v>11.8</v>
      </c>
      <c r="K57" s="616">
        <v>1.26</v>
      </c>
      <c r="L57" s="616">
        <v>0.02</v>
      </c>
      <c r="M57" s="616">
        <v>950</v>
      </c>
      <c r="N57" s="616">
        <v>117.42</v>
      </c>
      <c r="O57" s="616">
        <v>1080.5</v>
      </c>
    </row>
    <row r="58" spans="1:15" x14ac:dyDescent="0.3">
      <c r="A58" s="615">
        <v>40977</v>
      </c>
      <c r="B58" s="614" t="s">
        <v>2739</v>
      </c>
      <c r="C58" s="614" t="s">
        <v>201</v>
      </c>
      <c r="D58" s="614" t="s">
        <v>197</v>
      </c>
      <c r="E58" s="614">
        <v>200</v>
      </c>
      <c r="F58" s="629">
        <v>141.49</v>
      </c>
      <c r="G58" s="629">
        <v>28297.5</v>
      </c>
      <c r="H58" s="614" t="s">
        <v>3743</v>
      </c>
      <c r="I58" s="616">
        <v>0</v>
      </c>
      <c r="J58" s="616">
        <v>15.59</v>
      </c>
      <c r="K58" s="616">
        <v>1.69</v>
      </c>
      <c r="L58" s="616">
        <v>0.03</v>
      </c>
      <c r="M58" s="616">
        <v>380</v>
      </c>
      <c r="N58" s="616">
        <v>39.15</v>
      </c>
      <c r="O58" s="616">
        <v>436.46</v>
      </c>
    </row>
    <row r="59" spans="1:15" x14ac:dyDescent="0.3">
      <c r="A59" s="615">
        <v>40975</v>
      </c>
      <c r="B59" s="614" t="s">
        <v>2741</v>
      </c>
      <c r="C59" s="614" t="s">
        <v>201</v>
      </c>
      <c r="D59" s="614" t="s">
        <v>197</v>
      </c>
      <c r="E59" s="614">
        <v>250</v>
      </c>
      <c r="F59" s="629">
        <v>77</v>
      </c>
      <c r="G59" s="629">
        <v>19250</v>
      </c>
      <c r="H59" s="614" t="s">
        <v>3745</v>
      </c>
      <c r="I59" s="616">
        <v>0</v>
      </c>
      <c r="J59" s="616">
        <v>10.6</v>
      </c>
      <c r="K59" s="616">
        <v>1.1599999999999999</v>
      </c>
      <c r="L59" s="616">
        <v>0.02</v>
      </c>
      <c r="M59" s="616">
        <v>190</v>
      </c>
      <c r="N59" s="616">
        <v>19.579999999999998</v>
      </c>
      <c r="O59" s="616">
        <v>221.36</v>
      </c>
    </row>
    <row r="60" spans="1:15" x14ac:dyDescent="0.3">
      <c r="A60" s="615">
        <v>40974</v>
      </c>
      <c r="B60" s="614" t="s">
        <v>2740</v>
      </c>
      <c r="C60" s="614" t="s">
        <v>201</v>
      </c>
      <c r="D60" s="614" t="s">
        <v>197</v>
      </c>
      <c r="E60" s="614">
        <v>1000</v>
      </c>
      <c r="F60" s="629">
        <v>12</v>
      </c>
      <c r="G60" s="629">
        <v>12000</v>
      </c>
      <c r="H60" s="614" t="s">
        <v>3746</v>
      </c>
      <c r="I60" s="616">
        <v>0</v>
      </c>
      <c r="J60" s="616">
        <v>6.61</v>
      </c>
      <c r="K60" s="616">
        <v>0.72</v>
      </c>
      <c r="L60" s="616">
        <v>0.01</v>
      </c>
      <c r="M60" s="616">
        <v>95</v>
      </c>
      <c r="N60" s="616">
        <v>9.7899999999999991</v>
      </c>
      <c r="O60" s="616">
        <v>112.13</v>
      </c>
    </row>
    <row r="61" spans="1:15" x14ac:dyDescent="0.3">
      <c r="A61" s="615">
        <v>40966</v>
      </c>
      <c r="B61" s="614" t="s">
        <v>2742</v>
      </c>
      <c r="C61" s="614" t="s">
        <v>201</v>
      </c>
      <c r="D61" s="614" t="s">
        <v>197</v>
      </c>
      <c r="E61" s="614">
        <v>4000</v>
      </c>
      <c r="F61" s="629">
        <v>6</v>
      </c>
      <c r="G61" s="629">
        <v>24000</v>
      </c>
      <c r="H61" s="614" t="s">
        <v>3748</v>
      </c>
      <c r="I61" s="616">
        <v>0</v>
      </c>
      <c r="J61" s="616">
        <v>13.22</v>
      </c>
      <c r="K61" s="616">
        <v>1.44</v>
      </c>
      <c r="L61" s="616">
        <v>0.02</v>
      </c>
      <c r="M61" s="616">
        <v>190</v>
      </c>
      <c r="N61" s="616">
        <v>19.579999999999998</v>
      </c>
      <c r="O61" s="616">
        <v>224.26</v>
      </c>
    </row>
    <row r="62" spans="1:15" x14ac:dyDescent="0.3">
      <c r="A62" s="615">
        <v>40962</v>
      </c>
      <c r="B62" s="614" t="s">
        <v>2739</v>
      </c>
      <c r="C62" s="614" t="s">
        <v>201</v>
      </c>
      <c r="D62" s="614" t="s">
        <v>197</v>
      </c>
      <c r="E62" s="614">
        <v>300</v>
      </c>
      <c r="F62" s="629">
        <v>110</v>
      </c>
      <c r="G62" s="629">
        <v>33000</v>
      </c>
      <c r="H62" s="614" t="s">
        <v>3750</v>
      </c>
      <c r="I62" s="616">
        <v>0</v>
      </c>
      <c r="J62" s="616">
        <v>18.18</v>
      </c>
      <c r="K62" s="616">
        <v>1.98</v>
      </c>
      <c r="L62" s="616">
        <v>0.04</v>
      </c>
      <c r="M62" s="616">
        <v>570</v>
      </c>
      <c r="N62" s="616">
        <v>58.72</v>
      </c>
      <c r="O62" s="616">
        <v>648.91999999999996</v>
      </c>
    </row>
    <row r="63" spans="1:15" x14ac:dyDescent="0.3">
      <c r="A63" s="615">
        <v>40961</v>
      </c>
      <c r="B63" s="614" t="s">
        <v>2744</v>
      </c>
      <c r="C63" s="614" t="s">
        <v>201</v>
      </c>
      <c r="D63" s="614" t="s">
        <v>197</v>
      </c>
      <c r="E63" s="614">
        <v>4000</v>
      </c>
      <c r="F63" s="629">
        <v>6</v>
      </c>
      <c r="G63" s="629">
        <v>24000</v>
      </c>
      <c r="H63" s="614" t="s">
        <v>3753</v>
      </c>
      <c r="I63" s="616">
        <v>0</v>
      </c>
      <c r="J63" s="616">
        <v>13.22</v>
      </c>
      <c r="K63" s="616">
        <v>1.44</v>
      </c>
      <c r="L63" s="616">
        <v>0.02</v>
      </c>
      <c r="M63" s="616">
        <v>95</v>
      </c>
      <c r="N63" s="616">
        <v>9.7899999999999991</v>
      </c>
      <c r="O63" s="616">
        <v>119.47</v>
      </c>
    </row>
    <row r="64" spans="1:15" x14ac:dyDescent="0.3">
      <c r="A64" s="615">
        <v>40960</v>
      </c>
      <c r="B64" s="614" t="s">
        <v>2745</v>
      </c>
      <c r="C64" s="614" t="s">
        <v>201</v>
      </c>
      <c r="D64" s="614" t="s">
        <v>197</v>
      </c>
      <c r="E64" s="614">
        <v>4000</v>
      </c>
      <c r="F64" s="629">
        <v>4.25</v>
      </c>
      <c r="G64" s="629">
        <v>17000</v>
      </c>
      <c r="H64" s="614" t="s">
        <v>3755</v>
      </c>
      <c r="I64" s="616">
        <v>0</v>
      </c>
      <c r="J64" s="616">
        <v>9.3699999999999992</v>
      </c>
      <c r="K64" s="616">
        <v>1.02</v>
      </c>
      <c r="L64" s="616">
        <v>0.02</v>
      </c>
      <c r="M64" s="616">
        <v>95</v>
      </c>
      <c r="N64" s="616">
        <v>9.7899999999999991</v>
      </c>
      <c r="O64" s="616">
        <v>115.2</v>
      </c>
    </row>
    <row r="65" spans="1:15" x14ac:dyDescent="0.3">
      <c r="A65" s="615">
        <v>40955</v>
      </c>
      <c r="B65" s="614" t="s">
        <v>2743</v>
      </c>
      <c r="C65" s="614" t="s">
        <v>201</v>
      </c>
      <c r="D65" s="614" t="s">
        <v>197</v>
      </c>
      <c r="E65" s="614">
        <v>2000</v>
      </c>
      <c r="F65" s="629">
        <v>11.7</v>
      </c>
      <c r="G65" s="629">
        <v>23400</v>
      </c>
      <c r="H65" s="614" t="s">
        <v>3756</v>
      </c>
      <c r="I65" s="616">
        <v>0</v>
      </c>
      <c r="J65" s="616">
        <v>12.89</v>
      </c>
      <c r="K65" s="616">
        <v>1.4</v>
      </c>
      <c r="L65" s="616">
        <v>0.02</v>
      </c>
      <c r="M65" s="616">
        <v>380</v>
      </c>
      <c r="N65" s="616">
        <v>39.14</v>
      </c>
      <c r="O65" s="616">
        <v>433.45</v>
      </c>
    </row>
    <row r="66" spans="1:15" x14ac:dyDescent="0.3">
      <c r="A66" s="615">
        <v>40953</v>
      </c>
      <c r="B66" s="614" t="s">
        <v>2746</v>
      </c>
      <c r="C66" s="614" t="s">
        <v>201</v>
      </c>
      <c r="D66" s="614" t="s">
        <v>197</v>
      </c>
      <c r="E66" s="614">
        <v>4000</v>
      </c>
      <c r="F66" s="629">
        <v>6.2</v>
      </c>
      <c r="G66" s="629">
        <v>24800</v>
      </c>
      <c r="H66" s="614" t="s">
        <v>3758</v>
      </c>
      <c r="I66" s="616">
        <v>0</v>
      </c>
      <c r="J66" s="616">
        <v>13.66</v>
      </c>
      <c r="K66" s="616">
        <v>1.49</v>
      </c>
      <c r="L66" s="616">
        <v>0.02</v>
      </c>
      <c r="M66" s="616">
        <v>95</v>
      </c>
      <c r="N66" s="616">
        <v>9.7899999999999991</v>
      </c>
      <c r="O66" s="616">
        <v>119.96</v>
      </c>
    </row>
    <row r="67" spans="1:15" x14ac:dyDescent="0.3">
      <c r="A67" s="615">
        <v>40567</v>
      </c>
      <c r="B67" s="614" t="s">
        <v>3759</v>
      </c>
      <c r="C67" s="614" t="s">
        <v>201</v>
      </c>
      <c r="D67" s="614" t="s">
        <v>197</v>
      </c>
      <c r="E67" s="614">
        <v>1000</v>
      </c>
      <c r="F67" s="629">
        <v>5.15</v>
      </c>
      <c r="G67" s="629">
        <v>5150</v>
      </c>
      <c r="H67" s="614" t="s">
        <v>3761</v>
      </c>
      <c r="I67" s="616">
        <v>0</v>
      </c>
      <c r="J67" s="616">
        <v>2.84</v>
      </c>
      <c r="K67" s="616">
        <v>0.1</v>
      </c>
      <c r="L67" s="616">
        <v>0.01</v>
      </c>
      <c r="M67" s="616">
        <v>95</v>
      </c>
      <c r="N67" s="616">
        <v>9.7899999999999991</v>
      </c>
      <c r="O67" s="616">
        <v>107.74</v>
      </c>
    </row>
    <row r="68" spans="1:15" x14ac:dyDescent="0.3">
      <c r="A68" s="615">
        <v>40561</v>
      </c>
      <c r="B68" s="614" t="s">
        <v>474</v>
      </c>
      <c r="C68" s="614" t="s">
        <v>201</v>
      </c>
      <c r="D68" s="614" t="s">
        <v>197</v>
      </c>
      <c r="E68" s="614">
        <v>250</v>
      </c>
      <c r="F68" s="629">
        <v>5</v>
      </c>
      <c r="G68" s="629">
        <v>1250</v>
      </c>
      <c r="H68" s="614" t="s">
        <v>3762</v>
      </c>
      <c r="I68" s="616">
        <v>0</v>
      </c>
      <c r="J68" s="616">
        <v>0.69</v>
      </c>
      <c r="K68" s="616">
        <v>0.03</v>
      </c>
      <c r="L68" s="616">
        <v>0</v>
      </c>
      <c r="M68" s="616">
        <v>95</v>
      </c>
      <c r="N68" s="616">
        <v>9.7899999999999991</v>
      </c>
      <c r="O68" s="616">
        <v>105.51</v>
      </c>
    </row>
    <row r="69" spans="1:15" x14ac:dyDescent="0.3">
      <c r="A69" s="615">
        <v>40543</v>
      </c>
      <c r="B69" s="614" t="s">
        <v>476</v>
      </c>
      <c r="C69" s="614" t="s">
        <v>201</v>
      </c>
      <c r="D69" s="614" t="s">
        <v>197</v>
      </c>
      <c r="E69" s="614">
        <v>250</v>
      </c>
      <c r="F69" s="629">
        <v>12</v>
      </c>
      <c r="G69" s="629">
        <v>3000</v>
      </c>
      <c r="H69" s="614" t="s">
        <v>3764</v>
      </c>
      <c r="I69" s="616">
        <v>0</v>
      </c>
      <c r="J69" s="616">
        <v>1.65</v>
      </c>
      <c r="K69" s="616">
        <v>0.06</v>
      </c>
      <c r="L69" s="616">
        <v>0</v>
      </c>
      <c r="M69" s="616">
        <v>95</v>
      </c>
      <c r="N69" s="616">
        <v>9.7899999999999991</v>
      </c>
      <c r="O69" s="616">
        <v>106.5</v>
      </c>
    </row>
    <row r="70" spans="1:15" x14ac:dyDescent="0.3">
      <c r="A70" s="615">
        <v>40541</v>
      </c>
      <c r="B70" s="614" t="s">
        <v>478</v>
      </c>
      <c r="C70" s="614" t="s">
        <v>201</v>
      </c>
      <c r="D70" s="614" t="s">
        <v>197</v>
      </c>
      <c r="E70" s="614">
        <v>100</v>
      </c>
      <c r="F70" s="629">
        <v>7.2</v>
      </c>
      <c r="G70" s="629">
        <v>720</v>
      </c>
      <c r="H70" s="614" t="s">
        <v>3765</v>
      </c>
      <c r="I70" s="616">
        <v>0</v>
      </c>
      <c r="J70" s="616">
        <v>0.4</v>
      </c>
      <c r="K70" s="616">
        <v>0.01</v>
      </c>
      <c r="L70" s="616">
        <v>0</v>
      </c>
      <c r="M70" s="616">
        <v>190</v>
      </c>
      <c r="N70" s="616">
        <v>19.57</v>
      </c>
      <c r="O70" s="616">
        <v>209.98</v>
      </c>
    </row>
    <row r="71" spans="1:15" x14ac:dyDescent="0.3">
      <c r="A71" s="615">
        <v>40541</v>
      </c>
      <c r="B71" s="614" t="s">
        <v>478</v>
      </c>
      <c r="C71" s="614" t="s">
        <v>201</v>
      </c>
      <c r="D71" s="614" t="s">
        <v>197</v>
      </c>
      <c r="E71" s="614">
        <v>100</v>
      </c>
      <c r="F71" s="629">
        <v>7.3</v>
      </c>
      <c r="G71" s="629">
        <v>730</v>
      </c>
      <c r="H71" s="614" t="s">
        <v>3766</v>
      </c>
      <c r="I71" s="616">
        <v>0</v>
      </c>
      <c r="J71" s="616">
        <v>0.4</v>
      </c>
      <c r="K71" s="616">
        <v>0.02</v>
      </c>
      <c r="L71" s="616">
        <v>0</v>
      </c>
      <c r="M71" s="616">
        <v>190</v>
      </c>
      <c r="N71" s="616">
        <v>19.579999999999998</v>
      </c>
      <c r="O71" s="616">
        <v>210</v>
      </c>
    </row>
    <row r="72" spans="1:15" x14ac:dyDescent="0.3">
      <c r="A72" s="615">
        <v>40539</v>
      </c>
      <c r="B72" s="614" t="s">
        <v>481</v>
      </c>
      <c r="C72" s="614" t="s">
        <v>201</v>
      </c>
      <c r="D72" s="614" t="s">
        <v>197</v>
      </c>
      <c r="E72" s="614">
        <v>50</v>
      </c>
      <c r="F72" s="629">
        <v>8.9</v>
      </c>
      <c r="G72" s="629">
        <v>445</v>
      </c>
      <c r="H72" s="614" t="s">
        <v>3767</v>
      </c>
      <c r="I72" s="616">
        <v>0</v>
      </c>
      <c r="J72" s="616">
        <v>0.25</v>
      </c>
      <c r="K72" s="616">
        <v>0.01</v>
      </c>
      <c r="L72" s="616">
        <v>0</v>
      </c>
      <c r="M72" s="616">
        <v>95</v>
      </c>
      <c r="N72" s="616">
        <v>9.7899999999999991</v>
      </c>
      <c r="O72" s="616">
        <v>105.05</v>
      </c>
    </row>
    <row r="73" spans="1:15" x14ac:dyDescent="0.3">
      <c r="A73" s="615">
        <v>40539</v>
      </c>
      <c r="B73" s="614" t="s">
        <v>481</v>
      </c>
      <c r="C73" s="614" t="s">
        <v>201</v>
      </c>
      <c r="D73" s="614" t="s">
        <v>197</v>
      </c>
      <c r="E73" s="614">
        <v>100</v>
      </c>
      <c r="F73" s="629">
        <v>9</v>
      </c>
      <c r="G73" s="629">
        <v>900</v>
      </c>
      <c r="H73" s="614" t="s">
        <v>3768</v>
      </c>
      <c r="I73" s="616">
        <v>0</v>
      </c>
      <c r="J73" s="616">
        <v>0.5</v>
      </c>
      <c r="K73" s="616">
        <v>0.02</v>
      </c>
      <c r="L73" s="616">
        <v>0</v>
      </c>
      <c r="M73" s="616">
        <v>190</v>
      </c>
      <c r="N73" s="616">
        <v>19.57</v>
      </c>
      <c r="O73" s="616">
        <v>210.09</v>
      </c>
    </row>
    <row r="74" spans="1:15" x14ac:dyDescent="0.3">
      <c r="A74" s="615">
        <v>40536</v>
      </c>
      <c r="B74" s="614" t="s">
        <v>484</v>
      </c>
      <c r="C74" s="614" t="s">
        <v>201</v>
      </c>
      <c r="D74" s="614" t="s">
        <v>197</v>
      </c>
      <c r="E74" s="614">
        <v>50</v>
      </c>
      <c r="F74" s="629">
        <v>12.4</v>
      </c>
      <c r="G74" s="629">
        <v>620</v>
      </c>
      <c r="H74" s="614" t="s">
        <v>3770</v>
      </c>
      <c r="I74" s="616">
        <v>0</v>
      </c>
      <c r="J74" s="616">
        <v>0.34</v>
      </c>
      <c r="K74" s="616">
        <v>0.01</v>
      </c>
      <c r="L74" s="616">
        <v>0</v>
      </c>
      <c r="M74" s="616">
        <v>95</v>
      </c>
      <c r="N74" s="616">
        <v>9.7899999999999991</v>
      </c>
      <c r="O74" s="616">
        <v>105.14</v>
      </c>
    </row>
    <row r="75" spans="1:15" x14ac:dyDescent="0.3">
      <c r="A75" s="615">
        <v>40536</v>
      </c>
      <c r="B75" s="614" t="s">
        <v>481</v>
      </c>
      <c r="C75" s="614" t="s">
        <v>201</v>
      </c>
      <c r="D75" s="614" t="s">
        <v>197</v>
      </c>
      <c r="E75" s="614">
        <v>50</v>
      </c>
      <c r="F75" s="629">
        <v>12.4</v>
      </c>
      <c r="G75" s="629">
        <v>620</v>
      </c>
      <c r="H75" s="614" t="s">
        <v>3771</v>
      </c>
      <c r="I75" s="616">
        <v>0</v>
      </c>
      <c r="J75" s="616">
        <v>0.34</v>
      </c>
      <c r="K75" s="616">
        <v>0.01</v>
      </c>
      <c r="L75" s="616">
        <v>0</v>
      </c>
      <c r="M75" s="616">
        <v>95</v>
      </c>
      <c r="N75" s="616">
        <v>9.7899999999999991</v>
      </c>
      <c r="O75" s="616">
        <v>105.14</v>
      </c>
    </row>
    <row r="76" spans="1:15" x14ac:dyDescent="0.3">
      <c r="A76" s="615">
        <v>40514</v>
      </c>
      <c r="B76" s="614" t="s">
        <v>474</v>
      </c>
      <c r="C76" s="614" t="s">
        <v>201</v>
      </c>
      <c r="D76" s="614" t="s">
        <v>197</v>
      </c>
      <c r="E76" s="614">
        <v>250</v>
      </c>
      <c r="F76" s="629">
        <v>10</v>
      </c>
      <c r="G76" s="629">
        <v>2500</v>
      </c>
      <c r="H76" s="614" t="s">
        <v>3772</v>
      </c>
      <c r="I76" s="616">
        <v>0</v>
      </c>
      <c r="J76" s="616">
        <v>1.38</v>
      </c>
      <c r="K76" s="616">
        <v>0.05</v>
      </c>
      <c r="L76" s="616">
        <v>0</v>
      </c>
      <c r="M76" s="616">
        <v>95</v>
      </c>
      <c r="N76" s="616">
        <v>9.7899999999999991</v>
      </c>
      <c r="O76" s="616">
        <v>106.22</v>
      </c>
    </row>
    <row r="77" spans="1:15" x14ac:dyDescent="0.3">
      <c r="A77" s="615">
        <v>40512</v>
      </c>
      <c r="B77" s="614" t="s">
        <v>474</v>
      </c>
      <c r="C77" s="614" t="s">
        <v>201</v>
      </c>
      <c r="D77" s="614" t="s">
        <v>197</v>
      </c>
      <c r="E77" s="614">
        <v>250</v>
      </c>
      <c r="F77" s="629">
        <v>19</v>
      </c>
      <c r="G77" s="629">
        <v>4750</v>
      </c>
      <c r="H77" s="614" t="s">
        <v>3773</v>
      </c>
      <c r="I77" s="616">
        <v>0</v>
      </c>
      <c r="J77" s="616">
        <v>2.62</v>
      </c>
      <c r="K77" s="616">
        <v>0.1</v>
      </c>
      <c r="L77" s="616">
        <v>0</v>
      </c>
      <c r="M77" s="616">
        <v>95</v>
      </c>
      <c r="N77" s="616">
        <v>9.7899999999999991</v>
      </c>
      <c r="O77" s="616">
        <v>107.51</v>
      </c>
    </row>
    <row r="78" spans="1:15" x14ac:dyDescent="0.3">
      <c r="A78" s="615">
        <v>40507</v>
      </c>
      <c r="B78" s="614" t="s">
        <v>489</v>
      </c>
      <c r="C78" s="614" t="s">
        <v>201</v>
      </c>
      <c r="D78" s="614" t="s">
        <v>197</v>
      </c>
      <c r="E78" s="614">
        <v>100</v>
      </c>
      <c r="F78" s="629">
        <v>9</v>
      </c>
      <c r="G78" s="629">
        <v>900</v>
      </c>
      <c r="H78" s="614" t="s">
        <v>3774</v>
      </c>
      <c r="I78" s="616">
        <v>0</v>
      </c>
      <c r="J78" s="616">
        <v>0.5</v>
      </c>
      <c r="K78" s="616">
        <v>0.02</v>
      </c>
      <c r="L78" s="616">
        <v>0</v>
      </c>
      <c r="M78" s="616">
        <v>190</v>
      </c>
      <c r="N78" s="616">
        <v>19.559999999999999</v>
      </c>
      <c r="O78" s="616">
        <v>210.08</v>
      </c>
    </row>
    <row r="79" spans="1:15" x14ac:dyDescent="0.3">
      <c r="A79" s="615">
        <v>40476</v>
      </c>
      <c r="B79" s="614" t="s">
        <v>491</v>
      </c>
      <c r="C79" s="614" t="s">
        <v>201</v>
      </c>
      <c r="D79" s="614" t="s">
        <v>197</v>
      </c>
      <c r="E79" s="614">
        <v>9000</v>
      </c>
      <c r="F79" s="629">
        <v>1.25</v>
      </c>
      <c r="G79" s="629">
        <v>11250</v>
      </c>
      <c r="H79" s="614" t="s">
        <v>3776</v>
      </c>
      <c r="I79" s="616">
        <v>0</v>
      </c>
      <c r="J79" s="616">
        <v>6.2</v>
      </c>
      <c r="K79" s="616">
        <v>0.23</v>
      </c>
      <c r="L79" s="616">
        <v>0.01</v>
      </c>
      <c r="M79" s="616">
        <v>95</v>
      </c>
      <c r="N79" s="616">
        <v>9.7799999999999994</v>
      </c>
      <c r="O79" s="616">
        <v>111.22</v>
      </c>
    </row>
    <row r="80" spans="1:15" x14ac:dyDescent="0.3">
      <c r="A80" s="615">
        <v>40476</v>
      </c>
      <c r="B80" s="614" t="s">
        <v>493</v>
      </c>
      <c r="C80" s="614" t="s">
        <v>201</v>
      </c>
      <c r="D80" s="614" t="s">
        <v>197</v>
      </c>
      <c r="E80" s="614">
        <v>9000</v>
      </c>
      <c r="F80" s="629">
        <v>0.35</v>
      </c>
      <c r="G80" s="629">
        <v>3150</v>
      </c>
      <c r="H80" s="614" t="s">
        <v>3778</v>
      </c>
      <c r="I80" s="616">
        <v>0</v>
      </c>
      <c r="J80" s="616">
        <v>1.74</v>
      </c>
      <c r="K80" s="616">
        <v>0.06</v>
      </c>
      <c r="L80" s="616">
        <v>0</v>
      </c>
      <c r="M80" s="616">
        <v>95</v>
      </c>
      <c r="N80" s="616">
        <v>9.7799999999999994</v>
      </c>
      <c r="O80" s="616">
        <v>106.58</v>
      </c>
    </row>
    <row r="81" spans="1:15" x14ac:dyDescent="0.3">
      <c r="A81" s="615">
        <v>40470</v>
      </c>
      <c r="B81" s="614" t="s">
        <v>495</v>
      </c>
      <c r="C81" s="614" t="s">
        <v>201</v>
      </c>
      <c r="D81" s="614" t="s">
        <v>197</v>
      </c>
      <c r="E81" s="614">
        <v>100</v>
      </c>
      <c r="F81" s="629">
        <v>9.65</v>
      </c>
      <c r="G81" s="629">
        <v>965</v>
      </c>
      <c r="H81" s="614" t="s">
        <v>3781</v>
      </c>
      <c r="I81" s="616">
        <v>0</v>
      </c>
      <c r="J81" s="616">
        <v>0.53</v>
      </c>
      <c r="K81" s="616">
        <v>0.02</v>
      </c>
      <c r="L81" s="616">
        <v>0</v>
      </c>
      <c r="M81" s="616">
        <v>190</v>
      </c>
      <c r="N81" s="616">
        <v>19.57</v>
      </c>
      <c r="O81" s="616">
        <v>210.12</v>
      </c>
    </row>
    <row r="82" spans="1:15" x14ac:dyDescent="0.3">
      <c r="A82" s="615">
        <v>40466</v>
      </c>
      <c r="B82" s="614" t="s">
        <v>493</v>
      </c>
      <c r="C82" s="614" t="s">
        <v>201</v>
      </c>
      <c r="D82" s="614" t="s">
        <v>197</v>
      </c>
      <c r="E82" s="614">
        <v>9000</v>
      </c>
      <c r="F82" s="629">
        <v>1.05</v>
      </c>
      <c r="G82" s="629">
        <v>9450</v>
      </c>
      <c r="H82" s="614" t="s">
        <v>3782</v>
      </c>
      <c r="I82" s="616">
        <v>0</v>
      </c>
      <c r="J82" s="616">
        <v>5.21</v>
      </c>
      <c r="K82" s="616">
        <v>0.19</v>
      </c>
      <c r="L82" s="616">
        <v>0.01</v>
      </c>
      <c r="M82" s="616">
        <v>95</v>
      </c>
      <c r="N82" s="616">
        <v>9.7799999999999994</v>
      </c>
      <c r="O82" s="616">
        <v>110.19</v>
      </c>
    </row>
    <row r="83" spans="1:15" x14ac:dyDescent="0.3">
      <c r="A83" s="615">
        <v>40466</v>
      </c>
      <c r="B83" s="614" t="s">
        <v>498</v>
      </c>
      <c r="C83" s="614" t="s">
        <v>201</v>
      </c>
      <c r="D83" s="614" t="s">
        <v>197</v>
      </c>
      <c r="E83" s="614">
        <v>9000</v>
      </c>
      <c r="F83" s="629">
        <v>0.5</v>
      </c>
      <c r="G83" s="629">
        <v>4500</v>
      </c>
      <c r="H83" s="614" t="s">
        <v>3784</v>
      </c>
      <c r="I83" s="616">
        <v>0</v>
      </c>
      <c r="J83" s="616">
        <v>2.48</v>
      </c>
      <c r="K83" s="616">
        <v>0.09</v>
      </c>
      <c r="L83" s="616">
        <v>0</v>
      </c>
      <c r="M83" s="616">
        <v>95</v>
      </c>
      <c r="N83" s="616">
        <v>9.7799999999999994</v>
      </c>
      <c r="O83" s="616">
        <v>107.35</v>
      </c>
    </row>
    <row r="84" spans="1:15" x14ac:dyDescent="0.3">
      <c r="A84" s="615">
        <v>40466</v>
      </c>
      <c r="B84" s="614" t="s">
        <v>495</v>
      </c>
      <c r="C84" s="614" t="s">
        <v>201</v>
      </c>
      <c r="D84" s="614" t="s">
        <v>197</v>
      </c>
      <c r="E84" s="614">
        <v>100</v>
      </c>
      <c r="F84" s="629">
        <v>25.1</v>
      </c>
      <c r="G84" s="629">
        <v>2510</v>
      </c>
      <c r="H84" s="614" t="s">
        <v>3785</v>
      </c>
      <c r="I84" s="616">
        <v>0</v>
      </c>
      <c r="J84" s="616">
        <v>1.38</v>
      </c>
      <c r="K84" s="616">
        <v>0.05</v>
      </c>
      <c r="L84" s="616">
        <v>0</v>
      </c>
      <c r="M84" s="616">
        <v>190</v>
      </c>
      <c r="N84" s="616">
        <v>19.57</v>
      </c>
      <c r="O84" s="616">
        <v>211</v>
      </c>
    </row>
    <row r="85" spans="1:15" x14ac:dyDescent="0.3">
      <c r="A85" s="615">
        <v>40462</v>
      </c>
      <c r="B85" s="614" t="s">
        <v>501</v>
      </c>
      <c r="C85" s="614" t="s">
        <v>201</v>
      </c>
      <c r="D85" s="614" t="s">
        <v>197</v>
      </c>
      <c r="E85" s="614">
        <v>50</v>
      </c>
      <c r="F85" s="629">
        <v>16</v>
      </c>
      <c r="G85" s="629">
        <v>800</v>
      </c>
      <c r="H85" s="614" t="s">
        <v>3787</v>
      </c>
      <c r="I85" s="616">
        <v>0</v>
      </c>
      <c r="J85" s="616">
        <v>0.44</v>
      </c>
      <c r="K85" s="616">
        <v>0.02</v>
      </c>
      <c r="L85" s="616">
        <v>0</v>
      </c>
      <c r="M85" s="616">
        <v>95</v>
      </c>
      <c r="N85" s="616">
        <v>9.7799999999999994</v>
      </c>
      <c r="O85" s="616">
        <v>105.24</v>
      </c>
    </row>
    <row r="86" spans="1:15" x14ac:dyDescent="0.3">
      <c r="A86" s="615">
        <v>40462</v>
      </c>
      <c r="B86" s="614" t="s">
        <v>501</v>
      </c>
      <c r="C86" s="614" t="s">
        <v>201</v>
      </c>
      <c r="D86" s="614" t="s">
        <v>197</v>
      </c>
      <c r="E86" s="614">
        <v>50</v>
      </c>
      <c r="F86" s="629">
        <v>17.2</v>
      </c>
      <c r="G86" s="629">
        <v>860</v>
      </c>
      <c r="H86" s="614" t="s">
        <v>3788</v>
      </c>
      <c r="I86" s="616">
        <v>0</v>
      </c>
      <c r="J86" s="616">
        <v>0.47</v>
      </c>
      <c r="K86" s="616">
        <v>0.02</v>
      </c>
      <c r="L86" s="616">
        <v>0</v>
      </c>
      <c r="M86" s="616">
        <v>95</v>
      </c>
      <c r="N86" s="616">
        <v>9.7799999999999994</v>
      </c>
      <c r="O86" s="616">
        <v>105.27</v>
      </c>
    </row>
    <row r="87" spans="1:15" x14ac:dyDescent="0.3">
      <c r="A87" s="615">
        <v>40462</v>
      </c>
      <c r="B87" s="614" t="s">
        <v>501</v>
      </c>
      <c r="C87" s="614" t="s">
        <v>201</v>
      </c>
      <c r="D87" s="614" t="s">
        <v>197</v>
      </c>
      <c r="E87" s="614">
        <v>50</v>
      </c>
      <c r="F87" s="629">
        <v>19.75</v>
      </c>
      <c r="G87" s="629">
        <v>987.5</v>
      </c>
      <c r="H87" s="614" t="s">
        <v>3789</v>
      </c>
      <c r="I87" s="616">
        <v>0</v>
      </c>
      <c r="J87" s="616">
        <v>0.54</v>
      </c>
      <c r="K87" s="616">
        <v>0.02</v>
      </c>
      <c r="L87" s="616">
        <v>0</v>
      </c>
      <c r="M87" s="616">
        <v>95</v>
      </c>
      <c r="N87" s="616">
        <v>9.7799999999999994</v>
      </c>
      <c r="O87" s="616">
        <v>105.34</v>
      </c>
    </row>
    <row r="88" spans="1:15" x14ac:dyDescent="0.3">
      <c r="A88" s="615">
        <v>40452</v>
      </c>
      <c r="B88" s="614" t="s">
        <v>505</v>
      </c>
      <c r="C88" s="614" t="s">
        <v>201</v>
      </c>
      <c r="D88" s="614" t="s">
        <v>197</v>
      </c>
      <c r="E88" s="614">
        <v>2000</v>
      </c>
      <c r="F88" s="629">
        <v>2.1</v>
      </c>
      <c r="G88" s="629">
        <v>4200</v>
      </c>
      <c r="H88" s="614" t="s">
        <v>3791</v>
      </c>
      <c r="I88" s="616">
        <v>0</v>
      </c>
      <c r="J88" s="616">
        <v>2.31</v>
      </c>
      <c r="K88" s="616">
        <v>0.08</v>
      </c>
      <c r="L88" s="616">
        <v>0</v>
      </c>
      <c r="M88" s="616">
        <v>95</v>
      </c>
      <c r="N88" s="616">
        <v>9.7799999999999994</v>
      </c>
      <c r="O88" s="616">
        <v>107.17</v>
      </c>
    </row>
    <row r="89" spans="1:15" x14ac:dyDescent="0.3">
      <c r="A89" s="615">
        <v>40449</v>
      </c>
      <c r="B89" s="614" t="s">
        <v>507</v>
      </c>
      <c r="C89" s="614" t="s">
        <v>201</v>
      </c>
      <c r="D89" s="614" t="s">
        <v>197</v>
      </c>
      <c r="E89" s="614">
        <v>100</v>
      </c>
      <c r="F89" s="629">
        <v>11.5</v>
      </c>
      <c r="G89" s="629">
        <v>1150</v>
      </c>
      <c r="H89" s="614" t="s">
        <v>3793</v>
      </c>
      <c r="I89" s="616">
        <v>0</v>
      </c>
      <c r="J89" s="616">
        <v>0.63</v>
      </c>
      <c r="K89" s="616">
        <v>0.02</v>
      </c>
      <c r="L89" s="616">
        <v>0</v>
      </c>
      <c r="M89" s="616">
        <v>190</v>
      </c>
      <c r="N89" s="616">
        <v>19.57</v>
      </c>
      <c r="O89" s="616">
        <v>210.22</v>
      </c>
    </row>
    <row r="90" spans="1:15" x14ac:dyDescent="0.3">
      <c r="A90" s="615">
        <v>40441</v>
      </c>
      <c r="B90" s="614" t="s">
        <v>3794</v>
      </c>
      <c r="C90" s="614" t="s">
        <v>201</v>
      </c>
      <c r="D90" s="614" t="s">
        <v>197</v>
      </c>
      <c r="E90" s="614">
        <v>1000</v>
      </c>
      <c r="F90" s="629">
        <v>1.8</v>
      </c>
      <c r="G90" s="629">
        <v>1800</v>
      </c>
      <c r="H90" s="614" t="s">
        <v>3796</v>
      </c>
      <c r="I90" s="616">
        <v>0</v>
      </c>
      <c r="J90" s="616">
        <v>0.99</v>
      </c>
      <c r="K90" s="616">
        <v>0.04</v>
      </c>
      <c r="L90" s="616">
        <v>0</v>
      </c>
      <c r="M90" s="616">
        <v>95</v>
      </c>
      <c r="N90" s="616">
        <v>9.7799999999999994</v>
      </c>
      <c r="O90" s="616">
        <v>105.81</v>
      </c>
    </row>
    <row r="91" spans="1:15" x14ac:dyDescent="0.3">
      <c r="A91" s="615">
        <v>40410</v>
      </c>
      <c r="B91" s="614" t="s">
        <v>511</v>
      </c>
      <c r="C91" s="614" t="s">
        <v>201</v>
      </c>
      <c r="D91" s="614" t="s">
        <v>197</v>
      </c>
      <c r="E91" s="614">
        <v>250</v>
      </c>
      <c r="F91" s="629">
        <v>13</v>
      </c>
      <c r="G91" s="629">
        <v>3250</v>
      </c>
      <c r="H91" s="614" t="s">
        <v>3799</v>
      </c>
      <c r="I91" s="616">
        <v>0</v>
      </c>
      <c r="J91" s="616">
        <v>1.79</v>
      </c>
      <c r="K91" s="616">
        <v>7.0000000000000007E-2</v>
      </c>
      <c r="L91" s="616">
        <v>0</v>
      </c>
      <c r="M91" s="616">
        <v>15</v>
      </c>
      <c r="N91" s="616">
        <v>1.55</v>
      </c>
      <c r="O91" s="616">
        <v>18.41</v>
      </c>
    </row>
    <row r="92" spans="1:15" x14ac:dyDescent="0.3">
      <c r="A92" s="615">
        <v>40409</v>
      </c>
      <c r="B92" s="614" t="s">
        <v>511</v>
      </c>
      <c r="C92" s="614" t="s">
        <v>201</v>
      </c>
      <c r="D92" s="614" t="s">
        <v>197</v>
      </c>
      <c r="E92" s="614">
        <v>250</v>
      </c>
      <c r="F92" s="629">
        <v>15</v>
      </c>
      <c r="G92" s="629">
        <v>3750</v>
      </c>
      <c r="H92" s="614" t="s">
        <v>3800</v>
      </c>
      <c r="I92" s="616">
        <v>0</v>
      </c>
      <c r="J92" s="616">
        <v>2.06</v>
      </c>
      <c r="K92" s="616">
        <v>0.08</v>
      </c>
      <c r="L92" s="616">
        <v>0</v>
      </c>
      <c r="M92" s="616">
        <v>95</v>
      </c>
      <c r="N92" s="616">
        <v>9.7799999999999994</v>
      </c>
      <c r="O92" s="616">
        <v>106.92</v>
      </c>
    </row>
    <row r="93" spans="1:15" x14ac:dyDescent="0.3">
      <c r="A93" s="615">
        <v>40409</v>
      </c>
      <c r="B93" s="614" t="s">
        <v>511</v>
      </c>
      <c r="C93" s="614" t="s">
        <v>201</v>
      </c>
      <c r="D93" s="614" t="s">
        <v>197</v>
      </c>
      <c r="E93" s="614">
        <v>250</v>
      </c>
      <c r="F93" s="629">
        <v>14.9</v>
      </c>
      <c r="G93" s="629">
        <v>3725</v>
      </c>
      <c r="H93" s="614" t="s">
        <v>3801</v>
      </c>
      <c r="I93" s="616">
        <v>0</v>
      </c>
      <c r="J93" s="616">
        <v>2.04</v>
      </c>
      <c r="K93" s="616">
        <v>7.0000000000000007E-2</v>
      </c>
      <c r="L93" s="616">
        <v>0</v>
      </c>
      <c r="M93" s="616">
        <v>95</v>
      </c>
      <c r="N93" s="616">
        <v>9.7799999999999994</v>
      </c>
      <c r="O93" s="616">
        <v>106.89</v>
      </c>
    </row>
    <row r="94" spans="1:15" x14ac:dyDescent="0.3">
      <c r="A94" s="615">
        <v>40409</v>
      </c>
      <c r="B94" s="614" t="s">
        <v>515</v>
      </c>
      <c r="C94" s="614" t="s">
        <v>201</v>
      </c>
      <c r="D94" s="614" t="s">
        <v>197</v>
      </c>
      <c r="E94" s="614">
        <v>250</v>
      </c>
      <c r="F94" s="629">
        <v>20.7</v>
      </c>
      <c r="G94" s="629">
        <v>5175</v>
      </c>
      <c r="H94" s="614" t="s">
        <v>3803</v>
      </c>
      <c r="I94" s="616">
        <v>0</v>
      </c>
      <c r="J94" s="616">
        <v>2.85</v>
      </c>
      <c r="K94" s="616">
        <v>0.1</v>
      </c>
      <c r="L94" s="616">
        <v>0.01</v>
      </c>
      <c r="M94" s="616">
        <v>95</v>
      </c>
      <c r="N94" s="616">
        <v>9.7799999999999994</v>
      </c>
      <c r="O94" s="616">
        <v>107.74</v>
      </c>
    </row>
    <row r="95" spans="1:15" x14ac:dyDescent="0.3">
      <c r="A95" s="615">
        <v>40409</v>
      </c>
      <c r="B95" s="614" t="s">
        <v>515</v>
      </c>
      <c r="C95" s="614" t="s">
        <v>201</v>
      </c>
      <c r="D95" s="614" t="s">
        <v>197</v>
      </c>
      <c r="E95" s="614">
        <v>250</v>
      </c>
      <c r="F95" s="629">
        <v>23.5</v>
      </c>
      <c r="G95" s="629">
        <v>5875</v>
      </c>
      <c r="H95" s="614" t="s">
        <v>3804</v>
      </c>
      <c r="I95" s="616">
        <v>0</v>
      </c>
      <c r="J95" s="616">
        <v>3.24</v>
      </c>
      <c r="K95" s="616">
        <v>0.12</v>
      </c>
      <c r="L95" s="616">
        <v>0.01</v>
      </c>
      <c r="M95" s="616">
        <v>95</v>
      </c>
      <c r="N95" s="616">
        <v>9.7799999999999994</v>
      </c>
      <c r="O95" s="616">
        <v>108.15</v>
      </c>
    </row>
    <row r="96" spans="1:15" x14ac:dyDescent="0.3">
      <c r="A96" s="615">
        <v>40407</v>
      </c>
      <c r="B96" s="614" t="s">
        <v>511</v>
      </c>
      <c r="C96" s="614" t="s">
        <v>201</v>
      </c>
      <c r="D96" s="614" t="s">
        <v>197</v>
      </c>
      <c r="E96" s="614">
        <v>250</v>
      </c>
      <c r="F96" s="629">
        <v>19.100000000000001</v>
      </c>
      <c r="G96" s="629">
        <v>4775</v>
      </c>
      <c r="H96" s="614" t="s">
        <v>3805</v>
      </c>
      <c r="I96" s="616">
        <v>0</v>
      </c>
      <c r="J96" s="616">
        <v>2.63</v>
      </c>
      <c r="K96" s="616">
        <v>0.1</v>
      </c>
      <c r="L96" s="616">
        <v>0</v>
      </c>
      <c r="M96" s="616">
        <v>95</v>
      </c>
      <c r="N96" s="616">
        <v>9.7799999999999994</v>
      </c>
      <c r="O96" s="616">
        <v>107.51</v>
      </c>
    </row>
    <row r="97" spans="1:15" x14ac:dyDescent="0.3">
      <c r="A97" s="615">
        <v>40401</v>
      </c>
      <c r="B97" s="614" t="s">
        <v>519</v>
      </c>
      <c r="C97" s="614" t="s">
        <v>201</v>
      </c>
      <c r="D97" s="614" t="s">
        <v>197</v>
      </c>
      <c r="E97" s="614">
        <v>500</v>
      </c>
      <c r="F97" s="629">
        <v>12.55</v>
      </c>
      <c r="G97" s="629">
        <v>6275</v>
      </c>
      <c r="H97" s="614" t="s">
        <v>3807</v>
      </c>
      <c r="I97" s="616">
        <v>0</v>
      </c>
      <c r="J97" s="616">
        <v>3.46</v>
      </c>
      <c r="K97" s="616">
        <v>0.13</v>
      </c>
      <c r="L97" s="616">
        <v>0.01</v>
      </c>
      <c r="M97" s="616">
        <v>95</v>
      </c>
      <c r="N97" s="616">
        <v>9.7799999999999994</v>
      </c>
      <c r="O97" s="616">
        <v>108.38</v>
      </c>
    </row>
    <row r="98" spans="1:15" x14ac:dyDescent="0.3">
      <c r="A98" s="615">
        <v>40401</v>
      </c>
      <c r="B98" s="614" t="s">
        <v>519</v>
      </c>
      <c r="C98" s="614" t="s">
        <v>201</v>
      </c>
      <c r="D98" s="614" t="s">
        <v>197</v>
      </c>
      <c r="E98" s="614">
        <v>500</v>
      </c>
      <c r="F98" s="629">
        <v>13.4</v>
      </c>
      <c r="G98" s="629">
        <v>6700</v>
      </c>
      <c r="H98" s="614" t="s">
        <v>3808</v>
      </c>
      <c r="I98" s="616">
        <v>0</v>
      </c>
      <c r="J98" s="616">
        <v>3.69</v>
      </c>
      <c r="K98" s="616">
        <v>0.13</v>
      </c>
      <c r="L98" s="616">
        <v>0.01</v>
      </c>
      <c r="M98" s="616">
        <v>95</v>
      </c>
      <c r="N98" s="616">
        <v>9.7799999999999994</v>
      </c>
      <c r="O98" s="616">
        <v>108.61</v>
      </c>
    </row>
    <row r="99" spans="1:15" x14ac:dyDescent="0.3">
      <c r="A99" s="615">
        <v>40393</v>
      </c>
      <c r="B99" s="614" t="s">
        <v>524</v>
      </c>
      <c r="C99" s="614" t="s">
        <v>201</v>
      </c>
      <c r="D99" s="614" t="s">
        <v>197</v>
      </c>
      <c r="E99" s="614">
        <v>400</v>
      </c>
      <c r="F99" s="629">
        <v>5.75</v>
      </c>
      <c r="G99" s="629">
        <v>2300</v>
      </c>
      <c r="H99" s="614" t="s">
        <v>3809</v>
      </c>
      <c r="I99" s="616">
        <v>0</v>
      </c>
      <c r="J99" s="616">
        <v>1.28</v>
      </c>
      <c r="K99" s="616">
        <v>0.05</v>
      </c>
      <c r="L99" s="616">
        <v>0</v>
      </c>
      <c r="M99" s="616">
        <v>760</v>
      </c>
      <c r="N99" s="616">
        <v>78.27</v>
      </c>
      <c r="O99" s="616">
        <v>839.6</v>
      </c>
    </row>
    <row r="100" spans="1:15" x14ac:dyDescent="0.3">
      <c r="A100" s="615">
        <v>40392</v>
      </c>
      <c r="B100" s="614" t="s">
        <v>526</v>
      </c>
      <c r="C100" s="614" t="s">
        <v>201</v>
      </c>
      <c r="D100" s="614" t="s">
        <v>197</v>
      </c>
      <c r="E100" s="614">
        <v>100</v>
      </c>
      <c r="F100" s="629">
        <v>50.5</v>
      </c>
      <c r="G100" s="629">
        <v>5050</v>
      </c>
      <c r="H100" s="614" t="s">
        <v>3811</v>
      </c>
      <c r="I100" s="616">
        <v>0</v>
      </c>
      <c r="J100" s="616">
        <v>2.78</v>
      </c>
      <c r="K100" s="616">
        <v>0.1</v>
      </c>
      <c r="L100" s="616">
        <v>0.01</v>
      </c>
      <c r="M100" s="616">
        <v>190</v>
      </c>
      <c r="N100" s="616">
        <v>19.57</v>
      </c>
      <c r="O100" s="616">
        <v>212.46</v>
      </c>
    </row>
    <row r="101" spans="1:15" x14ac:dyDescent="0.3">
      <c r="A101" s="615">
        <v>40374</v>
      </c>
      <c r="B101" s="614" t="s">
        <v>529</v>
      </c>
      <c r="C101" s="614" t="s">
        <v>201</v>
      </c>
      <c r="D101" s="614" t="s">
        <v>197</v>
      </c>
      <c r="E101" s="614">
        <v>11000</v>
      </c>
      <c r="F101" s="629">
        <v>0.15</v>
      </c>
      <c r="G101" s="629">
        <v>1650</v>
      </c>
      <c r="H101" s="614" t="s">
        <v>3813</v>
      </c>
      <c r="I101" s="616">
        <v>0</v>
      </c>
      <c r="J101" s="616">
        <v>0.91</v>
      </c>
      <c r="K101" s="616">
        <v>0.03</v>
      </c>
      <c r="L101" s="616">
        <v>0</v>
      </c>
      <c r="M101" s="616">
        <v>95</v>
      </c>
      <c r="N101" s="616">
        <v>9.7799999999999994</v>
      </c>
      <c r="O101" s="616">
        <v>105.72</v>
      </c>
    </row>
    <row r="102" spans="1:15" x14ac:dyDescent="0.3">
      <c r="A102" s="615">
        <v>40374</v>
      </c>
      <c r="B102" s="614" t="s">
        <v>529</v>
      </c>
      <c r="C102" s="614" t="s">
        <v>201</v>
      </c>
      <c r="D102" s="614" t="s">
        <v>197</v>
      </c>
      <c r="E102" s="614">
        <v>11000</v>
      </c>
      <c r="F102" s="629">
        <v>0.2</v>
      </c>
      <c r="G102" s="629">
        <v>2200</v>
      </c>
      <c r="H102" s="614" t="s">
        <v>3814</v>
      </c>
      <c r="I102" s="616">
        <v>0</v>
      </c>
      <c r="J102" s="616">
        <v>1.21</v>
      </c>
      <c r="K102" s="616">
        <v>0.04</v>
      </c>
      <c r="L102" s="616">
        <v>0</v>
      </c>
      <c r="M102" s="616">
        <v>95</v>
      </c>
      <c r="N102" s="616">
        <v>9.7799999999999994</v>
      </c>
      <c r="O102" s="616">
        <v>106.03</v>
      </c>
    </row>
    <row r="103" spans="1:15" x14ac:dyDescent="0.3">
      <c r="A103" s="615">
        <v>40372</v>
      </c>
      <c r="B103" s="614" t="s">
        <v>532</v>
      </c>
      <c r="C103" s="614" t="s">
        <v>201</v>
      </c>
      <c r="D103" s="614" t="s">
        <v>197</v>
      </c>
      <c r="E103" s="614">
        <v>4000</v>
      </c>
      <c r="F103" s="629">
        <v>0.9</v>
      </c>
      <c r="G103" s="629">
        <v>3600</v>
      </c>
      <c r="H103" s="614" t="s">
        <v>3815</v>
      </c>
      <c r="I103" s="616">
        <v>0</v>
      </c>
      <c r="J103" s="616">
        <v>1.98</v>
      </c>
      <c r="K103" s="616">
        <v>7.0000000000000007E-2</v>
      </c>
      <c r="L103" s="616">
        <v>0</v>
      </c>
      <c r="M103" s="616">
        <v>95</v>
      </c>
      <c r="N103" s="616">
        <v>9.7799999999999994</v>
      </c>
      <c r="O103" s="616">
        <v>106.83</v>
      </c>
    </row>
    <row r="104" spans="1:15" x14ac:dyDescent="0.3">
      <c r="A104" s="615">
        <v>40371</v>
      </c>
      <c r="B104" s="614" t="s">
        <v>540</v>
      </c>
      <c r="C104" s="614" t="s">
        <v>201</v>
      </c>
      <c r="D104" s="614" t="s">
        <v>197</v>
      </c>
      <c r="E104" s="614">
        <v>2000</v>
      </c>
      <c r="F104" s="629">
        <v>2.9</v>
      </c>
      <c r="G104" s="629">
        <v>5800</v>
      </c>
      <c r="H104" s="614" t="s">
        <v>3816</v>
      </c>
      <c r="I104" s="616">
        <v>0</v>
      </c>
      <c r="J104" s="616">
        <v>3.2</v>
      </c>
      <c r="K104" s="616">
        <v>0.12</v>
      </c>
      <c r="L104" s="616">
        <v>0.01</v>
      </c>
      <c r="M104" s="616">
        <v>95</v>
      </c>
      <c r="N104" s="616">
        <v>9.7799999999999994</v>
      </c>
      <c r="O104" s="616">
        <v>108.11</v>
      </c>
    </row>
    <row r="105" spans="1:15" x14ac:dyDescent="0.3">
      <c r="A105" s="615">
        <v>40366</v>
      </c>
      <c r="B105" s="614" t="s">
        <v>542</v>
      </c>
      <c r="C105" s="614" t="s">
        <v>201</v>
      </c>
      <c r="D105" s="614" t="s">
        <v>197</v>
      </c>
      <c r="E105" s="614">
        <v>50</v>
      </c>
      <c r="F105" s="629">
        <v>72.7</v>
      </c>
      <c r="G105" s="629">
        <v>3635</v>
      </c>
      <c r="H105" s="614" t="s">
        <v>3818</v>
      </c>
      <c r="I105" s="616">
        <v>0</v>
      </c>
      <c r="J105" s="616">
        <v>2</v>
      </c>
      <c r="K105" s="616">
        <v>7.0000000000000007E-2</v>
      </c>
      <c r="L105" s="616">
        <v>0</v>
      </c>
      <c r="M105" s="616">
        <v>95</v>
      </c>
      <c r="N105" s="616">
        <v>9.7799999999999994</v>
      </c>
      <c r="O105" s="616">
        <v>106.85</v>
      </c>
    </row>
    <row r="106" spans="1:15" x14ac:dyDescent="0.3">
      <c r="A106" s="615">
        <v>40365</v>
      </c>
      <c r="B106" s="614" t="s">
        <v>3819</v>
      </c>
      <c r="C106" s="614" t="s">
        <v>201</v>
      </c>
      <c r="D106" s="614" t="s">
        <v>197</v>
      </c>
      <c r="E106" s="614">
        <v>4000</v>
      </c>
      <c r="F106" s="629">
        <v>0.25</v>
      </c>
      <c r="G106" s="629">
        <v>1000</v>
      </c>
      <c r="H106" s="614" t="s">
        <v>3821</v>
      </c>
      <c r="I106" s="616">
        <v>0</v>
      </c>
      <c r="J106" s="616">
        <v>0.55000000000000004</v>
      </c>
      <c r="K106" s="616">
        <v>0.02</v>
      </c>
      <c r="L106" s="616">
        <v>0</v>
      </c>
      <c r="M106" s="616">
        <v>95</v>
      </c>
      <c r="N106" s="616">
        <v>9.7799999999999994</v>
      </c>
      <c r="O106" s="616">
        <v>105.35</v>
      </c>
    </row>
    <row r="107" spans="1:15" x14ac:dyDescent="0.3">
      <c r="A107" s="615">
        <v>40361</v>
      </c>
      <c r="B107" s="614" t="s">
        <v>3819</v>
      </c>
      <c r="C107" s="614" t="s">
        <v>201</v>
      </c>
      <c r="D107" s="614" t="s">
        <v>197</v>
      </c>
      <c r="E107" s="614">
        <v>4000</v>
      </c>
      <c r="F107" s="629">
        <v>0.3</v>
      </c>
      <c r="G107" s="629">
        <v>1200</v>
      </c>
      <c r="H107" s="614" t="s">
        <v>3823</v>
      </c>
      <c r="I107" s="616">
        <v>0</v>
      </c>
      <c r="J107" s="616">
        <v>0.66</v>
      </c>
      <c r="K107" s="616">
        <v>0.02</v>
      </c>
      <c r="L107" s="616">
        <v>0</v>
      </c>
      <c r="M107" s="616">
        <v>95</v>
      </c>
      <c r="N107" s="616">
        <v>9.7799999999999994</v>
      </c>
      <c r="O107" s="616">
        <v>105.46</v>
      </c>
    </row>
    <row r="108" spans="1:15" x14ac:dyDescent="0.3">
      <c r="A108" s="615">
        <v>40361</v>
      </c>
      <c r="B108" s="614" t="s">
        <v>3819</v>
      </c>
      <c r="C108" s="614" t="s">
        <v>201</v>
      </c>
      <c r="D108" s="614" t="s">
        <v>197</v>
      </c>
      <c r="E108" s="614">
        <v>8000</v>
      </c>
      <c r="F108" s="629">
        <v>0.35</v>
      </c>
      <c r="G108" s="629">
        <v>2800</v>
      </c>
      <c r="H108" s="614" t="s">
        <v>3825</v>
      </c>
      <c r="I108" s="616">
        <v>0</v>
      </c>
      <c r="J108" s="616">
        <v>1.54</v>
      </c>
      <c r="K108" s="616">
        <v>0.06</v>
      </c>
      <c r="L108" s="616">
        <v>0</v>
      </c>
      <c r="M108" s="616">
        <v>190</v>
      </c>
      <c r="N108" s="616">
        <v>19.57</v>
      </c>
      <c r="O108" s="616">
        <v>211.17</v>
      </c>
    </row>
    <row r="109" spans="1:15" x14ac:dyDescent="0.3">
      <c r="A109" s="615">
        <v>40361</v>
      </c>
      <c r="B109" s="614" t="s">
        <v>548</v>
      </c>
      <c r="C109" s="614" t="s">
        <v>201</v>
      </c>
      <c r="D109" s="614" t="s">
        <v>197</v>
      </c>
      <c r="E109" s="614">
        <v>50</v>
      </c>
      <c r="F109" s="629">
        <v>14.05</v>
      </c>
      <c r="G109" s="629">
        <v>702.5</v>
      </c>
      <c r="H109" s="614" t="s">
        <v>3827</v>
      </c>
      <c r="I109" s="616">
        <v>0</v>
      </c>
      <c r="J109" s="616">
        <v>0.39</v>
      </c>
      <c r="K109" s="616">
        <v>0.01</v>
      </c>
      <c r="L109" s="616">
        <v>0</v>
      </c>
      <c r="M109" s="616">
        <v>15</v>
      </c>
      <c r="N109" s="616">
        <v>1.55</v>
      </c>
      <c r="O109" s="616">
        <v>16.95</v>
      </c>
    </row>
    <row r="110" spans="1:15" x14ac:dyDescent="0.3">
      <c r="A110" s="615">
        <v>40358</v>
      </c>
      <c r="B110" s="614" t="s">
        <v>599</v>
      </c>
      <c r="C110" s="614" t="s">
        <v>201</v>
      </c>
      <c r="D110" s="614" t="s">
        <v>197</v>
      </c>
      <c r="E110" s="614">
        <v>50</v>
      </c>
      <c r="F110" s="629">
        <v>41.25</v>
      </c>
      <c r="G110" s="629">
        <v>2062.5</v>
      </c>
      <c r="H110" s="614" t="s">
        <v>3829</v>
      </c>
      <c r="I110" s="616">
        <v>0</v>
      </c>
      <c r="J110" s="616">
        <v>1.1299999999999999</v>
      </c>
      <c r="K110" s="616">
        <v>0.04</v>
      </c>
      <c r="L110" s="616">
        <v>0</v>
      </c>
      <c r="M110" s="616">
        <v>95</v>
      </c>
      <c r="N110" s="616">
        <v>9.7799999999999994</v>
      </c>
      <c r="O110" s="616">
        <v>105.95</v>
      </c>
    </row>
    <row r="111" spans="1:15" x14ac:dyDescent="0.3">
      <c r="A111" s="615">
        <v>40357</v>
      </c>
      <c r="B111" s="614" t="s">
        <v>548</v>
      </c>
      <c r="C111" s="614" t="s">
        <v>201</v>
      </c>
      <c r="D111" s="614" t="s">
        <v>197</v>
      </c>
      <c r="E111" s="614">
        <v>100</v>
      </c>
      <c r="F111" s="629">
        <v>12.15</v>
      </c>
      <c r="G111" s="629">
        <v>1215</v>
      </c>
      <c r="H111" s="614" t="s">
        <v>3830</v>
      </c>
      <c r="I111" s="616">
        <v>0</v>
      </c>
      <c r="J111" s="616">
        <v>0.67</v>
      </c>
      <c r="K111" s="616">
        <v>0.02</v>
      </c>
      <c r="L111" s="616">
        <v>0</v>
      </c>
      <c r="M111" s="616">
        <v>190</v>
      </c>
      <c r="N111" s="616">
        <v>19.57</v>
      </c>
      <c r="O111" s="616">
        <v>210.26</v>
      </c>
    </row>
    <row r="112" spans="1:15" x14ac:dyDescent="0.3">
      <c r="A112" s="615">
        <v>40353</v>
      </c>
      <c r="B112" s="614" t="s">
        <v>602</v>
      </c>
      <c r="C112" s="614" t="s">
        <v>201</v>
      </c>
      <c r="D112" s="614" t="s">
        <v>197</v>
      </c>
      <c r="E112" s="614">
        <v>100</v>
      </c>
      <c r="F112" s="629">
        <v>60.7</v>
      </c>
      <c r="G112" s="629">
        <v>6070</v>
      </c>
      <c r="H112" s="614" t="s">
        <v>3831</v>
      </c>
      <c r="I112" s="616">
        <v>0</v>
      </c>
      <c r="J112" s="616">
        <v>3.34</v>
      </c>
      <c r="K112" s="616">
        <v>0.12</v>
      </c>
      <c r="L112" s="616">
        <v>0</v>
      </c>
      <c r="M112" s="616">
        <v>190</v>
      </c>
      <c r="N112" s="616">
        <v>19.559999999999999</v>
      </c>
      <c r="O112" s="616">
        <v>213.02</v>
      </c>
    </row>
    <row r="113" spans="1:15" x14ac:dyDescent="0.3">
      <c r="A113" s="615">
        <v>40351</v>
      </c>
      <c r="B113" s="614" t="s">
        <v>604</v>
      </c>
      <c r="C113" s="614" t="s">
        <v>201</v>
      </c>
      <c r="D113" s="614" t="s">
        <v>197</v>
      </c>
      <c r="E113" s="614">
        <v>50</v>
      </c>
      <c r="F113" s="629">
        <v>82.5</v>
      </c>
      <c r="G113" s="629">
        <v>4125</v>
      </c>
      <c r="H113" s="614" t="s">
        <v>3833</v>
      </c>
      <c r="I113" s="616">
        <v>0</v>
      </c>
      <c r="J113" s="616">
        <v>2.27</v>
      </c>
      <c r="K113" s="616">
        <v>0.08</v>
      </c>
      <c r="L113" s="616">
        <v>0</v>
      </c>
      <c r="M113" s="616">
        <v>95</v>
      </c>
      <c r="N113" s="616">
        <v>9.7799999999999994</v>
      </c>
      <c r="O113" s="616">
        <v>107.13</v>
      </c>
    </row>
    <row r="114" spans="1:15" x14ac:dyDescent="0.3">
      <c r="A114" s="615">
        <v>40350</v>
      </c>
      <c r="B114" s="614" t="s">
        <v>602</v>
      </c>
      <c r="C114" s="614" t="s">
        <v>201</v>
      </c>
      <c r="D114" s="614" t="s">
        <v>197</v>
      </c>
      <c r="E114" s="614">
        <v>50</v>
      </c>
      <c r="F114" s="629">
        <v>50.25</v>
      </c>
      <c r="G114" s="629">
        <v>2512.5</v>
      </c>
      <c r="H114" s="614" t="s">
        <v>3835</v>
      </c>
      <c r="I114" s="616">
        <v>0</v>
      </c>
      <c r="J114" s="616">
        <v>1.38</v>
      </c>
      <c r="K114" s="616">
        <v>0.05</v>
      </c>
      <c r="L114" s="616">
        <v>0</v>
      </c>
      <c r="M114" s="616">
        <v>95</v>
      </c>
      <c r="N114" s="616">
        <v>9.7799999999999994</v>
      </c>
      <c r="O114" s="616">
        <v>106.21</v>
      </c>
    </row>
    <row r="115" spans="1:15" x14ac:dyDescent="0.3">
      <c r="A115" s="615">
        <v>40346</v>
      </c>
      <c r="B115" s="614" t="s">
        <v>607</v>
      </c>
      <c r="C115" s="614" t="s">
        <v>201</v>
      </c>
      <c r="D115" s="614" t="s">
        <v>197</v>
      </c>
      <c r="E115" s="614">
        <v>50</v>
      </c>
      <c r="F115" s="629">
        <v>24</v>
      </c>
      <c r="G115" s="629">
        <v>1200</v>
      </c>
      <c r="H115" s="614" t="s">
        <v>3836</v>
      </c>
      <c r="I115" s="616">
        <v>0</v>
      </c>
      <c r="J115" s="616">
        <v>0.66</v>
      </c>
      <c r="K115" s="616">
        <v>0.02</v>
      </c>
      <c r="L115" s="616">
        <v>0</v>
      </c>
      <c r="M115" s="616">
        <v>95</v>
      </c>
      <c r="N115" s="616">
        <v>9.7799999999999994</v>
      </c>
      <c r="O115" s="616">
        <v>105.46</v>
      </c>
    </row>
    <row r="116" spans="1:15" x14ac:dyDescent="0.3">
      <c r="A116" s="615">
        <v>40346</v>
      </c>
      <c r="B116" s="614" t="s">
        <v>609</v>
      </c>
      <c r="C116" s="614" t="s">
        <v>201</v>
      </c>
      <c r="D116" s="614" t="s">
        <v>197</v>
      </c>
      <c r="E116" s="614">
        <v>700</v>
      </c>
      <c r="F116" s="629">
        <v>1.45</v>
      </c>
      <c r="G116" s="629">
        <v>1015</v>
      </c>
      <c r="H116" s="614" t="s">
        <v>3838</v>
      </c>
      <c r="I116" s="616">
        <v>0</v>
      </c>
      <c r="J116" s="616">
        <v>0.56000000000000005</v>
      </c>
      <c r="K116" s="616">
        <v>0.02</v>
      </c>
      <c r="L116" s="616">
        <v>0</v>
      </c>
      <c r="M116" s="616">
        <v>95</v>
      </c>
      <c r="N116" s="616">
        <v>9.7799999999999994</v>
      </c>
      <c r="O116" s="616">
        <v>105.36</v>
      </c>
    </row>
    <row r="117" spans="1:15" x14ac:dyDescent="0.3">
      <c r="A117" s="615">
        <v>40337</v>
      </c>
      <c r="B117" s="614" t="s">
        <v>611</v>
      </c>
      <c r="C117" s="614" t="s">
        <v>201</v>
      </c>
      <c r="D117" s="614" t="s">
        <v>197</v>
      </c>
      <c r="E117" s="614">
        <v>500</v>
      </c>
      <c r="F117" s="629">
        <v>2.0499999999999998</v>
      </c>
      <c r="G117" s="629">
        <v>1025</v>
      </c>
      <c r="H117" s="614" t="s">
        <v>3841</v>
      </c>
      <c r="I117" s="616">
        <v>0</v>
      </c>
      <c r="J117" s="616">
        <v>0.56000000000000005</v>
      </c>
      <c r="K117" s="616">
        <v>0.02</v>
      </c>
      <c r="L117" s="616">
        <v>0</v>
      </c>
      <c r="M117" s="616">
        <v>95</v>
      </c>
      <c r="N117" s="616">
        <v>9.7799999999999994</v>
      </c>
      <c r="O117" s="616">
        <v>105.36</v>
      </c>
    </row>
    <row r="118" spans="1:15" x14ac:dyDescent="0.3">
      <c r="A118" s="615">
        <v>40337</v>
      </c>
      <c r="B118" s="614" t="s">
        <v>613</v>
      </c>
      <c r="C118" s="614" t="s">
        <v>201</v>
      </c>
      <c r="D118" s="614" t="s">
        <v>197</v>
      </c>
      <c r="E118" s="614">
        <v>800</v>
      </c>
      <c r="F118" s="629">
        <v>3.35</v>
      </c>
      <c r="G118" s="629">
        <v>2680</v>
      </c>
      <c r="H118" s="614" t="s">
        <v>3842</v>
      </c>
      <c r="I118" s="616">
        <v>0</v>
      </c>
      <c r="J118" s="616">
        <v>1.48</v>
      </c>
      <c r="K118" s="616">
        <v>0.05</v>
      </c>
      <c r="L118" s="616">
        <v>0</v>
      </c>
      <c r="M118" s="616">
        <v>95</v>
      </c>
      <c r="N118" s="616">
        <v>9.7799999999999994</v>
      </c>
      <c r="O118" s="616">
        <v>106.31</v>
      </c>
    </row>
    <row r="119" spans="1:15" x14ac:dyDescent="0.3">
      <c r="A119" s="615">
        <v>40315</v>
      </c>
      <c r="B119" s="614" t="s">
        <v>615</v>
      </c>
      <c r="C119" s="614" t="s">
        <v>201</v>
      </c>
      <c r="D119" s="614" t="s">
        <v>197</v>
      </c>
      <c r="E119" s="614">
        <v>700</v>
      </c>
      <c r="F119" s="629">
        <v>1.5</v>
      </c>
      <c r="G119" s="629">
        <v>1050</v>
      </c>
      <c r="H119" s="614" t="s">
        <v>3843</v>
      </c>
      <c r="I119" s="616">
        <v>0</v>
      </c>
      <c r="J119" s="616">
        <v>0.56999999999999995</v>
      </c>
      <c r="K119" s="616">
        <v>0.02</v>
      </c>
      <c r="L119" s="616">
        <v>0</v>
      </c>
      <c r="M119" s="616">
        <v>95</v>
      </c>
      <c r="N119" s="616">
        <v>9.7799999999999994</v>
      </c>
      <c r="O119" s="616">
        <v>105.37</v>
      </c>
    </row>
    <row r="120" spans="1:15" x14ac:dyDescent="0.3">
      <c r="A120" s="615">
        <v>40315</v>
      </c>
      <c r="B120" s="614" t="s">
        <v>615</v>
      </c>
      <c r="C120" s="614" t="s">
        <v>201</v>
      </c>
      <c r="D120" s="614" t="s">
        <v>197</v>
      </c>
      <c r="E120" s="614">
        <v>700</v>
      </c>
      <c r="F120" s="629">
        <v>1.5</v>
      </c>
      <c r="G120" s="629">
        <v>1050</v>
      </c>
      <c r="H120" s="614" t="s">
        <v>3844</v>
      </c>
      <c r="I120" s="616">
        <v>0</v>
      </c>
      <c r="J120" s="616">
        <v>0.56999999999999995</v>
      </c>
      <c r="K120" s="616">
        <v>0.02</v>
      </c>
      <c r="L120" s="616">
        <v>0</v>
      </c>
      <c r="M120" s="616">
        <v>95</v>
      </c>
      <c r="N120" s="616">
        <v>9.7799999999999994</v>
      </c>
      <c r="O120" s="616">
        <v>105.37</v>
      </c>
    </row>
    <row r="121" spans="1:15" x14ac:dyDescent="0.3">
      <c r="A121" s="615">
        <v>40304</v>
      </c>
      <c r="B121" s="614" t="s">
        <v>618</v>
      </c>
      <c r="C121" s="614" t="s">
        <v>201</v>
      </c>
      <c r="D121" s="614" t="s">
        <v>197</v>
      </c>
      <c r="E121" s="614">
        <v>700</v>
      </c>
      <c r="F121" s="629">
        <v>1.95</v>
      </c>
      <c r="G121" s="629">
        <v>1365</v>
      </c>
      <c r="H121" s="614" t="s">
        <v>3846</v>
      </c>
      <c r="I121" s="616">
        <v>0</v>
      </c>
      <c r="J121" s="616">
        <v>0.75</v>
      </c>
      <c r="K121" s="616">
        <v>0.03</v>
      </c>
      <c r="L121" s="616">
        <v>0</v>
      </c>
      <c r="M121" s="616">
        <v>95</v>
      </c>
      <c r="N121" s="616">
        <v>9.7799999999999994</v>
      </c>
      <c r="O121" s="616">
        <v>105.56</v>
      </c>
    </row>
    <row r="122" spans="1:15" x14ac:dyDescent="0.3">
      <c r="A122" s="615">
        <v>40302</v>
      </c>
      <c r="B122" s="614" t="s">
        <v>618</v>
      </c>
      <c r="C122" s="614" t="s">
        <v>201</v>
      </c>
      <c r="D122" s="614" t="s">
        <v>197</v>
      </c>
      <c r="E122" s="614">
        <v>700</v>
      </c>
      <c r="F122" s="629">
        <v>2.7</v>
      </c>
      <c r="G122" s="629">
        <v>1890</v>
      </c>
      <c r="H122" s="614" t="s">
        <v>3847</v>
      </c>
      <c r="I122" s="616">
        <v>0</v>
      </c>
      <c r="J122" s="616">
        <v>1.04</v>
      </c>
      <c r="K122" s="616">
        <v>0.04</v>
      </c>
      <c r="L122" s="616">
        <v>0</v>
      </c>
      <c r="M122" s="616">
        <v>95</v>
      </c>
      <c r="N122" s="616">
        <v>9.7799999999999994</v>
      </c>
      <c r="O122" s="616">
        <v>105.86</v>
      </c>
    </row>
    <row r="123" spans="1:15" x14ac:dyDescent="0.3">
      <c r="A123" s="615">
        <v>40302</v>
      </c>
      <c r="B123" s="614" t="s">
        <v>618</v>
      </c>
      <c r="C123" s="614" t="s">
        <v>201</v>
      </c>
      <c r="D123" s="614" t="s">
        <v>197</v>
      </c>
      <c r="E123" s="614">
        <v>700</v>
      </c>
      <c r="F123" s="629">
        <v>3.9</v>
      </c>
      <c r="G123" s="629">
        <v>2730</v>
      </c>
      <c r="H123" s="614" t="s">
        <v>3848</v>
      </c>
      <c r="I123" s="616">
        <v>0</v>
      </c>
      <c r="J123" s="616">
        <v>1.5</v>
      </c>
      <c r="K123" s="616">
        <v>0.05</v>
      </c>
      <c r="L123" s="616">
        <v>0</v>
      </c>
      <c r="M123" s="616">
        <v>95</v>
      </c>
      <c r="N123" s="616">
        <v>9.7799999999999994</v>
      </c>
      <c r="O123" s="616">
        <v>106.33</v>
      </c>
    </row>
    <row r="124" spans="1:15" x14ac:dyDescent="0.3">
      <c r="A124" s="615">
        <v>40295</v>
      </c>
      <c r="B124" s="614" t="s">
        <v>622</v>
      </c>
      <c r="C124" s="614" t="s">
        <v>201</v>
      </c>
      <c r="D124" s="614" t="s">
        <v>197</v>
      </c>
      <c r="E124" s="614">
        <v>700</v>
      </c>
      <c r="F124" s="629">
        <v>2.7</v>
      </c>
      <c r="G124" s="629">
        <v>1890</v>
      </c>
      <c r="H124" s="614" t="s">
        <v>3850</v>
      </c>
      <c r="I124" s="616">
        <v>0</v>
      </c>
      <c r="J124" s="616">
        <v>1.04</v>
      </c>
      <c r="K124" s="616">
        <v>0.04</v>
      </c>
      <c r="L124" s="616">
        <v>0</v>
      </c>
      <c r="M124" s="616">
        <v>95</v>
      </c>
      <c r="N124" s="616">
        <v>9.7799999999999994</v>
      </c>
      <c r="O124" s="616">
        <v>105.86</v>
      </c>
    </row>
    <row r="125" spans="1:15" x14ac:dyDescent="0.3">
      <c r="A125" s="615">
        <v>40203</v>
      </c>
      <c r="B125" s="614" t="s">
        <v>1356</v>
      </c>
      <c r="C125" s="614" t="s">
        <v>201</v>
      </c>
      <c r="D125" s="614" t="s">
        <v>197</v>
      </c>
      <c r="E125" s="614">
        <v>100</v>
      </c>
      <c r="F125" s="629">
        <v>13</v>
      </c>
      <c r="G125" s="629">
        <v>1300</v>
      </c>
      <c r="H125" s="614" t="s">
        <v>1357</v>
      </c>
      <c r="I125" s="616">
        <v>0</v>
      </c>
      <c r="J125" s="616">
        <v>0.72</v>
      </c>
      <c r="K125" s="616">
        <v>0.03</v>
      </c>
      <c r="L125" s="616">
        <v>0</v>
      </c>
      <c r="M125" s="616">
        <v>190</v>
      </c>
      <c r="N125" s="616">
        <v>19.57</v>
      </c>
      <c r="O125" s="616">
        <v>210.32</v>
      </c>
    </row>
    <row r="126" spans="1:15" x14ac:dyDescent="0.3">
      <c r="A126" s="615">
        <v>40135</v>
      </c>
      <c r="B126" s="614" t="s">
        <v>1354</v>
      </c>
      <c r="C126" s="614" t="s">
        <v>201</v>
      </c>
      <c r="D126" s="614" t="s">
        <v>197</v>
      </c>
      <c r="E126" s="614">
        <v>50</v>
      </c>
      <c r="F126" s="629">
        <v>40.200000000000003</v>
      </c>
      <c r="G126" s="629">
        <v>2010</v>
      </c>
      <c r="H126" s="614" t="s">
        <v>1355</v>
      </c>
      <c r="I126" s="616">
        <v>0</v>
      </c>
      <c r="J126" s="616">
        <v>1.1100000000000001</v>
      </c>
      <c r="K126" s="616">
        <v>0.04</v>
      </c>
      <c r="L126" s="616">
        <v>0</v>
      </c>
      <c r="M126" s="616">
        <v>95</v>
      </c>
      <c r="N126" s="616">
        <v>9.7799999999999994</v>
      </c>
      <c r="O126" s="616">
        <v>105.93</v>
      </c>
    </row>
    <row r="127" spans="1:15" x14ac:dyDescent="0.3">
      <c r="A127" s="615">
        <v>40102</v>
      </c>
      <c r="B127" s="614" t="s">
        <v>1350</v>
      </c>
      <c r="C127" s="614" t="s">
        <v>201</v>
      </c>
      <c r="D127" s="614" t="s">
        <v>197</v>
      </c>
      <c r="E127" s="614">
        <v>50</v>
      </c>
      <c r="F127" s="629">
        <v>24.25</v>
      </c>
      <c r="G127" s="629">
        <v>1212.5</v>
      </c>
      <c r="H127" s="614" t="s">
        <v>1353</v>
      </c>
      <c r="I127" s="616">
        <v>0</v>
      </c>
      <c r="J127" s="616">
        <v>0.67</v>
      </c>
      <c r="K127" s="616">
        <v>0.02</v>
      </c>
      <c r="L127" s="616">
        <v>0</v>
      </c>
      <c r="M127" s="616">
        <v>95</v>
      </c>
      <c r="N127" s="616">
        <v>9.7799999999999994</v>
      </c>
      <c r="O127" s="616">
        <v>105.47</v>
      </c>
    </row>
    <row r="128" spans="1:15" x14ac:dyDescent="0.3">
      <c r="A128" s="615">
        <v>40100</v>
      </c>
      <c r="B128" s="614" t="s">
        <v>1350</v>
      </c>
      <c r="C128" s="614" t="s">
        <v>201</v>
      </c>
      <c r="D128" s="614" t="s">
        <v>197</v>
      </c>
      <c r="E128" s="614">
        <v>100</v>
      </c>
      <c r="F128" s="629">
        <v>36.6</v>
      </c>
      <c r="G128" s="629">
        <v>3660</v>
      </c>
      <c r="H128" s="614" t="s">
        <v>1352</v>
      </c>
      <c r="I128" s="616">
        <v>0</v>
      </c>
      <c r="J128" s="616">
        <v>2.02</v>
      </c>
      <c r="K128" s="616">
        <v>0.08</v>
      </c>
      <c r="L128" s="616">
        <v>0</v>
      </c>
      <c r="M128" s="616">
        <v>190</v>
      </c>
      <c r="N128" s="616">
        <v>19.559999999999999</v>
      </c>
      <c r="O128" s="616">
        <v>211.66</v>
      </c>
    </row>
    <row r="129" spans="1:15" x14ac:dyDescent="0.3">
      <c r="A129" s="615">
        <v>40086</v>
      </c>
      <c r="B129" s="614" t="s">
        <v>1350</v>
      </c>
      <c r="C129" s="614" t="s">
        <v>201</v>
      </c>
      <c r="D129" s="614" t="s">
        <v>197</v>
      </c>
      <c r="E129" s="614">
        <v>50</v>
      </c>
      <c r="F129" s="629">
        <v>68.8</v>
      </c>
      <c r="G129" s="629">
        <v>3440</v>
      </c>
      <c r="H129" s="614" t="s">
        <v>1351</v>
      </c>
      <c r="I129" s="616">
        <v>0</v>
      </c>
      <c r="J129" s="616">
        <v>1.9</v>
      </c>
      <c r="K129" s="616">
        <v>7.0000000000000007E-2</v>
      </c>
      <c r="L129" s="616">
        <v>0</v>
      </c>
      <c r="M129" s="616">
        <v>95</v>
      </c>
      <c r="N129" s="616">
        <v>9.7799999999999994</v>
      </c>
      <c r="O129" s="616">
        <v>106.75</v>
      </c>
    </row>
    <row r="130" spans="1:15" x14ac:dyDescent="0.3">
      <c r="A130" s="615">
        <v>40046</v>
      </c>
      <c r="B130" s="614" t="s">
        <v>3851</v>
      </c>
      <c r="C130" s="614" t="s">
        <v>201</v>
      </c>
      <c r="D130" s="614" t="s">
        <v>197</v>
      </c>
      <c r="E130" s="614">
        <v>1625</v>
      </c>
      <c r="F130" s="629">
        <v>1.55</v>
      </c>
      <c r="G130" s="629">
        <v>2518.75</v>
      </c>
      <c r="H130" s="614" t="s">
        <v>1377</v>
      </c>
      <c r="I130" s="616">
        <v>0</v>
      </c>
      <c r="J130" s="616">
        <v>1.39</v>
      </c>
      <c r="K130" s="616">
        <v>0.05</v>
      </c>
      <c r="L130" s="616">
        <v>0</v>
      </c>
      <c r="M130" s="616">
        <v>95</v>
      </c>
      <c r="N130" s="616">
        <v>9.7799999999999994</v>
      </c>
      <c r="O130" s="616">
        <v>106.22</v>
      </c>
    </row>
    <row r="131" spans="1:15" x14ac:dyDescent="0.3">
      <c r="A131" s="615">
        <v>40011</v>
      </c>
      <c r="B131" s="614" t="s">
        <v>1348</v>
      </c>
      <c r="C131" s="614" t="s">
        <v>201</v>
      </c>
      <c r="D131" s="614" t="s">
        <v>197</v>
      </c>
      <c r="E131" s="614">
        <v>50</v>
      </c>
      <c r="F131" s="629">
        <v>77.900000000000006</v>
      </c>
      <c r="G131" s="629">
        <v>3895</v>
      </c>
      <c r="H131" s="614" t="s">
        <v>1349</v>
      </c>
      <c r="I131" s="616">
        <v>0</v>
      </c>
      <c r="J131" s="616">
        <v>2.15</v>
      </c>
      <c r="K131" s="616">
        <v>0.08</v>
      </c>
      <c r="L131" s="616">
        <v>0</v>
      </c>
      <c r="M131" s="616">
        <v>95</v>
      </c>
      <c r="N131" s="616">
        <v>9.7799999999999994</v>
      </c>
      <c r="O131" s="616">
        <v>107.01</v>
      </c>
    </row>
    <row r="132" spans="1:15" x14ac:dyDescent="0.3">
      <c r="A132" s="615">
        <v>40011</v>
      </c>
      <c r="B132" s="614" t="s">
        <v>1346</v>
      </c>
      <c r="C132" s="614" t="s">
        <v>201</v>
      </c>
      <c r="D132" s="614" t="s">
        <v>197</v>
      </c>
      <c r="E132" s="614">
        <v>50</v>
      </c>
      <c r="F132" s="629">
        <v>48.3</v>
      </c>
      <c r="G132" s="629">
        <v>2415</v>
      </c>
      <c r="H132" s="614" t="s">
        <v>1347</v>
      </c>
      <c r="I132" s="616">
        <v>0</v>
      </c>
      <c r="J132" s="616">
        <v>1.33</v>
      </c>
      <c r="K132" s="616">
        <v>0.05</v>
      </c>
      <c r="L132" s="616">
        <v>0</v>
      </c>
      <c r="M132" s="616">
        <v>15</v>
      </c>
      <c r="N132" s="616">
        <v>1.55</v>
      </c>
      <c r="O132" s="616">
        <v>17.93</v>
      </c>
    </row>
    <row r="133" spans="1:15" x14ac:dyDescent="0.3">
      <c r="A133" s="615">
        <v>40009</v>
      </c>
      <c r="B133" s="614" t="s">
        <v>1293</v>
      </c>
      <c r="C133" s="614" t="s">
        <v>201</v>
      </c>
      <c r="D133" s="614" t="s">
        <v>197</v>
      </c>
      <c r="E133" s="614">
        <v>800</v>
      </c>
      <c r="F133" s="629">
        <v>2</v>
      </c>
      <c r="G133" s="629">
        <v>1600</v>
      </c>
      <c r="H133" s="614" t="s">
        <v>1294</v>
      </c>
      <c r="I133" s="616">
        <v>0</v>
      </c>
      <c r="J133" s="616">
        <v>0.88</v>
      </c>
      <c r="K133" s="616">
        <v>0.03</v>
      </c>
      <c r="L133" s="616">
        <v>0</v>
      </c>
      <c r="M133" s="616">
        <v>95</v>
      </c>
      <c r="N133" s="616">
        <v>9.7799999999999994</v>
      </c>
      <c r="O133" s="616">
        <v>105.69</v>
      </c>
    </row>
    <row r="134" spans="1:15" x14ac:dyDescent="0.3">
      <c r="A134" s="615">
        <v>40008</v>
      </c>
      <c r="B134" s="614" t="s">
        <v>1344</v>
      </c>
      <c r="C134" s="614" t="s">
        <v>201</v>
      </c>
      <c r="D134" s="614" t="s">
        <v>197</v>
      </c>
      <c r="E134" s="614">
        <v>50</v>
      </c>
      <c r="F134" s="629">
        <v>70.95</v>
      </c>
      <c r="G134" s="629">
        <v>3547.5</v>
      </c>
      <c r="H134" s="614" t="s">
        <v>1345</v>
      </c>
      <c r="I134" s="616">
        <v>0</v>
      </c>
      <c r="J134" s="616">
        <v>1.95</v>
      </c>
      <c r="K134" s="616">
        <v>7.0000000000000007E-2</v>
      </c>
      <c r="L134" s="616">
        <v>0</v>
      </c>
      <c r="M134" s="616">
        <v>95</v>
      </c>
      <c r="N134" s="616">
        <v>9.7799999999999994</v>
      </c>
      <c r="O134" s="616">
        <v>106.8</v>
      </c>
    </row>
    <row r="135" spans="1:15" x14ac:dyDescent="0.3">
      <c r="A135" s="615">
        <v>40004</v>
      </c>
      <c r="B135" s="614" t="s">
        <v>3852</v>
      </c>
      <c r="C135" s="614" t="s">
        <v>201</v>
      </c>
      <c r="D135" s="614" t="s">
        <v>197</v>
      </c>
      <c r="E135" s="614">
        <v>1625</v>
      </c>
      <c r="F135" s="629">
        <v>0.9</v>
      </c>
      <c r="G135" s="629">
        <v>1462.5</v>
      </c>
      <c r="H135" s="614" t="s">
        <v>1375</v>
      </c>
      <c r="I135" s="616">
        <v>0</v>
      </c>
      <c r="J135" s="616">
        <v>0.81</v>
      </c>
      <c r="K135" s="616">
        <v>0.03</v>
      </c>
      <c r="L135" s="616">
        <v>0</v>
      </c>
      <c r="M135" s="616">
        <v>95</v>
      </c>
      <c r="N135" s="616">
        <v>9.7799999999999994</v>
      </c>
      <c r="O135" s="616">
        <v>105.62</v>
      </c>
    </row>
    <row r="136" spans="1:15" x14ac:dyDescent="0.3">
      <c r="A136" s="615">
        <v>40000</v>
      </c>
      <c r="B136" s="614" t="s">
        <v>3853</v>
      </c>
      <c r="C136" s="614" t="s">
        <v>201</v>
      </c>
      <c r="D136" s="614" t="s">
        <v>197</v>
      </c>
      <c r="E136" s="614">
        <v>1625</v>
      </c>
      <c r="F136" s="629">
        <v>5</v>
      </c>
      <c r="G136" s="629">
        <v>8125</v>
      </c>
      <c r="H136" s="614" t="s">
        <v>1374</v>
      </c>
      <c r="I136" s="616">
        <v>0</v>
      </c>
      <c r="J136" s="616">
        <v>4.4800000000000004</v>
      </c>
      <c r="K136" s="616">
        <v>0.16</v>
      </c>
      <c r="L136" s="616">
        <v>0.01</v>
      </c>
      <c r="M136" s="616">
        <v>95</v>
      </c>
      <c r="N136" s="616">
        <v>9.7799999999999994</v>
      </c>
      <c r="O136" s="616">
        <v>109.43</v>
      </c>
    </row>
    <row r="137" spans="1:15" x14ac:dyDescent="0.3">
      <c r="A137" s="615">
        <v>39997</v>
      </c>
      <c r="B137" s="614" t="s">
        <v>3852</v>
      </c>
      <c r="C137" s="614" t="s">
        <v>201</v>
      </c>
      <c r="D137" s="614" t="s">
        <v>197</v>
      </c>
      <c r="E137" s="614">
        <v>1625</v>
      </c>
      <c r="F137" s="629">
        <v>5.0999999999999996</v>
      </c>
      <c r="G137" s="629">
        <v>8287.5</v>
      </c>
      <c r="H137" s="614" t="s">
        <v>1372</v>
      </c>
      <c r="I137" s="616">
        <v>0</v>
      </c>
      <c r="J137" s="616">
        <v>4.57</v>
      </c>
      <c r="K137" s="616">
        <v>0.17</v>
      </c>
      <c r="L137" s="616">
        <v>0.01</v>
      </c>
      <c r="M137" s="616">
        <v>95</v>
      </c>
      <c r="N137" s="616">
        <v>9.7799999999999994</v>
      </c>
      <c r="O137" s="616">
        <v>109.53</v>
      </c>
    </row>
    <row r="138" spans="1:15" x14ac:dyDescent="0.3">
      <c r="A138" s="615">
        <v>39994</v>
      </c>
      <c r="B138" s="614" t="s">
        <v>1337</v>
      </c>
      <c r="C138" s="614" t="s">
        <v>201</v>
      </c>
      <c r="D138" s="614" t="s">
        <v>197</v>
      </c>
      <c r="E138" s="614">
        <v>100</v>
      </c>
      <c r="F138" s="629">
        <v>48.5</v>
      </c>
      <c r="G138" s="629">
        <v>4850</v>
      </c>
      <c r="H138" s="614" t="s">
        <v>1338</v>
      </c>
      <c r="I138" s="616">
        <v>0</v>
      </c>
      <c r="J138" s="616">
        <v>2.67</v>
      </c>
      <c r="K138" s="616">
        <v>0.1</v>
      </c>
      <c r="L138" s="616">
        <v>0.01</v>
      </c>
      <c r="M138" s="616">
        <v>190</v>
      </c>
      <c r="N138" s="616">
        <v>19.57</v>
      </c>
      <c r="O138" s="616">
        <v>212.35</v>
      </c>
    </row>
    <row r="139" spans="1:15" x14ac:dyDescent="0.3">
      <c r="A139" s="615">
        <v>39975</v>
      </c>
      <c r="B139" s="614" t="s">
        <v>1335</v>
      </c>
      <c r="C139" s="614" t="s">
        <v>201</v>
      </c>
      <c r="D139" s="614" t="s">
        <v>197</v>
      </c>
      <c r="E139" s="614">
        <v>50</v>
      </c>
      <c r="F139" s="629">
        <v>28.4</v>
      </c>
      <c r="G139" s="629">
        <v>1420</v>
      </c>
      <c r="H139" s="614" t="s">
        <v>1336</v>
      </c>
      <c r="I139" s="616">
        <v>0</v>
      </c>
      <c r="J139" s="616">
        <v>0.78</v>
      </c>
      <c r="K139" s="616">
        <v>0.03</v>
      </c>
      <c r="L139" s="616">
        <v>0</v>
      </c>
      <c r="M139" s="616">
        <v>95</v>
      </c>
      <c r="N139" s="616">
        <v>9.7799999999999994</v>
      </c>
      <c r="O139" s="616">
        <v>105.59</v>
      </c>
    </row>
    <row r="140" spans="1:15" x14ac:dyDescent="0.3">
      <c r="A140" s="615">
        <v>39967</v>
      </c>
      <c r="B140" s="614" t="s">
        <v>1382</v>
      </c>
      <c r="C140" s="614" t="s">
        <v>201</v>
      </c>
      <c r="D140" s="614" t="s">
        <v>197</v>
      </c>
      <c r="E140" s="614">
        <v>1400</v>
      </c>
      <c r="F140" s="629">
        <v>1.5</v>
      </c>
      <c r="G140" s="629">
        <v>2100</v>
      </c>
      <c r="H140" s="614" t="s">
        <v>1383</v>
      </c>
      <c r="I140" s="616">
        <v>0</v>
      </c>
      <c r="J140" s="616">
        <v>1.1499999999999999</v>
      </c>
      <c r="K140" s="616">
        <v>0.04</v>
      </c>
      <c r="L140" s="616">
        <v>0</v>
      </c>
      <c r="M140" s="616">
        <v>95</v>
      </c>
      <c r="N140" s="616">
        <v>9.7799999999999994</v>
      </c>
      <c r="O140" s="616">
        <v>105.97</v>
      </c>
    </row>
    <row r="141" spans="1:15" x14ac:dyDescent="0.3">
      <c r="A141" s="615">
        <v>39966</v>
      </c>
      <c r="B141" s="614" t="s">
        <v>1333</v>
      </c>
      <c r="C141" s="614" t="s">
        <v>201</v>
      </c>
      <c r="D141" s="614" t="s">
        <v>197</v>
      </c>
      <c r="E141" s="614">
        <v>100</v>
      </c>
      <c r="F141" s="629">
        <v>24.2</v>
      </c>
      <c r="G141" s="629">
        <v>2420</v>
      </c>
      <c r="H141" s="614" t="s">
        <v>1334</v>
      </c>
      <c r="I141" s="616">
        <v>0</v>
      </c>
      <c r="J141" s="616">
        <v>1.34</v>
      </c>
      <c r="K141" s="616">
        <v>0.04</v>
      </c>
      <c r="L141" s="616">
        <v>0</v>
      </c>
      <c r="M141" s="616">
        <v>190</v>
      </c>
      <c r="N141" s="616">
        <v>19.559999999999999</v>
      </c>
      <c r="O141" s="616">
        <v>210.94</v>
      </c>
    </row>
    <row r="142" spans="1:15" x14ac:dyDescent="0.3">
      <c r="A142" s="615">
        <v>39962</v>
      </c>
      <c r="B142" s="614" t="s">
        <v>1331</v>
      </c>
      <c r="C142" s="614" t="s">
        <v>201</v>
      </c>
      <c r="D142" s="614" t="s">
        <v>197</v>
      </c>
      <c r="E142" s="614">
        <v>50</v>
      </c>
      <c r="F142" s="629">
        <v>49.3</v>
      </c>
      <c r="G142" s="629">
        <v>2465</v>
      </c>
      <c r="H142" s="614" t="s">
        <v>1332</v>
      </c>
      <c r="I142" s="616">
        <v>0</v>
      </c>
      <c r="J142" s="616">
        <v>1.23</v>
      </c>
      <c r="K142" s="616">
        <v>0.05</v>
      </c>
      <c r="L142" s="616">
        <v>0</v>
      </c>
      <c r="M142" s="616">
        <v>95</v>
      </c>
      <c r="N142" s="616">
        <v>9.7799999999999994</v>
      </c>
      <c r="O142" s="616">
        <v>106.06</v>
      </c>
    </row>
    <row r="143" spans="1:15" x14ac:dyDescent="0.3">
      <c r="A143" s="615">
        <v>39959</v>
      </c>
      <c r="B143" s="614" t="s">
        <v>3855</v>
      </c>
      <c r="C143" s="614" t="s">
        <v>201</v>
      </c>
      <c r="D143" s="614" t="s">
        <v>197</v>
      </c>
      <c r="E143" s="614">
        <v>1625</v>
      </c>
      <c r="F143" s="629">
        <v>1.55</v>
      </c>
      <c r="G143" s="629">
        <v>2518.75</v>
      </c>
      <c r="H143" s="614" t="s">
        <v>1370</v>
      </c>
      <c r="I143" s="616">
        <v>0</v>
      </c>
      <c r="J143" s="616">
        <v>1.26</v>
      </c>
      <c r="K143" s="616">
        <v>0.05</v>
      </c>
      <c r="L143" s="616">
        <v>0.01</v>
      </c>
      <c r="M143" s="616">
        <v>95</v>
      </c>
      <c r="N143" s="616">
        <v>9.7799999999999994</v>
      </c>
      <c r="O143" s="616">
        <v>106.1</v>
      </c>
    </row>
    <row r="144" spans="1:15" x14ac:dyDescent="0.3">
      <c r="A144" s="615">
        <v>39953</v>
      </c>
      <c r="B144" s="614" t="s">
        <v>3854</v>
      </c>
      <c r="C144" s="614" t="s">
        <v>201</v>
      </c>
      <c r="D144" s="614" t="s">
        <v>197</v>
      </c>
      <c r="E144" s="614">
        <v>1625</v>
      </c>
      <c r="F144" s="629">
        <v>0.75</v>
      </c>
      <c r="G144" s="629">
        <v>1218.75</v>
      </c>
      <c r="H144" s="614" t="s">
        <v>1364</v>
      </c>
      <c r="I144" s="616">
        <v>0</v>
      </c>
      <c r="J144" s="616">
        <v>0.61</v>
      </c>
      <c r="K144" s="616">
        <v>0.02</v>
      </c>
      <c r="L144" s="616">
        <v>0</v>
      </c>
      <c r="M144" s="616">
        <v>95</v>
      </c>
      <c r="N144" s="616">
        <v>9.7799999999999994</v>
      </c>
      <c r="O144" s="616">
        <v>105.41</v>
      </c>
    </row>
    <row r="145" spans="1:15" x14ac:dyDescent="0.3">
      <c r="A145" s="615">
        <v>39947</v>
      </c>
      <c r="B145" s="614" t="s">
        <v>3856</v>
      </c>
      <c r="C145" s="614" t="s">
        <v>201</v>
      </c>
      <c r="D145" s="614" t="s">
        <v>197</v>
      </c>
      <c r="E145" s="614">
        <v>1625</v>
      </c>
      <c r="F145" s="629">
        <v>1.7</v>
      </c>
      <c r="G145" s="629">
        <v>2762.5</v>
      </c>
      <c r="H145" s="614" t="s">
        <v>1362</v>
      </c>
      <c r="I145" s="616">
        <v>0</v>
      </c>
      <c r="J145" s="616">
        <v>1.38</v>
      </c>
      <c r="K145" s="616">
        <v>0.06</v>
      </c>
      <c r="L145" s="616">
        <v>0.01</v>
      </c>
      <c r="M145" s="616">
        <v>95</v>
      </c>
      <c r="N145" s="616">
        <v>9.7799999999999994</v>
      </c>
      <c r="O145" s="616">
        <v>106.23</v>
      </c>
    </row>
    <row r="146" spans="1:15" x14ac:dyDescent="0.3">
      <c r="A146" s="615">
        <v>39944</v>
      </c>
      <c r="B146" s="614" t="s">
        <v>3857</v>
      </c>
      <c r="C146" s="614" t="s">
        <v>201</v>
      </c>
      <c r="D146" s="614" t="s">
        <v>197</v>
      </c>
      <c r="E146" s="614">
        <v>1625</v>
      </c>
      <c r="F146" s="629">
        <v>3.8</v>
      </c>
      <c r="G146" s="629">
        <v>6175</v>
      </c>
      <c r="H146" s="614" t="s">
        <v>1361</v>
      </c>
      <c r="I146" s="616">
        <v>0</v>
      </c>
      <c r="J146" s="616">
        <v>3.09</v>
      </c>
      <c r="K146" s="616">
        <v>0.12</v>
      </c>
      <c r="L146" s="616">
        <v>0.01</v>
      </c>
      <c r="M146" s="616">
        <v>95</v>
      </c>
      <c r="N146" s="616">
        <v>9.7799999999999994</v>
      </c>
      <c r="O146" s="616">
        <v>108</v>
      </c>
    </row>
    <row r="147" spans="1:15" x14ac:dyDescent="0.3">
      <c r="A147" s="615">
        <v>39941</v>
      </c>
      <c r="B147" s="614" t="s">
        <v>3856</v>
      </c>
      <c r="C147" s="614" t="s">
        <v>201</v>
      </c>
      <c r="D147" s="614" t="s">
        <v>197</v>
      </c>
      <c r="E147" s="614">
        <v>1625</v>
      </c>
      <c r="F147" s="629">
        <v>2.7</v>
      </c>
      <c r="G147" s="629">
        <v>4387.5</v>
      </c>
      <c r="H147" s="614" t="s">
        <v>1359</v>
      </c>
      <c r="I147" s="616">
        <v>0</v>
      </c>
      <c r="J147" s="616">
        <v>2.19</v>
      </c>
      <c r="K147" s="616">
        <v>0.09</v>
      </c>
      <c r="L147" s="616">
        <v>0.01</v>
      </c>
      <c r="M147" s="616">
        <v>95</v>
      </c>
      <c r="N147" s="616">
        <v>9.7799999999999994</v>
      </c>
      <c r="O147" s="616">
        <v>107.07</v>
      </c>
    </row>
    <row r="148" spans="1:15" x14ac:dyDescent="0.3">
      <c r="A148" s="615">
        <v>39932</v>
      </c>
      <c r="B148" s="614" t="s">
        <v>1329</v>
      </c>
      <c r="C148" s="614" t="s">
        <v>201</v>
      </c>
      <c r="D148" s="614" t="s">
        <v>197</v>
      </c>
      <c r="E148" s="614">
        <v>50</v>
      </c>
      <c r="F148" s="629">
        <v>131</v>
      </c>
      <c r="G148" s="629">
        <v>6550</v>
      </c>
      <c r="H148" s="614" t="s">
        <v>1330</v>
      </c>
      <c r="I148" s="616">
        <v>0</v>
      </c>
      <c r="J148" s="616">
        <v>3.28</v>
      </c>
      <c r="K148" s="616">
        <v>0.13</v>
      </c>
      <c r="L148" s="616">
        <v>0.01</v>
      </c>
      <c r="M148" s="616">
        <v>95</v>
      </c>
      <c r="N148" s="616">
        <v>9.7799999999999994</v>
      </c>
      <c r="O148" s="616">
        <v>108.2</v>
      </c>
    </row>
    <row r="149" spans="1:15" x14ac:dyDescent="0.3">
      <c r="A149" s="615">
        <v>39932</v>
      </c>
      <c r="B149" s="614" t="s">
        <v>1301</v>
      </c>
      <c r="C149" s="614" t="s">
        <v>201</v>
      </c>
      <c r="D149" s="614" t="s">
        <v>197</v>
      </c>
      <c r="E149" s="614">
        <v>50</v>
      </c>
      <c r="F149" s="629">
        <v>6.75</v>
      </c>
      <c r="G149" s="629">
        <v>337.5</v>
      </c>
      <c r="H149" s="614" t="s">
        <v>1328</v>
      </c>
      <c r="I149" s="616">
        <v>0</v>
      </c>
      <c r="J149" s="616">
        <v>0.17</v>
      </c>
      <c r="K149" s="616">
        <v>0.01</v>
      </c>
      <c r="L149" s="616">
        <v>0</v>
      </c>
      <c r="M149" s="616">
        <v>95</v>
      </c>
      <c r="N149" s="616">
        <v>9.7799999999999994</v>
      </c>
      <c r="O149" s="616">
        <v>104.96</v>
      </c>
    </row>
    <row r="150" spans="1:15" x14ac:dyDescent="0.3">
      <c r="A150" s="615">
        <v>39932</v>
      </c>
      <c r="B150" s="614" t="s">
        <v>1301</v>
      </c>
      <c r="C150" s="614" t="s">
        <v>201</v>
      </c>
      <c r="D150" s="614" t="s">
        <v>197</v>
      </c>
      <c r="E150" s="614">
        <v>50</v>
      </c>
      <c r="F150" s="629">
        <v>7</v>
      </c>
      <c r="G150" s="629">
        <v>350</v>
      </c>
      <c r="H150" s="614" t="s">
        <v>1310</v>
      </c>
      <c r="I150" s="616">
        <v>0</v>
      </c>
      <c r="J150" s="616">
        <v>0.18</v>
      </c>
      <c r="K150" s="616">
        <v>0.01</v>
      </c>
      <c r="L150" s="616">
        <v>0</v>
      </c>
      <c r="M150" s="616">
        <v>95</v>
      </c>
      <c r="N150" s="616">
        <v>9.7799999999999994</v>
      </c>
      <c r="O150" s="616">
        <v>104.97</v>
      </c>
    </row>
    <row r="151" spans="1:15" x14ac:dyDescent="0.3">
      <c r="A151" s="615">
        <v>39932</v>
      </c>
      <c r="B151" s="614" t="s">
        <v>1301</v>
      </c>
      <c r="C151" s="614" t="s">
        <v>201</v>
      </c>
      <c r="D151" s="614" t="s">
        <v>197</v>
      </c>
      <c r="E151" s="614">
        <v>100</v>
      </c>
      <c r="F151" s="629">
        <v>6.25</v>
      </c>
      <c r="G151" s="629">
        <v>625</v>
      </c>
      <c r="H151" s="614" t="s">
        <v>1309</v>
      </c>
      <c r="I151" s="616">
        <v>0</v>
      </c>
      <c r="J151" s="616">
        <v>0.31</v>
      </c>
      <c r="K151" s="616">
        <v>0.01</v>
      </c>
      <c r="L151" s="616">
        <v>0</v>
      </c>
      <c r="M151" s="616">
        <v>190</v>
      </c>
      <c r="N151" s="616">
        <v>19.57</v>
      </c>
      <c r="O151" s="616">
        <v>209.89</v>
      </c>
    </row>
    <row r="152" spans="1:15" x14ac:dyDescent="0.3">
      <c r="A152" s="615">
        <v>39927</v>
      </c>
      <c r="B152" s="614" t="s">
        <v>1307</v>
      </c>
      <c r="C152" s="614" t="s">
        <v>201</v>
      </c>
      <c r="D152" s="614" t="s">
        <v>197</v>
      </c>
      <c r="E152" s="614">
        <v>50</v>
      </c>
      <c r="F152" s="629">
        <v>66</v>
      </c>
      <c r="G152" s="629">
        <v>3300</v>
      </c>
      <c r="H152" s="614" t="s">
        <v>1308</v>
      </c>
      <c r="I152" s="616">
        <v>0</v>
      </c>
      <c r="J152" s="616">
        <v>1.65</v>
      </c>
      <c r="K152" s="616">
        <v>7.0000000000000007E-2</v>
      </c>
      <c r="L152" s="616">
        <v>0.01</v>
      </c>
      <c r="M152" s="616">
        <v>95</v>
      </c>
      <c r="N152" s="616">
        <v>9.7799999999999994</v>
      </c>
      <c r="O152" s="616">
        <v>106.51</v>
      </c>
    </row>
    <row r="153" spans="1:15" x14ac:dyDescent="0.3">
      <c r="A153" s="615">
        <v>39927</v>
      </c>
      <c r="B153" s="614" t="s">
        <v>1301</v>
      </c>
      <c r="C153" s="614" t="s">
        <v>201</v>
      </c>
      <c r="D153" s="614" t="s">
        <v>197</v>
      </c>
      <c r="E153" s="614">
        <v>100</v>
      </c>
      <c r="F153" s="629">
        <v>29.5</v>
      </c>
      <c r="G153" s="629">
        <v>2950</v>
      </c>
      <c r="H153" s="614" t="s">
        <v>1306</v>
      </c>
      <c r="I153" s="616">
        <v>0</v>
      </c>
      <c r="J153" s="616">
        <v>1.48</v>
      </c>
      <c r="K153" s="616">
        <v>0.06</v>
      </c>
      <c r="L153" s="616">
        <v>0.01</v>
      </c>
      <c r="M153" s="616">
        <v>190</v>
      </c>
      <c r="N153" s="616">
        <v>19.57</v>
      </c>
      <c r="O153" s="616">
        <v>211.12</v>
      </c>
    </row>
    <row r="154" spans="1:15" x14ac:dyDescent="0.3">
      <c r="A154" s="615">
        <v>39926</v>
      </c>
      <c r="B154" s="614" t="s">
        <v>1295</v>
      </c>
      <c r="C154" s="614" t="s">
        <v>201</v>
      </c>
      <c r="D154" s="614" t="s">
        <v>197</v>
      </c>
      <c r="E154" s="614">
        <v>50</v>
      </c>
      <c r="F154" s="629">
        <v>56</v>
      </c>
      <c r="G154" s="629">
        <v>2800</v>
      </c>
      <c r="H154" s="614" t="s">
        <v>1305</v>
      </c>
      <c r="I154" s="616">
        <v>0</v>
      </c>
      <c r="J154" s="616">
        <v>1.4</v>
      </c>
      <c r="K154" s="616">
        <v>0.06</v>
      </c>
      <c r="L154" s="616">
        <v>0.01</v>
      </c>
      <c r="M154" s="616">
        <v>95</v>
      </c>
      <c r="N154" s="616">
        <v>9.7799999999999994</v>
      </c>
      <c r="O154" s="616">
        <v>106.25</v>
      </c>
    </row>
    <row r="155" spans="1:15" x14ac:dyDescent="0.3">
      <c r="A155" s="615">
        <v>39926</v>
      </c>
      <c r="B155" s="614" t="s">
        <v>1380</v>
      </c>
      <c r="C155" s="614" t="s">
        <v>201</v>
      </c>
      <c r="D155" s="614" t="s">
        <v>197</v>
      </c>
      <c r="E155" s="614">
        <v>1600</v>
      </c>
      <c r="F155" s="629">
        <v>1.5</v>
      </c>
      <c r="G155" s="629">
        <v>2400</v>
      </c>
      <c r="H155" s="614" t="s">
        <v>1381</v>
      </c>
      <c r="I155" s="616">
        <v>0</v>
      </c>
      <c r="J155" s="616">
        <v>1.2</v>
      </c>
      <c r="K155" s="616">
        <v>0.05</v>
      </c>
      <c r="L155" s="616">
        <v>0</v>
      </c>
      <c r="M155" s="616">
        <v>95</v>
      </c>
      <c r="N155" s="616">
        <v>9.7799999999999994</v>
      </c>
      <c r="O155" s="616">
        <v>106.03</v>
      </c>
    </row>
    <row r="156" spans="1:15" x14ac:dyDescent="0.3">
      <c r="A156" s="615">
        <v>39924</v>
      </c>
      <c r="B156" s="614" t="s">
        <v>1378</v>
      </c>
      <c r="C156" s="614" t="s">
        <v>201</v>
      </c>
      <c r="D156" s="614" t="s">
        <v>197</v>
      </c>
      <c r="E156" s="614">
        <v>1600</v>
      </c>
      <c r="F156" s="629">
        <v>1.3</v>
      </c>
      <c r="G156" s="629">
        <v>2080</v>
      </c>
      <c r="H156" s="614" t="s">
        <v>1379</v>
      </c>
      <c r="I156" s="616">
        <v>0</v>
      </c>
      <c r="J156" s="616">
        <v>1.04</v>
      </c>
      <c r="K156" s="616">
        <v>0.04</v>
      </c>
      <c r="L156" s="616">
        <v>0</v>
      </c>
      <c r="M156" s="616">
        <v>95</v>
      </c>
      <c r="N156" s="616">
        <v>9.7799999999999994</v>
      </c>
      <c r="O156" s="616">
        <v>105.86</v>
      </c>
    </row>
    <row r="157" spans="1:15" x14ac:dyDescent="0.3">
      <c r="A157" s="615">
        <v>39923</v>
      </c>
      <c r="B157" s="614" t="s">
        <v>1303</v>
      </c>
      <c r="C157" s="614" t="s">
        <v>201</v>
      </c>
      <c r="D157" s="614" t="s">
        <v>197</v>
      </c>
      <c r="E157" s="614">
        <v>50</v>
      </c>
      <c r="F157" s="629">
        <v>64</v>
      </c>
      <c r="G157" s="629">
        <v>3200</v>
      </c>
      <c r="H157" s="614" t="s">
        <v>1304</v>
      </c>
      <c r="I157" s="616">
        <v>0</v>
      </c>
      <c r="J157" s="616">
        <v>1.6</v>
      </c>
      <c r="K157" s="616">
        <v>0.06</v>
      </c>
      <c r="L157" s="616">
        <v>0.01</v>
      </c>
      <c r="M157" s="616">
        <v>15</v>
      </c>
      <c r="N157" s="616">
        <v>1.55</v>
      </c>
      <c r="O157" s="616">
        <v>18.22</v>
      </c>
    </row>
    <row r="158" spans="1:15" x14ac:dyDescent="0.3">
      <c r="A158" s="615">
        <v>39918</v>
      </c>
      <c r="B158" s="614" t="s">
        <v>1301</v>
      </c>
      <c r="C158" s="614" t="s">
        <v>201</v>
      </c>
      <c r="D158" s="614" t="s">
        <v>197</v>
      </c>
      <c r="E158" s="614">
        <v>50</v>
      </c>
      <c r="F158" s="629">
        <v>74</v>
      </c>
      <c r="G158" s="629">
        <v>3700</v>
      </c>
      <c r="H158" s="614" t="s">
        <v>1302</v>
      </c>
      <c r="I158" s="616">
        <v>0</v>
      </c>
      <c r="J158" s="616">
        <v>1.85</v>
      </c>
      <c r="K158" s="616">
        <v>7.0000000000000007E-2</v>
      </c>
      <c r="L158" s="616">
        <v>0.01</v>
      </c>
      <c r="M158" s="616">
        <v>95</v>
      </c>
      <c r="N158" s="616">
        <v>9.7799999999999994</v>
      </c>
      <c r="O158" s="616">
        <v>106.71</v>
      </c>
    </row>
    <row r="159" spans="1:15" x14ac:dyDescent="0.3">
      <c r="A159" s="615">
        <v>39916</v>
      </c>
      <c r="B159" s="614" t="s">
        <v>1299</v>
      </c>
      <c r="C159" s="614" t="s">
        <v>201</v>
      </c>
      <c r="D159" s="614" t="s">
        <v>197</v>
      </c>
      <c r="E159" s="614">
        <v>50</v>
      </c>
      <c r="F159" s="629">
        <v>55.15</v>
      </c>
      <c r="G159" s="629">
        <v>2757.5</v>
      </c>
      <c r="H159" s="614" t="s">
        <v>1300</v>
      </c>
      <c r="I159" s="616">
        <v>0</v>
      </c>
      <c r="J159" s="616">
        <v>1.38</v>
      </c>
      <c r="K159" s="616">
        <v>0.06</v>
      </c>
      <c r="L159" s="616">
        <v>0.01</v>
      </c>
      <c r="M159" s="616">
        <v>95</v>
      </c>
      <c r="N159" s="616">
        <v>9.7799999999999994</v>
      </c>
      <c r="O159" s="616">
        <v>106.23</v>
      </c>
    </row>
    <row r="160" spans="1:15" x14ac:dyDescent="0.3">
      <c r="A160" s="615">
        <v>39916</v>
      </c>
      <c r="B160" s="614" t="s">
        <v>1295</v>
      </c>
      <c r="C160" s="614" t="s">
        <v>201</v>
      </c>
      <c r="D160" s="614" t="s">
        <v>197</v>
      </c>
      <c r="E160" s="614">
        <v>50</v>
      </c>
      <c r="F160" s="629">
        <v>71.5</v>
      </c>
      <c r="G160" s="629">
        <v>3575</v>
      </c>
      <c r="H160" s="614" t="s">
        <v>1298</v>
      </c>
      <c r="I160" s="616">
        <v>0</v>
      </c>
      <c r="J160" s="616">
        <v>1.79</v>
      </c>
      <c r="K160" s="616">
        <v>7.0000000000000007E-2</v>
      </c>
      <c r="L160" s="616">
        <v>0.01</v>
      </c>
      <c r="M160" s="616">
        <v>15</v>
      </c>
      <c r="N160" s="616">
        <v>1.55</v>
      </c>
      <c r="O160" s="616">
        <v>18.420000000000002</v>
      </c>
    </row>
    <row r="161" spans="1:15" x14ac:dyDescent="0.3">
      <c r="A161" s="615">
        <v>39912</v>
      </c>
      <c r="B161" s="614" t="s">
        <v>1295</v>
      </c>
      <c r="C161" s="614" t="s">
        <v>201</v>
      </c>
      <c r="D161" s="614" t="s">
        <v>197</v>
      </c>
      <c r="E161" s="614">
        <v>50</v>
      </c>
      <c r="F161" s="629">
        <v>73.5</v>
      </c>
      <c r="G161" s="629">
        <v>3675</v>
      </c>
      <c r="H161" s="614" t="s">
        <v>1297</v>
      </c>
      <c r="I161" s="616">
        <v>0</v>
      </c>
      <c r="J161" s="616">
        <v>1.84</v>
      </c>
      <c r="K161" s="616">
        <v>7.0000000000000007E-2</v>
      </c>
      <c r="L161" s="616">
        <v>0.01</v>
      </c>
      <c r="M161" s="616">
        <v>15</v>
      </c>
      <c r="N161" s="616">
        <v>1.55</v>
      </c>
      <c r="O161" s="616">
        <v>18.47</v>
      </c>
    </row>
    <row r="162" spans="1:15" x14ac:dyDescent="0.3">
      <c r="A162" s="615">
        <v>39911</v>
      </c>
      <c r="B162" s="614" t="s">
        <v>1295</v>
      </c>
      <c r="C162" s="614" t="s">
        <v>201</v>
      </c>
      <c r="D162" s="614" t="s">
        <v>197</v>
      </c>
      <c r="E162" s="614">
        <v>50</v>
      </c>
      <c r="F162" s="629">
        <v>95.8</v>
      </c>
      <c r="G162" s="629">
        <v>4790</v>
      </c>
      <c r="H162" s="614" t="s">
        <v>1296</v>
      </c>
      <c r="I162" s="616">
        <v>0</v>
      </c>
      <c r="J162" s="616">
        <v>2.4</v>
      </c>
      <c r="K162" s="616">
        <v>0.1</v>
      </c>
      <c r="L162" s="616">
        <v>0.01</v>
      </c>
      <c r="M162" s="616">
        <v>95</v>
      </c>
      <c r="N162" s="616">
        <v>9.7799999999999994</v>
      </c>
      <c r="O162" s="616">
        <v>107.29</v>
      </c>
    </row>
    <row r="163" spans="1:15" x14ac:dyDescent="0.3">
      <c r="A163" s="615">
        <v>39895</v>
      </c>
      <c r="B163" s="614" t="s">
        <v>1926</v>
      </c>
      <c r="C163" s="614" t="s">
        <v>201</v>
      </c>
      <c r="D163" s="614" t="s">
        <v>197</v>
      </c>
      <c r="E163" s="614">
        <v>50</v>
      </c>
      <c r="F163" s="629">
        <v>181</v>
      </c>
      <c r="G163" s="629">
        <v>9050</v>
      </c>
      <c r="H163" s="614" t="s">
        <v>1927</v>
      </c>
      <c r="I163" s="616">
        <v>0</v>
      </c>
      <c r="J163" s="616">
        <v>4.53</v>
      </c>
      <c r="K163" s="616">
        <v>0.18</v>
      </c>
      <c r="L163" s="616">
        <v>0.02</v>
      </c>
      <c r="M163" s="616">
        <v>95</v>
      </c>
      <c r="N163" s="616">
        <v>9.7799999999999994</v>
      </c>
      <c r="O163" s="616">
        <v>109.51</v>
      </c>
    </row>
    <row r="164" spans="1:15" x14ac:dyDescent="0.3">
      <c r="A164" s="615">
        <v>39885</v>
      </c>
      <c r="B164" s="614" t="s">
        <v>1924</v>
      </c>
      <c r="C164" s="614" t="s">
        <v>201</v>
      </c>
      <c r="D164" s="614" t="s">
        <v>197</v>
      </c>
      <c r="E164" s="614">
        <v>100</v>
      </c>
      <c r="F164" s="629">
        <v>25.5</v>
      </c>
      <c r="G164" s="629">
        <v>2550</v>
      </c>
      <c r="H164" s="614" t="s">
        <v>1925</v>
      </c>
      <c r="I164" s="616">
        <v>0</v>
      </c>
      <c r="J164" s="616">
        <v>1.28</v>
      </c>
      <c r="K164" s="616">
        <v>0.05</v>
      </c>
      <c r="L164" s="616">
        <v>0.01</v>
      </c>
      <c r="M164" s="616">
        <v>190</v>
      </c>
      <c r="N164" s="616">
        <v>19.57</v>
      </c>
      <c r="O164" s="616">
        <v>210.91</v>
      </c>
    </row>
    <row r="165" spans="1:15" x14ac:dyDescent="0.3">
      <c r="A165" s="615">
        <v>39885</v>
      </c>
      <c r="B165" s="614" t="s">
        <v>1909</v>
      </c>
      <c r="C165" s="614" t="s">
        <v>201</v>
      </c>
      <c r="D165" s="614" t="s">
        <v>197</v>
      </c>
      <c r="E165" s="614">
        <v>150</v>
      </c>
      <c r="F165" s="629">
        <v>14.4</v>
      </c>
      <c r="G165" s="629">
        <v>2160</v>
      </c>
      <c r="H165" s="614" t="s">
        <v>1923</v>
      </c>
      <c r="I165" s="616">
        <v>0</v>
      </c>
      <c r="J165" s="616">
        <v>1.08</v>
      </c>
      <c r="K165" s="616">
        <v>0.04</v>
      </c>
      <c r="L165" s="616">
        <v>0</v>
      </c>
      <c r="M165" s="616">
        <v>285</v>
      </c>
      <c r="N165" s="616">
        <v>29.36</v>
      </c>
      <c r="O165" s="616">
        <v>315.48</v>
      </c>
    </row>
    <row r="166" spans="1:15" x14ac:dyDescent="0.3">
      <c r="A166" s="615">
        <v>39884</v>
      </c>
      <c r="B166" s="614" t="s">
        <v>1918</v>
      </c>
      <c r="C166" s="614" t="s">
        <v>201</v>
      </c>
      <c r="D166" s="614" t="s">
        <v>197</v>
      </c>
      <c r="E166" s="614">
        <v>150</v>
      </c>
      <c r="F166" s="629">
        <v>6.7</v>
      </c>
      <c r="G166" s="629">
        <v>1005</v>
      </c>
      <c r="H166" s="614" t="s">
        <v>1922</v>
      </c>
      <c r="I166" s="616">
        <v>0</v>
      </c>
      <c r="J166" s="616">
        <v>0.51</v>
      </c>
      <c r="K166" s="616">
        <v>0.03</v>
      </c>
      <c r="L166" s="616">
        <v>0</v>
      </c>
      <c r="M166" s="616">
        <v>285</v>
      </c>
      <c r="N166" s="616">
        <v>29.34</v>
      </c>
      <c r="O166" s="616">
        <v>314.88</v>
      </c>
    </row>
    <row r="167" spans="1:15" x14ac:dyDescent="0.3">
      <c r="A167" s="615">
        <v>39884</v>
      </c>
      <c r="B167" s="614" t="s">
        <v>1909</v>
      </c>
      <c r="C167" s="614" t="s">
        <v>201</v>
      </c>
      <c r="D167" s="614" t="s">
        <v>197</v>
      </c>
      <c r="E167" s="614">
        <v>50</v>
      </c>
      <c r="F167" s="629">
        <v>30.6</v>
      </c>
      <c r="G167" s="629">
        <v>1530</v>
      </c>
      <c r="H167" s="614" t="s">
        <v>1921</v>
      </c>
      <c r="I167" s="616">
        <v>0</v>
      </c>
      <c r="J167" s="616">
        <v>0.77</v>
      </c>
      <c r="K167" s="616">
        <v>0.03</v>
      </c>
      <c r="L167" s="616">
        <v>0</v>
      </c>
      <c r="M167" s="616">
        <v>95</v>
      </c>
      <c r="N167" s="616">
        <v>9.7799999999999994</v>
      </c>
      <c r="O167" s="616">
        <v>105.58</v>
      </c>
    </row>
    <row r="168" spans="1:15" x14ac:dyDescent="0.3">
      <c r="A168" s="615">
        <v>39878</v>
      </c>
      <c r="B168" s="614" t="s">
        <v>1909</v>
      </c>
      <c r="C168" s="614" t="s">
        <v>201</v>
      </c>
      <c r="D168" s="614" t="s">
        <v>197</v>
      </c>
      <c r="E168" s="614">
        <v>50</v>
      </c>
      <c r="F168" s="629">
        <v>43.2</v>
      </c>
      <c r="G168" s="629">
        <v>2160</v>
      </c>
      <c r="H168" s="614" t="s">
        <v>1920</v>
      </c>
      <c r="I168" s="616">
        <v>0</v>
      </c>
      <c r="J168" s="616">
        <v>1.08</v>
      </c>
      <c r="K168" s="616">
        <v>0.04</v>
      </c>
      <c r="L168" s="616">
        <v>0</v>
      </c>
      <c r="M168" s="616">
        <v>95</v>
      </c>
      <c r="N168" s="616">
        <v>9.7799999999999994</v>
      </c>
      <c r="O168" s="616">
        <v>105.9</v>
      </c>
    </row>
    <row r="169" spans="1:15" x14ac:dyDescent="0.3">
      <c r="A169" s="615">
        <v>39878</v>
      </c>
      <c r="B169" s="614" t="s">
        <v>1918</v>
      </c>
      <c r="C169" s="614" t="s">
        <v>201</v>
      </c>
      <c r="D169" s="614" t="s">
        <v>197</v>
      </c>
      <c r="E169" s="614">
        <v>100</v>
      </c>
      <c r="F169" s="629">
        <v>14.85</v>
      </c>
      <c r="G169" s="629">
        <v>1485</v>
      </c>
      <c r="H169" s="614" t="s">
        <v>1919</v>
      </c>
      <c r="I169" s="616">
        <v>0</v>
      </c>
      <c r="J169" s="616">
        <v>0.74</v>
      </c>
      <c r="K169" s="616">
        <v>0.03</v>
      </c>
      <c r="L169" s="616">
        <v>0</v>
      </c>
      <c r="M169" s="616">
        <v>190</v>
      </c>
      <c r="N169" s="616">
        <v>19.57</v>
      </c>
      <c r="O169" s="616">
        <v>210.34</v>
      </c>
    </row>
    <row r="170" spans="1:15" x14ac:dyDescent="0.3">
      <c r="A170" s="615">
        <v>39878</v>
      </c>
      <c r="B170" s="614" t="s">
        <v>1909</v>
      </c>
      <c r="C170" s="614" t="s">
        <v>201</v>
      </c>
      <c r="D170" s="614" t="s">
        <v>197</v>
      </c>
      <c r="E170" s="614">
        <v>150</v>
      </c>
      <c r="F170" s="629">
        <v>41.5</v>
      </c>
      <c r="G170" s="629">
        <v>6225</v>
      </c>
      <c r="H170" s="614" t="s">
        <v>1917</v>
      </c>
      <c r="I170" s="616">
        <v>0</v>
      </c>
      <c r="J170" s="616">
        <v>3.11</v>
      </c>
      <c r="K170" s="616">
        <v>0.12</v>
      </c>
      <c r="L170" s="616">
        <v>0.01</v>
      </c>
      <c r="M170" s="616">
        <v>285</v>
      </c>
      <c r="N170" s="616">
        <v>29.36</v>
      </c>
      <c r="O170" s="616">
        <v>317.60000000000002</v>
      </c>
    </row>
    <row r="171" spans="1:15" x14ac:dyDescent="0.3">
      <c r="A171" s="615">
        <v>39877</v>
      </c>
      <c r="B171" s="614" t="s">
        <v>1915</v>
      </c>
      <c r="C171" s="614" t="s">
        <v>201</v>
      </c>
      <c r="D171" s="614" t="s">
        <v>197</v>
      </c>
      <c r="E171" s="614">
        <v>50</v>
      </c>
      <c r="F171" s="629">
        <v>68.5</v>
      </c>
      <c r="G171" s="629">
        <v>3425</v>
      </c>
      <c r="H171" s="614" t="s">
        <v>1916</v>
      </c>
      <c r="I171" s="616">
        <v>0</v>
      </c>
      <c r="J171" s="616">
        <v>1.71</v>
      </c>
      <c r="K171" s="616">
        <v>7.0000000000000007E-2</v>
      </c>
      <c r="L171" s="616">
        <v>0.01</v>
      </c>
      <c r="M171" s="616">
        <v>95</v>
      </c>
      <c r="N171" s="616">
        <v>9.7799999999999994</v>
      </c>
      <c r="O171" s="616">
        <v>106.57</v>
      </c>
    </row>
    <row r="172" spans="1:15" x14ac:dyDescent="0.3">
      <c r="A172" s="615">
        <v>39877</v>
      </c>
      <c r="B172" s="614" t="s">
        <v>1913</v>
      </c>
      <c r="C172" s="614" t="s">
        <v>201</v>
      </c>
      <c r="D172" s="614" t="s">
        <v>197</v>
      </c>
      <c r="E172" s="614">
        <v>50</v>
      </c>
      <c r="F172" s="629">
        <v>46.1</v>
      </c>
      <c r="G172" s="629">
        <v>2305</v>
      </c>
      <c r="H172" s="614" t="s">
        <v>1914</v>
      </c>
      <c r="I172" s="616">
        <v>0</v>
      </c>
      <c r="J172" s="616">
        <v>1.1399999999999999</v>
      </c>
      <c r="K172" s="616">
        <v>0.05</v>
      </c>
      <c r="L172" s="616">
        <v>0</v>
      </c>
      <c r="M172" s="616">
        <v>95</v>
      </c>
      <c r="N172" s="616">
        <v>9.7799999999999994</v>
      </c>
      <c r="O172" s="616">
        <v>105.97</v>
      </c>
    </row>
    <row r="173" spans="1:15" x14ac:dyDescent="0.3">
      <c r="A173" s="615">
        <v>39876</v>
      </c>
      <c r="B173" s="614" t="s">
        <v>1909</v>
      </c>
      <c r="C173" s="614" t="s">
        <v>201</v>
      </c>
      <c r="D173" s="614" t="s">
        <v>197</v>
      </c>
      <c r="E173" s="614">
        <v>100</v>
      </c>
      <c r="F173" s="629">
        <v>54.8</v>
      </c>
      <c r="G173" s="629">
        <v>5480</v>
      </c>
      <c r="H173" s="614" t="s">
        <v>1912</v>
      </c>
      <c r="I173" s="616">
        <v>0</v>
      </c>
      <c r="J173" s="616">
        <v>2.74</v>
      </c>
      <c r="K173" s="616">
        <v>0.11</v>
      </c>
      <c r="L173" s="616">
        <v>0.01</v>
      </c>
      <c r="M173" s="616">
        <v>30</v>
      </c>
      <c r="N173" s="616">
        <v>3.09</v>
      </c>
      <c r="O173" s="616">
        <v>35.950000000000003</v>
      </c>
    </row>
    <row r="174" spans="1:15" x14ac:dyDescent="0.3">
      <c r="A174" s="615">
        <v>39874</v>
      </c>
      <c r="B174" s="614" t="s">
        <v>1909</v>
      </c>
      <c r="C174" s="614" t="s">
        <v>201</v>
      </c>
      <c r="D174" s="614" t="s">
        <v>197</v>
      </c>
      <c r="E174" s="614">
        <v>50</v>
      </c>
      <c r="F174" s="629">
        <v>71</v>
      </c>
      <c r="G174" s="629">
        <v>3550</v>
      </c>
      <c r="H174" s="614" t="s">
        <v>1911</v>
      </c>
      <c r="I174" s="616">
        <v>0</v>
      </c>
      <c r="J174" s="616">
        <v>1.78</v>
      </c>
      <c r="K174" s="616">
        <v>7.0000000000000007E-2</v>
      </c>
      <c r="L174" s="616">
        <v>0.01</v>
      </c>
      <c r="M174" s="616">
        <v>95</v>
      </c>
      <c r="N174" s="616">
        <v>9.7799999999999994</v>
      </c>
      <c r="O174" s="616">
        <v>106.64</v>
      </c>
    </row>
    <row r="175" spans="1:15" x14ac:dyDescent="0.3">
      <c r="A175" s="615">
        <v>39874</v>
      </c>
      <c r="B175" s="614" t="s">
        <v>1909</v>
      </c>
      <c r="C175" s="614" t="s">
        <v>201</v>
      </c>
      <c r="D175" s="614" t="s">
        <v>197</v>
      </c>
      <c r="E175" s="614">
        <v>50</v>
      </c>
      <c r="F175" s="629">
        <v>60</v>
      </c>
      <c r="G175" s="629">
        <v>3000</v>
      </c>
      <c r="H175" s="614" t="s">
        <v>1910</v>
      </c>
      <c r="I175" s="616">
        <v>0</v>
      </c>
      <c r="J175" s="616">
        <v>1.5</v>
      </c>
      <c r="K175" s="616">
        <v>0.06</v>
      </c>
      <c r="L175" s="616">
        <v>0.01</v>
      </c>
      <c r="M175" s="616">
        <v>95</v>
      </c>
      <c r="N175" s="616">
        <v>9.7799999999999994</v>
      </c>
      <c r="O175" s="616">
        <v>106.35</v>
      </c>
    </row>
    <row r="176" spans="1:15" x14ac:dyDescent="0.3">
      <c r="A176" s="615">
        <v>39864</v>
      </c>
      <c r="B176" s="614" t="s">
        <v>1903</v>
      </c>
      <c r="C176" s="614" t="s">
        <v>201</v>
      </c>
      <c r="D176" s="614" t="s">
        <v>197</v>
      </c>
      <c r="E176" s="614">
        <v>100</v>
      </c>
      <c r="F176" s="629">
        <v>12.1</v>
      </c>
      <c r="G176" s="629">
        <v>1210</v>
      </c>
      <c r="H176" s="614" t="s">
        <v>1908</v>
      </c>
      <c r="I176" s="616">
        <v>0</v>
      </c>
      <c r="J176" s="616">
        <v>0.61</v>
      </c>
      <c r="K176" s="616">
        <v>0.02</v>
      </c>
      <c r="L176" s="616">
        <v>0</v>
      </c>
      <c r="M176" s="616">
        <v>190</v>
      </c>
      <c r="N176" s="616">
        <v>23.48</v>
      </c>
      <c r="O176" s="616">
        <v>214.11</v>
      </c>
    </row>
    <row r="177" spans="1:15" x14ac:dyDescent="0.3">
      <c r="A177" s="615">
        <v>39862</v>
      </c>
      <c r="B177" s="614" t="s">
        <v>1901</v>
      </c>
      <c r="C177" s="614" t="s">
        <v>201</v>
      </c>
      <c r="D177" s="614" t="s">
        <v>197</v>
      </c>
      <c r="E177" s="614">
        <v>50</v>
      </c>
      <c r="F177" s="629">
        <v>204</v>
      </c>
      <c r="G177" s="629">
        <v>10200</v>
      </c>
      <c r="H177" s="614" t="s">
        <v>1907</v>
      </c>
      <c r="I177" s="616">
        <v>0</v>
      </c>
      <c r="J177" s="616">
        <v>5.09</v>
      </c>
      <c r="K177" s="616">
        <v>0.2</v>
      </c>
      <c r="L177" s="616">
        <v>0.02</v>
      </c>
      <c r="M177" s="616">
        <v>95</v>
      </c>
      <c r="N177" s="616">
        <v>11.74</v>
      </c>
      <c r="O177" s="616">
        <v>112.05</v>
      </c>
    </row>
    <row r="178" spans="1:15" x14ac:dyDescent="0.3">
      <c r="A178" s="615">
        <v>39862</v>
      </c>
      <c r="B178" s="614" t="s">
        <v>1905</v>
      </c>
      <c r="C178" s="614" t="s">
        <v>201</v>
      </c>
      <c r="D178" s="614" t="s">
        <v>197</v>
      </c>
      <c r="E178" s="614">
        <v>100</v>
      </c>
      <c r="F178" s="629">
        <v>13.5</v>
      </c>
      <c r="G178" s="629">
        <v>1350</v>
      </c>
      <c r="H178" s="614" t="s">
        <v>1906</v>
      </c>
      <c r="I178" s="616">
        <v>0</v>
      </c>
      <c r="J178" s="616">
        <v>0.68</v>
      </c>
      <c r="K178" s="616">
        <v>0.03</v>
      </c>
      <c r="L178" s="616">
        <v>0</v>
      </c>
      <c r="M178" s="616">
        <v>190</v>
      </c>
      <c r="N178" s="616">
        <v>23.48</v>
      </c>
      <c r="O178" s="616">
        <v>214.19</v>
      </c>
    </row>
    <row r="179" spans="1:15" x14ac:dyDescent="0.3">
      <c r="A179" s="615">
        <v>39861</v>
      </c>
      <c r="B179" s="614" t="s">
        <v>1831</v>
      </c>
      <c r="C179" s="614" t="s">
        <v>201</v>
      </c>
      <c r="D179" s="614" t="s">
        <v>197</v>
      </c>
      <c r="E179" s="614">
        <v>4300</v>
      </c>
      <c r="F179" s="629">
        <v>0.5</v>
      </c>
      <c r="G179" s="629">
        <v>2150</v>
      </c>
      <c r="H179" s="614" t="s">
        <v>1832</v>
      </c>
      <c r="I179" s="616">
        <v>0</v>
      </c>
      <c r="J179" s="616">
        <v>1.08</v>
      </c>
      <c r="K179" s="616">
        <v>0.04</v>
      </c>
      <c r="L179" s="616">
        <v>0</v>
      </c>
      <c r="M179" s="616">
        <v>95</v>
      </c>
      <c r="N179" s="616">
        <v>11.74</v>
      </c>
      <c r="O179" s="616">
        <v>107.86</v>
      </c>
    </row>
    <row r="180" spans="1:15" x14ac:dyDescent="0.3">
      <c r="A180" s="615">
        <v>39861</v>
      </c>
      <c r="B180" s="614" t="s">
        <v>1903</v>
      </c>
      <c r="C180" s="614" t="s">
        <v>201</v>
      </c>
      <c r="D180" s="614" t="s">
        <v>197</v>
      </c>
      <c r="E180" s="614">
        <v>50</v>
      </c>
      <c r="F180" s="629">
        <v>47.4</v>
      </c>
      <c r="G180" s="629">
        <v>2370</v>
      </c>
      <c r="H180" s="614" t="s">
        <v>1904</v>
      </c>
      <c r="I180" s="616">
        <v>0</v>
      </c>
      <c r="J180" s="616">
        <v>1.19</v>
      </c>
      <c r="K180" s="616">
        <v>0.05</v>
      </c>
      <c r="L180" s="616">
        <v>0</v>
      </c>
      <c r="M180" s="616">
        <v>95</v>
      </c>
      <c r="N180" s="616">
        <v>11.74</v>
      </c>
      <c r="O180" s="616">
        <v>107.98</v>
      </c>
    </row>
    <row r="181" spans="1:15" x14ac:dyDescent="0.3">
      <c r="A181" s="615">
        <v>39850</v>
      </c>
      <c r="B181" s="614" t="s">
        <v>1901</v>
      </c>
      <c r="C181" s="614" t="s">
        <v>201</v>
      </c>
      <c r="D181" s="614" t="s">
        <v>197</v>
      </c>
      <c r="E181" s="614">
        <v>50</v>
      </c>
      <c r="F181" s="629">
        <v>210</v>
      </c>
      <c r="G181" s="629">
        <v>10500</v>
      </c>
      <c r="H181" s="614" t="s">
        <v>1902</v>
      </c>
      <c r="I181" s="616">
        <v>0</v>
      </c>
      <c r="J181" s="616">
        <v>5.25</v>
      </c>
      <c r="K181" s="616">
        <v>0.21</v>
      </c>
      <c r="L181" s="616">
        <v>0.02</v>
      </c>
      <c r="M181" s="616">
        <v>95</v>
      </c>
      <c r="N181" s="616">
        <v>11.74</v>
      </c>
      <c r="O181" s="616">
        <v>112.22</v>
      </c>
    </row>
    <row r="182" spans="1:15" x14ac:dyDescent="0.3">
      <c r="A182" s="615">
        <v>39836</v>
      </c>
      <c r="B182" s="614" t="s">
        <v>1889</v>
      </c>
      <c r="C182" s="614" t="s">
        <v>201</v>
      </c>
      <c r="D182" s="614" t="s">
        <v>197</v>
      </c>
      <c r="E182" s="614">
        <v>100</v>
      </c>
      <c r="F182" s="629">
        <v>6.5</v>
      </c>
      <c r="G182" s="629">
        <v>650</v>
      </c>
      <c r="H182" s="614" t="s">
        <v>1900</v>
      </c>
      <c r="I182" s="616">
        <v>0</v>
      </c>
      <c r="J182" s="616">
        <v>0.33</v>
      </c>
      <c r="K182" s="616">
        <v>0.01</v>
      </c>
      <c r="L182" s="616">
        <v>0</v>
      </c>
      <c r="M182" s="616">
        <v>190</v>
      </c>
      <c r="N182" s="616">
        <v>23.48</v>
      </c>
      <c r="O182" s="616">
        <v>213.82</v>
      </c>
    </row>
    <row r="183" spans="1:15" x14ac:dyDescent="0.3">
      <c r="A183" s="615">
        <v>39834</v>
      </c>
      <c r="B183" s="614" t="s">
        <v>1889</v>
      </c>
      <c r="C183" s="614" t="s">
        <v>201</v>
      </c>
      <c r="D183" s="614" t="s">
        <v>197</v>
      </c>
      <c r="E183" s="614">
        <v>100</v>
      </c>
      <c r="F183" s="629">
        <v>27.83</v>
      </c>
      <c r="G183" s="629">
        <v>2782.5</v>
      </c>
      <c r="H183" s="614" t="s">
        <v>1899</v>
      </c>
      <c r="I183" s="616">
        <v>0</v>
      </c>
      <c r="J183" s="616">
        <v>1.4</v>
      </c>
      <c r="K183" s="616">
        <v>0.06</v>
      </c>
      <c r="L183" s="616">
        <v>0</v>
      </c>
      <c r="M183" s="616">
        <v>190</v>
      </c>
      <c r="N183" s="616">
        <v>23.48</v>
      </c>
      <c r="O183" s="616">
        <v>214.94</v>
      </c>
    </row>
    <row r="184" spans="1:15" x14ac:dyDescent="0.3">
      <c r="A184" s="615">
        <v>39833</v>
      </c>
      <c r="B184" s="614" t="s">
        <v>1889</v>
      </c>
      <c r="C184" s="614" t="s">
        <v>201</v>
      </c>
      <c r="D184" s="614" t="s">
        <v>197</v>
      </c>
      <c r="E184" s="614">
        <v>50</v>
      </c>
      <c r="F184" s="629">
        <v>58.2</v>
      </c>
      <c r="G184" s="629">
        <v>2910</v>
      </c>
      <c r="H184" s="614" t="s">
        <v>1898</v>
      </c>
      <c r="I184" s="616">
        <v>0</v>
      </c>
      <c r="J184" s="616">
        <v>1.46</v>
      </c>
      <c r="K184" s="616">
        <v>0.06</v>
      </c>
      <c r="L184" s="616">
        <v>0.01</v>
      </c>
      <c r="M184" s="616">
        <v>95</v>
      </c>
      <c r="N184" s="616">
        <v>11.74</v>
      </c>
      <c r="O184" s="616">
        <v>108.27</v>
      </c>
    </row>
    <row r="185" spans="1:15" x14ac:dyDescent="0.3">
      <c r="A185" s="615">
        <v>39833</v>
      </c>
      <c r="B185" s="614" t="s">
        <v>1928</v>
      </c>
      <c r="C185" s="614" t="s">
        <v>201</v>
      </c>
      <c r="D185" s="614" t="s">
        <v>197</v>
      </c>
      <c r="E185" s="614">
        <v>1200</v>
      </c>
      <c r="F185" s="629">
        <v>1.85</v>
      </c>
      <c r="G185" s="629">
        <v>2220</v>
      </c>
      <c r="H185" s="614" t="s">
        <v>1929</v>
      </c>
      <c r="I185" s="616">
        <v>0</v>
      </c>
      <c r="J185" s="616">
        <v>1.1100000000000001</v>
      </c>
      <c r="K185" s="616">
        <v>0.04</v>
      </c>
      <c r="L185" s="616">
        <v>0</v>
      </c>
      <c r="M185" s="616">
        <v>95</v>
      </c>
      <c r="N185" s="616">
        <v>11.74</v>
      </c>
      <c r="O185" s="616">
        <v>107.89</v>
      </c>
    </row>
    <row r="186" spans="1:15" x14ac:dyDescent="0.3">
      <c r="A186" s="615">
        <v>39833</v>
      </c>
      <c r="B186" s="614" t="s">
        <v>1889</v>
      </c>
      <c r="C186" s="614" t="s">
        <v>201</v>
      </c>
      <c r="D186" s="614" t="s">
        <v>197</v>
      </c>
      <c r="E186" s="614">
        <v>50</v>
      </c>
      <c r="F186" s="629">
        <v>62.1</v>
      </c>
      <c r="G186" s="629">
        <v>3105</v>
      </c>
      <c r="H186" s="614" t="s">
        <v>1897</v>
      </c>
      <c r="I186" s="616">
        <v>0</v>
      </c>
      <c r="J186" s="616">
        <v>1.55</v>
      </c>
      <c r="K186" s="616">
        <v>0.06</v>
      </c>
      <c r="L186" s="616">
        <v>0.01</v>
      </c>
      <c r="M186" s="616">
        <v>95</v>
      </c>
      <c r="N186" s="616">
        <v>11.74</v>
      </c>
      <c r="O186" s="616">
        <v>108.36</v>
      </c>
    </row>
    <row r="187" spans="1:15" x14ac:dyDescent="0.3">
      <c r="A187" s="615">
        <v>39829</v>
      </c>
      <c r="B187" s="614" t="s">
        <v>1835</v>
      </c>
      <c r="C187" s="614" t="s">
        <v>201</v>
      </c>
      <c r="D187" s="614" t="s">
        <v>197</v>
      </c>
      <c r="E187" s="614">
        <v>2400</v>
      </c>
      <c r="F187" s="629">
        <v>2</v>
      </c>
      <c r="G187" s="629">
        <v>4800</v>
      </c>
      <c r="H187" s="614" t="s">
        <v>1836</v>
      </c>
      <c r="I187" s="616">
        <v>0</v>
      </c>
      <c r="J187" s="616">
        <v>2.4</v>
      </c>
      <c r="K187" s="616">
        <v>0.1</v>
      </c>
      <c r="L187" s="616">
        <v>0.01</v>
      </c>
      <c r="M187" s="616">
        <v>95</v>
      </c>
      <c r="N187" s="616">
        <v>11.74</v>
      </c>
      <c r="O187" s="616">
        <v>109.25</v>
      </c>
    </row>
    <row r="188" spans="1:15" x14ac:dyDescent="0.3">
      <c r="A188" s="615">
        <v>39829</v>
      </c>
      <c r="B188" s="614" t="s">
        <v>1851</v>
      </c>
      <c r="C188" s="614" t="s">
        <v>201</v>
      </c>
      <c r="D188" s="614" t="s">
        <v>197</v>
      </c>
      <c r="E188" s="614">
        <v>400</v>
      </c>
      <c r="F188" s="629">
        <v>16</v>
      </c>
      <c r="G188" s="629">
        <v>6400</v>
      </c>
      <c r="H188" s="614" t="s">
        <v>1852</v>
      </c>
      <c r="I188" s="616">
        <v>0</v>
      </c>
      <c r="J188" s="616">
        <v>3.2</v>
      </c>
      <c r="K188" s="616">
        <v>0.13</v>
      </c>
      <c r="L188" s="616">
        <v>0.01</v>
      </c>
      <c r="M188" s="616">
        <v>95</v>
      </c>
      <c r="N188" s="616">
        <v>11.74</v>
      </c>
      <c r="O188" s="616">
        <v>110.08</v>
      </c>
    </row>
    <row r="189" spans="1:15" x14ac:dyDescent="0.3">
      <c r="A189" s="615">
        <v>39829</v>
      </c>
      <c r="B189" s="614" t="s">
        <v>1895</v>
      </c>
      <c r="C189" s="614" t="s">
        <v>201</v>
      </c>
      <c r="D189" s="614" t="s">
        <v>197</v>
      </c>
      <c r="E189" s="614">
        <v>50</v>
      </c>
      <c r="F189" s="629">
        <v>84.45</v>
      </c>
      <c r="G189" s="629">
        <v>4222.5</v>
      </c>
      <c r="H189" s="614" t="s">
        <v>1896</v>
      </c>
      <c r="I189" s="616">
        <v>0</v>
      </c>
      <c r="J189" s="616">
        <v>2.11</v>
      </c>
      <c r="K189" s="616">
        <v>0.08</v>
      </c>
      <c r="L189" s="616">
        <v>0.01</v>
      </c>
      <c r="M189" s="616">
        <v>95</v>
      </c>
      <c r="N189" s="616">
        <v>11.74</v>
      </c>
      <c r="O189" s="616">
        <v>108.94</v>
      </c>
    </row>
    <row r="190" spans="1:15" x14ac:dyDescent="0.3">
      <c r="A190" s="615">
        <v>39828</v>
      </c>
      <c r="B190" s="614" t="s">
        <v>1891</v>
      </c>
      <c r="C190" s="614" t="s">
        <v>201</v>
      </c>
      <c r="D190" s="614" t="s">
        <v>197</v>
      </c>
      <c r="E190" s="614">
        <v>50</v>
      </c>
      <c r="F190" s="629">
        <v>101.5</v>
      </c>
      <c r="G190" s="629">
        <v>5075</v>
      </c>
      <c r="H190" s="614" t="s">
        <v>1894</v>
      </c>
      <c r="I190" s="616">
        <v>0</v>
      </c>
      <c r="J190" s="616">
        <v>2.54</v>
      </c>
      <c r="K190" s="616">
        <v>0.1</v>
      </c>
      <c r="L190" s="616">
        <v>0.01</v>
      </c>
      <c r="M190" s="616">
        <v>15</v>
      </c>
      <c r="N190" s="616">
        <v>1.85</v>
      </c>
      <c r="O190" s="616">
        <v>19.5</v>
      </c>
    </row>
    <row r="191" spans="1:15" x14ac:dyDescent="0.3">
      <c r="A191" s="615">
        <v>39828</v>
      </c>
      <c r="B191" s="614" t="s">
        <v>1891</v>
      </c>
      <c r="C191" s="614" t="s">
        <v>201</v>
      </c>
      <c r="D191" s="614" t="s">
        <v>197</v>
      </c>
      <c r="E191" s="614">
        <v>50</v>
      </c>
      <c r="F191" s="629">
        <v>114.5</v>
      </c>
      <c r="G191" s="629">
        <v>5725</v>
      </c>
      <c r="H191" s="614" t="s">
        <v>1893</v>
      </c>
      <c r="I191" s="616">
        <v>0</v>
      </c>
      <c r="J191" s="616">
        <v>2.86</v>
      </c>
      <c r="K191" s="616">
        <v>0.11</v>
      </c>
      <c r="L191" s="616">
        <v>0.01</v>
      </c>
      <c r="M191" s="616">
        <v>15</v>
      </c>
      <c r="N191" s="616">
        <v>1.85</v>
      </c>
      <c r="O191" s="616">
        <v>19.829999999999998</v>
      </c>
    </row>
    <row r="192" spans="1:15" x14ac:dyDescent="0.3">
      <c r="A192" s="615">
        <v>39828</v>
      </c>
      <c r="B192" s="614" t="s">
        <v>1891</v>
      </c>
      <c r="C192" s="614" t="s">
        <v>201</v>
      </c>
      <c r="D192" s="614" t="s">
        <v>197</v>
      </c>
      <c r="E192" s="614">
        <v>50</v>
      </c>
      <c r="F192" s="629">
        <v>105</v>
      </c>
      <c r="G192" s="629">
        <v>5250</v>
      </c>
      <c r="H192" s="614" t="s">
        <v>1892</v>
      </c>
      <c r="I192" s="616">
        <v>0</v>
      </c>
      <c r="J192" s="616">
        <v>2.63</v>
      </c>
      <c r="K192" s="616">
        <v>0.11</v>
      </c>
      <c r="L192" s="616">
        <v>0.01</v>
      </c>
      <c r="M192" s="616">
        <v>15</v>
      </c>
      <c r="N192" s="616">
        <v>1.85</v>
      </c>
      <c r="O192" s="616">
        <v>19.600000000000001</v>
      </c>
    </row>
    <row r="193" spans="1:15" x14ac:dyDescent="0.3">
      <c r="A193" s="615">
        <v>39827</v>
      </c>
      <c r="B193" s="614" t="s">
        <v>1889</v>
      </c>
      <c r="C193" s="614" t="s">
        <v>201</v>
      </c>
      <c r="D193" s="614" t="s">
        <v>197</v>
      </c>
      <c r="E193" s="614">
        <v>50</v>
      </c>
      <c r="F193" s="629">
        <v>98</v>
      </c>
      <c r="G193" s="629">
        <v>4900</v>
      </c>
      <c r="H193" s="614" t="s">
        <v>1890</v>
      </c>
      <c r="I193" s="616">
        <v>0</v>
      </c>
      <c r="J193" s="616">
        <v>2.4500000000000002</v>
      </c>
      <c r="K193" s="616">
        <v>0.1</v>
      </c>
      <c r="L193" s="616">
        <v>0.01</v>
      </c>
      <c r="M193" s="616">
        <v>15</v>
      </c>
      <c r="N193" s="616">
        <v>1.85</v>
      </c>
      <c r="O193" s="616">
        <v>19.41</v>
      </c>
    </row>
    <row r="194" spans="1:15" x14ac:dyDescent="0.3">
      <c r="A194" s="615">
        <v>39825</v>
      </c>
      <c r="B194" s="614" t="s">
        <v>1887</v>
      </c>
      <c r="C194" s="614" t="s">
        <v>201</v>
      </c>
      <c r="D194" s="614" t="s">
        <v>197</v>
      </c>
      <c r="E194" s="614">
        <v>50</v>
      </c>
      <c r="F194" s="629">
        <v>21.1</v>
      </c>
      <c r="G194" s="629">
        <v>1055</v>
      </c>
      <c r="H194" s="614" t="s">
        <v>1888</v>
      </c>
      <c r="I194" s="616">
        <v>0</v>
      </c>
      <c r="J194" s="616">
        <v>0.53</v>
      </c>
      <c r="K194" s="616">
        <v>0.02</v>
      </c>
      <c r="L194" s="616">
        <v>0</v>
      </c>
      <c r="M194" s="616">
        <v>95</v>
      </c>
      <c r="N194" s="616">
        <v>11.74</v>
      </c>
      <c r="O194" s="616">
        <v>107.29</v>
      </c>
    </row>
    <row r="195" spans="1:15" x14ac:dyDescent="0.3">
      <c r="A195" s="615">
        <v>39822</v>
      </c>
      <c r="B195" s="614" t="s">
        <v>1885</v>
      </c>
      <c r="C195" s="614" t="s">
        <v>201</v>
      </c>
      <c r="D195" s="614" t="s">
        <v>197</v>
      </c>
      <c r="E195" s="614">
        <v>50</v>
      </c>
      <c r="F195" s="629">
        <v>20.7</v>
      </c>
      <c r="G195" s="629">
        <v>1035</v>
      </c>
      <c r="H195" s="614" t="s">
        <v>1886</v>
      </c>
      <c r="I195" s="616">
        <v>0</v>
      </c>
      <c r="J195" s="616">
        <v>0.52</v>
      </c>
      <c r="K195" s="616">
        <v>0.02</v>
      </c>
      <c r="L195" s="616">
        <v>0</v>
      </c>
      <c r="M195" s="616">
        <v>95</v>
      </c>
      <c r="N195" s="616">
        <v>11.74</v>
      </c>
      <c r="O195" s="616">
        <v>107.28</v>
      </c>
    </row>
    <row r="196" spans="1:15" x14ac:dyDescent="0.3">
      <c r="A196" s="615">
        <v>39808</v>
      </c>
      <c r="B196" s="614" t="s">
        <v>1833</v>
      </c>
      <c r="C196" s="614" t="s">
        <v>201</v>
      </c>
      <c r="D196" s="614" t="s">
        <v>197</v>
      </c>
      <c r="E196" s="614">
        <v>2400</v>
      </c>
      <c r="F196" s="629">
        <v>3</v>
      </c>
      <c r="G196" s="629">
        <v>7200</v>
      </c>
      <c r="H196" s="614" t="s">
        <v>1834</v>
      </c>
      <c r="I196" s="616">
        <v>0</v>
      </c>
      <c r="J196" s="616">
        <v>3.6</v>
      </c>
      <c r="K196" s="616">
        <v>0.14000000000000001</v>
      </c>
      <c r="L196" s="616">
        <v>0.01</v>
      </c>
      <c r="M196" s="616">
        <v>95</v>
      </c>
      <c r="N196" s="616">
        <v>11.74</v>
      </c>
      <c r="O196" s="616">
        <v>110.49</v>
      </c>
    </row>
    <row r="197" spans="1:15" x14ac:dyDescent="0.3">
      <c r="A197" s="615">
        <v>39808</v>
      </c>
      <c r="B197" s="614" t="s">
        <v>1883</v>
      </c>
      <c r="C197" s="614" t="s">
        <v>201</v>
      </c>
      <c r="D197" s="614" t="s">
        <v>197</v>
      </c>
      <c r="E197" s="614">
        <v>50</v>
      </c>
      <c r="F197" s="629">
        <v>30.3</v>
      </c>
      <c r="G197" s="629">
        <v>1515</v>
      </c>
      <c r="H197" s="614" t="s">
        <v>1884</v>
      </c>
      <c r="I197" s="616">
        <v>0</v>
      </c>
      <c r="J197" s="616">
        <v>0.76</v>
      </c>
      <c r="K197" s="616">
        <v>0.03</v>
      </c>
      <c r="L197" s="616">
        <v>0</v>
      </c>
      <c r="M197" s="616">
        <v>95</v>
      </c>
      <c r="N197" s="616">
        <v>11.74</v>
      </c>
      <c r="O197" s="616">
        <v>107.53</v>
      </c>
    </row>
    <row r="198" spans="1:15" x14ac:dyDescent="0.3">
      <c r="A198" s="615">
        <v>39806</v>
      </c>
      <c r="B198" s="614" t="s">
        <v>1829</v>
      </c>
      <c r="C198" s="614" t="s">
        <v>201</v>
      </c>
      <c r="D198" s="614" t="s">
        <v>197</v>
      </c>
      <c r="E198" s="614">
        <v>4300</v>
      </c>
      <c r="F198" s="629">
        <v>1</v>
      </c>
      <c r="G198" s="629">
        <v>4300</v>
      </c>
      <c r="H198" s="614" t="s">
        <v>1830</v>
      </c>
      <c r="I198" s="616">
        <v>0</v>
      </c>
      <c r="J198" s="616">
        <v>2.15</v>
      </c>
      <c r="K198" s="616">
        <v>0.09</v>
      </c>
      <c r="L198" s="616">
        <v>0.01</v>
      </c>
      <c r="M198" s="616">
        <v>95</v>
      </c>
      <c r="N198" s="616">
        <v>11.74</v>
      </c>
      <c r="O198" s="616">
        <v>108.99</v>
      </c>
    </row>
    <row r="199" spans="1:15" x14ac:dyDescent="0.3">
      <c r="A199" s="615">
        <v>39794</v>
      </c>
      <c r="B199" s="614" t="s">
        <v>1937</v>
      </c>
      <c r="C199" s="614" t="s">
        <v>201</v>
      </c>
      <c r="D199" s="614" t="s">
        <v>197</v>
      </c>
      <c r="E199" s="614">
        <v>1000</v>
      </c>
      <c r="F199" s="629">
        <v>3.4</v>
      </c>
      <c r="G199" s="629">
        <v>3400</v>
      </c>
      <c r="H199" s="614" t="s">
        <v>1941</v>
      </c>
      <c r="I199" s="616">
        <v>0</v>
      </c>
      <c r="J199" s="616">
        <v>1.7</v>
      </c>
      <c r="K199" s="616">
        <v>7.0000000000000007E-2</v>
      </c>
      <c r="L199" s="616">
        <v>0.01</v>
      </c>
      <c r="M199" s="616">
        <v>95</v>
      </c>
      <c r="N199" s="616">
        <v>11.74</v>
      </c>
      <c r="O199" s="616">
        <v>108.52</v>
      </c>
    </row>
    <row r="200" spans="1:15" x14ac:dyDescent="0.3">
      <c r="A200" s="615">
        <v>39793</v>
      </c>
      <c r="B200" s="614" t="s">
        <v>1881</v>
      </c>
      <c r="C200" s="614" t="s">
        <v>201</v>
      </c>
      <c r="D200" s="614" t="s">
        <v>197</v>
      </c>
      <c r="E200" s="614">
        <v>50</v>
      </c>
      <c r="F200" s="629">
        <v>46.25</v>
      </c>
      <c r="G200" s="629">
        <v>2312.5</v>
      </c>
      <c r="H200" s="614" t="s">
        <v>1882</v>
      </c>
      <c r="I200" s="616">
        <v>0</v>
      </c>
      <c r="J200" s="616">
        <v>1.1499999999999999</v>
      </c>
      <c r="K200" s="616">
        <v>0.05</v>
      </c>
      <c r="L200" s="616">
        <v>0</v>
      </c>
      <c r="M200" s="616">
        <v>95</v>
      </c>
      <c r="N200" s="616">
        <v>11.74</v>
      </c>
      <c r="O200" s="616">
        <v>107.94</v>
      </c>
    </row>
    <row r="201" spans="1:15" x14ac:dyDescent="0.3">
      <c r="A201" s="615">
        <v>39792</v>
      </c>
      <c r="B201" s="614" t="s">
        <v>1879</v>
      </c>
      <c r="C201" s="614" t="s">
        <v>201</v>
      </c>
      <c r="D201" s="614" t="s">
        <v>197</v>
      </c>
      <c r="E201" s="614">
        <v>50</v>
      </c>
      <c r="F201" s="629">
        <v>75.599999999999994</v>
      </c>
      <c r="G201" s="629">
        <v>3780</v>
      </c>
      <c r="H201" s="614" t="s">
        <v>1880</v>
      </c>
      <c r="I201" s="616">
        <v>0</v>
      </c>
      <c r="J201" s="616">
        <v>1.89</v>
      </c>
      <c r="K201" s="616">
        <v>0.08</v>
      </c>
      <c r="L201" s="616">
        <v>0.01</v>
      </c>
      <c r="M201" s="616">
        <v>95</v>
      </c>
      <c r="N201" s="616">
        <v>11.74</v>
      </c>
      <c r="O201" s="616">
        <v>108.72</v>
      </c>
    </row>
    <row r="202" spans="1:15" x14ac:dyDescent="0.3">
      <c r="A202" s="615">
        <v>39792</v>
      </c>
      <c r="B202" s="614" t="s">
        <v>1937</v>
      </c>
      <c r="C202" s="614" t="s">
        <v>201</v>
      </c>
      <c r="D202" s="614" t="s">
        <v>197</v>
      </c>
      <c r="E202" s="614">
        <v>1000</v>
      </c>
      <c r="F202" s="629">
        <v>2.6</v>
      </c>
      <c r="G202" s="629">
        <v>2600</v>
      </c>
      <c r="H202" s="614" t="s">
        <v>1940</v>
      </c>
      <c r="I202" s="616">
        <v>0</v>
      </c>
      <c r="J202" s="616">
        <v>1.3</v>
      </c>
      <c r="K202" s="616">
        <v>0.05</v>
      </c>
      <c r="L202" s="616">
        <v>0.01</v>
      </c>
      <c r="M202" s="616">
        <v>0</v>
      </c>
      <c r="N202" s="616">
        <v>0</v>
      </c>
      <c r="O202" s="616">
        <v>1.36</v>
      </c>
    </row>
    <row r="203" spans="1:15" x14ac:dyDescent="0.3">
      <c r="A203" s="615">
        <v>39792</v>
      </c>
      <c r="B203" s="614" t="s">
        <v>1937</v>
      </c>
      <c r="C203" s="614" t="s">
        <v>201</v>
      </c>
      <c r="D203" s="614" t="s">
        <v>197</v>
      </c>
      <c r="E203" s="614">
        <v>1000</v>
      </c>
      <c r="F203" s="629">
        <v>2.6</v>
      </c>
      <c r="G203" s="629">
        <v>2600</v>
      </c>
      <c r="H203" s="614" t="s">
        <v>1939</v>
      </c>
      <c r="I203" s="616">
        <v>0</v>
      </c>
      <c r="J203" s="616">
        <v>1.3</v>
      </c>
      <c r="K203" s="616">
        <v>0.05</v>
      </c>
      <c r="L203" s="616">
        <v>0.01</v>
      </c>
      <c r="M203" s="616">
        <v>0</v>
      </c>
      <c r="N203" s="616">
        <v>0</v>
      </c>
      <c r="O203" s="616">
        <v>1.36</v>
      </c>
    </row>
    <row r="204" spans="1:15" x14ac:dyDescent="0.3">
      <c r="A204" s="615">
        <v>39790</v>
      </c>
      <c r="B204" s="614" t="s">
        <v>1937</v>
      </c>
      <c r="C204" s="614" t="s">
        <v>201</v>
      </c>
      <c r="D204" s="614" t="s">
        <v>197</v>
      </c>
      <c r="E204" s="614">
        <v>1000</v>
      </c>
      <c r="F204" s="629">
        <v>2.35</v>
      </c>
      <c r="G204" s="629">
        <v>2350</v>
      </c>
      <c r="H204" s="614" t="s">
        <v>1938</v>
      </c>
      <c r="I204" s="616">
        <v>0</v>
      </c>
      <c r="J204" s="616">
        <v>1.18</v>
      </c>
      <c r="K204" s="616">
        <v>0.05</v>
      </c>
      <c r="L204" s="616">
        <v>0</v>
      </c>
      <c r="M204" s="616">
        <v>95</v>
      </c>
      <c r="N204" s="616">
        <v>11.74</v>
      </c>
      <c r="O204" s="616">
        <v>107.97</v>
      </c>
    </row>
    <row r="205" spans="1:15" x14ac:dyDescent="0.3">
      <c r="A205" s="615">
        <v>39790</v>
      </c>
      <c r="B205" s="614" t="s">
        <v>1877</v>
      </c>
      <c r="C205" s="614" t="s">
        <v>201</v>
      </c>
      <c r="D205" s="614" t="s">
        <v>197</v>
      </c>
      <c r="E205" s="614">
        <v>50</v>
      </c>
      <c r="F205" s="629">
        <v>67</v>
      </c>
      <c r="G205" s="629">
        <v>3350</v>
      </c>
      <c r="H205" s="614" t="s">
        <v>1878</v>
      </c>
      <c r="I205" s="616">
        <v>0</v>
      </c>
      <c r="J205" s="616">
        <v>1.68</v>
      </c>
      <c r="K205" s="616">
        <v>7.0000000000000007E-2</v>
      </c>
      <c r="L205" s="616">
        <v>0.01</v>
      </c>
      <c r="M205" s="616">
        <v>95</v>
      </c>
      <c r="N205" s="616">
        <v>11.74</v>
      </c>
      <c r="O205" s="616">
        <v>108.5</v>
      </c>
    </row>
    <row r="206" spans="1:15" x14ac:dyDescent="0.3">
      <c r="A206" s="615">
        <v>39790</v>
      </c>
      <c r="B206" s="614" t="s">
        <v>1933</v>
      </c>
      <c r="C206" s="614" t="s">
        <v>201</v>
      </c>
      <c r="D206" s="614" t="s">
        <v>197</v>
      </c>
      <c r="E206" s="614">
        <v>1000</v>
      </c>
      <c r="F206" s="629">
        <v>3.45</v>
      </c>
      <c r="G206" s="629">
        <v>3450</v>
      </c>
      <c r="H206" s="614" t="s">
        <v>1934</v>
      </c>
      <c r="I206" s="616">
        <v>0</v>
      </c>
      <c r="J206" s="616">
        <v>1.73</v>
      </c>
      <c r="K206" s="616">
        <v>7.0000000000000007E-2</v>
      </c>
      <c r="L206" s="616">
        <v>0.01</v>
      </c>
      <c r="M206" s="616">
        <v>0</v>
      </c>
      <c r="N206" s="616">
        <v>0</v>
      </c>
      <c r="O206" s="616">
        <v>1.81</v>
      </c>
    </row>
    <row r="207" spans="1:15" x14ac:dyDescent="0.3">
      <c r="A207" s="615">
        <v>39786</v>
      </c>
      <c r="B207" s="614" t="s">
        <v>1875</v>
      </c>
      <c r="C207" s="614" t="s">
        <v>201</v>
      </c>
      <c r="D207" s="614" t="s">
        <v>197</v>
      </c>
      <c r="E207" s="614">
        <v>50</v>
      </c>
      <c r="F207" s="629">
        <v>92.55</v>
      </c>
      <c r="G207" s="629">
        <v>4627.5</v>
      </c>
      <c r="H207" s="614" t="s">
        <v>1876</v>
      </c>
      <c r="I207" s="616">
        <v>0</v>
      </c>
      <c r="J207" s="616">
        <v>2.31</v>
      </c>
      <c r="K207" s="616">
        <v>0.09</v>
      </c>
      <c r="L207" s="616">
        <v>0.01</v>
      </c>
      <c r="M207" s="616">
        <v>95</v>
      </c>
      <c r="N207" s="616">
        <v>11.74</v>
      </c>
      <c r="O207" s="616">
        <v>109.15</v>
      </c>
    </row>
    <row r="208" spans="1:15" x14ac:dyDescent="0.3">
      <c r="A208" s="615">
        <v>39784</v>
      </c>
      <c r="B208" s="614" t="s">
        <v>1873</v>
      </c>
      <c r="C208" s="614" t="s">
        <v>201</v>
      </c>
      <c r="D208" s="614" t="s">
        <v>197</v>
      </c>
      <c r="E208" s="614">
        <v>50</v>
      </c>
      <c r="F208" s="629">
        <v>69.400000000000006</v>
      </c>
      <c r="G208" s="629">
        <v>3470</v>
      </c>
      <c r="H208" s="614" t="s">
        <v>1874</v>
      </c>
      <c r="I208" s="616">
        <v>0</v>
      </c>
      <c r="J208" s="616">
        <v>1.74</v>
      </c>
      <c r="K208" s="616">
        <v>7.0000000000000007E-2</v>
      </c>
      <c r="L208" s="616">
        <v>0.01</v>
      </c>
      <c r="M208" s="616">
        <v>95</v>
      </c>
      <c r="N208" s="616">
        <v>11.74</v>
      </c>
      <c r="O208" s="616">
        <v>108.56</v>
      </c>
    </row>
    <row r="209" spans="1:15" x14ac:dyDescent="0.3">
      <c r="A209" s="615">
        <v>39769</v>
      </c>
      <c r="B209" s="614" t="s">
        <v>1855</v>
      </c>
      <c r="C209" s="614" t="s">
        <v>201</v>
      </c>
      <c r="D209" s="614" t="s">
        <v>197</v>
      </c>
      <c r="E209" s="614">
        <v>5225</v>
      </c>
      <c r="F209" s="629">
        <v>0.2</v>
      </c>
      <c r="G209" s="629">
        <v>1045</v>
      </c>
      <c r="H209" s="614" t="s">
        <v>1856</v>
      </c>
      <c r="I209" s="616">
        <v>0</v>
      </c>
      <c r="J209" s="616">
        <v>0.52</v>
      </c>
      <c r="K209" s="616">
        <v>0.02</v>
      </c>
      <c r="L209" s="616">
        <v>0</v>
      </c>
      <c r="M209" s="616">
        <v>95</v>
      </c>
      <c r="N209" s="616">
        <v>11.74</v>
      </c>
      <c r="O209" s="616">
        <v>107.28</v>
      </c>
    </row>
    <row r="210" spans="1:15" x14ac:dyDescent="0.3">
      <c r="A210" s="615">
        <v>39766</v>
      </c>
      <c r="B210" s="614" t="s">
        <v>1853</v>
      </c>
      <c r="C210" s="614" t="s">
        <v>201</v>
      </c>
      <c r="D210" s="614" t="s">
        <v>197</v>
      </c>
      <c r="E210" s="614">
        <v>5225</v>
      </c>
      <c r="F210" s="629">
        <v>0.45</v>
      </c>
      <c r="G210" s="629">
        <v>2351.25</v>
      </c>
      <c r="H210" s="614" t="s">
        <v>1854</v>
      </c>
      <c r="I210" s="616">
        <v>0</v>
      </c>
      <c r="J210" s="616">
        <v>1.18</v>
      </c>
      <c r="K210" s="616">
        <v>0.05</v>
      </c>
      <c r="L210" s="616">
        <v>0</v>
      </c>
      <c r="M210" s="616">
        <v>95</v>
      </c>
      <c r="N210" s="616">
        <v>11.74</v>
      </c>
      <c r="O210" s="616">
        <v>107.97</v>
      </c>
    </row>
    <row r="211" spans="1:15" x14ac:dyDescent="0.3">
      <c r="A211" s="615">
        <v>39764</v>
      </c>
      <c r="B211" s="614" t="s">
        <v>1930</v>
      </c>
      <c r="C211" s="614" t="s">
        <v>201</v>
      </c>
      <c r="D211" s="614" t="s">
        <v>197</v>
      </c>
      <c r="E211" s="614">
        <v>1000</v>
      </c>
      <c r="F211" s="629">
        <v>3.2</v>
      </c>
      <c r="G211" s="629">
        <v>3200</v>
      </c>
      <c r="H211" s="614" t="s">
        <v>1932</v>
      </c>
      <c r="I211" s="616">
        <v>0</v>
      </c>
      <c r="J211" s="616">
        <v>1.6</v>
      </c>
      <c r="K211" s="616">
        <v>0.06</v>
      </c>
      <c r="L211" s="616">
        <v>0.01</v>
      </c>
      <c r="M211" s="616">
        <v>95</v>
      </c>
      <c r="N211" s="616">
        <v>11.74</v>
      </c>
      <c r="O211" s="616">
        <v>108.41</v>
      </c>
    </row>
    <row r="212" spans="1:15" x14ac:dyDescent="0.3">
      <c r="A212" s="615">
        <v>39759</v>
      </c>
      <c r="B212" s="614" t="s">
        <v>1866</v>
      </c>
      <c r="C212" s="614" t="s">
        <v>201</v>
      </c>
      <c r="D212" s="614" t="s">
        <v>197</v>
      </c>
      <c r="E212" s="614">
        <v>50</v>
      </c>
      <c r="F212" s="629">
        <v>93</v>
      </c>
      <c r="G212" s="629">
        <v>4650</v>
      </c>
      <c r="H212" s="614" t="s">
        <v>1872</v>
      </c>
      <c r="I212" s="616">
        <v>0</v>
      </c>
      <c r="J212" s="616">
        <v>2.33</v>
      </c>
      <c r="K212" s="616">
        <v>0.09</v>
      </c>
      <c r="L212" s="616">
        <v>0.01</v>
      </c>
      <c r="M212" s="616">
        <v>95</v>
      </c>
      <c r="N212" s="616">
        <v>11.74</v>
      </c>
      <c r="O212" s="616">
        <v>109.17</v>
      </c>
    </row>
    <row r="213" spans="1:15" x14ac:dyDescent="0.3">
      <c r="A213" s="615">
        <v>39757</v>
      </c>
      <c r="B213" s="614" t="s">
        <v>1930</v>
      </c>
      <c r="C213" s="614" t="s">
        <v>201</v>
      </c>
      <c r="D213" s="614" t="s">
        <v>197</v>
      </c>
      <c r="E213" s="614">
        <v>1000</v>
      </c>
      <c r="F213" s="629">
        <v>4.6500000000000004</v>
      </c>
      <c r="G213" s="629">
        <v>4650</v>
      </c>
      <c r="H213" s="614" t="s">
        <v>1931</v>
      </c>
      <c r="I213" s="616">
        <v>0</v>
      </c>
      <c r="J213" s="616">
        <v>2.33</v>
      </c>
      <c r="K213" s="616">
        <v>0.09</v>
      </c>
      <c r="L213" s="616">
        <v>0.01</v>
      </c>
      <c r="M213" s="616">
        <v>95</v>
      </c>
      <c r="N213" s="616">
        <v>11.74</v>
      </c>
      <c r="O213" s="616">
        <v>109.17</v>
      </c>
    </row>
    <row r="214" spans="1:15" x14ac:dyDescent="0.3">
      <c r="A214" s="615">
        <v>39757</v>
      </c>
      <c r="B214" s="614" t="s">
        <v>1870</v>
      </c>
      <c r="C214" s="614" t="s">
        <v>201</v>
      </c>
      <c r="D214" s="614" t="s">
        <v>197</v>
      </c>
      <c r="E214" s="614">
        <v>50</v>
      </c>
      <c r="F214" s="629">
        <v>102</v>
      </c>
      <c r="G214" s="629">
        <v>5100</v>
      </c>
      <c r="H214" s="614" t="s">
        <v>1871</v>
      </c>
      <c r="I214" s="616">
        <v>0</v>
      </c>
      <c r="J214" s="616">
        <v>2.54</v>
      </c>
      <c r="K214" s="616">
        <v>0.1</v>
      </c>
      <c r="L214" s="616">
        <v>0.01</v>
      </c>
      <c r="M214" s="616">
        <v>95</v>
      </c>
      <c r="N214" s="616">
        <v>11.74</v>
      </c>
      <c r="O214" s="616">
        <v>109.39</v>
      </c>
    </row>
    <row r="215" spans="1:15" x14ac:dyDescent="0.3">
      <c r="A215" s="615">
        <v>39757</v>
      </c>
      <c r="B215" s="614" t="s">
        <v>1868</v>
      </c>
      <c r="C215" s="614" t="s">
        <v>201</v>
      </c>
      <c r="D215" s="614" t="s">
        <v>197</v>
      </c>
      <c r="E215" s="614">
        <v>50</v>
      </c>
      <c r="F215" s="629">
        <v>66.5</v>
      </c>
      <c r="G215" s="629">
        <v>3325</v>
      </c>
      <c r="H215" s="614" t="s">
        <v>1869</v>
      </c>
      <c r="I215" s="616">
        <v>0</v>
      </c>
      <c r="J215" s="616">
        <v>1.66</v>
      </c>
      <c r="K215" s="616">
        <v>7.0000000000000007E-2</v>
      </c>
      <c r="L215" s="616">
        <v>0.01</v>
      </c>
      <c r="M215" s="616">
        <v>95</v>
      </c>
      <c r="N215" s="616">
        <v>11.74</v>
      </c>
      <c r="O215" s="616">
        <v>108.48</v>
      </c>
    </row>
    <row r="216" spans="1:15" x14ac:dyDescent="0.3">
      <c r="A216" s="615">
        <v>39755</v>
      </c>
      <c r="B216" s="614" t="s">
        <v>1843</v>
      </c>
      <c r="C216" s="614" t="s">
        <v>201</v>
      </c>
      <c r="D216" s="614" t="s">
        <v>197</v>
      </c>
      <c r="E216" s="614">
        <v>400</v>
      </c>
      <c r="F216" s="629">
        <v>20.100000000000001</v>
      </c>
      <c r="G216" s="629">
        <v>8040</v>
      </c>
      <c r="H216" s="614" t="s">
        <v>1844</v>
      </c>
      <c r="I216" s="616">
        <v>0</v>
      </c>
      <c r="J216" s="616">
        <v>4.01</v>
      </c>
      <c r="K216" s="616">
        <v>0.16</v>
      </c>
      <c r="L216" s="616">
        <v>0.02</v>
      </c>
      <c r="M216" s="616">
        <v>95</v>
      </c>
      <c r="N216" s="616">
        <v>11.74</v>
      </c>
      <c r="O216" s="616">
        <v>110.93</v>
      </c>
    </row>
    <row r="217" spans="1:15" x14ac:dyDescent="0.3">
      <c r="A217" s="615">
        <v>39752</v>
      </c>
      <c r="B217" s="614" t="s">
        <v>1866</v>
      </c>
      <c r="C217" s="614" t="s">
        <v>201</v>
      </c>
      <c r="D217" s="614" t="s">
        <v>197</v>
      </c>
      <c r="E217" s="614">
        <v>50</v>
      </c>
      <c r="F217" s="629">
        <v>120</v>
      </c>
      <c r="G217" s="629">
        <v>6000</v>
      </c>
      <c r="H217" s="614" t="s">
        <v>1867</v>
      </c>
      <c r="I217" s="616">
        <v>0</v>
      </c>
      <c r="J217" s="616">
        <v>3</v>
      </c>
      <c r="K217" s="616">
        <v>0.12</v>
      </c>
      <c r="L217" s="616">
        <v>0.01</v>
      </c>
      <c r="M217" s="616">
        <v>95</v>
      </c>
      <c r="N217" s="616">
        <v>11.74</v>
      </c>
      <c r="O217" s="616">
        <v>109.87</v>
      </c>
    </row>
    <row r="218" spans="1:15" x14ac:dyDescent="0.3">
      <c r="A218" s="615">
        <v>39750</v>
      </c>
      <c r="B218" s="614" t="s">
        <v>1863</v>
      </c>
      <c r="C218" s="614" t="s">
        <v>201</v>
      </c>
      <c r="D218" s="614" t="s">
        <v>197</v>
      </c>
      <c r="E218" s="614">
        <v>200</v>
      </c>
      <c r="F218" s="629">
        <v>1.75</v>
      </c>
      <c r="G218" s="629">
        <v>350</v>
      </c>
      <c r="H218" s="614" t="s">
        <v>1865</v>
      </c>
      <c r="I218" s="616">
        <v>0</v>
      </c>
      <c r="J218" s="616">
        <v>0.18</v>
      </c>
      <c r="K218" s="616">
        <v>0.01</v>
      </c>
      <c r="L218" s="616">
        <v>0</v>
      </c>
      <c r="M218" s="616">
        <v>380</v>
      </c>
      <c r="N218" s="616">
        <v>46.97</v>
      </c>
      <c r="O218" s="616">
        <v>427.16</v>
      </c>
    </row>
    <row r="219" spans="1:15" x14ac:dyDescent="0.3">
      <c r="A219" s="615">
        <v>39750</v>
      </c>
      <c r="B219" s="614" t="s">
        <v>1863</v>
      </c>
      <c r="C219" s="614" t="s">
        <v>201</v>
      </c>
      <c r="D219" s="614" t="s">
        <v>197</v>
      </c>
      <c r="E219" s="614">
        <v>300</v>
      </c>
      <c r="F219" s="629">
        <v>2.15</v>
      </c>
      <c r="G219" s="629">
        <v>645</v>
      </c>
      <c r="H219" s="614" t="s">
        <v>1864</v>
      </c>
      <c r="I219" s="616">
        <v>0</v>
      </c>
      <c r="J219" s="616">
        <v>0.33</v>
      </c>
      <c r="K219" s="616">
        <v>0.01</v>
      </c>
      <c r="L219" s="616">
        <v>0</v>
      </c>
      <c r="M219" s="616">
        <v>570</v>
      </c>
      <c r="N219" s="616">
        <v>70.45</v>
      </c>
      <c r="O219" s="616">
        <v>640.79</v>
      </c>
    </row>
    <row r="220" spans="1:15" x14ac:dyDescent="0.3">
      <c r="A220" s="615">
        <v>39685</v>
      </c>
      <c r="B220" s="614" t="s">
        <v>1859</v>
      </c>
      <c r="C220" s="614" t="s">
        <v>201</v>
      </c>
      <c r="D220" s="614" t="s">
        <v>197</v>
      </c>
      <c r="E220" s="614">
        <v>1899</v>
      </c>
      <c r="F220" s="629">
        <v>0.25</v>
      </c>
      <c r="G220" s="629">
        <v>474.75</v>
      </c>
      <c r="H220" s="614" t="s">
        <v>1862</v>
      </c>
      <c r="I220" s="616">
        <v>0</v>
      </c>
      <c r="J220" s="616">
        <v>0</v>
      </c>
      <c r="K220" s="616">
        <v>0</v>
      </c>
      <c r="L220" s="616">
        <v>0</v>
      </c>
      <c r="M220" s="616">
        <v>106.74</v>
      </c>
      <c r="N220" s="616">
        <v>0</v>
      </c>
      <c r="O220" s="616">
        <v>106.74</v>
      </c>
    </row>
    <row r="221" spans="1:15" x14ac:dyDescent="0.3">
      <c r="A221" s="615">
        <v>39681</v>
      </c>
      <c r="B221" s="614" t="s">
        <v>1859</v>
      </c>
      <c r="C221" s="614" t="s">
        <v>201</v>
      </c>
      <c r="D221" s="614" t="s">
        <v>197</v>
      </c>
      <c r="E221" s="614">
        <v>1899</v>
      </c>
      <c r="F221" s="629">
        <v>0.45</v>
      </c>
      <c r="G221" s="629">
        <v>854.55</v>
      </c>
      <c r="H221" s="614" t="s">
        <v>1861</v>
      </c>
      <c r="I221" s="616">
        <v>0</v>
      </c>
      <c r="J221" s="616">
        <v>0</v>
      </c>
      <c r="K221" s="616">
        <v>0</v>
      </c>
      <c r="L221" s="616">
        <v>0</v>
      </c>
      <c r="M221" s="616">
        <v>106.74</v>
      </c>
      <c r="N221" s="616">
        <v>0</v>
      </c>
      <c r="O221" s="616">
        <v>106.74</v>
      </c>
    </row>
    <row r="222" spans="1:15" x14ac:dyDescent="0.3">
      <c r="A222" s="615">
        <v>39681</v>
      </c>
      <c r="B222" s="614" t="s">
        <v>1859</v>
      </c>
      <c r="C222" s="614" t="s">
        <v>201</v>
      </c>
      <c r="D222" s="614" t="s">
        <v>197</v>
      </c>
      <c r="E222" s="614">
        <v>1899</v>
      </c>
      <c r="F222" s="629">
        <v>0.4</v>
      </c>
      <c r="G222" s="629">
        <v>759.6</v>
      </c>
      <c r="H222" s="614" t="s">
        <v>1860</v>
      </c>
      <c r="I222" s="616">
        <v>0</v>
      </c>
      <c r="J222" s="616">
        <v>0</v>
      </c>
      <c r="K222" s="616">
        <v>0</v>
      </c>
      <c r="L222" s="616">
        <v>0</v>
      </c>
      <c r="M222" s="616">
        <v>106.74</v>
      </c>
      <c r="N222" s="616">
        <v>0</v>
      </c>
      <c r="O222" s="616">
        <v>106.74</v>
      </c>
    </row>
    <row r="223" spans="1:15" x14ac:dyDescent="0.3">
      <c r="A223" s="615">
        <v>39668</v>
      </c>
      <c r="B223" s="614" t="s">
        <v>1857</v>
      </c>
      <c r="C223" s="614" t="s">
        <v>201</v>
      </c>
      <c r="D223" s="614" t="s">
        <v>197</v>
      </c>
      <c r="E223" s="614">
        <v>1899</v>
      </c>
      <c r="F223" s="629">
        <v>1.8</v>
      </c>
      <c r="G223" s="629">
        <v>3418.2</v>
      </c>
      <c r="H223" s="614" t="s">
        <v>1858</v>
      </c>
      <c r="I223" s="616">
        <v>0</v>
      </c>
      <c r="J223" s="616">
        <v>0</v>
      </c>
      <c r="K223" s="616">
        <v>0</v>
      </c>
      <c r="L223" s="616">
        <v>0</v>
      </c>
      <c r="M223" s="616">
        <v>106.74</v>
      </c>
      <c r="N223" s="616">
        <v>0</v>
      </c>
      <c r="O223" s="616">
        <v>106.74</v>
      </c>
    </row>
    <row r="224" spans="1:15" x14ac:dyDescent="0.3">
      <c r="A224" s="615">
        <v>39548</v>
      </c>
      <c r="B224" s="614" t="s">
        <v>1837</v>
      </c>
      <c r="C224" s="614" t="s">
        <v>201</v>
      </c>
      <c r="D224" s="614" t="s">
        <v>197</v>
      </c>
      <c r="E224" s="614">
        <v>400</v>
      </c>
      <c r="F224" s="629">
        <v>4.8</v>
      </c>
      <c r="G224" s="629">
        <v>1920</v>
      </c>
      <c r="H224" s="614" t="s">
        <v>1838</v>
      </c>
      <c r="I224" s="616">
        <v>0</v>
      </c>
      <c r="J224" s="616">
        <v>0</v>
      </c>
      <c r="K224" s="616">
        <v>0</v>
      </c>
      <c r="L224" s="616">
        <v>0</v>
      </c>
      <c r="M224" s="616">
        <v>106.74</v>
      </c>
      <c r="N224" s="616">
        <v>0</v>
      </c>
      <c r="O224" s="616">
        <v>106.74</v>
      </c>
    </row>
    <row r="225" spans="1:15" x14ac:dyDescent="0.3">
      <c r="A225" s="615">
        <v>39506</v>
      </c>
      <c r="B225" s="614" t="s">
        <v>2451</v>
      </c>
      <c r="C225" s="614" t="s">
        <v>201</v>
      </c>
      <c r="D225" s="614" t="s">
        <v>197</v>
      </c>
      <c r="E225" s="614">
        <v>400</v>
      </c>
      <c r="F225" s="629">
        <v>2.0499999999999998</v>
      </c>
      <c r="G225" s="629">
        <v>820</v>
      </c>
      <c r="H225" s="614" t="s">
        <v>2452</v>
      </c>
      <c r="I225" s="616">
        <v>0</v>
      </c>
      <c r="J225" s="616">
        <v>0</v>
      </c>
      <c r="K225" s="616">
        <v>0</v>
      </c>
      <c r="L225" s="616">
        <v>0</v>
      </c>
      <c r="M225" s="616">
        <v>106.74</v>
      </c>
      <c r="N225" s="616">
        <v>0</v>
      </c>
      <c r="O225" s="616">
        <v>106.74</v>
      </c>
    </row>
    <row r="226" spans="1:15" x14ac:dyDescent="0.3">
      <c r="A226" s="615">
        <v>39371</v>
      </c>
      <c r="B226" s="614" t="s">
        <v>2449</v>
      </c>
      <c r="C226" s="614" t="s">
        <v>201</v>
      </c>
      <c r="D226" s="614" t="s">
        <v>197</v>
      </c>
      <c r="E226" s="614">
        <v>400</v>
      </c>
      <c r="F226" s="629">
        <v>3</v>
      </c>
      <c r="G226" s="629">
        <v>1200</v>
      </c>
      <c r="H226" s="614" t="s">
        <v>2450</v>
      </c>
      <c r="I226" s="616">
        <v>0</v>
      </c>
      <c r="J226" s="616">
        <v>0</v>
      </c>
      <c r="K226" s="616">
        <v>0</v>
      </c>
      <c r="L226" s="616">
        <v>0</v>
      </c>
      <c r="M226" s="616">
        <v>73.03</v>
      </c>
      <c r="N226" s="616">
        <v>0</v>
      </c>
      <c r="O226" s="616">
        <v>73.03</v>
      </c>
    </row>
    <row r="227" spans="1:15" x14ac:dyDescent="0.3">
      <c r="A227" s="615">
        <v>39371</v>
      </c>
      <c r="B227" s="614" t="s">
        <v>78</v>
      </c>
      <c r="C227" s="614" t="s">
        <v>201</v>
      </c>
      <c r="D227" s="614" t="s">
        <v>197</v>
      </c>
      <c r="E227" s="614">
        <v>3350</v>
      </c>
      <c r="F227" s="629">
        <v>0.5</v>
      </c>
      <c r="G227" s="629">
        <v>1675</v>
      </c>
      <c r="H227" s="614" t="s">
        <v>79</v>
      </c>
      <c r="I227" s="616">
        <v>0</v>
      </c>
      <c r="J227" s="616">
        <v>0</v>
      </c>
      <c r="K227" s="616">
        <v>0</v>
      </c>
      <c r="L227" s="616">
        <v>0</v>
      </c>
      <c r="M227" s="616">
        <v>73.03</v>
      </c>
      <c r="N227" s="616">
        <v>0</v>
      </c>
      <c r="O227" s="616">
        <v>73.03</v>
      </c>
    </row>
    <row r="228" spans="1:15" x14ac:dyDescent="0.3">
      <c r="A228" s="615">
        <v>39303</v>
      </c>
      <c r="B228" s="614" t="s">
        <v>2447</v>
      </c>
      <c r="C228" s="614" t="s">
        <v>201</v>
      </c>
      <c r="D228" s="614" t="s">
        <v>197</v>
      </c>
      <c r="E228" s="614">
        <v>400</v>
      </c>
      <c r="F228" s="629">
        <v>13.9</v>
      </c>
      <c r="G228" s="629">
        <v>5560</v>
      </c>
      <c r="H228" s="614" t="s">
        <v>2448</v>
      </c>
      <c r="I228" s="616">
        <v>0</v>
      </c>
      <c r="J228" s="616">
        <v>0</v>
      </c>
      <c r="K228" s="616">
        <v>0</v>
      </c>
      <c r="L228" s="616">
        <v>0</v>
      </c>
      <c r="M228" s="616">
        <v>106.74</v>
      </c>
      <c r="N228" s="616">
        <v>0</v>
      </c>
      <c r="O228" s="616">
        <v>106.74</v>
      </c>
    </row>
    <row r="229" spans="1:15" x14ac:dyDescent="0.3">
      <c r="A229" s="615">
        <v>39295</v>
      </c>
      <c r="B229" s="614" t="s">
        <v>2444</v>
      </c>
      <c r="C229" s="614" t="s">
        <v>201</v>
      </c>
      <c r="D229" s="614" t="s">
        <v>197</v>
      </c>
      <c r="E229" s="614">
        <v>400</v>
      </c>
      <c r="F229" s="629">
        <v>36</v>
      </c>
      <c r="G229" s="629">
        <v>14400</v>
      </c>
      <c r="H229" s="614" t="s">
        <v>2446</v>
      </c>
      <c r="I229" s="616">
        <v>0</v>
      </c>
      <c r="J229" s="616">
        <v>0</v>
      </c>
      <c r="K229" s="616">
        <v>0</v>
      </c>
      <c r="L229" s="616">
        <v>0</v>
      </c>
      <c r="M229" s="616">
        <v>106.74</v>
      </c>
      <c r="N229" s="616">
        <v>0</v>
      </c>
      <c r="O229" s="616">
        <v>106.74</v>
      </c>
    </row>
    <row r="230" spans="1:15" x14ac:dyDescent="0.3">
      <c r="A230" s="615">
        <v>39295</v>
      </c>
      <c r="B230" s="614" t="s">
        <v>2444</v>
      </c>
      <c r="C230" s="614" t="s">
        <v>201</v>
      </c>
      <c r="D230" s="614" t="s">
        <v>197</v>
      </c>
      <c r="E230" s="614">
        <v>400</v>
      </c>
      <c r="F230" s="629">
        <v>36.1</v>
      </c>
      <c r="G230" s="629">
        <v>14440</v>
      </c>
      <c r="H230" s="614" t="s">
        <v>2445</v>
      </c>
      <c r="I230" s="616">
        <v>0</v>
      </c>
      <c r="J230" s="616">
        <v>0</v>
      </c>
      <c r="K230" s="616">
        <v>0</v>
      </c>
      <c r="L230" s="616">
        <v>0</v>
      </c>
      <c r="M230" s="616">
        <v>106.74</v>
      </c>
      <c r="N230" s="616">
        <v>0</v>
      </c>
      <c r="O230" s="616">
        <v>106.74</v>
      </c>
    </row>
    <row r="231" spans="1:15" x14ac:dyDescent="0.3">
      <c r="A231" s="615">
        <v>39290</v>
      </c>
      <c r="B231" s="614" t="s">
        <v>2442</v>
      </c>
      <c r="C231" s="614" t="s">
        <v>201</v>
      </c>
      <c r="D231" s="614" t="s">
        <v>197</v>
      </c>
      <c r="E231" s="614">
        <v>400</v>
      </c>
      <c r="F231" s="629">
        <v>31.2</v>
      </c>
      <c r="G231" s="629">
        <v>12480</v>
      </c>
      <c r="H231" s="614" t="s">
        <v>2443</v>
      </c>
      <c r="I231" s="616">
        <v>0</v>
      </c>
      <c r="J231" s="616">
        <v>0</v>
      </c>
      <c r="K231" s="616">
        <v>0</v>
      </c>
      <c r="L231" s="616">
        <v>0</v>
      </c>
      <c r="M231" s="616">
        <v>106.74</v>
      </c>
      <c r="N231" s="616">
        <v>0</v>
      </c>
      <c r="O231" s="616">
        <v>106.74</v>
      </c>
    </row>
    <row r="232" spans="1:15" x14ac:dyDescent="0.3">
      <c r="A232" s="615">
        <v>39283</v>
      </c>
      <c r="B232" s="614" t="s">
        <v>2435</v>
      </c>
      <c r="C232" s="614" t="s">
        <v>201</v>
      </c>
      <c r="D232" s="614" t="s">
        <v>197</v>
      </c>
      <c r="E232" s="614">
        <v>400</v>
      </c>
      <c r="F232" s="629">
        <v>32</v>
      </c>
      <c r="G232" s="629">
        <v>12800</v>
      </c>
      <c r="H232" s="614" t="s">
        <v>2441</v>
      </c>
      <c r="I232" s="616">
        <v>0</v>
      </c>
      <c r="J232" s="616">
        <v>0</v>
      </c>
      <c r="K232" s="616">
        <v>0</v>
      </c>
      <c r="L232" s="616">
        <v>0</v>
      </c>
      <c r="M232" s="616">
        <v>106.74</v>
      </c>
      <c r="N232" s="616">
        <v>0</v>
      </c>
      <c r="O232" s="616">
        <v>106.74</v>
      </c>
    </row>
    <row r="233" spans="1:15" x14ac:dyDescent="0.3">
      <c r="A233" s="615">
        <v>39283</v>
      </c>
      <c r="B233" s="614" t="s">
        <v>2435</v>
      </c>
      <c r="C233" s="614" t="s">
        <v>201</v>
      </c>
      <c r="D233" s="614" t="s">
        <v>197</v>
      </c>
      <c r="E233" s="614">
        <v>800</v>
      </c>
      <c r="F233" s="629">
        <v>38.299999999999997</v>
      </c>
      <c r="G233" s="629">
        <v>30640</v>
      </c>
      <c r="H233" s="614" t="s">
        <v>2440</v>
      </c>
      <c r="I233" s="616">
        <v>0</v>
      </c>
      <c r="J233" s="616">
        <v>0</v>
      </c>
      <c r="K233" s="616">
        <v>0</v>
      </c>
      <c r="L233" s="616">
        <v>0</v>
      </c>
      <c r="M233" s="616">
        <v>213.48</v>
      </c>
      <c r="N233" s="616">
        <v>0</v>
      </c>
      <c r="O233" s="616">
        <v>213.48</v>
      </c>
    </row>
    <row r="234" spans="1:15" x14ac:dyDescent="0.3">
      <c r="A234" s="615">
        <v>39282</v>
      </c>
      <c r="B234" s="614" t="s">
        <v>2435</v>
      </c>
      <c r="C234" s="614" t="s">
        <v>201</v>
      </c>
      <c r="D234" s="614" t="s">
        <v>197</v>
      </c>
      <c r="E234" s="614">
        <v>400</v>
      </c>
      <c r="F234" s="629">
        <v>42</v>
      </c>
      <c r="G234" s="629">
        <v>16800</v>
      </c>
      <c r="H234" s="614" t="s">
        <v>2439</v>
      </c>
      <c r="I234" s="616">
        <v>0</v>
      </c>
      <c r="J234" s="616">
        <v>0</v>
      </c>
      <c r="K234" s="616">
        <v>0</v>
      </c>
      <c r="L234" s="616">
        <v>0</v>
      </c>
      <c r="M234" s="616">
        <v>106.74</v>
      </c>
      <c r="N234" s="616">
        <v>0</v>
      </c>
      <c r="O234" s="616">
        <v>106.74</v>
      </c>
    </row>
    <row r="235" spans="1:15" x14ac:dyDescent="0.3">
      <c r="A235" s="615">
        <v>39282</v>
      </c>
      <c r="B235" s="614" t="s">
        <v>2437</v>
      </c>
      <c r="C235" s="614" t="s">
        <v>201</v>
      </c>
      <c r="D235" s="614" t="s">
        <v>197</v>
      </c>
      <c r="E235" s="614">
        <v>800</v>
      </c>
      <c r="F235" s="629">
        <v>13</v>
      </c>
      <c r="G235" s="629">
        <v>10400</v>
      </c>
      <c r="H235" s="614" t="s">
        <v>2438</v>
      </c>
      <c r="I235" s="616">
        <v>0</v>
      </c>
      <c r="J235" s="616">
        <v>0</v>
      </c>
      <c r="K235" s="616">
        <v>0</v>
      </c>
      <c r="L235" s="616">
        <v>0</v>
      </c>
      <c r="M235" s="616">
        <v>213.48</v>
      </c>
      <c r="N235" s="616">
        <v>0</v>
      </c>
      <c r="O235" s="616">
        <v>213.48</v>
      </c>
    </row>
    <row r="236" spans="1:15" x14ac:dyDescent="0.3">
      <c r="A236" s="615">
        <v>39282</v>
      </c>
      <c r="B236" s="614" t="s">
        <v>2435</v>
      </c>
      <c r="C236" s="614" t="s">
        <v>201</v>
      </c>
      <c r="D236" s="614" t="s">
        <v>197</v>
      </c>
      <c r="E236" s="614">
        <v>400</v>
      </c>
      <c r="F236" s="629">
        <v>30.1</v>
      </c>
      <c r="G236" s="629">
        <v>12040</v>
      </c>
      <c r="H236" s="614" t="s">
        <v>2436</v>
      </c>
      <c r="I236" s="616">
        <v>0</v>
      </c>
      <c r="J236" s="616">
        <v>0</v>
      </c>
      <c r="K236" s="616">
        <v>0</v>
      </c>
      <c r="L236" s="616">
        <v>0</v>
      </c>
      <c r="M236" s="616">
        <v>106.74</v>
      </c>
      <c r="N236" s="616">
        <v>0</v>
      </c>
      <c r="O236" s="616">
        <v>106.74</v>
      </c>
    </row>
    <row r="237" spans="1:15" x14ac:dyDescent="0.3">
      <c r="A237" s="615">
        <v>39281</v>
      </c>
      <c r="B237" s="614" t="s">
        <v>2389</v>
      </c>
      <c r="C237" s="614" t="s">
        <v>201</v>
      </c>
      <c r="D237" s="614" t="s">
        <v>197</v>
      </c>
      <c r="E237" s="614">
        <v>400</v>
      </c>
      <c r="F237" s="629">
        <v>38</v>
      </c>
      <c r="G237" s="629">
        <v>15200</v>
      </c>
      <c r="H237" s="614" t="s">
        <v>2390</v>
      </c>
      <c r="I237" s="616">
        <v>0</v>
      </c>
      <c r="J237" s="616">
        <v>0</v>
      </c>
      <c r="K237" s="616">
        <v>0</v>
      </c>
      <c r="L237" s="616">
        <v>0</v>
      </c>
      <c r="M237" s="616">
        <v>106.74</v>
      </c>
      <c r="N237" s="616">
        <v>0</v>
      </c>
      <c r="O237" s="616">
        <v>106.74</v>
      </c>
    </row>
    <row r="238" spans="1:15" x14ac:dyDescent="0.3">
      <c r="A238" s="615">
        <v>39276</v>
      </c>
      <c r="B238" s="614" t="s">
        <v>2385</v>
      </c>
      <c r="C238" s="614" t="s">
        <v>201</v>
      </c>
      <c r="D238" s="614" t="s">
        <v>197</v>
      </c>
      <c r="E238" s="614">
        <v>400</v>
      </c>
      <c r="F238" s="629">
        <v>37.549999999999997</v>
      </c>
      <c r="G238" s="629">
        <v>15020</v>
      </c>
      <c r="H238" s="614" t="s">
        <v>2388</v>
      </c>
      <c r="I238" s="616">
        <v>0</v>
      </c>
      <c r="J238" s="616">
        <v>0</v>
      </c>
      <c r="K238" s="616">
        <v>0</v>
      </c>
      <c r="L238" s="616">
        <v>0</v>
      </c>
      <c r="M238" s="616">
        <v>106.74</v>
      </c>
      <c r="N238" s="616">
        <v>0</v>
      </c>
      <c r="O238" s="616">
        <v>106.74</v>
      </c>
    </row>
    <row r="239" spans="1:15" x14ac:dyDescent="0.3">
      <c r="A239" s="615">
        <v>39276</v>
      </c>
      <c r="B239" s="614" t="s">
        <v>2385</v>
      </c>
      <c r="C239" s="614" t="s">
        <v>201</v>
      </c>
      <c r="D239" s="614" t="s">
        <v>197</v>
      </c>
      <c r="E239" s="614">
        <v>400</v>
      </c>
      <c r="F239" s="629">
        <v>35.450000000000003</v>
      </c>
      <c r="G239" s="629">
        <v>14180</v>
      </c>
      <c r="H239" s="614" t="s">
        <v>2387</v>
      </c>
      <c r="I239" s="616">
        <v>0</v>
      </c>
      <c r="J239" s="616">
        <v>0</v>
      </c>
      <c r="K239" s="616">
        <v>0</v>
      </c>
      <c r="L239" s="616">
        <v>0</v>
      </c>
      <c r="M239" s="616">
        <v>106.74</v>
      </c>
      <c r="N239" s="616">
        <v>0</v>
      </c>
      <c r="O239" s="616">
        <v>106.74</v>
      </c>
    </row>
    <row r="240" spans="1:15" x14ac:dyDescent="0.3">
      <c r="A240" s="615">
        <v>39275</v>
      </c>
      <c r="B240" s="614" t="s">
        <v>2385</v>
      </c>
      <c r="C240" s="614" t="s">
        <v>201</v>
      </c>
      <c r="D240" s="614" t="s">
        <v>197</v>
      </c>
      <c r="E240" s="614">
        <v>400</v>
      </c>
      <c r="F240" s="629">
        <v>36.5</v>
      </c>
      <c r="G240" s="629">
        <v>14600</v>
      </c>
      <c r="H240" s="614" t="s">
        <v>2386</v>
      </c>
      <c r="I240" s="616">
        <v>0</v>
      </c>
      <c r="J240" s="616">
        <v>0</v>
      </c>
      <c r="K240" s="616">
        <v>0</v>
      </c>
      <c r="L240" s="616">
        <v>0</v>
      </c>
      <c r="M240" s="616">
        <v>106.74</v>
      </c>
      <c r="N240" s="616">
        <v>0</v>
      </c>
      <c r="O240" s="616">
        <v>106.74</v>
      </c>
    </row>
    <row r="241" spans="1:15" x14ac:dyDescent="0.3">
      <c r="A241" s="615">
        <v>39275</v>
      </c>
      <c r="B241" s="614" t="s">
        <v>2383</v>
      </c>
      <c r="C241" s="614" t="s">
        <v>201</v>
      </c>
      <c r="D241" s="614" t="s">
        <v>197</v>
      </c>
      <c r="E241" s="614">
        <v>400</v>
      </c>
      <c r="F241" s="629">
        <v>2.8</v>
      </c>
      <c r="G241" s="629">
        <v>1120</v>
      </c>
      <c r="H241" s="614" t="s">
        <v>2384</v>
      </c>
      <c r="I241" s="616">
        <v>0</v>
      </c>
      <c r="J241" s="616">
        <v>0</v>
      </c>
      <c r="K241" s="616">
        <v>0</v>
      </c>
      <c r="L241" s="616">
        <v>0</v>
      </c>
      <c r="M241" s="616">
        <v>106.74</v>
      </c>
      <c r="N241" s="616">
        <v>0</v>
      </c>
      <c r="O241" s="616">
        <v>106.74</v>
      </c>
    </row>
    <row r="242" spans="1:15" x14ac:dyDescent="0.3">
      <c r="A242" s="615">
        <v>39274</v>
      </c>
      <c r="B242" s="614" t="s">
        <v>2456</v>
      </c>
      <c r="C242" s="614" t="s">
        <v>201</v>
      </c>
      <c r="D242" s="614" t="s">
        <v>197</v>
      </c>
      <c r="E242" s="614">
        <v>2700</v>
      </c>
      <c r="F242" s="629">
        <v>3.8</v>
      </c>
      <c r="G242" s="629">
        <v>10260</v>
      </c>
      <c r="H242" s="614" t="s">
        <v>2458</v>
      </c>
      <c r="I242" s="616">
        <v>0</v>
      </c>
      <c r="J242" s="616">
        <v>0</v>
      </c>
      <c r="K242" s="616">
        <v>0</v>
      </c>
      <c r="L242" s="616">
        <v>0</v>
      </c>
      <c r="M242" s="616">
        <v>106.74</v>
      </c>
      <c r="N242" s="616">
        <v>0</v>
      </c>
      <c r="O242" s="616">
        <v>106.74</v>
      </c>
    </row>
    <row r="243" spans="1:15" x14ac:dyDescent="0.3">
      <c r="A243" s="615">
        <v>39273</v>
      </c>
      <c r="B243" s="614" t="s">
        <v>2456</v>
      </c>
      <c r="C243" s="614" t="s">
        <v>201</v>
      </c>
      <c r="D243" s="614" t="s">
        <v>197</v>
      </c>
      <c r="E243" s="614">
        <v>2700</v>
      </c>
      <c r="F243" s="629">
        <v>4.2</v>
      </c>
      <c r="G243" s="629">
        <v>11340</v>
      </c>
      <c r="H243" s="614" t="s">
        <v>2457</v>
      </c>
      <c r="I243" s="616">
        <v>0</v>
      </c>
      <c r="J243" s="616">
        <v>0</v>
      </c>
      <c r="K243" s="616">
        <v>0</v>
      </c>
      <c r="L243" s="616">
        <v>0</v>
      </c>
      <c r="M243" s="616">
        <v>106.74</v>
      </c>
      <c r="N243" s="616">
        <v>0</v>
      </c>
      <c r="O243" s="616">
        <v>106.74</v>
      </c>
    </row>
    <row r="244" spans="1:15" x14ac:dyDescent="0.3">
      <c r="A244" s="615">
        <v>39272</v>
      </c>
      <c r="B244" s="614" t="s">
        <v>2453</v>
      </c>
      <c r="C244" s="614" t="s">
        <v>201</v>
      </c>
      <c r="D244" s="614" t="s">
        <v>197</v>
      </c>
      <c r="E244" s="614">
        <v>2700</v>
      </c>
      <c r="F244" s="629">
        <v>3</v>
      </c>
      <c r="G244" s="629">
        <v>8100</v>
      </c>
      <c r="H244" s="614" t="s">
        <v>2455</v>
      </c>
      <c r="I244" s="616">
        <v>0</v>
      </c>
      <c r="J244" s="616">
        <v>0</v>
      </c>
      <c r="K244" s="616">
        <v>0</v>
      </c>
      <c r="L244" s="616">
        <v>0</v>
      </c>
      <c r="M244" s="616">
        <v>106.74</v>
      </c>
      <c r="N244" s="616">
        <v>0</v>
      </c>
      <c r="O244" s="616">
        <v>106.74</v>
      </c>
    </row>
    <row r="245" spans="1:15" x14ac:dyDescent="0.3">
      <c r="A245" s="615">
        <v>39272</v>
      </c>
      <c r="B245" s="614" t="s">
        <v>2773</v>
      </c>
      <c r="C245" s="614" t="s">
        <v>201</v>
      </c>
      <c r="D245" s="614" t="s">
        <v>197</v>
      </c>
      <c r="E245" s="614">
        <v>100</v>
      </c>
      <c r="F245" s="629">
        <v>79.95</v>
      </c>
      <c r="G245" s="629">
        <v>7995</v>
      </c>
      <c r="H245" s="614" t="s">
        <v>2774</v>
      </c>
      <c r="I245" s="616">
        <v>0</v>
      </c>
      <c r="J245" s="616">
        <v>0</v>
      </c>
      <c r="K245" s="616">
        <v>0</v>
      </c>
      <c r="L245" s="616">
        <v>0</v>
      </c>
      <c r="M245" s="616">
        <v>213.48</v>
      </c>
      <c r="N245" s="616">
        <v>0</v>
      </c>
      <c r="O245" s="616">
        <v>213.48</v>
      </c>
    </row>
    <row r="246" spans="1:15" x14ac:dyDescent="0.3">
      <c r="A246" s="615">
        <v>39268</v>
      </c>
      <c r="B246" s="614" t="s">
        <v>2380</v>
      </c>
      <c r="C246" s="614" t="s">
        <v>201</v>
      </c>
      <c r="D246" s="614" t="s">
        <v>197</v>
      </c>
      <c r="E246" s="614">
        <v>800</v>
      </c>
      <c r="F246" s="629">
        <v>44.5</v>
      </c>
      <c r="G246" s="629">
        <v>35600</v>
      </c>
      <c r="H246" s="614" t="s">
        <v>2382</v>
      </c>
      <c r="I246" s="616">
        <v>0</v>
      </c>
      <c r="J246" s="616">
        <v>0</v>
      </c>
      <c r="K246" s="616">
        <v>0</v>
      </c>
      <c r="L246" s="616">
        <v>0</v>
      </c>
      <c r="M246" s="616">
        <v>213.48</v>
      </c>
      <c r="N246" s="616">
        <v>0</v>
      </c>
      <c r="O246" s="616">
        <v>213.48</v>
      </c>
    </row>
    <row r="247" spans="1:15" x14ac:dyDescent="0.3">
      <c r="A247" s="615">
        <v>39268</v>
      </c>
      <c r="B247" s="614" t="s">
        <v>2380</v>
      </c>
      <c r="C247" s="614" t="s">
        <v>201</v>
      </c>
      <c r="D247" s="614" t="s">
        <v>197</v>
      </c>
      <c r="E247" s="614">
        <v>400</v>
      </c>
      <c r="F247" s="629">
        <v>38</v>
      </c>
      <c r="G247" s="629">
        <v>15200</v>
      </c>
      <c r="H247" s="614" t="s">
        <v>2381</v>
      </c>
      <c r="I247" s="616">
        <v>0</v>
      </c>
      <c r="J247" s="616">
        <v>0</v>
      </c>
      <c r="K247" s="616">
        <v>0</v>
      </c>
      <c r="L247" s="616">
        <v>0</v>
      </c>
      <c r="M247" s="616">
        <v>106.74</v>
      </c>
      <c r="N247" s="616">
        <v>0</v>
      </c>
      <c r="O247" s="616">
        <v>106.74</v>
      </c>
    </row>
    <row r="248" spans="1:15" x14ac:dyDescent="0.3">
      <c r="A248" s="615">
        <v>39266</v>
      </c>
      <c r="B248" s="614" t="s">
        <v>75</v>
      </c>
      <c r="C248" s="614" t="s">
        <v>201</v>
      </c>
      <c r="D248" s="614" t="s">
        <v>197</v>
      </c>
      <c r="E248" s="614">
        <v>3350</v>
      </c>
      <c r="F248" s="629">
        <v>3.1</v>
      </c>
      <c r="G248" s="629">
        <v>10385</v>
      </c>
      <c r="H248" s="614" t="s">
        <v>77</v>
      </c>
      <c r="I248" s="616">
        <v>0</v>
      </c>
      <c r="J248" s="616">
        <v>0</v>
      </c>
      <c r="K248" s="616">
        <v>0</v>
      </c>
      <c r="L248" s="616">
        <v>0</v>
      </c>
      <c r="M248" s="616">
        <v>106.74</v>
      </c>
      <c r="N248" s="616">
        <v>0</v>
      </c>
      <c r="O248" s="616">
        <v>106.74</v>
      </c>
    </row>
    <row r="249" spans="1:15" x14ac:dyDescent="0.3">
      <c r="A249" s="615">
        <v>39266</v>
      </c>
      <c r="B249" s="614" t="s">
        <v>75</v>
      </c>
      <c r="C249" s="614" t="s">
        <v>201</v>
      </c>
      <c r="D249" s="614" t="s">
        <v>197</v>
      </c>
      <c r="E249" s="614">
        <v>3350</v>
      </c>
      <c r="F249" s="629">
        <v>2.95</v>
      </c>
      <c r="G249" s="629">
        <v>9882.5</v>
      </c>
      <c r="H249" s="614" t="s">
        <v>76</v>
      </c>
      <c r="I249" s="616">
        <v>0</v>
      </c>
      <c r="J249" s="616">
        <v>0</v>
      </c>
      <c r="K249" s="616">
        <v>0</v>
      </c>
      <c r="L249" s="616">
        <v>0</v>
      </c>
      <c r="M249" s="616">
        <v>106.74</v>
      </c>
      <c r="N249" s="616">
        <v>0</v>
      </c>
      <c r="O249" s="616">
        <v>106.74</v>
      </c>
    </row>
    <row r="250" spans="1:15" x14ac:dyDescent="0.3">
      <c r="A250" s="615">
        <v>39265</v>
      </c>
      <c r="B250" s="614" t="s">
        <v>2453</v>
      </c>
      <c r="C250" s="614" t="s">
        <v>201</v>
      </c>
      <c r="D250" s="614" t="s">
        <v>197</v>
      </c>
      <c r="E250" s="614">
        <v>2700</v>
      </c>
      <c r="F250" s="629">
        <v>2</v>
      </c>
      <c r="G250" s="629">
        <v>5400</v>
      </c>
      <c r="H250" s="614" t="s">
        <v>2454</v>
      </c>
      <c r="I250" s="616">
        <v>0</v>
      </c>
      <c r="J250" s="616">
        <v>0</v>
      </c>
      <c r="K250" s="616">
        <v>0</v>
      </c>
      <c r="L250" s="616">
        <v>0</v>
      </c>
      <c r="M250" s="616">
        <v>106.74</v>
      </c>
      <c r="N250" s="616">
        <v>0</v>
      </c>
      <c r="O250" s="616">
        <v>106.74</v>
      </c>
    </row>
    <row r="251" spans="1:15" x14ac:dyDescent="0.3">
      <c r="A251" s="615">
        <v>39261</v>
      </c>
      <c r="B251" s="614" t="s">
        <v>2789</v>
      </c>
      <c r="C251" s="614" t="s">
        <v>201</v>
      </c>
      <c r="D251" s="614" t="s">
        <v>197</v>
      </c>
      <c r="E251" s="614">
        <v>3350</v>
      </c>
      <c r="F251" s="629">
        <v>1.3</v>
      </c>
      <c r="G251" s="629">
        <v>4355</v>
      </c>
      <c r="H251" s="614" t="s">
        <v>2790</v>
      </c>
      <c r="I251" s="616">
        <v>0</v>
      </c>
      <c r="J251" s="616">
        <v>0</v>
      </c>
      <c r="K251" s="616">
        <v>0</v>
      </c>
      <c r="L251" s="616">
        <v>0</v>
      </c>
      <c r="M251" s="616">
        <v>106.74</v>
      </c>
      <c r="N251" s="616">
        <v>0</v>
      </c>
      <c r="O251" s="616">
        <v>106.74</v>
      </c>
    </row>
    <row r="252" spans="1:15" x14ac:dyDescent="0.3">
      <c r="A252" s="615">
        <v>39259</v>
      </c>
      <c r="B252" s="614" t="s">
        <v>2771</v>
      </c>
      <c r="C252" s="614" t="s">
        <v>201</v>
      </c>
      <c r="D252" s="614" t="s">
        <v>197</v>
      </c>
      <c r="E252" s="614">
        <v>100</v>
      </c>
      <c r="F252" s="629">
        <v>97</v>
      </c>
      <c r="G252" s="629">
        <v>9700</v>
      </c>
      <c r="H252" s="614" t="s">
        <v>2772</v>
      </c>
      <c r="I252" s="616">
        <v>0</v>
      </c>
      <c r="J252" s="616">
        <v>0</v>
      </c>
      <c r="K252" s="616">
        <v>0</v>
      </c>
      <c r="L252" s="616">
        <v>0</v>
      </c>
      <c r="M252" s="616">
        <v>213.48</v>
      </c>
      <c r="N252" s="616">
        <v>0</v>
      </c>
      <c r="O252" s="616">
        <v>213.48</v>
      </c>
    </row>
    <row r="253" spans="1:15" x14ac:dyDescent="0.3">
      <c r="A253" s="615">
        <v>39253</v>
      </c>
      <c r="B253" s="614" t="s">
        <v>2463</v>
      </c>
      <c r="C253" s="614" t="s">
        <v>201</v>
      </c>
      <c r="D253" s="614" t="s">
        <v>197</v>
      </c>
      <c r="E253" s="614">
        <v>100</v>
      </c>
      <c r="F253" s="629">
        <v>21</v>
      </c>
      <c r="G253" s="629">
        <v>2100</v>
      </c>
      <c r="H253" s="614" t="s">
        <v>2770</v>
      </c>
      <c r="I253" s="616">
        <v>0</v>
      </c>
      <c r="J253" s="616">
        <v>0</v>
      </c>
      <c r="K253" s="616">
        <v>0</v>
      </c>
      <c r="L253" s="616">
        <v>0</v>
      </c>
      <c r="M253" s="616">
        <v>213.48</v>
      </c>
      <c r="N253" s="616">
        <v>0</v>
      </c>
      <c r="O253" s="616">
        <v>213.48</v>
      </c>
    </row>
    <row r="254" spans="1:15" x14ac:dyDescent="0.3">
      <c r="A254" s="615">
        <v>39252</v>
      </c>
      <c r="B254" s="614" t="s">
        <v>2463</v>
      </c>
      <c r="C254" s="614" t="s">
        <v>201</v>
      </c>
      <c r="D254" s="614" t="s">
        <v>197</v>
      </c>
      <c r="E254" s="614">
        <v>100</v>
      </c>
      <c r="F254" s="629">
        <v>30.2</v>
      </c>
      <c r="G254" s="629">
        <v>3020</v>
      </c>
      <c r="H254" s="614" t="s">
        <v>2769</v>
      </c>
      <c r="I254" s="616">
        <v>0</v>
      </c>
      <c r="J254" s="616">
        <v>0</v>
      </c>
      <c r="K254" s="616">
        <v>0</v>
      </c>
      <c r="L254" s="616">
        <v>0</v>
      </c>
      <c r="M254" s="616">
        <v>213.48</v>
      </c>
      <c r="N254" s="616">
        <v>0</v>
      </c>
      <c r="O254" s="616">
        <v>213.48</v>
      </c>
    </row>
    <row r="255" spans="1:15" x14ac:dyDescent="0.3">
      <c r="A255" s="615">
        <v>39248</v>
      </c>
      <c r="B255" s="614" t="s">
        <v>2463</v>
      </c>
      <c r="C255" s="614" t="s">
        <v>201</v>
      </c>
      <c r="D255" s="614" t="s">
        <v>197</v>
      </c>
      <c r="E255" s="614">
        <v>50</v>
      </c>
      <c r="F255" s="629">
        <v>56</v>
      </c>
      <c r="G255" s="629">
        <v>2800</v>
      </c>
      <c r="H255" s="614" t="s">
        <v>2768</v>
      </c>
      <c r="I255" s="616">
        <v>0</v>
      </c>
      <c r="J255" s="616">
        <v>0</v>
      </c>
      <c r="K255" s="616">
        <v>0</v>
      </c>
      <c r="L255" s="616">
        <v>0</v>
      </c>
      <c r="M255" s="616">
        <v>106.74</v>
      </c>
      <c r="N255" s="616">
        <v>0</v>
      </c>
      <c r="O255" s="616">
        <v>106.74</v>
      </c>
    </row>
    <row r="256" spans="1:15" x14ac:dyDescent="0.3">
      <c r="A256" s="615">
        <v>39248</v>
      </c>
      <c r="B256" s="614" t="s">
        <v>2463</v>
      </c>
      <c r="C256" s="614" t="s">
        <v>201</v>
      </c>
      <c r="D256" s="614" t="s">
        <v>197</v>
      </c>
      <c r="E256" s="614">
        <v>50</v>
      </c>
      <c r="F256" s="629">
        <v>61.5</v>
      </c>
      <c r="G256" s="629">
        <v>3075</v>
      </c>
      <c r="H256" s="614" t="s">
        <v>2468</v>
      </c>
      <c r="I256" s="616">
        <v>0</v>
      </c>
      <c r="J256" s="616">
        <v>0</v>
      </c>
      <c r="K256" s="616">
        <v>0</v>
      </c>
      <c r="L256" s="616">
        <v>0</v>
      </c>
      <c r="M256" s="616">
        <v>106.74</v>
      </c>
      <c r="N256" s="616">
        <v>0</v>
      </c>
      <c r="O256" s="616">
        <v>106.74</v>
      </c>
    </row>
    <row r="257" spans="1:15" x14ac:dyDescent="0.3">
      <c r="A257" s="615">
        <v>39247</v>
      </c>
      <c r="B257" s="614" t="s">
        <v>2463</v>
      </c>
      <c r="C257" s="614" t="s">
        <v>201</v>
      </c>
      <c r="D257" s="614" t="s">
        <v>197</v>
      </c>
      <c r="E257" s="614">
        <v>100</v>
      </c>
      <c r="F257" s="629">
        <v>88</v>
      </c>
      <c r="G257" s="629">
        <v>8800</v>
      </c>
      <c r="H257" s="614" t="s">
        <v>2467</v>
      </c>
      <c r="I257" s="616">
        <v>0</v>
      </c>
      <c r="J257" s="616">
        <v>0</v>
      </c>
      <c r="K257" s="616">
        <v>0</v>
      </c>
      <c r="L257" s="616">
        <v>0</v>
      </c>
      <c r="M257" s="616">
        <v>213.48</v>
      </c>
      <c r="N257" s="616">
        <v>0</v>
      </c>
      <c r="O257" s="616">
        <v>213.48</v>
      </c>
    </row>
    <row r="258" spans="1:15" x14ac:dyDescent="0.3">
      <c r="A258" s="615">
        <v>39247</v>
      </c>
      <c r="B258" s="614" t="s">
        <v>2463</v>
      </c>
      <c r="C258" s="614" t="s">
        <v>201</v>
      </c>
      <c r="D258" s="614" t="s">
        <v>197</v>
      </c>
      <c r="E258" s="614">
        <v>50</v>
      </c>
      <c r="F258" s="629">
        <v>75.5</v>
      </c>
      <c r="G258" s="629">
        <v>3775</v>
      </c>
      <c r="H258" s="614" t="s">
        <v>2466</v>
      </c>
      <c r="I258" s="616">
        <v>0</v>
      </c>
      <c r="J258" s="616">
        <v>0</v>
      </c>
      <c r="K258" s="616">
        <v>0</v>
      </c>
      <c r="L258" s="616">
        <v>0</v>
      </c>
      <c r="M258" s="616">
        <v>106.74</v>
      </c>
      <c r="N258" s="616">
        <v>0</v>
      </c>
      <c r="O258" s="616">
        <v>106.74</v>
      </c>
    </row>
    <row r="259" spans="1:15" x14ac:dyDescent="0.3">
      <c r="A259" s="615">
        <v>39247</v>
      </c>
      <c r="B259" s="614" t="s">
        <v>2463</v>
      </c>
      <c r="C259" s="614" t="s">
        <v>201</v>
      </c>
      <c r="D259" s="614" t="s">
        <v>197</v>
      </c>
      <c r="E259" s="614">
        <v>100</v>
      </c>
      <c r="F259" s="629">
        <v>78</v>
      </c>
      <c r="G259" s="629">
        <v>7800</v>
      </c>
      <c r="H259" s="614" t="s">
        <v>2465</v>
      </c>
      <c r="I259" s="616">
        <v>0</v>
      </c>
      <c r="J259" s="616">
        <v>0</v>
      </c>
      <c r="K259" s="616">
        <v>0</v>
      </c>
      <c r="L259" s="616">
        <v>0</v>
      </c>
      <c r="M259" s="616">
        <v>213.48</v>
      </c>
      <c r="N259" s="616">
        <v>0</v>
      </c>
      <c r="O259" s="616">
        <v>213.48</v>
      </c>
    </row>
    <row r="260" spans="1:15" x14ac:dyDescent="0.3">
      <c r="A260" s="615">
        <v>39247</v>
      </c>
      <c r="B260" s="614" t="s">
        <v>2463</v>
      </c>
      <c r="C260" s="614" t="s">
        <v>201</v>
      </c>
      <c r="D260" s="614" t="s">
        <v>197</v>
      </c>
      <c r="E260" s="614">
        <v>100</v>
      </c>
      <c r="F260" s="629">
        <v>82</v>
      </c>
      <c r="G260" s="629">
        <v>8200</v>
      </c>
      <c r="H260" s="614" t="s">
        <v>2464</v>
      </c>
      <c r="I260" s="616">
        <v>0</v>
      </c>
      <c r="J260" s="616">
        <v>0</v>
      </c>
      <c r="K260" s="616">
        <v>0</v>
      </c>
      <c r="L260" s="616">
        <v>0</v>
      </c>
      <c r="M260" s="616">
        <v>213.48</v>
      </c>
      <c r="N260" s="616">
        <v>0</v>
      </c>
      <c r="O260" s="616">
        <v>213.48</v>
      </c>
    </row>
    <row r="261" spans="1:15" x14ac:dyDescent="0.3">
      <c r="A261" s="615">
        <v>39241</v>
      </c>
      <c r="B261" s="614" t="s">
        <v>2461</v>
      </c>
      <c r="C261" s="614" t="s">
        <v>201</v>
      </c>
      <c r="D261" s="614" t="s">
        <v>197</v>
      </c>
      <c r="E261" s="614">
        <v>200</v>
      </c>
      <c r="F261" s="629">
        <v>86</v>
      </c>
      <c r="G261" s="629">
        <v>17200</v>
      </c>
      <c r="H261" s="614" t="s">
        <v>2462</v>
      </c>
      <c r="I261" s="616">
        <v>0</v>
      </c>
      <c r="J261" s="616">
        <v>0</v>
      </c>
      <c r="K261" s="616">
        <v>0</v>
      </c>
      <c r="L261" s="616">
        <v>0</v>
      </c>
      <c r="M261" s="616">
        <v>426.97</v>
      </c>
      <c r="N261" s="616">
        <v>0</v>
      </c>
      <c r="O261" s="616">
        <v>426.97</v>
      </c>
    </row>
    <row r="262" spans="1:15" x14ac:dyDescent="0.3">
      <c r="A262" s="615">
        <v>39234</v>
      </c>
      <c r="B262" s="614" t="s">
        <v>2786</v>
      </c>
      <c r="C262" s="614" t="s">
        <v>201</v>
      </c>
      <c r="D262" s="614" t="s">
        <v>197</v>
      </c>
      <c r="E262" s="614">
        <v>3350</v>
      </c>
      <c r="F262" s="629">
        <v>0.95</v>
      </c>
      <c r="G262" s="629">
        <v>3182.5</v>
      </c>
      <c r="H262" s="614" t="s">
        <v>2788</v>
      </c>
      <c r="I262" s="616">
        <v>0</v>
      </c>
      <c r="J262" s="616">
        <v>0</v>
      </c>
      <c r="K262" s="616">
        <v>0</v>
      </c>
      <c r="L262" s="616">
        <v>0</v>
      </c>
      <c r="M262" s="616">
        <v>106.74</v>
      </c>
      <c r="N262" s="616">
        <v>0</v>
      </c>
      <c r="O262" s="616">
        <v>106.74</v>
      </c>
    </row>
    <row r="263" spans="1:15" x14ac:dyDescent="0.3">
      <c r="A263" s="615">
        <v>39233</v>
      </c>
      <c r="B263" s="614" t="s">
        <v>2786</v>
      </c>
      <c r="C263" s="614" t="s">
        <v>201</v>
      </c>
      <c r="D263" s="614" t="s">
        <v>197</v>
      </c>
      <c r="E263" s="614">
        <v>3350</v>
      </c>
      <c r="F263" s="629">
        <v>1.4</v>
      </c>
      <c r="G263" s="629">
        <v>4690</v>
      </c>
      <c r="H263" s="614" t="s">
        <v>2787</v>
      </c>
      <c r="I263" s="616">
        <v>0</v>
      </c>
      <c r="J263" s="616">
        <v>0</v>
      </c>
      <c r="K263" s="616">
        <v>0</v>
      </c>
      <c r="L263" s="616">
        <v>0</v>
      </c>
      <c r="M263" s="616">
        <v>106.74</v>
      </c>
      <c r="N263" s="616">
        <v>0</v>
      </c>
      <c r="O263" s="616">
        <v>106.74</v>
      </c>
    </row>
    <row r="264" spans="1:15" x14ac:dyDescent="0.3">
      <c r="A264" s="615">
        <v>39231</v>
      </c>
      <c r="B264" s="614" t="s">
        <v>2783</v>
      </c>
      <c r="C264" s="614" t="s">
        <v>201</v>
      </c>
      <c r="D264" s="614" t="s">
        <v>197</v>
      </c>
      <c r="E264" s="614">
        <v>300</v>
      </c>
      <c r="F264" s="629">
        <v>34</v>
      </c>
      <c r="G264" s="629">
        <v>10200</v>
      </c>
      <c r="H264" s="614" t="s">
        <v>2785</v>
      </c>
      <c r="I264" s="616">
        <v>0</v>
      </c>
      <c r="J264" s="616">
        <v>0</v>
      </c>
      <c r="K264" s="616">
        <v>0</v>
      </c>
      <c r="L264" s="616">
        <v>0</v>
      </c>
      <c r="M264" s="616">
        <v>213.48</v>
      </c>
      <c r="N264" s="616">
        <v>0</v>
      </c>
      <c r="O264" s="616">
        <v>213.48</v>
      </c>
    </row>
    <row r="265" spans="1:15" x14ac:dyDescent="0.3">
      <c r="A265" s="615">
        <v>39231</v>
      </c>
      <c r="B265" s="614" t="s">
        <v>2783</v>
      </c>
      <c r="C265" s="614" t="s">
        <v>201</v>
      </c>
      <c r="D265" s="614" t="s">
        <v>197</v>
      </c>
      <c r="E265" s="614">
        <v>150</v>
      </c>
      <c r="F265" s="629">
        <v>32.799999999999997</v>
      </c>
      <c r="G265" s="629">
        <v>4920</v>
      </c>
      <c r="H265" s="614" t="s">
        <v>2784</v>
      </c>
      <c r="I265" s="616">
        <v>0</v>
      </c>
      <c r="J265" s="616">
        <v>0</v>
      </c>
      <c r="K265" s="616">
        <v>0</v>
      </c>
      <c r="L265" s="616">
        <v>0</v>
      </c>
      <c r="M265" s="616">
        <v>106.74</v>
      </c>
      <c r="N265" s="616">
        <v>0</v>
      </c>
      <c r="O265" s="616">
        <v>106.74</v>
      </c>
    </row>
    <row r="266" spans="1:15" x14ac:dyDescent="0.3">
      <c r="A266" s="615">
        <v>39231</v>
      </c>
      <c r="B266" s="614" t="s">
        <v>2775</v>
      </c>
      <c r="C266" s="614" t="s">
        <v>201</v>
      </c>
      <c r="D266" s="614" t="s">
        <v>197</v>
      </c>
      <c r="E266" s="614">
        <v>900</v>
      </c>
      <c r="F266" s="629">
        <v>1.1499999999999999</v>
      </c>
      <c r="G266" s="629">
        <v>1035</v>
      </c>
      <c r="H266" s="614" t="s">
        <v>2782</v>
      </c>
      <c r="I266" s="616">
        <v>0</v>
      </c>
      <c r="J266" s="616">
        <v>0</v>
      </c>
      <c r="K266" s="616">
        <v>0</v>
      </c>
      <c r="L266" s="616">
        <v>0</v>
      </c>
      <c r="M266" s="616">
        <v>640.44000000000005</v>
      </c>
      <c r="N266" s="616">
        <v>0</v>
      </c>
      <c r="O266" s="616">
        <v>640.44000000000005</v>
      </c>
    </row>
    <row r="267" spans="1:15" x14ac:dyDescent="0.3">
      <c r="A267" s="615">
        <v>39223</v>
      </c>
      <c r="B267" s="614" t="s">
        <v>2775</v>
      </c>
      <c r="C267" s="614" t="s">
        <v>201</v>
      </c>
      <c r="D267" s="614" t="s">
        <v>197</v>
      </c>
      <c r="E267" s="614">
        <v>300</v>
      </c>
      <c r="F267" s="629">
        <v>5.35</v>
      </c>
      <c r="G267" s="629">
        <v>1605</v>
      </c>
      <c r="H267" s="614" t="s">
        <v>2781</v>
      </c>
      <c r="I267" s="616">
        <v>0</v>
      </c>
      <c r="J267" s="616">
        <v>0</v>
      </c>
      <c r="K267" s="616">
        <v>0</v>
      </c>
      <c r="L267" s="616">
        <v>0</v>
      </c>
      <c r="M267" s="616">
        <v>213.48</v>
      </c>
      <c r="N267" s="616">
        <v>0</v>
      </c>
      <c r="O267" s="616">
        <v>213.48</v>
      </c>
    </row>
    <row r="268" spans="1:15" x14ac:dyDescent="0.3">
      <c r="A268" s="615">
        <v>39223</v>
      </c>
      <c r="B268" s="614" t="s">
        <v>2775</v>
      </c>
      <c r="C268" s="614" t="s">
        <v>201</v>
      </c>
      <c r="D268" s="614" t="s">
        <v>197</v>
      </c>
      <c r="E268" s="614">
        <v>600</v>
      </c>
      <c r="F268" s="629">
        <v>5.8</v>
      </c>
      <c r="G268" s="629">
        <v>3480</v>
      </c>
      <c r="H268" s="614" t="s">
        <v>2780</v>
      </c>
      <c r="I268" s="616">
        <v>0</v>
      </c>
      <c r="J268" s="616">
        <v>0</v>
      </c>
      <c r="K268" s="616">
        <v>0</v>
      </c>
      <c r="L268" s="616">
        <v>0</v>
      </c>
      <c r="M268" s="616">
        <v>426.97</v>
      </c>
      <c r="N268" s="616">
        <v>0</v>
      </c>
      <c r="O268" s="616">
        <v>426.97</v>
      </c>
    </row>
    <row r="269" spans="1:15" x14ac:dyDescent="0.3">
      <c r="A269" s="615">
        <v>39223</v>
      </c>
      <c r="B269" s="614" t="s">
        <v>2775</v>
      </c>
      <c r="C269" s="614" t="s">
        <v>201</v>
      </c>
      <c r="D269" s="614" t="s">
        <v>197</v>
      </c>
      <c r="E269" s="614">
        <v>600</v>
      </c>
      <c r="F269" s="629">
        <v>6</v>
      </c>
      <c r="G269" s="629">
        <v>3600</v>
      </c>
      <c r="H269" s="614" t="s">
        <v>2779</v>
      </c>
      <c r="I269" s="616">
        <v>0</v>
      </c>
      <c r="J269" s="616">
        <v>0</v>
      </c>
      <c r="K269" s="616">
        <v>0</v>
      </c>
      <c r="L269" s="616">
        <v>0</v>
      </c>
      <c r="M269" s="616">
        <v>426.97</v>
      </c>
      <c r="N269" s="616">
        <v>0</v>
      </c>
      <c r="O269" s="616">
        <v>426.97</v>
      </c>
    </row>
    <row r="270" spans="1:15" x14ac:dyDescent="0.3">
      <c r="A270" s="615">
        <v>39220</v>
      </c>
      <c r="B270" s="614" t="s">
        <v>2775</v>
      </c>
      <c r="C270" s="614" t="s">
        <v>201</v>
      </c>
      <c r="D270" s="614" t="s">
        <v>197</v>
      </c>
      <c r="E270" s="614">
        <v>150</v>
      </c>
      <c r="F270" s="629">
        <v>12.2</v>
      </c>
      <c r="G270" s="629">
        <v>1830</v>
      </c>
      <c r="H270" s="614" t="s">
        <v>2778</v>
      </c>
      <c r="I270" s="616">
        <v>0</v>
      </c>
      <c r="J270" s="616">
        <v>0</v>
      </c>
      <c r="K270" s="616">
        <v>0</v>
      </c>
      <c r="L270" s="616">
        <v>0</v>
      </c>
      <c r="M270" s="616">
        <v>112.36</v>
      </c>
      <c r="N270" s="616">
        <v>0</v>
      </c>
      <c r="O270" s="616">
        <v>112.36</v>
      </c>
    </row>
    <row r="271" spans="1:15" x14ac:dyDescent="0.3">
      <c r="A271" s="615">
        <v>39219</v>
      </c>
      <c r="B271" s="614" t="s">
        <v>2775</v>
      </c>
      <c r="C271" s="614" t="s">
        <v>201</v>
      </c>
      <c r="D271" s="614" t="s">
        <v>197</v>
      </c>
      <c r="E271" s="614">
        <v>150</v>
      </c>
      <c r="F271" s="629">
        <v>16</v>
      </c>
      <c r="G271" s="629">
        <v>2400</v>
      </c>
      <c r="H271" s="614" t="s">
        <v>2777</v>
      </c>
      <c r="I271" s="616">
        <v>0</v>
      </c>
      <c r="J271" s="616">
        <v>0</v>
      </c>
      <c r="K271" s="616">
        <v>0</v>
      </c>
      <c r="L271" s="616">
        <v>0</v>
      </c>
      <c r="M271" s="616">
        <v>112.36</v>
      </c>
      <c r="N271" s="616">
        <v>0</v>
      </c>
      <c r="O271" s="616">
        <v>112.36</v>
      </c>
    </row>
    <row r="272" spans="1:15" x14ac:dyDescent="0.3">
      <c r="A272" s="615">
        <v>39219</v>
      </c>
      <c r="B272" s="614" t="s">
        <v>2775</v>
      </c>
      <c r="C272" s="614" t="s">
        <v>201</v>
      </c>
      <c r="D272" s="614" t="s">
        <v>197</v>
      </c>
      <c r="E272" s="614">
        <v>300</v>
      </c>
      <c r="F272" s="629">
        <v>17.5</v>
      </c>
      <c r="G272" s="629">
        <v>5250</v>
      </c>
      <c r="H272" s="614" t="s">
        <v>2776</v>
      </c>
      <c r="I272" s="616">
        <v>0</v>
      </c>
      <c r="J272" s="616">
        <v>0</v>
      </c>
      <c r="K272" s="616">
        <v>0</v>
      </c>
      <c r="L272" s="616">
        <v>0</v>
      </c>
      <c r="M272" s="616">
        <v>224.72</v>
      </c>
      <c r="N272" s="616">
        <v>0</v>
      </c>
      <c r="O272" s="616">
        <v>224.72</v>
      </c>
    </row>
    <row r="273" spans="1:15" x14ac:dyDescent="0.3">
      <c r="A273" s="615">
        <v>39218</v>
      </c>
      <c r="B273" s="614" t="s">
        <v>80</v>
      </c>
      <c r="C273" s="614" t="s">
        <v>201</v>
      </c>
      <c r="D273" s="614" t="s">
        <v>197</v>
      </c>
      <c r="E273" s="614">
        <v>600</v>
      </c>
      <c r="F273" s="629">
        <v>7.5</v>
      </c>
      <c r="G273" s="629">
        <v>4500</v>
      </c>
      <c r="H273" s="614" t="s">
        <v>1397</v>
      </c>
      <c r="I273" s="616">
        <v>0</v>
      </c>
      <c r="J273" s="616">
        <v>0</v>
      </c>
      <c r="K273" s="616">
        <v>0</v>
      </c>
      <c r="L273" s="616">
        <v>0</v>
      </c>
      <c r="M273" s="616">
        <v>112.36</v>
      </c>
      <c r="N273" s="616">
        <v>0</v>
      </c>
      <c r="O273" s="616">
        <v>112.36</v>
      </c>
    </row>
    <row r="274" spans="1:15" x14ac:dyDescent="0.3">
      <c r="A274" s="615">
        <v>39217</v>
      </c>
      <c r="B274" s="614" t="s">
        <v>2459</v>
      </c>
      <c r="C274" s="614" t="s">
        <v>201</v>
      </c>
      <c r="D274" s="614" t="s">
        <v>197</v>
      </c>
      <c r="E274" s="614">
        <v>100</v>
      </c>
      <c r="F274" s="629">
        <v>36</v>
      </c>
      <c r="G274" s="629">
        <v>3600</v>
      </c>
      <c r="H274" s="614" t="s">
        <v>2460</v>
      </c>
      <c r="I274" s="616">
        <v>0</v>
      </c>
      <c r="J274" s="616">
        <v>0</v>
      </c>
      <c r="K274" s="616">
        <v>0</v>
      </c>
      <c r="L274" s="616">
        <v>0</v>
      </c>
      <c r="M274" s="616">
        <v>112.36</v>
      </c>
      <c r="N274" s="616">
        <v>0</v>
      </c>
      <c r="O274" s="616">
        <v>112.36</v>
      </c>
    </row>
    <row r="275" spans="1:15" x14ac:dyDescent="0.3">
      <c r="A275" s="615">
        <v>39216</v>
      </c>
      <c r="B275" s="614" t="s">
        <v>80</v>
      </c>
      <c r="C275" s="614" t="s">
        <v>201</v>
      </c>
      <c r="D275" s="614" t="s">
        <v>197</v>
      </c>
      <c r="E275" s="614">
        <v>600</v>
      </c>
      <c r="F275" s="629">
        <v>12</v>
      </c>
      <c r="G275" s="629">
        <v>7200</v>
      </c>
      <c r="H275" s="614" t="s">
        <v>1396</v>
      </c>
      <c r="I275" s="616">
        <v>0</v>
      </c>
      <c r="J275" s="616">
        <v>0</v>
      </c>
      <c r="K275" s="616">
        <v>0</v>
      </c>
      <c r="L275" s="616">
        <v>0</v>
      </c>
      <c r="M275" s="616">
        <v>112.36</v>
      </c>
      <c r="N275" s="616">
        <v>0</v>
      </c>
      <c r="O275" s="616">
        <v>112.36</v>
      </c>
    </row>
    <row r="280" spans="1:15" x14ac:dyDescent="0.3">
      <c r="G280" s="630">
        <f>SUM(G2:G279)</f>
        <v>1745602.1</v>
      </c>
      <c r="O280" s="620">
        <f>SUM(O2:O279)</f>
        <v>48327.869999999981</v>
      </c>
    </row>
    <row r="284" spans="1:15" ht="15" thickBot="1" x14ac:dyDescent="0.35"/>
    <row r="285" spans="1:15" ht="15" thickBot="1" x14ac:dyDescent="0.35">
      <c r="F285" s="633" t="s">
        <v>624</v>
      </c>
      <c r="G285" s="632">
        <f>G280+O280</f>
        <v>1793929.97</v>
      </c>
    </row>
    <row r="302" spans="1:15" x14ac:dyDescent="0.3">
      <c r="A302" s="615">
        <v>41989</v>
      </c>
      <c r="B302" s="614" t="s">
        <v>3697</v>
      </c>
      <c r="C302" s="614" t="s">
        <v>201</v>
      </c>
      <c r="D302" s="614" t="s">
        <v>369</v>
      </c>
      <c r="E302" s="614">
        <v>4000</v>
      </c>
      <c r="F302" s="629">
        <v>0.45</v>
      </c>
      <c r="G302" s="629">
        <v>1800</v>
      </c>
      <c r="H302" s="614" t="s">
        <v>3723</v>
      </c>
      <c r="I302" s="616">
        <v>0.3</v>
      </c>
      <c r="J302" s="616">
        <v>1.02</v>
      </c>
      <c r="K302" s="616">
        <v>0.1</v>
      </c>
      <c r="L302" s="616">
        <v>0</v>
      </c>
      <c r="M302" s="616">
        <v>190</v>
      </c>
      <c r="N302" s="616">
        <v>23.48</v>
      </c>
      <c r="O302" s="616">
        <v>214.9</v>
      </c>
    </row>
    <row r="303" spans="1:15" x14ac:dyDescent="0.3">
      <c r="A303" s="615">
        <v>41989</v>
      </c>
      <c r="B303" s="614" t="s">
        <v>3697</v>
      </c>
      <c r="C303" s="614" t="s">
        <v>201</v>
      </c>
      <c r="D303" s="614" t="s">
        <v>369</v>
      </c>
      <c r="E303" s="614">
        <v>6000</v>
      </c>
      <c r="F303" s="629">
        <v>0.45</v>
      </c>
      <c r="G303" s="629">
        <v>2700</v>
      </c>
      <c r="H303" s="614" t="s">
        <v>3724</v>
      </c>
      <c r="I303" s="616">
        <v>0.69</v>
      </c>
      <c r="J303" s="616">
        <v>1.52</v>
      </c>
      <c r="K303" s="616">
        <v>0.16</v>
      </c>
      <c r="L303" s="616">
        <v>0.01</v>
      </c>
      <c r="M303" s="616">
        <v>285</v>
      </c>
      <c r="N303" s="616">
        <v>35.229999999999997</v>
      </c>
      <c r="O303" s="616">
        <v>322.61</v>
      </c>
    </row>
    <row r="304" spans="1:15" x14ac:dyDescent="0.3">
      <c r="A304" s="615">
        <v>41984</v>
      </c>
      <c r="B304" s="614" t="s">
        <v>3702</v>
      </c>
      <c r="C304" s="614" t="s">
        <v>201</v>
      </c>
      <c r="D304" s="614" t="s">
        <v>369</v>
      </c>
      <c r="E304" s="614">
        <v>2000</v>
      </c>
      <c r="F304" s="629">
        <v>1.5</v>
      </c>
      <c r="G304" s="629">
        <v>3000</v>
      </c>
      <c r="H304" s="614" t="s">
        <v>3725</v>
      </c>
      <c r="I304" s="616">
        <v>0.51</v>
      </c>
      <c r="J304" s="616">
        <v>1.69</v>
      </c>
      <c r="K304" s="616">
        <v>0.18</v>
      </c>
      <c r="L304" s="616">
        <v>0.01</v>
      </c>
      <c r="M304" s="616">
        <v>25</v>
      </c>
      <c r="N304" s="616">
        <v>3.09</v>
      </c>
      <c r="O304" s="616">
        <v>30.48</v>
      </c>
    </row>
    <row r="305" spans="1:15" x14ac:dyDescent="0.3">
      <c r="A305" s="615">
        <v>41984</v>
      </c>
      <c r="B305" s="614" t="s">
        <v>3704</v>
      </c>
      <c r="C305" s="614" t="s">
        <v>201</v>
      </c>
      <c r="D305" s="614" t="s">
        <v>369</v>
      </c>
      <c r="E305" s="614">
        <v>32000</v>
      </c>
      <c r="F305" s="629">
        <v>0.45</v>
      </c>
      <c r="G305" s="629">
        <v>14400</v>
      </c>
      <c r="H305" s="614" t="s">
        <v>3726</v>
      </c>
      <c r="I305" s="616">
        <v>2.4500000000000002</v>
      </c>
      <c r="J305" s="616">
        <v>8.08</v>
      </c>
      <c r="K305" s="616">
        <v>0.87</v>
      </c>
      <c r="L305" s="616">
        <v>0.01</v>
      </c>
      <c r="M305" s="616">
        <v>760</v>
      </c>
      <c r="N305" s="616">
        <v>93.93</v>
      </c>
      <c r="O305" s="616">
        <v>865.34</v>
      </c>
    </row>
    <row r="306" spans="1:15" x14ac:dyDescent="0.3">
      <c r="A306" s="615">
        <v>41981</v>
      </c>
      <c r="B306" s="614" t="s">
        <v>3702</v>
      </c>
      <c r="C306" s="614" t="s">
        <v>201</v>
      </c>
      <c r="D306" s="614" t="s">
        <v>369</v>
      </c>
      <c r="E306" s="614">
        <v>6000</v>
      </c>
      <c r="F306" s="629">
        <v>2.2000000000000002</v>
      </c>
      <c r="G306" s="629">
        <v>13200</v>
      </c>
      <c r="H306" s="614" t="s">
        <v>3727</v>
      </c>
      <c r="I306" s="616">
        <v>2</v>
      </c>
      <c r="J306" s="616">
        <v>7.42</v>
      </c>
      <c r="K306" s="616">
        <v>0.79</v>
      </c>
      <c r="L306" s="616">
        <v>0.03</v>
      </c>
      <c r="M306" s="616">
        <v>285</v>
      </c>
      <c r="N306" s="616">
        <v>35.229999999999997</v>
      </c>
      <c r="O306" s="616">
        <v>330.47</v>
      </c>
    </row>
    <row r="307" spans="1:15" x14ac:dyDescent="0.3">
      <c r="A307" s="615">
        <v>41977</v>
      </c>
      <c r="B307" s="614" t="s">
        <v>3711</v>
      </c>
      <c r="C307" s="614" t="s">
        <v>201</v>
      </c>
      <c r="D307" s="614" t="s">
        <v>369</v>
      </c>
      <c r="E307" s="614">
        <v>2000</v>
      </c>
      <c r="F307" s="629">
        <v>2.1</v>
      </c>
      <c r="G307" s="629">
        <v>4200</v>
      </c>
      <c r="H307" s="614" t="s">
        <v>3728</v>
      </c>
      <c r="I307" s="616">
        <v>1</v>
      </c>
      <c r="J307" s="616">
        <v>2.36</v>
      </c>
      <c r="K307" s="616">
        <v>0.25</v>
      </c>
      <c r="L307" s="616">
        <v>0.01</v>
      </c>
      <c r="M307" s="616">
        <v>95</v>
      </c>
      <c r="N307" s="616">
        <v>11.74</v>
      </c>
      <c r="O307" s="616">
        <v>110.36</v>
      </c>
    </row>
    <row r="308" spans="1:15" x14ac:dyDescent="0.3">
      <c r="A308" s="615">
        <v>41976</v>
      </c>
      <c r="B308" s="614" t="s">
        <v>3704</v>
      </c>
      <c r="C308" s="614" t="s">
        <v>201</v>
      </c>
      <c r="D308" s="614" t="s">
        <v>369</v>
      </c>
      <c r="E308" s="614">
        <v>4000</v>
      </c>
      <c r="F308" s="629">
        <v>1.5</v>
      </c>
      <c r="G308" s="629">
        <v>6000</v>
      </c>
      <c r="H308" s="614" t="s">
        <v>3729</v>
      </c>
      <c r="I308" s="616">
        <v>1</v>
      </c>
      <c r="J308" s="616">
        <v>3.37</v>
      </c>
      <c r="K308" s="616">
        <v>0.36</v>
      </c>
      <c r="L308" s="616">
        <v>0.01</v>
      </c>
      <c r="M308" s="616">
        <v>95</v>
      </c>
      <c r="N308" s="616">
        <v>11.74</v>
      </c>
      <c r="O308" s="616">
        <v>111.48</v>
      </c>
    </row>
    <row r="309" spans="1:15" x14ac:dyDescent="0.3">
      <c r="A309" s="615">
        <v>41964</v>
      </c>
      <c r="B309" s="614" t="s">
        <v>3718</v>
      </c>
      <c r="C309" s="614" t="s">
        <v>201</v>
      </c>
      <c r="D309" s="614" t="s">
        <v>369</v>
      </c>
      <c r="E309" s="614">
        <v>3750</v>
      </c>
      <c r="F309" s="629">
        <v>0.45</v>
      </c>
      <c r="G309" s="629">
        <v>1687.5</v>
      </c>
      <c r="H309" s="614" t="s">
        <v>3730</v>
      </c>
      <c r="I309" s="616">
        <v>0</v>
      </c>
      <c r="J309" s="616">
        <v>0.95</v>
      </c>
      <c r="K309" s="616">
        <v>0.1</v>
      </c>
      <c r="L309" s="616">
        <v>0</v>
      </c>
      <c r="M309" s="616">
        <v>285</v>
      </c>
      <c r="N309" s="616">
        <v>35.22</v>
      </c>
      <c r="O309" s="616">
        <v>321.27</v>
      </c>
    </row>
    <row r="310" spans="1:15" x14ac:dyDescent="0.3">
      <c r="A310" s="615">
        <v>41803</v>
      </c>
      <c r="B310" s="614" t="s">
        <v>3454</v>
      </c>
      <c r="C310" s="614" t="s">
        <v>201</v>
      </c>
      <c r="D310" s="614" t="s">
        <v>369</v>
      </c>
      <c r="E310" s="614">
        <v>1000</v>
      </c>
      <c r="F310" s="629">
        <v>12.46</v>
      </c>
      <c r="G310" s="629">
        <v>12462.5</v>
      </c>
      <c r="H310" s="614" t="s">
        <v>3455</v>
      </c>
      <c r="I310" s="616">
        <v>1.98</v>
      </c>
      <c r="J310" s="616">
        <v>7.01</v>
      </c>
      <c r="K310" s="616">
        <v>0.75</v>
      </c>
      <c r="L310" s="616">
        <v>0.03</v>
      </c>
      <c r="M310" s="616">
        <v>380</v>
      </c>
      <c r="N310" s="616">
        <v>46.96</v>
      </c>
      <c r="O310" s="616">
        <v>436.73</v>
      </c>
    </row>
    <row r="311" spans="1:15" x14ac:dyDescent="0.3">
      <c r="A311" s="615">
        <v>41648</v>
      </c>
      <c r="B311" s="614" t="s">
        <v>3323</v>
      </c>
      <c r="C311" s="614" t="s">
        <v>201</v>
      </c>
      <c r="D311" s="614" t="s">
        <v>369</v>
      </c>
      <c r="E311" s="614">
        <v>1000</v>
      </c>
      <c r="F311" s="629">
        <v>5.5</v>
      </c>
      <c r="G311" s="629">
        <v>5500</v>
      </c>
      <c r="H311" s="614" t="s">
        <v>3335</v>
      </c>
      <c r="I311" s="616">
        <v>1</v>
      </c>
      <c r="J311" s="616">
        <v>3.09</v>
      </c>
      <c r="K311" s="616">
        <v>0.33</v>
      </c>
      <c r="L311" s="616">
        <v>0.01</v>
      </c>
      <c r="M311" s="616">
        <v>190</v>
      </c>
      <c r="N311" s="616">
        <v>23.48</v>
      </c>
      <c r="O311" s="616">
        <v>217.91</v>
      </c>
    </row>
    <row r="312" spans="1:15" x14ac:dyDescent="0.3">
      <c r="A312" s="615">
        <v>41645</v>
      </c>
      <c r="B312" s="614" t="s">
        <v>3740</v>
      </c>
      <c r="C312" s="614" t="s">
        <v>201</v>
      </c>
      <c r="D312" s="614" t="s">
        <v>369</v>
      </c>
      <c r="E312" s="614">
        <v>250</v>
      </c>
      <c r="F312" s="629">
        <v>26</v>
      </c>
      <c r="G312" s="629">
        <v>6500</v>
      </c>
      <c r="H312" s="614" t="s">
        <v>3336</v>
      </c>
      <c r="I312" s="616">
        <v>1</v>
      </c>
      <c r="J312" s="616">
        <v>3.65</v>
      </c>
      <c r="K312" s="616">
        <v>0.39</v>
      </c>
      <c r="L312" s="616">
        <v>0.01</v>
      </c>
      <c r="M312" s="616">
        <v>95</v>
      </c>
      <c r="N312" s="616">
        <v>11.74</v>
      </c>
      <c r="O312" s="616">
        <v>111.79</v>
      </c>
    </row>
    <row r="313" spans="1:15" x14ac:dyDescent="0.3">
      <c r="A313" s="615">
        <v>41502</v>
      </c>
      <c r="B313" s="614" t="s">
        <v>3327</v>
      </c>
      <c r="C313" s="614" t="s">
        <v>201</v>
      </c>
      <c r="D313" s="614" t="s">
        <v>369</v>
      </c>
      <c r="E313" s="614">
        <v>300</v>
      </c>
      <c r="F313" s="629">
        <v>6.1</v>
      </c>
      <c r="G313" s="629">
        <v>1830</v>
      </c>
      <c r="H313" s="614" t="s">
        <v>3337</v>
      </c>
      <c r="I313" s="616">
        <v>0</v>
      </c>
      <c r="J313" s="616">
        <v>1.03</v>
      </c>
      <c r="K313" s="616">
        <v>0.11</v>
      </c>
      <c r="L313" s="616">
        <v>0</v>
      </c>
      <c r="M313" s="616">
        <v>570</v>
      </c>
      <c r="N313" s="616">
        <v>70.45</v>
      </c>
      <c r="O313" s="616">
        <v>641.59</v>
      </c>
    </row>
    <row r="314" spans="1:15" x14ac:dyDescent="0.3">
      <c r="A314" s="615">
        <v>41403</v>
      </c>
      <c r="B314" s="614" t="s">
        <v>3330</v>
      </c>
      <c r="C314" s="614" t="s">
        <v>201</v>
      </c>
      <c r="D314" s="614" t="s">
        <v>369</v>
      </c>
      <c r="E314" s="614">
        <v>500</v>
      </c>
      <c r="F314" s="629">
        <v>64.7</v>
      </c>
      <c r="G314" s="629">
        <v>32350</v>
      </c>
      <c r="H314" s="614" t="s">
        <v>3338</v>
      </c>
      <c r="I314" s="616">
        <v>6</v>
      </c>
      <c r="J314" s="616">
        <v>18.18</v>
      </c>
      <c r="K314" s="616">
        <v>1.94</v>
      </c>
      <c r="L314" s="616">
        <v>0.03</v>
      </c>
      <c r="M314" s="616">
        <v>950</v>
      </c>
      <c r="N314" s="616">
        <v>117.42</v>
      </c>
      <c r="O314" s="616">
        <v>1093.57</v>
      </c>
    </row>
    <row r="315" spans="1:15" x14ac:dyDescent="0.3">
      <c r="A315" s="615">
        <v>41341</v>
      </c>
      <c r="B315" s="614" t="s">
        <v>2977</v>
      </c>
      <c r="C315" s="614" t="s">
        <v>201</v>
      </c>
      <c r="D315" s="614" t="s">
        <v>369</v>
      </c>
      <c r="E315" s="614">
        <v>2000</v>
      </c>
      <c r="F315" s="629">
        <v>1.7</v>
      </c>
      <c r="G315" s="629">
        <v>3400</v>
      </c>
      <c r="H315" s="614" t="s">
        <v>2990</v>
      </c>
      <c r="I315" s="616">
        <v>1</v>
      </c>
      <c r="J315" s="616">
        <v>1.91</v>
      </c>
      <c r="K315" s="616">
        <v>0.2</v>
      </c>
      <c r="L315" s="616">
        <v>0</v>
      </c>
      <c r="M315" s="616">
        <v>25</v>
      </c>
      <c r="N315" s="616">
        <v>3.09</v>
      </c>
      <c r="O315" s="616">
        <v>31.2</v>
      </c>
    </row>
    <row r="316" spans="1:15" x14ac:dyDescent="0.3">
      <c r="A316" s="615">
        <v>41324</v>
      </c>
      <c r="B316" s="614" t="s">
        <v>2979</v>
      </c>
      <c r="C316" s="614" t="s">
        <v>201</v>
      </c>
      <c r="D316" s="614" t="s">
        <v>369</v>
      </c>
      <c r="E316" s="614">
        <v>500</v>
      </c>
      <c r="F316" s="629">
        <v>7.1</v>
      </c>
      <c r="G316" s="629">
        <v>3550</v>
      </c>
      <c r="H316" s="614" t="s">
        <v>2991</v>
      </c>
      <c r="I316" s="616">
        <v>0.99</v>
      </c>
      <c r="J316" s="616">
        <v>2</v>
      </c>
      <c r="K316" s="616">
        <v>0.22</v>
      </c>
      <c r="L316" s="616">
        <v>0</v>
      </c>
      <c r="M316" s="616">
        <v>190</v>
      </c>
      <c r="N316" s="616">
        <v>23.48</v>
      </c>
      <c r="O316" s="616">
        <v>216.69</v>
      </c>
    </row>
    <row r="317" spans="1:15" x14ac:dyDescent="0.3">
      <c r="A317" s="615">
        <v>41281</v>
      </c>
      <c r="B317" s="614" t="s">
        <v>2981</v>
      </c>
      <c r="C317" s="614" t="s">
        <v>201</v>
      </c>
      <c r="D317" s="614" t="s">
        <v>369</v>
      </c>
      <c r="E317" s="614">
        <v>1000</v>
      </c>
      <c r="F317" s="629">
        <v>36</v>
      </c>
      <c r="G317" s="629">
        <v>36000</v>
      </c>
      <c r="H317" s="614" t="s">
        <v>2992</v>
      </c>
      <c r="I317" s="616">
        <v>6</v>
      </c>
      <c r="J317" s="616">
        <v>20.23</v>
      </c>
      <c r="K317" s="616">
        <v>2.16</v>
      </c>
      <c r="L317" s="616">
        <v>0.04</v>
      </c>
      <c r="M317" s="616">
        <v>380</v>
      </c>
      <c r="N317" s="616">
        <v>46.97</v>
      </c>
      <c r="O317" s="616">
        <v>455.4</v>
      </c>
    </row>
    <row r="318" spans="1:15" x14ac:dyDescent="0.3">
      <c r="A318" s="615">
        <v>41276</v>
      </c>
      <c r="B318" s="614" t="s">
        <v>2983</v>
      </c>
      <c r="C318" s="614" t="s">
        <v>201</v>
      </c>
      <c r="D318" s="614" t="s">
        <v>369</v>
      </c>
      <c r="E318" s="614">
        <v>8000</v>
      </c>
      <c r="F318" s="629">
        <v>3.35</v>
      </c>
      <c r="G318" s="629">
        <v>26800</v>
      </c>
      <c r="H318" s="614" t="s">
        <v>2993</v>
      </c>
      <c r="I318" s="616">
        <v>4.99</v>
      </c>
      <c r="J318" s="616">
        <v>15.07</v>
      </c>
      <c r="K318" s="616">
        <v>1.61</v>
      </c>
      <c r="L318" s="616">
        <v>0.03</v>
      </c>
      <c r="M318" s="616">
        <v>380</v>
      </c>
      <c r="N318" s="616">
        <v>46.97</v>
      </c>
      <c r="O318" s="616">
        <v>448.67</v>
      </c>
    </row>
    <row r="319" spans="1:15" x14ac:dyDescent="0.3">
      <c r="A319" s="615">
        <v>41261</v>
      </c>
      <c r="B319" s="614" t="s">
        <v>2985</v>
      </c>
      <c r="C319" s="614" t="s">
        <v>201</v>
      </c>
      <c r="D319" s="614" t="s">
        <v>369</v>
      </c>
      <c r="E319" s="614">
        <v>1500</v>
      </c>
      <c r="F319" s="629">
        <v>88</v>
      </c>
      <c r="G319" s="629">
        <v>132000</v>
      </c>
      <c r="H319" s="614" t="s">
        <v>2994</v>
      </c>
      <c r="I319" s="616">
        <v>21.95</v>
      </c>
      <c r="J319" s="616">
        <v>74.19</v>
      </c>
      <c r="K319" s="616">
        <v>7.91</v>
      </c>
      <c r="L319" s="616">
        <v>0.12</v>
      </c>
      <c r="M319" s="616">
        <v>2850</v>
      </c>
      <c r="N319" s="616">
        <v>352.24</v>
      </c>
      <c r="O319" s="616">
        <v>3306.41</v>
      </c>
    </row>
    <row r="320" spans="1:15" x14ac:dyDescent="0.3">
      <c r="A320" s="615">
        <v>41253</v>
      </c>
      <c r="B320" s="614" t="s">
        <v>2988</v>
      </c>
      <c r="C320" s="614" t="s">
        <v>201</v>
      </c>
      <c r="D320" s="614" t="s">
        <v>369</v>
      </c>
      <c r="E320" s="614">
        <v>100</v>
      </c>
      <c r="F320" s="629">
        <v>96.2</v>
      </c>
      <c r="G320" s="629">
        <v>9620</v>
      </c>
      <c r="H320" s="614" t="s">
        <v>2995</v>
      </c>
      <c r="I320" s="616">
        <v>2</v>
      </c>
      <c r="J320" s="616">
        <v>5.41</v>
      </c>
      <c r="K320" s="616">
        <v>0.57999999999999996</v>
      </c>
      <c r="L320" s="616">
        <v>0.01</v>
      </c>
      <c r="M320" s="616">
        <v>190</v>
      </c>
      <c r="N320" s="616">
        <v>23.48</v>
      </c>
      <c r="O320" s="616">
        <v>221.48</v>
      </c>
    </row>
    <row r="321" spans="1:15" x14ac:dyDescent="0.3">
      <c r="A321" s="615">
        <v>41240</v>
      </c>
      <c r="B321" s="614" t="s">
        <v>1417</v>
      </c>
      <c r="C321" s="614" t="s">
        <v>201</v>
      </c>
      <c r="D321" s="614" t="s">
        <v>369</v>
      </c>
      <c r="E321" s="614">
        <v>2500</v>
      </c>
      <c r="F321" s="629">
        <v>20.5</v>
      </c>
      <c r="G321" s="629">
        <v>51250</v>
      </c>
      <c r="H321" s="614" t="s">
        <v>1429</v>
      </c>
      <c r="I321" s="616">
        <v>8.99</v>
      </c>
      <c r="J321" s="616">
        <v>28.8</v>
      </c>
      <c r="K321" s="616">
        <v>3.09</v>
      </c>
      <c r="L321" s="616">
        <v>0.05</v>
      </c>
      <c r="M321" s="616">
        <v>475</v>
      </c>
      <c r="N321" s="616">
        <v>58.71</v>
      </c>
      <c r="O321" s="616">
        <v>574.64</v>
      </c>
    </row>
    <row r="322" spans="1:15" x14ac:dyDescent="0.3">
      <c r="A322" s="615">
        <v>41228</v>
      </c>
      <c r="B322" s="614" t="s">
        <v>1415</v>
      </c>
      <c r="C322" s="614" t="s">
        <v>201</v>
      </c>
      <c r="D322" s="614" t="s">
        <v>369</v>
      </c>
      <c r="E322" s="614">
        <v>4000</v>
      </c>
      <c r="F322" s="629">
        <v>0.45</v>
      </c>
      <c r="G322" s="629">
        <v>1800</v>
      </c>
      <c r="H322" s="614" t="s">
        <v>1430</v>
      </c>
      <c r="I322" s="616">
        <v>0</v>
      </c>
      <c r="J322" s="616">
        <v>1.01</v>
      </c>
      <c r="K322" s="616">
        <v>0.11</v>
      </c>
      <c r="L322" s="616">
        <v>0</v>
      </c>
      <c r="M322" s="616">
        <v>95</v>
      </c>
      <c r="N322" s="616">
        <v>11.74</v>
      </c>
      <c r="O322" s="616">
        <v>107.86</v>
      </c>
    </row>
    <row r="323" spans="1:15" x14ac:dyDescent="0.3">
      <c r="A323" s="615">
        <v>41225</v>
      </c>
      <c r="B323" s="614" t="s">
        <v>1419</v>
      </c>
      <c r="C323" s="614" t="s">
        <v>201</v>
      </c>
      <c r="D323" s="614" t="s">
        <v>369</v>
      </c>
      <c r="E323" s="614">
        <v>8000</v>
      </c>
      <c r="F323" s="629">
        <v>2.7</v>
      </c>
      <c r="G323" s="629">
        <v>21600</v>
      </c>
      <c r="H323" s="614" t="s">
        <v>1431</v>
      </c>
      <c r="I323" s="616">
        <v>4</v>
      </c>
      <c r="J323" s="616">
        <v>12.14</v>
      </c>
      <c r="K323" s="616">
        <v>1.3</v>
      </c>
      <c r="L323" s="616">
        <v>0.02</v>
      </c>
      <c r="M323" s="616">
        <v>95</v>
      </c>
      <c r="N323" s="616">
        <v>11.74</v>
      </c>
      <c r="O323" s="616">
        <v>124.2</v>
      </c>
    </row>
    <row r="324" spans="1:15" x14ac:dyDescent="0.3">
      <c r="A324" s="615">
        <v>41205</v>
      </c>
      <c r="B324" s="614" t="s">
        <v>1421</v>
      </c>
      <c r="C324" s="614" t="s">
        <v>201</v>
      </c>
      <c r="D324" s="614" t="s">
        <v>369</v>
      </c>
      <c r="E324" s="614">
        <v>300</v>
      </c>
      <c r="F324" s="629">
        <v>105.53</v>
      </c>
      <c r="G324" s="629">
        <v>31660</v>
      </c>
      <c r="H324" s="614" t="s">
        <v>1432</v>
      </c>
      <c r="I324" s="616">
        <v>4.99</v>
      </c>
      <c r="J324" s="616">
        <v>17.79</v>
      </c>
      <c r="K324" s="616">
        <v>1.9</v>
      </c>
      <c r="L324" s="616">
        <v>0.03</v>
      </c>
      <c r="M324" s="616">
        <v>570</v>
      </c>
      <c r="N324" s="616">
        <v>70.45</v>
      </c>
      <c r="O324" s="616">
        <v>665.16</v>
      </c>
    </row>
    <row r="325" spans="1:15" x14ac:dyDescent="0.3">
      <c r="A325" s="615">
        <v>41164</v>
      </c>
      <c r="B325" s="614" t="s">
        <v>1423</v>
      </c>
      <c r="C325" s="614" t="s">
        <v>201</v>
      </c>
      <c r="D325" s="614" t="s">
        <v>369</v>
      </c>
      <c r="E325" s="614">
        <v>500</v>
      </c>
      <c r="F325" s="629">
        <v>81.849999999999994</v>
      </c>
      <c r="G325" s="629">
        <v>40925</v>
      </c>
      <c r="H325" s="614" t="s">
        <v>1433</v>
      </c>
      <c r="I325" s="616">
        <v>7</v>
      </c>
      <c r="J325" s="616">
        <v>23</v>
      </c>
      <c r="K325" s="616">
        <v>2.46</v>
      </c>
      <c r="L325" s="616">
        <v>0.04</v>
      </c>
      <c r="M325" s="616">
        <v>950</v>
      </c>
      <c r="N325" s="616">
        <v>117.42</v>
      </c>
      <c r="O325" s="616">
        <v>1099.92</v>
      </c>
    </row>
    <row r="326" spans="1:15" x14ac:dyDescent="0.3">
      <c r="A326" s="615">
        <v>41151</v>
      </c>
      <c r="B326" s="614" t="s">
        <v>2635</v>
      </c>
      <c r="C326" s="614" t="s">
        <v>201</v>
      </c>
      <c r="D326" s="614" t="s">
        <v>369</v>
      </c>
      <c r="E326" s="614">
        <v>100</v>
      </c>
      <c r="F326" s="629">
        <v>190</v>
      </c>
      <c r="G326" s="629">
        <v>19000</v>
      </c>
      <c r="H326" s="614" t="s">
        <v>2637</v>
      </c>
      <c r="I326" s="616">
        <v>3</v>
      </c>
      <c r="J326" s="616">
        <v>10.68</v>
      </c>
      <c r="K326" s="616">
        <v>1.1399999999999999</v>
      </c>
      <c r="L326" s="616">
        <v>0.02</v>
      </c>
      <c r="M326" s="616">
        <v>190</v>
      </c>
      <c r="N326" s="616">
        <v>23.48</v>
      </c>
      <c r="O326" s="616">
        <v>228.32</v>
      </c>
    </row>
    <row r="327" spans="1:15" x14ac:dyDescent="0.3">
      <c r="A327" s="615">
        <v>41150</v>
      </c>
      <c r="B327" s="614" t="s">
        <v>2636</v>
      </c>
      <c r="C327" s="614" t="s">
        <v>201</v>
      </c>
      <c r="D327" s="614" t="s">
        <v>369</v>
      </c>
      <c r="E327" s="614">
        <v>150</v>
      </c>
      <c r="F327" s="629">
        <v>165.15</v>
      </c>
      <c r="G327" s="629">
        <v>24772.5</v>
      </c>
      <c r="H327" s="614" t="s">
        <v>2639</v>
      </c>
      <c r="I327" s="616">
        <v>4</v>
      </c>
      <c r="J327" s="616">
        <v>13.92</v>
      </c>
      <c r="K327" s="616">
        <v>1.49</v>
      </c>
      <c r="L327" s="616">
        <v>0.02</v>
      </c>
      <c r="M327" s="616">
        <v>285</v>
      </c>
      <c r="N327" s="616">
        <v>35.229999999999997</v>
      </c>
      <c r="O327" s="616">
        <v>339.66</v>
      </c>
    </row>
    <row r="328" spans="1:15" x14ac:dyDescent="0.3">
      <c r="A328" s="615">
        <v>41047</v>
      </c>
      <c r="B328" s="614" t="s">
        <v>810</v>
      </c>
      <c r="C328" s="614" t="s">
        <v>201</v>
      </c>
      <c r="D328" s="614" t="s">
        <v>369</v>
      </c>
      <c r="E328" s="614">
        <v>150</v>
      </c>
      <c r="F328" s="629">
        <v>31</v>
      </c>
      <c r="G328" s="629">
        <v>4650</v>
      </c>
      <c r="H328" s="614" t="s">
        <v>1434</v>
      </c>
      <c r="I328" s="616">
        <v>1</v>
      </c>
      <c r="J328" s="616">
        <v>2.61</v>
      </c>
      <c r="K328" s="616">
        <v>0.28000000000000003</v>
      </c>
      <c r="L328" s="616">
        <v>0</v>
      </c>
      <c r="M328" s="616">
        <v>285</v>
      </c>
      <c r="N328" s="616">
        <v>35.229999999999997</v>
      </c>
      <c r="O328" s="616">
        <v>324.12</v>
      </c>
    </row>
    <row r="329" spans="1:15" x14ac:dyDescent="0.3">
      <c r="A329" s="615">
        <v>40989</v>
      </c>
      <c r="B329" s="614" t="s">
        <v>2739</v>
      </c>
      <c r="C329" s="614" t="s">
        <v>201</v>
      </c>
      <c r="D329" s="614" t="s">
        <v>369</v>
      </c>
      <c r="E329" s="614">
        <v>200</v>
      </c>
      <c r="F329" s="629">
        <v>75.06</v>
      </c>
      <c r="G329" s="629">
        <v>15012.5</v>
      </c>
      <c r="H329" s="614" t="s">
        <v>3741</v>
      </c>
      <c r="I329" s="616">
        <v>2.99</v>
      </c>
      <c r="J329" s="616">
        <v>8.27</v>
      </c>
      <c r="K329" s="616">
        <v>0.91</v>
      </c>
      <c r="L329" s="616">
        <v>0.01</v>
      </c>
      <c r="M329" s="616">
        <v>380</v>
      </c>
      <c r="N329" s="616">
        <v>39.15</v>
      </c>
      <c r="O329" s="616">
        <v>431.33</v>
      </c>
    </row>
    <row r="330" spans="1:15" x14ac:dyDescent="0.3">
      <c r="A330" s="615">
        <v>40984</v>
      </c>
      <c r="B330" s="614" t="s">
        <v>2740</v>
      </c>
      <c r="C330" s="614" t="s">
        <v>201</v>
      </c>
      <c r="D330" s="614" t="s">
        <v>369</v>
      </c>
      <c r="E330" s="614">
        <v>1000</v>
      </c>
      <c r="F330" s="629">
        <v>14.45</v>
      </c>
      <c r="G330" s="629">
        <v>14450</v>
      </c>
      <c r="H330" s="614" t="s">
        <v>3742</v>
      </c>
      <c r="I330" s="616">
        <v>2</v>
      </c>
      <c r="J330" s="616">
        <v>7.96</v>
      </c>
      <c r="K330" s="616">
        <v>0.87</v>
      </c>
      <c r="L330" s="616">
        <v>0.01</v>
      </c>
      <c r="M330" s="616">
        <v>95</v>
      </c>
      <c r="N330" s="616">
        <v>9.7899999999999991</v>
      </c>
      <c r="O330" s="616">
        <v>115.63</v>
      </c>
    </row>
    <row r="331" spans="1:15" x14ac:dyDescent="0.3">
      <c r="A331" s="615">
        <v>40977</v>
      </c>
      <c r="B331" s="614" t="s">
        <v>2741</v>
      </c>
      <c r="C331" s="614" t="s">
        <v>201</v>
      </c>
      <c r="D331" s="614" t="s">
        <v>369</v>
      </c>
      <c r="E331" s="614">
        <v>250</v>
      </c>
      <c r="F331" s="629">
        <v>71.25</v>
      </c>
      <c r="G331" s="629">
        <v>17812.5</v>
      </c>
      <c r="H331" s="614" t="s">
        <v>3744</v>
      </c>
      <c r="I331" s="616">
        <v>3</v>
      </c>
      <c r="J331" s="616">
        <v>9.81</v>
      </c>
      <c r="K331" s="616">
        <v>1.07</v>
      </c>
      <c r="L331" s="616">
        <v>0.02</v>
      </c>
      <c r="M331" s="616">
        <v>190</v>
      </c>
      <c r="N331" s="616">
        <v>19.57</v>
      </c>
      <c r="O331" s="616">
        <v>223.47</v>
      </c>
    </row>
    <row r="332" spans="1:15" x14ac:dyDescent="0.3">
      <c r="A332" s="615">
        <v>40967</v>
      </c>
      <c r="B332" s="614" t="s">
        <v>2742</v>
      </c>
      <c r="C332" s="614" t="s">
        <v>201</v>
      </c>
      <c r="D332" s="614" t="s">
        <v>369</v>
      </c>
      <c r="E332" s="614">
        <v>4000</v>
      </c>
      <c r="F332" s="629">
        <v>7.2</v>
      </c>
      <c r="G332" s="629">
        <v>28800</v>
      </c>
      <c r="H332" s="614" t="s">
        <v>3747</v>
      </c>
      <c r="I332" s="616">
        <v>4.99</v>
      </c>
      <c r="J332" s="616">
        <v>15.86</v>
      </c>
      <c r="K332" s="616">
        <v>1.72</v>
      </c>
      <c r="L332" s="616">
        <v>0.02</v>
      </c>
      <c r="M332" s="616">
        <v>190</v>
      </c>
      <c r="N332" s="616">
        <v>19.579999999999998</v>
      </c>
      <c r="O332" s="616">
        <v>232.17</v>
      </c>
    </row>
    <row r="333" spans="1:15" x14ac:dyDescent="0.3">
      <c r="A333" s="615">
        <v>40963</v>
      </c>
      <c r="B333" s="614" t="s">
        <v>2739</v>
      </c>
      <c r="C333" s="614" t="s">
        <v>201</v>
      </c>
      <c r="D333" s="614" t="s">
        <v>369</v>
      </c>
      <c r="E333" s="614">
        <v>300</v>
      </c>
      <c r="F333" s="629">
        <v>116</v>
      </c>
      <c r="G333" s="629">
        <v>34800</v>
      </c>
      <c r="H333" s="614" t="s">
        <v>3749</v>
      </c>
      <c r="I333" s="616">
        <v>6</v>
      </c>
      <c r="J333" s="616">
        <v>19.170000000000002</v>
      </c>
      <c r="K333" s="616">
        <v>2.09</v>
      </c>
      <c r="L333" s="616">
        <v>0.03</v>
      </c>
      <c r="M333" s="616">
        <v>570</v>
      </c>
      <c r="N333" s="616">
        <v>58.71</v>
      </c>
      <c r="O333" s="616">
        <v>656</v>
      </c>
    </row>
    <row r="334" spans="1:15" x14ac:dyDescent="0.3">
      <c r="A334" s="615">
        <v>40962</v>
      </c>
      <c r="B334" s="614" t="s">
        <v>2743</v>
      </c>
      <c r="C334" s="614" t="s">
        <v>201</v>
      </c>
      <c r="D334" s="614" t="s">
        <v>369</v>
      </c>
      <c r="E334" s="614">
        <v>2000</v>
      </c>
      <c r="F334" s="629">
        <v>11.2</v>
      </c>
      <c r="G334" s="629">
        <v>22400</v>
      </c>
      <c r="H334" s="614" t="s">
        <v>3751</v>
      </c>
      <c r="I334" s="616">
        <v>3.8</v>
      </c>
      <c r="J334" s="616">
        <v>12.34</v>
      </c>
      <c r="K334" s="616">
        <v>1.34</v>
      </c>
      <c r="L334" s="616">
        <v>0.02</v>
      </c>
      <c r="M334" s="616">
        <v>380</v>
      </c>
      <c r="N334" s="616">
        <v>39.14</v>
      </c>
      <c r="O334" s="616">
        <v>436.64</v>
      </c>
    </row>
    <row r="335" spans="1:15" x14ac:dyDescent="0.3">
      <c r="A335" s="615">
        <v>40962</v>
      </c>
      <c r="B335" s="614" t="s">
        <v>2744</v>
      </c>
      <c r="C335" s="614" t="s">
        <v>201</v>
      </c>
      <c r="D335" s="614" t="s">
        <v>369</v>
      </c>
      <c r="E335" s="614">
        <v>4000</v>
      </c>
      <c r="F335" s="629">
        <v>4.4000000000000004</v>
      </c>
      <c r="G335" s="629">
        <v>17600</v>
      </c>
      <c r="H335" s="614" t="s">
        <v>3752</v>
      </c>
      <c r="I335" s="616">
        <v>3.19</v>
      </c>
      <c r="J335" s="616">
        <v>9.6999999999999993</v>
      </c>
      <c r="K335" s="616">
        <v>1.06</v>
      </c>
      <c r="L335" s="616">
        <v>0.02</v>
      </c>
      <c r="M335" s="616">
        <v>95</v>
      </c>
      <c r="N335" s="616">
        <v>9.7899999999999991</v>
      </c>
      <c r="O335" s="616">
        <v>118.76</v>
      </c>
    </row>
    <row r="336" spans="1:15" x14ac:dyDescent="0.3">
      <c r="A336" s="615">
        <v>40961</v>
      </c>
      <c r="B336" s="614" t="s">
        <v>2745</v>
      </c>
      <c r="C336" s="614" t="s">
        <v>201</v>
      </c>
      <c r="D336" s="614" t="s">
        <v>369</v>
      </c>
      <c r="E336" s="614">
        <v>4000</v>
      </c>
      <c r="F336" s="629">
        <v>4.3</v>
      </c>
      <c r="G336" s="629">
        <v>17200</v>
      </c>
      <c r="H336" s="614" t="s">
        <v>3754</v>
      </c>
      <c r="I336" s="616">
        <v>3</v>
      </c>
      <c r="J336" s="616">
        <v>9.48</v>
      </c>
      <c r="K336" s="616">
        <v>1.03</v>
      </c>
      <c r="L336" s="616">
        <v>0.02</v>
      </c>
      <c r="M336" s="616">
        <v>95</v>
      </c>
      <c r="N336" s="616">
        <v>9.7899999999999991</v>
      </c>
      <c r="O336" s="616">
        <v>118.32</v>
      </c>
    </row>
    <row r="337" spans="1:15" x14ac:dyDescent="0.3">
      <c r="A337" s="615">
        <v>40955</v>
      </c>
      <c r="B337" s="614" t="s">
        <v>2746</v>
      </c>
      <c r="C337" s="614" t="s">
        <v>201</v>
      </c>
      <c r="D337" s="614" t="s">
        <v>369</v>
      </c>
      <c r="E337" s="614">
        <v>4000</v>
      </c>
      <c r="F337" s="629">
        <v>11</v>
      </c>
      <c r="G337" s="629">
        <v>44000</v>
      </c>
      <c r="H337" s="614" t="s">
        <v>3757</v>
      </c>
      <c r="I337" s="616">
        <v>7</v>
      </c>
      <c r="J337" s="616">
        <v>24.24</v>
      </c>
      <c r="K337" s="616">
        <v>2.64</v>
      </c>
      <c r="L337" s="616">
        <v>0.04</v>
      </c>
      <c r="M337" s="616">
        <v>95</v>
      </c>
      <c r="N337" s="616">
        <v>9.7899999999999991</v>
      </c>
      <c r="O337" s="616">
        <v>138.71</v>
      </c>
    </row>
    <row r="338" spans="1:15" x14ac:dyDescent="0.3">
      <c r="A338" s="615">
        <v>40568</v>
      </c>
      <c r="B338" s="614" t="s">
        <v>3759</v>
      </c>
      <c r="C338" s="614" t="s">
        <v>201</v>
      </c>
      <c r="D338" s="614" t="s">
        <v>369</v>
      </c>
      <c r="E338" s="614">
        <v>1000</v>
      </c>
      <c r="F338" s="629">
        <v>4.0999999999999996</v>
      </c>
      <c r="G338" s="629">
        <v>4100</v>
      </c>
      <c r="H338" s="614" t="s">
        <v>3760</v>
      </c>
      <c r="I338" s="616">
        <v>1</v>
      </c>
      <c r="J338" s="616">
        <v>2.2599999999999998</v>
      </c>
      <c r="K338" s="616">
        <v>0.08</v>
      </c>
      <c r="L338" s="616">
        <v>0</v>
      </c>
      <c r="M338" s="616">
        <v>95</v>
      </c>
      <c r="N338" s="616">
        <v>9.7899999999999991</v>
      </c>
      <c r="O338" s="616">
        <v>108.13</v>
      </c>
    </row>
    <row r="339" spans="1:15" x14ac:dyDescent="0.3">
      <c r="A339" s="615">
        <v>40543</v>
      </c>
      <c r="B339" s="614" t="s">
        <v>476</v>
      </c>
      <c r="C339" s="614" t="s">
        <v>201</v>
      </c>
      <c r="D339" s="614" t="s">
        <v>369</v>
      </c>
      <c r="E339" s="614">
        <v>250</v>
      </c>
      <c r="F339" s="629">
        <v>11.9</v>
      </c>
      <c r="G339" s="629">
        <v>2975</v>
      </c>
      <c r="H339" s="614" t="s">
        <v>3763</v>
      </c>
      <c r="I339" s="616">
        <v>1</v>
      </c>
      <c r="J339" s="616">
        <v>1.64</v>
      </c>
      <c r="K339" s="616">
        <v>0.06</v>
      </c>
      <c r="L339" s="616">
        <v>0</v>
      </c>
      <c r="M339" s="616">
        <v>15</v>
      </c>
      <c r="N339" s="616">
        <v>1.55</v>
      </c>
      <c r="O339" s="616">
        <v>19.25</v>
      </c>
    </row>
    <row r="340" spans="1:15" x14ac:dyDescent="0.3">
      <c r="A340" s="615">
        <v>40539</v>
      </c>
      <c r="B340" s="614" t="s">
        <v>484</v>
      </c>
      <c r="C340" s="614" t="s">
        <v>201</v>
      </c>
      <c r="D340" s="614" t="s">
        <v>369</v>
      </c>
      <c r="E340" s="614">
        <v>50</v>
      </c>
      <c r="F340" s="629">
        <v>10.55</v>
      </c>
      <c r="G340" s="629">
        <v>527.5</v>
      </c>
      <c r="H340" s="614" t="s">
        <v>3769</v>
      </c>
      <c r="I340" s="616">
        <v>0</v>
      </c>
      <c r="J340" s="616">
        <v>0.28999999999999998</v>
      </c>
      <c r="K340" s="616">
        <v>0.01</v>
      </c>
      <c r="L340" s="616">
        <v>0</v>
      </c>
      <c r="M340" s="616">
        <v>95</v>
      </c>
      <c r="N340" s="616">
        <v>9.7899999999999991</v>
      </c>
      <c r="O340" s="616">
        <v>105.09</v>
      </c>
    </row>
    <row r="341" spans="1:15" x14ac:dyDescent="0.3">
      <c r="A341" s="615">
        <v>40477</v>
      </c>
      <c r="B341" s="614" t="s">
        <v>491</v>
      </c>
      <c r="C341" s="614" t="s">
        <v>201</v>
      </c>
      <c r="D341" s="614" t="s">
        <v>369</v>
      </c>
      <c r="E341" s="614">
        <v>9000</v>
      </c>
      <c r="F341" s="629">
        <v>0.95</v>
      </c>
      <c r="G341" s="629">
        <v>8550</v>
      </c>
      <c r="H341" s="614" t="s">
        <v>3775</v>
      </c>
      <c r="I341" s="616">
        <v>1.45</v>
      </c>
      <c r="J341" s="616">
        <v>4.71</v>
      </c>
      <c r="K341" s="616">
        <v>0.17</v>
      </c>
      <c r="L341" s="616">
        <v>0.01</v>
      </c>
      <c r="M341" s="616">
        <v>95</v>
      </c>
      <c r="N341" s="616">
        <v>9.7799999999999994</v>
      </c>
      <c r="O341" s="616">
        <v>111.12</v>
      </c>
    </row>
    <row r="342" spans="1:15" x14ac:dyDescent="0.3">
      <c r="A342" s="615">
        <v>40476</v>
      </c>
      <c r="B342" s="614" t="s">
        <v>493</v>
      </c>
      <c r="C342" s="614" t="s">
        <v>201</v>
      </c>
      <c r="D342" s="614" t="s">
        <v>369</v>
      </c>
      <c r="E342" s="614">
        <v>9000</v>
      </c>
      <c r="F342" s="629">
        <v>0.3</v>
      </c>
      <c r="G342" s="629">
        <v>2700</v>
      </c>
      <c r="H342" s="614" t="s">
        <v>3777</v>
      </c>
      <c r="I342" s="616">
        <v>0.46</v>
      </c>
      <c r="J342" s="616">
        <v>1.49</v>
      </c>
      <c r="K342" s="616">
        <v>0.05</v>
      </c>
      <c r="L342" s="616">
        <v>0</v>
      </c>
      <c r="M342" s="616">
        <v>15</v>
      </c>
      <c r="N342" s="616">
        <v>1.55</v>
      </c>
      <c r="O342" s="616">
        <v>18.55</v>
      </c>
    </row>
    <row r="343" spans="1:15" x14ac:dyDescent="0.3">
      <c r="A343" s="615">
        <v>40471</v>
      </c>
      <c r="B343" s="614" t="s">
        <v>495</v>
      </c>
      <c r="C343" s="614" t="s">
        <v>201</v>
      </c>
      <c r="D343" s="614" t="s">
        <v>369</v>
      </c>
      <c r="E343" s="614">
        <v>200</v>
      </c>
      <c r="F343" s="629">
        <v>8.1</v>
      </c>
      <c r="G343" s="629">
        <v>1620</v>
      </c>
      <c r="H343" s="614" t="s">
        <v>3779</v>
      </c>
      <c r="I343" s="616">
        <v>0.28000000000000003</v>
      </c>
      <c r="J343" s="616">
        <v>0.89</v>
      </c>
      <c r="K343" s="616">
        <v>0.03</v>
      </c>
      <c r="L343" s="616">
        <v>0</v>
      </c>
      <c r="M343" s="616">
        <v>380</v>
      </c>
      <c r="N343" s="616">
        <v>39.14</v>
      </c>
      <c r="O343" s="616">
        <v>420.34</v>
      </c>
    </row>
    <row r="344" spans="1:15" x14ac:dyDescent="0.3">
      <c r="A344" s="615">
        <v>40471</v>
      </c>
      <c r="B344" s="614" t="s">
        <v>493</v>
      </c>
      <c r="C344" s="614" t="s">
        <v>201</v>
      </c>
      <c r="D344" s="614" t="s">
        <v>369</v>
      </c>
      <c r="E344" s="614">
        <v>9000</v>
      </c>
      <c r="F344" s="629">
        <v>0.55000000000000004</v>
      </c>
      <c r="G344" s="629">
        <v>4950</v>
      </c>
      <c r="H344" s="614" t="s">
        <v>3780</v>
      </c>
      <c r="I344" s="616">
        <v>0.84</v>
      </c>
      <c r="J344" s="616">
        <v>2.73</v>
      </c>
      <c r="K344" s="616">
        <v>0.1</v>
      </c>
      <c r="L344" s="616">
        <v>0</v>
      </c>
      <c r="M344" s="616">
        <v>95</v>
      </c>
      <c r="N344" s="616">
        <v>9.7799999999999994</v>
      </c>
      <c r="O344" s="616">
        <v>108.45</v>
      </c>
    </row>
    <row r="345" spans="1:15" x14ac:dyDescent="0.3">
      <c r="A345" s="615">
        <v>40466</v>
      </c>
      <c r="B345" s="614" t="s">
        <v>498</v>
      </c>
      <c r="C345" s="614" t="s">
        <v>201</v>
      </c>
      <c r="D345" s="614" t="s">
        <v>369</v>
      </c>
      <c r="E345" s="614">
        <v>9000</v>
      </c>
      <c r="F345" s="629">
        <v>0.4</v>
      </c>
      <c r="G345" s="629">
        <v>3600</v>
      </c>
      <c r="H345" s="614" t="s">
        <v>3783</v>
      </c>
      <c r="I345" s="616">
        <v>0.61</v>
      </c>
      <c r="J345" s="616">
        <v>1.98</v>
      </c>
      <c r="K345" s="616">
        <v>7.0000000000000007E-2</v>
      </c>
      <c r="L345" s="616">
        <v>0</v>
      </c>
      <c r="M345" s="616">
        <v>15</v>
      </c>
      <c r="N345" s="616">
        <v>1.55</v>
      </c>
      <c r="O345" s="616">
        <v>19.21</v>
      </c>
    </row>
    <row r="346" spans="1:15" x14ac:dyDescent="0.3">
      <c r="A346" s="615">
        <v>40464</v>
      </c>
      <c r="B346" s="614" t="s">
        <v>501</v>
      </c>
      <c r="C346" s="614" t="s">
        <v>201</v>
      </c>
      <c r="D346" s="614" t="s">
        <v>369</v>
      </c>
      <c r="E346" s="614">
        <v>150</v>
      </c>
      <c r="F346" s="629">
        <v>16.22</v>
      </c>
      <c r="G346" s="629">
        <v>2432.5</v>
      </c>
      <c r="H346" s="614" t="s">
        <v>3786</v>
      </c>
      <c r="I346" s="616">
        <v>0.42</v>
      </c>
      <c r="J346" s="616">
        <v>1.34</v>
      </c>
      <c r="K346" s="616">
        <v>0.05</v>
      </c>
      <c r="L346" s="616">
        <v>0</v>
      </c>
      <c r="M346" s="616">
        <v>285</v>
      </c>
      <c r="N346" s="616">
        <v>29.35</v>
      </c>
      <c r="O346" s="616">
        <v>316.16000000000003</v>
      </c>
    </row>
    <row r="347" spans="1:15" x14ac:dyDescent="0.3">
      <c r="A347" s="615">
        <v>40456</v>
      </c>
      <c r="B347" s="614" t="s">
        <v>505</v>
      </c>
      <c r="C347" s="614" t="s">
        <v>201</v>
      </c>
      <c r="D347" s="614" t="s">
        <v>369</v>
      </c>
      <c r="E347" s="614">
        <v>2000</v>
      </c>
      <c r="F347" s="629">
        <v>4</v>
      </c>
      <c r="G347" s="629">
        <v>8000</v>
      </c>
      <c r="H347" s="614" t="s">
        <v>3790</v>
      </c>
      <c r="I347" s="616">
        <v>1.36</v>
      </c>
      <c r="J347" s="616">
        <v>4.41</v>
      </c>
      <c r="K347" s="616">
        <v>0.16</v>
      </c>
      <c r="L347" s="616">
        <v>0.01</v>
      </c>
      <c r="M347" s="616">
        <v>95</v>
      </c>
      <c r="N347" s="616">
        <v>9.7799999999999994</v>
      </c>
      <c r="O347" s="616">
        <v>110.72</v>
      </c>
    </row>
    <row r="348" spans="1:15" x14ac:dyDescent="0.3">
      <c r="A348" s="615">
        <v>40450</v>
      </c>
      <c r="B348" s="614" t="s">
        <v>507</v>
      </c>
      <c r="C348" s="614" t="s">
        <v>201</v>
      </c>
      <c r="D348" s="614" t="s">
        <v>369</v>
      </c>
      <c r="E348" s="614">
        <v>100</v>
      </c>
      <c r="F348" s="629">
        <v>24</v>
      </c>
      <c r="G348" s="629">
        <v>2400</v>
      </c>
      <c r="H348" s="614" t="s">
        <v>3792</v>
      </c>
      <c r="I348" s="616">
        <v>0.41</v>
      </c>
      <c r="J348" s="616">
        <v>1.32</v>
      </c>
      <c r="K348" s="616">
        <v>0.05</v>
      </c>
      <c r="L348" s="616">
        <v>0</v>
      </c>
      <c r="M348" s="616">
        <v>190</v>
      </c>
      <c r="N348" s="616">
        <v>19.57</v>
      </c>
      <c r="O348" s="616">
        <v>211.35</v>
      </c>
    </row>
    <row r="349" spans="1:15" x14ac:dyDescent="0.3">
      <c r="A349" s="615">
        <v>40445</v>
      </c>
      <c r="B349" s="614" t="s">
        <v>3794</v>
      </c>
      <c r="C349" s="614" t="s">
        <v>201</v>
      </c>
      <c r="D349" s="614" t="s">
        <v>369</v>
      </c>
      <c r="E349" s="614">
        <v>1000</v>
      </c>
      <c r="F349" s="629">
        <v>1.6</v>
      </c>
      <c r="G349" s="629">
        <v>1600</v>
      </c>
      <c r="H349" s="614" t="s">
        <v>3795</v>
      </c>
      <c r="I349" s="616">
        <v>0.27</v>
      </c>
      <c r="J349" s="616">
        <v>0.88</v>
      </c>
      <c r="K349" s="616">
        <v>0.03</v>
      </c>
      <c r="L349" s="616">
        <v>0</v>
      </c>
      <c r="M349" s="616">
        <v>95</v>
      </c>
      <c r="N349" s="616">
        <v>9.7799999999999994</v>
      </c>
      <c r="O349" s="616">
        <v>105.96</v>
      </c>
    </row>
    <row r="350" spans="1:15" x14ac:dyDescent="0.3">
      <c r="A350" s="615">
        <v>40414</v>
      </c>
      <c r="B350" s="614" t="s">
        <v>511</v>
      </c>
      <c r="C350" s="614" t="s">
        <v>201</v>
      </c>
      <c r="D350" s="614" t="s">
        <v>369</v>
      </c>
      <c r="E350" s="614">
        <v>250</v>
      </c>
      <c r="F350" s="629">
        <v>2.75</v>
      </c>
      <c r="G350" s="629">
        <v>687.5</v>
      </c>
      <c r="H350" s="614" t="s">
        <v>3797</v>
      </c>
      <c r="I350" s="616">
        <v>0.12</v>
      </c>
      <c r="J350" s="616">
        <v>0.38</v>
      </c>
      <c r="K350" s="616">
        <v>0.01</v>
      </c>
      <c r="L350" s="616">
        <v>0</v>
      </c>
      <c r="M350" s="616">
        <v>95</v>
      </c>
      <c r="N350" s="616">
        <v>9.7799999999999994</v>
      </c>
      <c r="O350" s="616">
        <v>105.29</v>
      </c>
    </row>
    <row r="351" spans="1:15" x14ac:dyDescent="0.3">
      <c r="A351" s="615">
        <v>40410</v>
      </c>
      <c r="B351" s="614" t="s">
        <v>511</v>
      </c>
      <c r="C351" s="614" t="s">
        <v>201</v>
      </c>
      <c r="D351" s="614" t="s">
        <v>369</v>
      </c>
      <c r="E351" s="614">
        <v>750</v>
      </c>
      <c r="F351" s="629">
        <v>6.1</v>
      </c>
      <c r="G351" s="629">
        <v>4575</v>
      </c>
      <c r="H351" s="614" t="s">
        <v>3798</v>
      </c>
      <c r="I351" s="616">
        <v>0.78</v>
      </c>
      <c r="J351" s="616">
        <v>2.5299999999999998</v>
      </c>
      <c r="K351" s="616">
        <v>0.09</v>
      </c>
      <c r="L351" s="616">
        <v>0</v>
      </c>
      <c r="M351" s="616">
        <v>285</v>
      </c>
      <c r="N351" s="616">
        <v>29.34</v>
      </c>
      <c r="O351" s="616">
        <v>317.74</v>
      </c>
    </row>
    <row r="352" spans="1:15" x14ac:dyDescent="0.3">
      <c r="A352" s="615">
        <v>40409</v>
      </c>
      <c r="B352" s="614" t="s">
        <v>515</v>
      </c>
      <c r="C352" s="614" t="s">
        <v>201</v>
      </c>
      <c r="D352" s="614" t="s">
        <v>369</v>
      </c>
      <c r="E352" s="614">
        <v>500</v>
      </c>
      <c r="F352" s="629">
        <v>16.600000000000001</v>
      </c>
      <c r="G352" s="629">
        <v>8300</v>
      </c>
      <c r="H352" s="614" t="s">
        <v>3802</v>
      </c>
      <c r="I352" s="616">
        <v>1.42</v>
      </c>
      <c r="J352" s="616">
        <v>4.58</v>
      </c>
      <c r="K352" s="616">
        <v>0.16</v>
      </c>
      <c r="L352" s="616">
        <v>0</v>
      </c>
      <c r="M352" s="616">
        <v>30</v>
      </c>
      <c r="N352" s="616">
        <v>3.1</v>
      </c>
      <c r="O352" s="616">
        <v>39.26</v>
      </c>
    </row>
    <row r="353" spans="1:15" x14ac:dyDescent="0.3">
      <c r="A353" s="615">
        <v>40402</v>
      </c>
      <c r="B353" s="614" t="s">
        <v>519</v>
      </c>
      <c r="C353" s="614" t="s">
        <v>201</v>
      </c>
      <c r="D353" s="614" t="s">
        <v>369</v>
      </c>
      <c r="E353" s="614">
        <v>1000</v>
      </c>
      <c r="F353" s="629">
        <v>10.25</v>
      </c>
      <c r="G353" s="629">
        <v>10250</v>
      </c>
      <c r="H353" s="614" t="s">
        <v>3806</v>
      </c>
      <c r="I353" s="616">
        <v>1.74</v>
      </c>
      <c r="J353" s="616">
        <v>5.64</v>
      </c>
      <c r="K353" s="616">
        <v>0.2</v>
      </c>
      <c r="L353" s="616">
        <v>0.02</v>
      </c>
      <c r="M353" s="616">
        <v>190</v>
      </c>
      <c r="N353" s="616">
        <v>19.559999999999999</v>
      </c>
      <c r="O353" s="616">
        <v>217.16</v>
      </c>
    </row>
    <row r="354" spans="1:15" x14ac:dyDescent="0.3">
      <c r="A354" s="615">
        <v>40393</v>
      </c>
      <c r="B354" s="614" t="s">
        <v>526</v>
      </c>
      <c r="C354" s="614" t="s">
        <v>201</v>
      </c>
      <c r="D354" s="614" t="s">
        <v>369</v>
      </c>
      <c r="E354" s="614">
        <v>100</v>
      </c>
      <c r="F354" s="629">
        <v>50.2</v>
      </c>
      <c r="G354" s="629">
        <v>5020</v>
      </c>
      <c r="H354" s="614" t="s">
        <v>3810</v>
      </c>
      <c r="I354" s="616">
        <v>0.85</v>
      </c>
      <c r="J354" s="616">
        <v>2.77</v>
      </c>
      <c r="K354" s="616">
        <v>0.1</v>
      </c>
      <c r="L354" s="616">
        <v>0.01</v>
      </c>
      <c r="M354" s="616">
        <v>190</v>
      </c>
      <c r="N354" s="616">
        <v>19.57</v>
      </c>
      <c r="O354" s="616">
        <v>213.3</v>
      </c>
    </row>
    <row r="355" spans="1:15" x14ac:dyDescent="0.3">
      <c r="A355" s="615">
        <v>40386</v>
      </c>
      <c r="B355" s="614" t="s">
        <v>540</v>
      </c>
      <c r="C355" s="614" t="s">
        <v>201</v>
      </c>
      <c r="D355" s="614" t="s">
        <v>369</v>
      </c>
      <c r="E355" s="614">
        <v>2000</v>
      </c>
      <c r="F355" s="629">
        <v>0.45</v>
      </c>
      <c r="G355" s="629">
        <v>900</v>
      </c>
      <c r="H355" s="614" t="s">
        <v>3812</v>
      </c>
      <c r="I355" s="616">
        <v>0.15</v>
      </c>
      <c r="J355" s="616">
        <v>0.5</v>
      </c>
      <c r="K355" s="616">
        <v>0.02</v>
      </c>
      <c r="L355" s="616">
        <v>0</v>
      </c>
      <c r="M355" s="616">
        <v>95</v>
      </c>
      <c r="N355" s="616">
        <v>9.7799999999999994</v>
      </c>
      <c r="O355" s="616">
        <v>105.45</v>
      </c>
    </row>
    <row r="356" spans="1:15" x14ac:dyDescent="0.3">
      <c r="A356" s="615">
        <v>40368</v>
      </c>
      <c r="B356" s="614" t="s">
        <v>542</v>
      </c>
      <c r="C356" s="614" t="s">
        <v>201</v>
      </c>
      <c r="D356" s="614" t="s">
        <v>369</v>
      </c>
      <c r="E356" s="614">
        <v>50</v>
      </c>
      <c r="F356" s="629">
        <v>117.65</v>
      </c>
      <c r="G356" s="629">
        <v>5882.5</v>
      </c>
      <c r="H356" s="614" t="s">
        <v>3817</v>
      </c>
      <c r="I356" s="616">
        <v>1</v>
      </c>
      <c r="J356" s="616">
        <v>3.24</v>
      </c>
      <c r="K356" s="616">
        <v>0.12</v>
      </c>
      <c r="L356" s="616">
        <v>0.01</v>
      </c>
      <c r="M356" s="616">
        <v>95</v>
      </c>
      <c r="N356" s="616">
        <v>9.7799999999999994</v>
      </c>
      <c r="O356" s="616">
        <v>109.15</v>
      </c>
    </row>
    <row r="357" spans="1:15" x14ac:dyDescent="0.3">
      <c r="A357" s="615">
        <v>40366</v>
      </c>
      <c r="B357" s="614" t="s">
        <v>3819</v>
      </c>
      <c r="C357" s="614" t="s">
        <v>201</v>
      </c>
      <c r="D357" s="614" t="s">
        <v>369</v>
      </c>
      <c r="E357" s="614">
        <v>12000</v>
      </c>
      <c r="F357" s="629">
        <v>0.2</v>
      </c>
      <c r="G357" s="629">
        <v>2400</v>
      </c>
      <c r="H357" s="614" t="s">
        <v>3820</v>
      </c>
      <c r="I357" s="616">
        <v>0.41</v>
      </c>
      <c r="J357" s="616">
        <v>1.32</v>
      </c>
      <c r="K357" s="616">
        <v>0.05</v>
      </c>
      <c r="L357" s="616">
        <v>0</v>
      </c>
      <c r="M357" s="616">
        <v>285</v>
      </c>
      <c r="N357" s="616">
        <v>29.36</v>
      </c>
      <c r="O357" s="616">
        <v>316.14</v>
      </c>
    </row>
    <row r="358" spans="1:15" x14ac:dyDescent="0.3">
      <c r="A358" s="615">
        <v>40365</v>
      </c>
      <c r="B358" s="614" t="s">
        <v>3819</v>
      </c>
      <c r="C358" s="614" t="s">
        <v>201</v>
      </c>
      <c r="D358" s="614" t="s">
        <v>369</v>
      </c>
      <c r="E358" s="614">
        <v>4000</v>
      </c>
      <c r="F358" s="629">
        <v>0.25</v>
      </c>
      <c r="G358" s="629">
        <v>1000</v>
      </c>
      <c r="H358" s="614" t="s">
        <v>3822</v>
      </c>
      <c r="I358" s="616">
        <v>0.17</v>
      </c>
      <c r="J358" s="616">
        <v>0.55000000000000004</v>
      </c>
      <c r="K358" s="616">
        <v>0.02</v>
      </c>
      <c r="L358" s="616">
        <v>0</v>
      </c>
      <c r="M358" s="616">
        <v>15</v>
      </c>
      <c r="N358" s="616">
        <v>1.55</v>
      </c>
      <c r="O358" s="616">
        <v>17.29</v>
      </c>
    </row>
    <row r="359" spans="1:15" x14ac:dyDescent="0.3">
      <c r="A359" s="615">
        <v>40361</v>
      </c>
      <c r="B359" s="614" t="s">
        <v>602</v>
      </c>
      <c r="C359" s="614" t="s">
        <v>201</v>
      </c>
      <c r="D359" s="614" t="s">
        <v>369</v>
      </c>
      <c r="E359" s="614">
        <v>100</v>
      </c>
      <c r="F359" s="629">
        <v>60.5</v>
      </c>
      <c r="G359" s="629">
        <v>6050</v>
      </c>
      <c r="H359" s="614" t="s">
        <v>3824</v>
      </c>
      <c r="I359" s="616">
        <v>1.03</v>
      </c>
      <c r="J359" s="616">
        <v>3.33</v>
      </c>
      <c r="K359" s="616">
        <v>0.12</v>
      </c>
      <c r="L359" s="616">
        <v>0.01</v>
      </c>
      <c r="M359" s="616">
        <v>190</v>
      </c>
      <c r="N359" s="616">
        <v>19.57</v>
      </c>
      <c r="O359" s="616">
        <v>214.06</v>
      </c>
    </row>
    <row r="360" spans="1:15" x14ac:dyDescent="0.3">
      <c r="A360" s="615">
        <v>40361</v>
      </c>
      <c r="B360" s="614" t="s">
        <v>548</v>
      </c>
      <c r="C360" s="614" t="s">
        <v>201</v>
      </c>
      <c r="D360" s="614" t="s">
        <v>369</v>
      </c>
      <c r="E360" s="614">
        <v>150</v>
      </c>
      <c r="F360" s="629">
        <v>16.55</v>
      </c>
      <c r="G360" s="629">
        <v>2482.5</v>
      </c>
      <c r="H360" s="614" t="s">
        <v>3826</v>
      </c>
      <c r="I360" s="616">
        <v>0.42</v>
      </c>
      <c r="J360" s="616">
        <v>1.37</v>
      </c>
      <c r="K360" s="616">
        <v>0.05</v>
      </c>
      <c r="L360" s="616">
        <v>0</v>
      </c>
      <c r="M360" s="616">
        <v>285</v>
      </c>
      <c r="N360" s="616">
        <v>29.35</v>
      </c>
      <c r="O360" s="616">
        <v>316.19</v>
      </c>
    </row>
    <row r="361" spans="1:15" x14ac:dyDescent="0.3">
      <c r="A361" s="615">
        <v>40360</v>
      </c>
      <c r="B361" s="614" t="s">
        <v>599</v>
      </c>
      <c r="C361" s="614" t="s">
        <v>201</v>
      </c>
      <c r="D361" s="614" t="s">
        <v>369</v>
      </c>
      <c r="E361" s="614">
        <v>50</v>
      </c>
      <c r="F361" s="629">
        <v>47.05</v>
      </c>
      <c r="G361" s="629">
        <v>2352.5</v>
      </c>
      <c r="H361" s="614" t="s">
        <v>3828</v>
      </c>
      <c r="I361" s="616">
        <v>0.4</v>
      </c>
      <c r="J361" s="616">
        <v>1.3</v>
      </c>
      <c r="K361" s="616">
        <v>0.05</v>
      </c>
      <c r="L361" s="616">
        <v>0</v>
      </c>
      <c r="M361" s="616">
        <v>95</v>
      </c>
      <c r="N361" s="616">
        <v>9.7799999999999994</v>
      </c>
      <c r="O361" s="616">
        <v>106.53</v>
      </c>
    </row>
    <row r="362" spans="1:15" x14ac:dyDescent="0.3">
      <c r="A362" s="615">
        <v>40353</v>
      </c>
      <c r="B362" s="614" t="s">
        <v>604</v>
      </c>
      <c r="C362" s="614" t="s">
        <v>201</v>
      </c>
      <c r="D362" s="614" t="s">
        <v>369</v>
      </c>
      <c r="E362" s="614">
        <v>50</v>
      </c>
      <c r="F362" s="629">
        <v>93.2</v>
      </c>
      <c r="G362" s="629">
        <v>4660</v>
      </c>
      <c r="H362" s="614" t="s">
        <v>3832</v>
      </c>
      <c r="I362" s="616">
        <v>0.79</v>
      </c>
      <c r="J362" s="616">
        <v>2.57</v>
      </c>
      <c r="K362" s="616">
        <v>0.09</v>
      </c>
      <c r="L362" s="616">
        <v>0</v>
      </c>
      <c r="M362" s="616">
        <v>95</v>
      </c>
      <c r="N362" s="616">
        <v>9.7799999999999994</v>
      </c>
      <c r="O362" s="616">
        <v>108.23</v>
      </c>
    </row>
    <row r="363" spans="1:15" x14ac:dyDescent="0.3">
      <c r="A363" s="615">
        <v>40351</v>
      </c>
      <c r="B363" s="614" t="s">
        <v>602</v>
      </c>
      <c r="C363" s="614" t="s">
        <v>201</v>
      </c>
      <c r="D363" s="614" t="s">
        <v>369</v>
      </c>
      <c r="E363" s="614">
        <v>50</v>
      </c>
      <c r="F363" s="629">
        <v>60.1</v>
      </c>
      <c r="G363" s="629">
        <v>3005</v>
      </c>
      <c r="H363" s="614" t="s">
        <v>3834</v>
      </c>
      <c r="I363" s="616">
        <v>0.51</v>
      </c>
      <c r="J363" s="616">
        <v>1.66</v>
      </c>
      <c r="K363" s="616">
        <v>0.06</v>
      </c>
      <c r="L363" s="616">
        <v>0</v>
      </c>
      <c r="M363" s="616">
        <v>95</v>
      </c>
      <c r="N363" s="616">
        <v>9.7799999999999994</v>
      </c>
      <c r="O363" s="616">
        <v>107.01</v>
      </c>
    </row>
    <row r="364" spans="1:15" x14ac:dyDescent="0.3">
      <c r="A364" s="615">
        <v>40346</v>
      </c>
      <c r="B364" s="614" t="s">
        <v>609</v>
      </c>
      <c r="C364" s="614" t="s">
        <v>201</v>
      </c>
      <c r="D364" s="614" t="s">
        <v>369</v>
      </c>
      <c r="E364" s="614">
        <v>700</v>
      </c>
      <c r="F364" s="629">
        <v>1.45</v>
      </c>
      <c r="G364" s="629">
        <v>1015</v>
      </c>
      <c r="H364" s="614" t="s">
        <v>3837</v>
      </c>
      <c r="I364" s="616">
        <v>0.17</v>
      </c>
      <c r="J364" s="616">
        <v>0.56000000000000005</v>
      </c>
      <c r="K364" s="616">
        <v>0.02</v>
      </c>
      <c r="L364" s="616">
        <v>0</v>
      </c>
      <c r="M364" s="616">
        <v>15</v>
      </c>
      <c r="N364" s="616">
        <v>1.55</v>
      </c>
      <c r="O364" s="616">
        <v>17.3</v>
      </c>
    </row>
    <row r="365" spans="1:15" x14ac:dyDescent="0.3">
      <c r="A365" s="615">
        <v>40346</v>
      </c>
      <c r="B365" s="614" t="s">
        <v>613</v>
      </c>
      <c r="C365" s="614" t="s">
        <v>201</v>
      </c>
      <c r="D365" s="614" t="s">
        <v>369</v>
      </c>
      <c r="E365" s="614">
        <v>800</v>
      </c>
      <c r="F365" s="629">
        <v>8.5</v>
      </c>
      <c r="G365" s="629">
        <v>6800</v>
      </c>
      <c r="H365" s="614" t="s">
        <v>3839</v>
      </c>
      <c r="I365" s="616">
        <v>1.1499999999999999</v>
      </c>
      <c r="J365" s="616">
        <v>3.75</v>
      </c>
      <c r="K365" s="616">
        <v>0.14000000000000001</v>
      </c>
      <c r="L365" s="616">
        <v>0.01</v>
      </c>
      <c r="M365" s="616">
        <v>95</v>
      </c>
      <c r="N365" s="616">
        <v>9.7799999999999994</v>
      </c>
      <c r="O365" s="616">
        <v>109.83</v>
      </c>
    </row>
    <row r="366" spans="1:15" x14ac:dyDescent="0.3">
      <c r="A366" s="615">
        <v>40338</v>
      </c>
      <c r="B366" s="614" t="s">
        <v>611</v>
      </c>
      <c r="C366" s="614" t="s">
        <v>201</v>
      </c>
      <c r="D366" s="614" t="s">
        <v>369</v>
      </c>
      <c r="E366" s="614">
        <v>500</v>
      </c>
      <c r="F366" s="629">
        <v>4.5</v>
      </c>
      <c r="G366" s="629">
        <v>2250</v>
      </c>
      <c r="H366" s="614" t="s">
        <v>3840</v>
      </c>
      <c r="I366" s="616">
        <v>0.38</v>
      </c>
      <c r="J366" s="616">
        <v>1.24</v>
      </c>
      <c r="K366" s="616">
        <v>0.05</v>
      </c>
      <c r="L366" s="616">
        <v>0</v>
      </c>
      <c r="M366" s="616">
        <v>95</v>
      </c>
      <c r="N366" s="616">
        <v>9.7799999999999994</v>
      </c>
      <c r="O366" s="616">
        <v>106.45</v>
      </c>
    </row>
    <row r="367" spans="1:15" x14ac:dyDescent="0.3">
      <c r="A367" s="615">
        <v>40315</v>
      </c>
      <c r="B367" s="614" t="s">
        <v>618</v>
      </c>
      <c r="C367" s="614" t="s">
        <v>201</v>
      </c>
      <c r="D367" s="614" t="s">
        <v>369</v>
      </c>
      <c r="E367" s="614">
        <v>2100</v>
      </c>
      <c r="F367" s="629">
        <v>0.35</v>
      </c>
      <c r="G367" s="629">
        <v>735</v>
      </c>
      <c r="H367" s="614" t="s">
        <v>3845</v>
      </c>
      <c r="I367" s="616">
        <v>0.12</v>
      </c>
      <c r="J367" s="616">
        <v>0.4</v>
      </c>
      <c r="K367" s="616">
        <v>0.01</v>
      </c>
      <c r="L367" s="616">
        <v>0</v>
      </c>
      <c r="M367" s="616">
        <v>285</v>
      </c>
      <c r="N367" s="616">
        <v>29.35</v>
      </c>
      <c r="O367" s="616">
        <v>314.88</v>
      </c>
    </row>
    <row r="368" spans="1:15" x14ac:dyDescent="0.3">
      <c r="A368" s="615">
        <v>40301</v>
      </c>
      <c r="B368" s="614" t="s">
        <v>622</v>
      </c>
      <c r="C368" s="614" t="s">
        <v>201</v>
      </c>
      <c r="D368" s="614" t="s">
        <v>369</v>
      </c>
      <c r="E368" s="614">
        <v>700</v>
      </c>
      <c r="F368" s="629">
        <v>1.6</v>
      </c>
      <c r="G368" s="629">
        <v>1120</v>
      </c>
      <c r="H368" s="614" t="s">
        <v>3849</v>
      </c>
      <c r="I368" s="616">
        <v>0.19</v>
      </c>
      <c r="J368" s="616">
        <v>0.62</v>
      </c>
      <c r="K368" s="616">
        <v>0.02</v>
      </c>
      <c r="L368" s="616">
        <v>0</v>
      </c>
      <c r="M368" s="616">
        <v>95</v>
      </c>
      <c r="N368" s="616">
        <v>9.7799999999999994</v>
      </c>
      <c r="O368" s="616">
        <v>105.61</v>
      </c>
    </row>
    <row r="369" spans="1:15" x14ac:dyDescent="0.3">
      <c r="A369" s="615">
        <v>40113</v>
      </c>
      <c r="B369" s="614" t="s">
        <v>1350</v>
      </c>
      <c r="C369" s="614" t="s">
        <v>201</v>
      </c>
      <c r="D369" s="614" t="s">
        <v>369</v>
      </c>
      <c r="E369" s="614">
        <v>150</v>
      </c>
      <c r="F369" s="629">
        <v>42</v>
      </c>
      <c r="G369" s="629">
        <v>6300</v>
      </c>
      <c r="H369" s="614" t="s">
        <v>8</v>
      </c>
      <c r="I369" s="616">
        <v>1.07</v>
      </c>
      <c r="J369" s="616">
        <v>3.47</v>
      </c>
      <c r="K369" s="616">
        <v>0.13</v>
      </c>
      <c r="L369" s="616">
        <v>0.01</v>
      </c>
      <c r="M369" s="616">
        <v>285</v>
      </c>
      <c r="N369" s="616">
        <v>29.36</v>
      </c>
      <c r="O369" s="616">
        <v>319.04000000000002</v>
      </c>
    </row>
    <row r="370" spans="1:15" x14ac:dyDescent="0.3">
      <c r="A370" s="615">
        <v>40087</v>
      </c>
      <c r="B370" s="614" t="s">
        <v>1350</v>
      </c>
      <c r="C370" s="614" t="s">
        <v>201</v>
      </c>
      <c r="D370" s="614" t="s">
        <v>369</v>
      </c>
      <c r="E370" s="614">
        <v>50</v>
      </c>
      <c r="F370" s="629">
        <v>69</v>
      </c>
      <c r="G370" s="629">
        <v>3450</v>
      </c>
      <c r="H370" s="614" t="s">
        <v>7</v>
      </c>
      <c r="I370" s="616">
        <v>0.59</v>
      </c>
      <c r="J370" s="616">
        <v>1.9</v>
      </c>
      <c r="K370" s="616">
        <v>7.0000000000000007E-2</v>
      </c>
      <c r="L370" s="616">
        <v>0</v>
      </c>
      <c r="M370" s="616">
        <v>95</v>
      </c>
      <c r="N370" s="616">
        <v>9.7799999999999994</v>
      </c>
      <c r="O370" s="616">
        <v>107.34</v>
      </c>
    </row>
    <row r="371" spans="1:15" x14ac:dyDescent="0.3">
      <c r="A371" s="615">
        <v>40050</v>
      </c>
      <c r="B371" s="614" t="s">
        <v>3851</v>
      </c>
      <c r="C371" s="614" t="s">
        <v>201</v>
      </c>
      <c r="D371" s="614" t="s">
        <v>369</v>
      </c>
      <c r="E371" s="614">
        <v>1625</v>
      </c>
      <c r="F371" s="629">
        <v>2.65</v>
      </c>
      <c r="G371" s="629">
        <v>4306.25</v>
      </c>
      <c r="H371" s="614" t="s">
        <v>15</v>
      </c>
      <c r="I371" s="616">
        <v>0.73</v>
      </c>
      <c r="J371" s="616">
        <v>2.37</v>
      </c>
      <c r="K371" s="616">
        <v>0.09</v>
      </c>
      <c r="L371" s="616">
        <v>0</v>
      </c>
      <c r="M371" s="616">
        <v>95</v>
      </c>
      <c r="N371" s="616">
        <v>9.7799999999999994</v>
      </c>
      <c r="O371" s="616">
        <v>107.97</v>
      </c>
    </row>
    <row r="372" spans="1:15" x14ac:dyDescent="0.3">
      <c r="A372" s="615">
        <v>40018</v>
      </c>
      <c r="B372" s="614" t="s">
        <v>1348</v>
      </c>
      <c r="C372" s="614" t="s">
        <v>201</v>
      </c>
      <c r="D372" s="614" t="s">
        <v>369</v>
      </c>
      <c r="E372" s="614">
        <v>50</v>
      </c>
      <c r="F372" s="629">
        <v>10</v>
      </c>
      <c r="G372" s="629">
        <v>500</v>
      </c>
      <c r="H372" s="614" t="s">
        <v>6</v>
      </c>
      <c r="I372" s="616">
        <v>0.09</v>
      </c>
      <c r="J372" s="616">
        <v>0.28000000000000003</v>
      </c>
      <c r="K372" s="616">
        <v>0.01</v>
      </c>
      <c r="L372" s="616">
        <v>0</v>
      </c>
      <c r="M372" s="616">
        <v>95</v>
      </c>
      <c r="N372" s="616">
        <v>9.7799999999999994</v>
      </c>
      <c r="O372" s="616">
        <v>105.16</v>
      </c>
    </row>
    <row r="373" spans="1:15" x14ac:dyDescent="0.3">
      <c r="A373" s="615">
        <v>40011</v>
      </c>
      <c r="B373" s="614" t="s">
        <v>1346</v>
      </c>
      <c r="C373" s="614" t="s">
        <v>201</v>
      </c>
      <c r="D373" s="614" t="s">
        <v>369</v>
      </c>
      <c r="E373" s="614">
        <v>50</v>
      </c>
      <c r="F373" s="629">
        <v>48.6</v>
      </c>
      <c r="G373" s="629">
        <v>2430</v>
      </c>
      <c r="H373" s="614" t="s">
        <v>5</v>
      </c>
      <c r="I373" s="616">
        <v>0.41</v>
      </c>
      <c r="J373" s="616">
        <v>1.34</v>
      </c>
      <c r="K373" s="616">
        <v>0.05</v>
      </c>
      <c r="L373" s="616">
        <v>0</v>
      </c>
      <c r="M373" s="616">
        <v>95</v>
      </c>
      <c r="N373" s="616">
        <v>9.7799999999999994</v>
      </c>
      <c r="O373" s="616">
        <v>106.58</v>
      </c>
    </row>
    <row r="374" spans="1:15" x14ac:dyDescent="0.3">
      <c r="A374" s="615">
        <v>40010</v>
      </c>
      <c r="B374" s="614" t="s">
        <v>1293</v>
      </c>
      <c r="C374" s="614" t="s">
        <v>201</v>
      </c>
      <c r="D374" s="614" t="s">
        <v>369</v>
      </c>
      <c r="E374" s="614">
        <v>800</v>
      </c>
      <c r="F374" s="629">
        <v>1.8</v>
      </c>
      <c r="G374" s="629">
        <v>1440</v>
      </c>
      <c r="H374" s="614" t="s">
        <v>1384</v>
      </c>
      <c r="I374" s="616">
        <v>0.24</v>
      </c>
      <c r="J374" s="616">
        <v>0.79</v>
      </c>
      <c r="K374" s="616">
        <v>0.03</v>
      </c>
      <c r="L374" s="616">
        <v>0</v>
      </c>
      <c r="M374" s="616">
        <v>95</v>
      </c>
      <c r="N374" s="616">
        <v>9.7799999999999994</v>
      </c>
      <c r="O374" s="616">
        <v>105.84</v>
      </c>
    </row>
    <row r="375" spans="1:15" x14ac:dyDescent="0.3">
      <c r="A375" s="615">
        <v>40009</v>
      </c>
      <c r="B375" s="614" t="s">
        <v>1344</v>
      </c>
      <c r="C375" s="614" t="s">
        <v>201</v>
      </c>
      <c r="D375" s="614" t="s">
        <v>369</v>
      </c>
      <c r="E375" s="614">
        <v>50</v>
      </c>
      <c r="F375" s="629">
        <v>102.5</v>
      </c>
      <c r="G375" s="629">
        <v>5125</v>
      </c>
      <c r="H375" s="614" t="s">
        <v>4</v>
      </c>
      <c r="I375" s="616">
        <v>0.87</v>
      </c>
      <c r="J375" s="616">
        <v>2.82</v>
      </c>
      <c r="K375" s="616">
        <v>0.1</v>
      </c>
      <c r="L375" s="616">
        <v>0.01</v>
      </c>
      <c r="M375" s="616">
        <v>95</v>
      </c>
      <c r="N375" s="616">
        <v>9.7799999999999994</v>
      </c>
      <c r="O375" s="616">
        <v>108.58</v>
      </c>
    </row>
    <row r="376" spans="1:15" x14ac:dyDescent="0.3">
      <c r="A376" s="615">
        <v>40008</v>
      </c>
      <c r="B376" s="614" t="s">
        <v>3852</v>
      </c>
      <c r="C376" s="614" t="s">
        <v>201</v>
      </c>
      <c r="D376" s="614" t="s">
        <v>369</v>
      </c>
      <c r="E376" s="614">
        <v>1625</v>
      </c>
      <c r="F376" s="629">
        <v>0.6</v>
      </c>
      <c r="G376" s="629">
        <v>975</v>
      </c>
      <c r="H376" s="614" t="s">
        <v>14</v>
      </c>
      <c r="I376" s="616">
        <v>0.17</v>
      </c>
      <c r="J376" s="616">
        <v>0.54</v>
      </c>
      <c r="K376" s="616">
        <v>0.02</v>
      </c>
      <c r="L376" s="616">
        <v>0</v>
      </c>
      <c r="M376" s="616">
        <v>95</v>
      </c>
      <c r="N376" s="616">
        <v>9.7799999999999994</v>
      </c>
      <c r="O376" s="616">
        <v>105.51</v>
      </c>
    </row>
    <row r="377" spans="1:15" x14ac:dyDescent="0.3">
      <c r="A377" s="615">
        <v>40008</v>
      </c>
      <c r="B377" s="614" t="s">
        <v>3853</v>
      </c>
      <c r="C377" s="614" t="s">
        <v>201</v>
      </c>
      <c r="D377" s="614" t="s">
        <v>369</v>
      </c>
      <c r="E377" s="614">
        <v>1625</v>
      </c>
      <c r="F377" s="629">
        <v>2.6</v>
      </c>
      <c r="G377" s="629">
        <v>4225</v>
      </c>
      <c r="H377" s="614" t="s">
        <v>13</v>
      </c>
      <c r="I377" s="616">
        <v>0.72</v>
      </c>
      <c r="J377" s="616">
        <v>2.33</v>
      </c>
      <c r="K377" s="616">
        <v>0.08</v>
      </c>
      <c r="L377" s="616">
        <v>0</v>
      </c>
      <c r="M377" s="616">
        <v>95</v>
      </c>
      <c r="N377" s="616">
        <v>9.7799999999999994</v>
      </c>
      <c r="O377" s="616">
        <v>107.91</v>
      </c>
    </row>
    <row r="378" spans="1:15" x14ac:dyDescent="0.3">
      <c r="A378" s="615">
        <v>40000</v>
      </c>
      <c r="B378" s="614" t="s">
        <v>3852</v>
      </c>
      <c r="C378" s="614" t="s">
        <v>201</v>
      </c>
      <c r="D378" s="614" t="s">
        <v>369</v>
      </c>
      <c r="E378" s="614">
        <v>1625</v>
      </c>
      <c r="F378" s="629">
        <v>2.4</v>
      </c>
      <c r="G378" s="629">
        <v>3900</v>
      </c>
      <c r="H378" s="614" t="s">
        <v>12</v>
      </c>
      <c r="I378" s="616">
        <v>0.66</v>
      </c>
      <c r="J378" s="616">
        <v>2.15</v>
      </c>
      <c r="K378" s="616">
        <v>0.08</v>
      </c>
      <c r="L378" s="616">
        <v>0</v>
      </c>
      <c r="M378" s="616">
        <v>95</v>
      </c>
      <c r="N378" s="616">
        <v>9.7799999999999994</v>
      </c>
      <c r="O378" s="616">
        <v>107.67</v>
      </c>
    </row>
    <row r="379" spans="1:15" x14ac:dyDescent="0.3">
      <c r="A379" s="615">
        <v>39996</v>
      </c>
      <c r="B379" s="614" t="s">
        <v>1337</v>
      </c>
      <c r="C379" s="614" t="s">
        <v>201</v>
      </c>
      <c r="D379" s="614" t="s">
        <v>369</v>
      </c>
      <c r="E379" s="614">
        <v>100</v>
      </c>
      <c r="F379" s="629">
        <v>52.7</v>
      </c>
      <c r="G379" s="629">
        <v>5270</v>
      </c>
      <c r="H379" s="614" t="s">
        <v>3</v>
      </c>
      <c r="I379" s="616">
        <v>0.9</v>
      </c>
      <c r="J379" s="616">
        <v>2.9</v>
      </c>
      <c r="K379" s="616">
        <v>0.11</v>
      </c>
      <c r="L379" s="616">
        <v>0.01</v>
      </c>
      <c r="M379" s="616">
        <v>190</v>
      </c>
      <c r="N379" s="616">
        <v>19.57</v>
      </c>
      <c r="O379" s="616">
        <v>213.49</v>
      </c>
    </row>
    <row r="380" spans="1:15" x14ac:dyDescent="0.3">
      <c r="A380" s="615">
        <v>39976</v>
      </c>
      <c r="B380" s="614" t="s">
        <v>1335</v>
      </c>
      <c r="C380" s="614" t="s">
        <v>201</v>
      </c>
      <c r="D380" s="614" t="s">
        <v>369</v>
      </c>
      <c r="E380" s="614">
        <v>50</v>
      </c>
      <c r="F380" s="629">
        <v>19.3</v>
      </c>
      <c r="G380" s="629">
        <v>965</v>
      </c>
      <c r="H380" s="614" t="s">
        <v>2</v>
      </c>
      <c r="I380" s="616">
        <v>0.16</v>
      </c>
      <c r="J380" s="616">
        <v>0.53</v>
      </c>
      <c r="K380" s="616">
        <v>0.02</v>
      </c>
      <c r="L380" s="616">
        <v>0</v>
      </c>
      <c r="M380" s="616">
        <v>95</v>
      </c>
      <c r="N380" s="616">
        <v>9.7799999999999994</v>
      </c>
      <c r="O380" s="616">
        <v>105.49</v>
      </c>
    </row>
    <row r="381" spans="1:15" x14ac:dyDescent="0.3">
      <c r="A381" s="615">
        <v>39967</v>
      </c>
      <c r="B381" s="614" t="s">
        <v>1382</v>
      </c>
      <c r="C381" s="614" t="s">
        <v>201</v>
      </c>
      <c r="D381" s="614" t="s">
        <v>369</v>
      </c>
      <c r="E381" s="614">
        <v>1400</v>
      </c>
      <c r="F381" s="629">
        <v>1.3</v>
      </c>
      <c r="G381" s="629">
        <v>1820</v>
      </c>
      <c r="H381" s="614" t="s">
        <v>17</v>
      </c>
      <c r="I381" s="616">
        <v>0.31</v>
      </c>
      <c r="J381" s="616">
        <v>1</v>
      </c>
      <c r="K381" s="616">
        <v>0.04</v>
      </c>
      <c r="L381" s="616">
        <v>0</v>
      </c>
      <c r="M381" s="616">
        <v>15</v>
      </c>
      <c r="N381" s="616">
        <v>1.55</v>
      </c>
      <c r="O381" s="616">
        <v>17.899999999999999</v>
      </c>
    </row>
    <row r="382" spans="1:15" x14ac:dyDescent="0.3">
      <c r="A382" s="615">
        <v>39967</v>
      </c>
      <c r="B382" s="614" t="s">
        <v>1333</v>
      </c>
      <c r="C382" s="614" t="s">
        <v>201</v>
      </c>
      <c r="D382" s="614" t="s">
        <v>369</v>
      </c>
      <c r="E382" s="614">
        <v>100</v>
      </c>
      <c r="F382" s="629">
        <v>23.6</v>
      </c>
      <c r="G382" s="629">
        <v>2360</v>
      </c>
      <c r="H382" s="614" t="s">
        <v>1</v>
      </c>
      <c r="I382" s="616">
        <v>0.4</v>
      </c>
      <c r="J382" s="616">
        <v>1.3</v>
      </c>
      <c r="K382" s="616">
        <v>0.04</v>
      </c>
      <c r="L382" s="616">
        <v>0</v>
      </c>
      <c r="M382" s="616">
        <v>190</v>
      </c>
      <c r="N382" s="616">
        <v>19.559999999999999</v>
      </c>
      <c r="O382" s="616">
        <v>211.3</v>
      </c>
    </row>
    <row r="383" spans="1:15" x14ac:dyDescent="0.3">
      <c r="A383" s="615">
        <v>39965</v>
      </c>
      <c r="B383" s="614" t="s">
        <v>1331</v>
      </c>
      <c r="C383" s="614" t="s">
        <v>201</v>
      </c>
      <c r="D383" s="614" t="s">
        <v>369</v>
      </c>
      <c r="E383" s="614">
        <v>50</v>
      </c>
      <c r="F383" s="629">
        <v>38.700000000000003</v>
      </c>
      <c r="G383" s="629">
        <v>1935</v>
      </c>
      <c r="H383" s="614" t="s">
        <v>0</v>
      </c>
      <c r="I383" s="616">
        <v>0.33</v>
      </c>
      <c r="J383" s="616">
        <v>1.07</v>
      </c>
      <c r="K383" s="616">
        <v>0.04</v>
      </c>
      <c r="L383" s="616">
        <v>0</v>
      </c>
      <c r="M383" s="616">
        <v>95</v>
      </c>
      <c r="N383" s="616">
        <v>9.7799999999999994</v>
      </c>
      <c r="O383" s="616">
        <v>106.22</v>
      </c>
    </row>
    <row r="384" spans="1:15" x14ac:dyDescent="0.3">
      <c r="A384" s="615">
        <v>39960</v>
      </c>
      <c r="B384" s="614" t="s">
        <v>3854</v>
      </c>
      <c r="C384" s="614" t="s">
        <v>201</v>
      </c>
      <c r="D384" s="614" t="s">
        <v>369</v>
      </c>
      <c r="E384" s="614">
        <v>1625</v>
      </c>
      <c r="F384" s="629">
        <v>0.4</v>
      </c>
      <c r="G384" s="629">
        <v>650</v>
      </c>
      <c r="H384" s="614" t="s">
        <v>11</v>
      </c>
      <c r="I384" s="616">
        <v>0.11</v>
      </c>
      <c r="J384" s="616">
        <v>0.33</v>
      </c>
      <c r="K384" s="616">
        <v>0.01</v>
      </c>
      <c r="L384" s="616">
        <v>0</v>
      </c>
      <c r="M384" s="616">
        <v>95</v>
      </c>
      <c r="N384" s="616">
        <v>9.7799999999999994</v>
      </c>
      <c r="O384" s="616">
        <v>105.23</v>
      </c>
    </row>
    <row r="385" spans="1:15" x14ac:dyDescent="0.3">
      <c r="A385" s="615">
        <v>39960</v>
      </c>
      <c r="B385" s="614" t="s">
        <v>3855</v>
      </c>
      <c r="C385" s="614" t="s">
        <v>201</v>
      </c>
      <c r="D385" s="614" t="s">
        <v>369</v>
      </c>
      <c r="E385" s="614">
        <v>1625</v>
      </c>
      <c r="F385" s="629">
        <v>4.2</v>
      </c>
      <c r="G385" s="629">
        <v>6825</v>
      </c>
      <c r="H385" s="614" t="s">
        <v>10</v>
      </c>
      <c r="I385" s="616">
        <v>1.1499999999999999</v>
      </c>
      <c r="J385" s="616">
        <v>3.41</v>
      </c>
      <c r="K385" s="616">
        <v>0.14000000000000001</v>
      </c>
      <c r="L385" s="616">
        <v>0.01</v>
      </c>
      <c r="M385" s="616">
        <v>95</v>
      </c>
      <c r="N385" s="616">
        <v>9.7799999999999994</v>
      </c>
      <c r="O385" s="616">
        <v>109.49</v>
      </c>
    </row>
    <row r="386" spans="1:15" x14ac:dyDescent="0.3">
      <c r="A386" s="615">
        <v>39944</v>
      </c>
      <c r="B386" s="614" t="s">
        <v>3856</v>
      </c>
      <c r="C386" s="614" t="s">
        <v>201</v>
      </c>
      <c r="D386" s="614" t="s">
        <v>369</v>
      </c>
      <c r="E386" s="614">
        <v>1625</v>
      </c>
      <c r="F386" s="629">
        <v>1.7</v>
      </c>
      <c r="G386" s="629">
        <v>2762.5</v>
      </c>
      <c r="H386" s="614" t="s">
        <v>9</v>
      </c>
      <c r="I386" s="616">
        <v>0.47</v>
      </c>
      <c r="J386" s="616">
        <v>1.38</v>
      </c>
      <c r="K386" s="616">
        <v>0.06</v>
      </c>
      <c r="L386" s="616">
        <v>0.01</v>
      </c>
      <c r="M386" s="616">
        <v>95</v>
      </c>
      <c r="N386" s="616">
        <v>9.7799999999999994</v>
      </c>
      <c r="O386" s="616">
        <v>106.7</v>
      </c>
    </row>
    <row r="387" spans="1:15" x14ac:dyDescent="0.3">
      <c r="A387" s="615">
        <v>39937</v>
      </c>
      <c r="B387" s="614" t="s">
        <v>1329</v>
      </c>
      <c r="C387" s="614" t="s">
        <v>201</v>
      </c>
      <c r="D387" s="614" t="s">
        <v>369</v>
      </c>
      <c r="E387" s="614">
        <v>50</v>
      </c>
      <c r="F387" s="629">
        <v>88</v>
      </c>
      <c r="G387" s="629">
        <v>4400</v>
      </c>
      <c r="H387" s="614" t="s">
        <v>1394</v>
      </c>
      <c r="I387" s="616">
        <v>0.75</v>
      </c>
      <c r="J387" s="616">
        <v>2.2000000000000002</v>
      </c>
      <c r="K387" s="616">
        <v>0.09</v>
      </c>
      <c r="L387" s="616">
        <v>0.01</v>
      </c>
      <c r="M387" s="616">
        <v>95</v>
      </c>
      <c r="N387" s="616">
        <v>9.7799999999999994</v>
      </c>
      <c r="O387" s="616">
        <v>107.83</v>
      </c>
    </row>
    <row r="388" spans="1:15" x14ac:dyDescent="0.3">
      <c r="A388" s="615">
        <v>39931</v>
      </c>
      <c r="B388" s="614" t="s">
        <v>1307</v>
      </c>
      <c r="C388" s="614" t="s">
        <v>201</v>
      </c>
      <c r="D388" s="614" t="s">
        <v>369</v>
      </c>
      <c r="E388" s="614">
        <v>50</v>
      </c>
      <c r="F388" s="629">
        <v>115</v>
      </c>
      <c r="G388" s="629">
        <v>5750</v>
      </c>
      <c r="H388" s="614" t="s">
        <v>1393</v>
      </c>
      <c r="I388" s="616">
        <v>0.98</v>
      </c>
      <c r="J388" s="616">
        <v>2.88</v>
      </c>
      <c r="K388" s="616">
        <v>0.12</v>
      </c>
      <c r="L388" s="616">
        <v>0.01</v>
      </c>
      <c r="M388" s="616">
        <v>95</v>
      </c>
      <c r="N388" s="616">
        <v>9.7799999999999994</v>
      </c>
      <c r="O388" s="616">
        <v>108.77</v>
      </c>
    </row>
    <row r="389" spans="1:15" x14ac:dyDescent="0.3">
      <c r="A389" s="615">
        <v>39931</v>
      </c>
      <c r="B389" s="614" t="s">
        <v>1301</v>
      </c>
      <c r="C389" s="614" t="s">
        <v>201</v>
      </c>
      <c r="D389" s="614" t="s">
        <v>369</v>
      </c>
      <c r="E389" s="614">
        <v>100</v>
      </c>
      <c r="F389" s="629">
        <v>40</v>
      </c>
      <c r="G389" s="629">
        <v>4000</v>
      </c>
      <c r="H389" s="614" t="s">
        <v>1392</v>
      </c>
      <c r="I389" s="616">
        <v>0.68</v>
      </c>
      <c r="J389" s="616">
        <v>2</v>
      </c>
      <c r="K389" s="616">
        <v>0.08</v>
      </c>
      <c r="L389" s="616">
        <v>0.01</v>
      </c>
      <c r="M389" s="616">
        <v>190</v>
      </c>
      <c r="N389" s="616">
        <v>19.57</v>
      </c>
      <c r="O389" s="616">
        <v>212.34</v>
      </c>
    </row>
    <row r="390" spans="1:15" x14ac:dyDescent="0.3">
      <c r="A390" s="615">
        <v>39930</v>
      </c>
      <c r="B390" s="614" t="s">
        <v>1380</v>
      </c>
      <c r="C390" s="614" t="s">
        <v>201</v>
      </c>
      <c r="D390" s="614" t="s">
        <v>369</v>
      </c>
      <c r="E390" s="614">
        <v>1600</v>
      </c>
      <c r="F390" s="629">
        <v>0.4</v>
      </c>
      <c r="G390" s="629">
        <v>640</v>
      </c>
      <c r="H390" s="614" t="s">
        <v>16</v>
      </c>
      <c r="I390" s="616">
        <v>0.11</v>
      </c>
      <c r="J390" s="616">
        <v>0.32</v>
      </c>
      <c r="K390" s="616">
        <v>0.01</v>
      </c>
      <c r="L390" s="616">
        <v>0</v>
      </c>
      <c r="M390" s="616">
        <v>95</v>
      </c>
      <c r="N390" s="616">
        <v>9.7799999999999994</v>
      </c>
      <c r="O390" s="616">
        <v>105.22</v>
      </c>
    </row>
    <row r="391" spans="1:15" x14ac:dyDescent="0.3">
      <c r="A391" s="615">
        <v>39926</v>
      </c>
      <c r="B391" s="614" t="s">
        <v>1295</v>
      </c>
      <c r="C391" s="614" t="s">
        <v>201</v>
      </c>
      <c r="D391" s="614" t="s">
        <v>369</v>
      </c>
      <c r="E391" s="614">
        <v>50</v>
      </c>
      <c r="F391" s="629">
        <v>42.25</v>
      </c>
      <c r="G391" s="629">
        <v>2112.5</v>
      </c>
      <c r="H391" s="614" t="s">
        <v>1391</v>
      </c>
      <c r="I391" s="616">
        <v>0.36</v>
      </c>
      <c r="J391" s="616">
        <v>1.06</v>
      </c>
      <c r="K391" s="616">
        <v>0.04</v>
      </c>
      <c r="L391" s="616">
        <v>0</v>
      </c>
      <c r="M391" s="616">
        <v>15</v>
      </c>
      <c r="N391" s="616">
        <v>1.55</v>
      </c>
      <c r="O391" s="616">
        <v>18.010000000000002</v>
      </c>
    </row>
    <row r="392" spans="1:15" x14ac:dyDescent="0.3">
      <c r="A392" s="615">
        <v>39923</v>
      </c>
      <c r="B392" s="614" t="s">
        <v>1303</v>
      </c>
      <c r="C392" s="614" t="s">
        <v>201</v>
      </c>
      <c r="D392" s="614" t="s">
        <v>369</v>
      </c>
      <c r="E392" s="614">
        <v>50</v>
      </c>
      <c r="F392" s="629">
        <v>70</v>
      </c>
      <c r="G392" s="629">
        <v>3500</v>
      </c>
      <c r="H392" s="614" t="s">
        <v>1390</v>
      </c>
      <c r="I392" s="616">
        <v>0.6</v>
      </c>
      <c r="J392" s="616">
        <v>1.75</v>
      </c>
      <c r="K392" s="616">
        <v>7.0000000000000007E-2</v>
      </c>
      <c r="L392" s="616">
        <v>0.01</v>
      </c>
      <c r="M392" s="616">
        <v>95</v>
      </c>
      <c r="N392" s="616">
        <v>9.7799999999999994</v>
      </c>
      <c r="O392" s="616">
        <v>107.21</v>
      </c>
    </row>
    <row r="393" spans="1:15" x14ac:dyDescent="0.3">
      <c r="A393" s="615">
        <v>39920</v>
      </c>
      <c r="B393" s="614" t="s">
        <v>1301</v>
      </c>
      <c r="C393" s="614" t="s">
        <v>201</v>
      </c>
      <c r="D393" s="614" t="s">
        <v>369</v>
      </c>
      <c r="E393" s="614">
        <v>50</v>
      </c>
      <c r="F393" s="629">
        <v>120</v>
      </c>
      <c r="G393" s="629">
        <v>6000</v>
      </c>
      <c r="H393" s="614" t="s">
        <v>1389</v>
      </c>
      <c r="I393" s="616">
        <v>1.02</v>
      </c>
      <c r="J393" s="616">
        <v>3</v>
      </c>
      <c r="K393" s="616">
        <v>0.12</v>
      </c>
      <c r="L393" s="616">
        <v>0.01</v>
      </c>
      <c r="M393" s="616">
        <v>95</v>
      </c>
      <c r="N393" s="616">
        <v>9.7799999999999994</v>
      </c>
      <c r="O393" s="616">
        <v>108.93</v>
      </c>
    </row>
    <row r="394" spans="1:15" x14ac:dyDescent="0.3">
      <c r="A394" s="615">
        <v>39918</v>
      </c>
      <c r="B394" s="614" t="s">
        <v>1299</v>
      </c>
      <c r="C394" s="614" t="s">
        <v>201</v>
      </c>
      <c r="D394" s="614" t="s">
        <v>369</v>
      </c>
      <c r="E394" s="614">
        <v>50</v>
      </c>
      <c r="F394" s="629">
        <v>95</v>
      </c>
      <c r="G394" s="629">
        <v>4750</v>
      </c>
      <c r="H394" s="614" t="s">
        <v>1388</v>
      </c>
      <c r="I394" s="616">
        <v>0.81</v>
      </c>
      <c r="J394" s="616">
        <v>2.38</v>
      </c>
      <c r="K394" s="616">
        <v>0.1</v>
      </c>
      <c r="L394" s="616">
        <v>0.01</v>
      </c>
      <c r="M394" s="616">
        <v>95</v>
      </c>
      <c r="N394" s="616">
        <v>9.7799999999999994</v>
      </c>
      <c r="O394" s="616">
        <v>108.08</v>
      </c>
    </row>
    <row r="395" spans="1:15" x14ac:dyDescent="0.3">
      <c r="A395" s="615">
        <v>39916</v>
      </c>
      <c r="B395" s="614" t="s">
        <v>1295</v>
      </c>
      <c r="C395" s="614" t="s">
        <v>201</v>
      </c>
      <c r="D395" s="614" t="s">
        <v>369</v>
      </c>
      <c r="E395" s="614">
        <v>50</v>
      </c>
      <c r="F395" s="629">
        <v>76</v>
      </c>
      <c r="G395" s="629">
        <v>3800</v>
      </c>
      <c r="H395" s="614" t="s">
        <v>1387</v>
      </c>
      <c r="I395" s="616">
        <v>0.65</v>
      </c>
      <c r="J395" s="616">
        <v>1.9</v>
      </c>
      <c r="K395" s="616">
        <v>0.08</v>
      </c>
      <c r="L395" s="616">
        <v>0.01</v>
      </c>
      <c r="M395" s="616">
        <v>95</v>
      </c>
      <c r="N395" s="616">
        <v>9.7799999999999994</v>
      </c>
      <c r="O395" s="616">
        <v>107.42</v>
      </c>
    </row>
    <row r="396" spans="1:15" x14ac:dyDescent="0.3">
      <c r="A396" s="615">
        <v>39916</v>
      </c>
      <c r="B396" s="614" t="s">
        <v>1295</v>
      </c>
      <c r="C396" s="614" t="s">
        <v>201</v>
      </c>
      <c r="D396" s="614" t="s">
        <v>369</v>
      </c>
      <c r="E396" s="614">
        <v>50</v>
      </c>
      <c r="F396" s="629">
        <v>84</v>
      </c>
      <c r="G396" s="629">
        <v>4200</v>
      </c>
      <c r="H396" s="614" t="s">
        <v>1386</v>
      </c>
      <c r="I396" s="616">
        <v>0.71</v>
      </c>
      <c r="J396" s="616">
        <v>2.1</v>
      </c>
      <c r="K396" s="616">
        <v>0.08</v>
      </c>
      <c r="L396" s="616">
        <v>0.01</v>
      </c>
      <c r="M396" s="616">
        <v>95</v>
      </c>
      <c r="N396" s="616">
        <v>9.7799999999999994</v>
      </c>
      <c r="O396" s="616">
        <v>107.68</v>
      </c>
    </row>
    <row r="397" spans="1:15" x14ac:dyDescent="0.3">
      <c r="A397" s="615">
        <v>39912</v>
      </c>
      <c r="B397" s="614" t="s">
        <v>1295</v>
      </c>
      <c r="C397" s="614" t="s">
        <v>201</v>
      </c>
      <c r="D397" s="614" t="s">
        <v>369</v>
      </c>
      <c r="E397" s="614">
        <v>50</v>
      </c>
      <c r="F397" s="629">
        <v>99</v>
      </c>
      <c r="G397" s="629">
        <v>4950</v>
      </c>
      <c r="H397" s="614" t="s">
        <v>1385</v>
      </c>
      <c r="I397" s="616">
        <v>0.84</v>
      </c>
      <c r="J397" s="616">
        <v>2.48</v>
      </c>
      <c r="K397" s="616">
        <v>0.1</v>
      </c>
      <c r="L397" s="616">
        <v>0.01</v>
      </c>
      <c r="M397" s="616">
        <v>95</v>
      </c>
      <c r="N397" s="616">
        <v>9.7799999999999994</v>
      </c>
      <c r="O397" s="616">
        <v>108.21</v>
      </c>
    </row>
    <row r="398" spans="1:15" x14ac:dyDescent="0.3">
      <c r="A398" s="615">
        <v>39895</v>
      </c>
      <c r="B398" s="614" t="s">
        <v>1926</v>
      </c>
      <c r="C398" s="614" t="s">
        <v>201</v>
      </c>
      <c r="D398" s="614" t="s">
        <v>369</v>
      </c>
      <c r="E398" s="614">
        <v>50</v>
      </c>
      <c r="F398" s="629">
        <v>163</v>
      </c>
      <c r="G398" s="629">
        <v>8150</v>
      </c>
      <c r="H398" s="614" t="s">
        <v>1972</v>
      </c>
      <c r="I398" s="616">
        <v>1.39</v>
      </c>
      <c r="J398" s="616">
        <v>4.08</v>
      </c>
      <c r="K398" s="616">
        <v>0.16</v>
      </c>
      <c r="L398" s="616">
        <v>0.02</v>
      </c>
      <c r="M398" s="616">
        <v>15</v>
      </c>
      <c r="N398" s="616">
        <v>1.55</v>
      </c>
      <c r="O398" s="616">
        <v>22.2</v>
      </c>
    </row>
    <row r="399" spans="1:15" x14ac:dyDescent="0.3">
      <c r="A399" s="615">
        <v>39878</v>
      </c>
      <c r="B399" s="614" t="s">
        <v>1913</v>
      </c>
      <c r="C399" s="614" t="s">
        <v>201</v>
      </c>
      <c r="D399" s="614" t="s">
        <v>369</v>
      </c>
      <c r="E399" s="614">
        <v>50</v>
      </c>
      <c r="F399" s="629">
        <v>26.2</v>
      </c>
      <c r="G399" s="629">
        <v>1310</v>
      </c>
      <c r="H399" s="614" t="s">
        <v>1971</v>
      </c>
      <c r="I399" s="616">
        <v>0.22</v>
      </c>
      <c r="J399" s="616">
        <v>0.66</v>
      </c>
      <c r="K399" s="616">
        <v>0.03</v>
      </c>
      <c r="L399" s="616">
        <v>0</v>
      </c>
      <c r="M399" s="616">
        <v>95</v>
      </c>
      <c r="N399" s="616">
        <v>9.7799999999999994</v>
      </c>
      <c r="O399" s="616">
        <v>105.69</v>
      </c>
    </row>
    <row r="400" spans="1:15" x14ac:dyDescent="0.3">
      <c r="A400" s="615">
        <v>39878</v>
      </c>
      <c r="B400" s="614" t="s">
        <v>1915</v>
      </c>
      <c r="C400" s="614" t="s">
        <v>201</v>
      </c>
      <c r="D400" s="614" t="s">
        <v>369</v>
      </c>
      <c r="E400" s="614">
        <v>50</v>
      </c>
      <c r="F400" s="629">
        <v>89</v>
      </c>
      <c r="G400" s="629">
        <v>4450</v>
      </c>
      <c r="H400" s="614" t="s">
        <v>1970</v>
      </c>
      <c r="I400" s="616">
        <v>0.76</v>
      </c>
      <c r="J400" s="616">
        <v>2.23</v>
      </c>
      <c r="K400" s="616">
        <v>0.09</v>
      </c>
      <c r="L400" s="616">
        <v>0.01</v>
      </c>
      <c r="M400" s="616">
        <v>95</v>
      </c>
      <c r="N400" s="616">
        <v>9.7799999999999994</v>
      </c>
      <c r="O400" s="616">
        <v>107.87</v>
      </c>
    </row>
    <row r="401" spans="1:15" x14ac:dyDescent="0.3">
      <c r="A401" s="615">
        <v>39877</v>
      </c>
      <c r="B401" s="614" t="s">
        <v>1909</v>
      </c>
      <c r="C401" s="614" t="s">
        <v>201</v>
      </c>
      <c r="D401" s="614" t="s">
        <v>369</v>
      </c>
      <c r="E401" s="614">
        <v>100</v>
      </c>
      <c r="F401" s="629">
        <v>58.53</v>
      </c>
      <c r="G401" s="629">
        <v>5852.5</v>
      </c>
      <c r="H401" s="614" t="s">
        <v>1969</v>
      </c>
      <c r="I401" s="616">
        <v>0.99</v>
      </c>
      <c r="J401" s="616">
        <v>2.93</v>
      </c>
      <c r="K401" s="616">
        <v>0.12</v>
      </c>
      <c r="L401" s="616">
        <v>0.02</v>
      </c>
      <c r="M401" s="616">
        <v>190</v>
      </c>
      <c r="N401" s="616">
        <v>19.559999999999999</v>
      </c>
      <c r="O401" s="616">
        <v>213.62</v>
      </c>
    </row>
    <row r="402" spans="1:15" x14ac:dyDescent="0.3">
      <c r="A402" s="615">
        <v>39876</v>
      </c>
      <c r="B402" s="614" t="s">
        <v>1909</v>
      </c>
      <c r="C402" s="614" t="s">
        <v>201</v>
      </c>
      <c r="D402" s="614" t="s">
        <v>369</v>
      </c>
      <c r="E402" s="614">
        <v>100</v>
      </c>
      <c r="F402" s="629">
        <v>68.3</v>
      </c>
      <c r="G402" s="629">
        <v>6830</v>
      </c>
      <c r="H402" s="614" t="s">
        <v>1968</v>
      </c>
      <c r="I402" s="616">
        <v>1.1399999999999999</v>
      </c>
      <c r="J402" s="616">
        <v>3.42</v>
      </c>
      <c r="K402" s="616">
        <v>0.14000000000000001</v>
      </c>
      <c r="L402" s="616">
        <v>0.02</v>
      </c>
      <c r="M402" s="616">
        <v>190</v>
      </c>
      <c r="N402" s="616">
        <v>19.559999999999999</v>
      </c>
      <c r="O402" s="616">
        <v>214.28</v>
      </c>
    </row>
    <row r="403" spans="1:15" x14ac:dyDescent="0.3">
      <c r="A403" s="615">
        <v>39874</v>
      </c>
      <c r="B403" s="614" t="s">
        <v>1901</v>
      </c>
      <c r="C403" s="614" t="s">
        <v>201</v>
      </c>
      <c r="D403" s="614" t="s">
        <v>369</v>
      </c>
      <c r="E403" s="614">
        <v>50</v>
      </c>
      <c r="F403" s="629">
        <v>261</v>
      </c>
      <c r="G403" s="629">
        <v>13050</v>
      </c>
      <c r="H403" s="614" t="s">
        <v>1967</v>
      </c>
      <c r="I403" s="616">
        <v>2.2200000000000002</v>
      </c>
      <c r="J403" s="616">
        <v>6.53</v>
      </c>
      <c r="K403" s="616">
        <v>0.26</v>
      </c>
      <c r="L403" s="616">
        <v>0.03</v>
      </c>
      <c r="M403" s="616">
        <v>95</v>
      </c>
      <c r="N403" s="616">
        <v>9.7799999999999994</v>
      </c>
      <c r="O403" s="616">
        <v>113.82</v>
      </c>
    </row>
    <row r="404" spans="1:15" x14ac:dyDescent="0.3">
      <c r="A404" s="615">
        <v>39862</v>
      </c>
      <c r="B404" s="614" t="s">
        <v>1831</v>
      </c>
      <c r="C404" s="614" t="s">
        <v>201</v>
      </c>
      <c r="D404" s="614" t="s">
        <v>369</v>
      </c>
      <c r="E404" s="614">
        <v>4300</v>
      </c>
      <c r="F404" s="629">
        <v>0.45</v>
      </c>
      <c r="G404" s="629">
        <v>1935</v>
      </c>
      <c r="H404" s="614" t="s">
        <v>1943</v>
      </c>
      <c r="I404" s="616">
        <v>0.33</v>
      </c>
      <c r="J404" s="616">
        <v>0.97</v>
      </c>
      <c r="K404" s="616">
        <v>0.04</v>
      </c>
      <c r="L404" s="616">
        <v>0</v>
      </c>
      <c r="M404" s="616">
        <v>95</v>
      </c>
      <c r="N404" s="616">
        <v>11.74</v>
      </c>
      <c r="O404" s="616">
        <v>108.08</v>
      </c>
    </row>
    <row r="405" spans="1:15" x14ac:dyDescent="0.3">
      <c r="A405" s="615">
        <v>39862</v>
      </c>
      <c r="B405" s="614" t="s">
        <v>1903</v>
      </c>
      <c r="C405" s="614" t="s">
        <v>201</v>
      </c>
      <c r="D405" s="614" t="s">
        <v>369</v>
      </c>
      <c r="E405" s="614">
        <v>50</v>
      </c>
      <c r="F405" s="629">
        <v>52</v>
      </c>
      <c r="G405" s="629">
        <v>2600</v>
      </c>
      <c r="H405" s="614" t="s">
        <v>1966</v>
      </c>
      <c r="I405" s="616">
        <v>0.44</v>
      </c>
      <c r="J405" s="616">
        <v>1.3</v>
      </c>
      <c r="K405" s="616">
        <v>0.05</v>
      </c>
      <c r="L405" s="616">
        <v>0.01</v>
      </c>
      <c r="M405" s="616">
        <v>95</v>
      </c>
      <c r="N405" s="616">
        <v>11.74</v>
      </c>
      <c r="O405" s="616">
        <v>108.54</v>
      </c>
    </row>
    <row r="406" spans="1:15" x14ac:dyDescent="0.3">
      <c r="A406" s="615">
        <v>39860</v>
      </c>
      <c r="B406" s="614" t="s">
        <v>1901</v>
      </c>
      <c r="C406" s="614" t="s">
        <v>201</v>
      </c>
      <c r="D406" s="614" t="s">
        <v>369</v>
      </c>
      <c r="E406" s="614">
        <v>50</v>
      </c>
      <c r="F406" s="629">
        <v>187</v>
      </c>
      <c r="G406" s="629">
        <v>9350</v>
      </c>
      <c r="H406" s="614" t="s">
        <v>1965</v>
      </c>
      <c r="I406" s="616">
        <v>1.59</v>
      </c>
      <c r="J406" s="616">
        <v>4.68</v>
      </c>
      <c r="K406" s="616">
        <v>0.19</v>
      </c>
      <c r="L406" s="616">
        <v>0.02</v>
      </c>
      <c r="M406" s="616">
        <v>95</v>
      </c>
      <c r="N406" s="616">
        <v>11.74</v>
      </c>
      <c r="O406" s="616">
        <v>113.22</v>
      </c>
    </row>
    <row r="407" spans="1:15" x14ac:dyDescent="0.3">
      <c r="A407" s="615">
        <v>39840</v>
      </c>
      <c r="B407" s="614" t="s">
        <v>1889</v>
      </c>
      <c r="C407" s="614" t="s">
        <v>201</v>
      </c>
      <c r="D407" s="614" t="s">
        <v>369</v>
      </c>
      <c r="E407" s="614">
        <v>300</v>
      </c>
      <c r="F407" s="629">
        <v>9</v>
      </c>
      <c r="G407" s="629">
        <v>2700</v>
      </c>
      <c r="H407" s="614" t="s">
        <v>1964</v>
      </c>
      <c r="I407" s="616">
        <v>0.46</v>
      </c>
      <c r="J407" s="616">
        <v>1.35</v>
      </c>
      <c r="K407" s="616">
        <v>0.05</v>
      </c>
      <c r="L407" s="616">
        <v>0.01</v>
      </c>
      <c r="M407" s="616">
        <v>570</v>
      </c>
      <c r="N407" s="616">
        <v>70.45</v>
      </c>
      <c r="O407" s="616">
        <v>642.32000000000005</v>
      </c>
    </row>
    <row r="408" spans="1:15" x14ac:dyDescent="0.3">
      <c r="A408" s="615">
        <v>39835</v>
      </c>
      <c r="B408" s="614" t="s">
        <v>1928</v>
      </c>
      <c r="C408" s="614" t="s">
        <v>201</v>
      </c>
      <c r="D408" s="614" t="s">
        <v>369</v>
      </c>
      <c r="E408" s="614">
        <v>1200</v>
      </c>
      <c r="F408" s="629">
        <v>2.4500000000000002</v>
      </c>
      <c r="G408" s="629">
        <v>2940</v>
      </c>
      <c r="H408" s="614" t="s">
        <v>1973</v>
      </c>
      <c r="I408" s="616">
        <v>0.5</v>
      </c>
      <c r="J408" s="616">
        <v>1.47</v>
      </c>
      <c r="K408" s="616">
        <v>0.06</v>
      </c>
      <c r="L408" s="616">
        <v>0.01</v>
      </c>
      <c r="M408" s="616">
        <v>95</v>
      </c>
      <c r="N408" s="616">
        <v>11.74</v>
      </c>
      <c r="O408" s="616">
        <v>108.78</v>
      </c>
    </row>
    <row r="409" spans="1:15" x14ac:dyDescent="0.3">
      <c r="A409" s="615">
        <v>39832</v>
      </c>
      <c r="B409" s="614" t="s">
        <v>1895</v>
      </c>
      <c r="C409" s="614" t="s">
        <v>201</v>
      </c>
      <c r="D409" s="614" t="s">
        <v>369</v>
      </c>
      <c r="E409" s="614">
        <v>50</v>
      </c>
      <c r="F409" s="629">
        <v>77</v>
      </c>
      <c r="G409" s="629">
        <v>3850</v>
      </c>
      <c r="H409" s="614" t="s">
        <v>1963</v>
      </c>
      <c r="I409" s="616">
        <v>0.65</v>
      </c>
      <c r="J409" s="616">
        <v>1.93</v>
      </c>
      <c r="K409" s="616">
        <v>0.08</v>
      </c>
      <c r="L409" s="616">
        <v>0.01</v>
      </c>
      <c r="M409" s="616">
        <v>95</v>
      </c>
      <c r="N409" s="616">
        <v>11.74</v>
      </c>
      <c r="O409" s="616">
        <v>109.41</v>
      </c>
    </row>
    <row r="410" spans="1:15" x14ac:dyDescent="0.3">
      <c r="A410" s="615">
        <v>39829</v>
      </c>
      <c r="B410" s="614" t="s">
        <v>1851</v>
      </c>
      <c r="C410" s="614" t="s">
        <v>201</v>
      </c>
      <c r="D410" s="614" t="s">
        <v>369</v>
      </c>
      <c r="E410" s="614">
        <v>400</v>
      </c>
      <c r="F410" s="629">
        <v>15.6</v>
      </c>
      <c r="G410" s="629">
        <v>6240</v>
      </c>
      <c r="H410" s="614" t="s">
        <v>1947</v>
      </c>
      <c r="I410" s="616">
        <v>1.06</v>
      </c>
      <c r="J410" s="616">
        <v>3.12</v>
      </c>
      <c r="K410" s="616">
        <v>0.12</v>
      </c>
      <c r="L410" s="616">
        <v>0.01</v>
      </c>
      <c r="M410" s="616">
        <v>15</v>
      </c>
      <c r="N410" s="616">
        <v>1.85</v>
      </c>
      <c r="O410" s="616">
        <v>21.16</v>
      </c>
    </row>
    <row r="411" spans="1:15" x14ac:dyDescent="0.3">
      <c r="A411" s="615">
        <v>39828</v>
      </c>
      <c r="B411" s="614" t="s">
        <v>1891</v>
      </c>
      <c r="C411" s="614" t="s">
        <v>201</v>
      </c>
      <c r="D411" s="614" t="s">
        <v>369</v>
      </c>
      <c r="E411" s="614">
        <v>100</v>
      </c>
      <c r="F411" s="629">
        <v>114</v>
      </c>
      <c r="G411" s="629">
        <v>11400</v>
      </c>
      <c r="H411" s="614" t="s">
        <v>1962</v>
      </c>
      <c r="I411" s="616">
        <v>1.94</v>
      </c>
      <c r="J411" s="616">
        <v>5.7</v>
      </c>
      <c r="K411" s="616">
        <v>0.23</v>
      </c>
      <c r="L411" s="616">
        <v>0.02</v>
      </c>
      <c r="M411" s="616">
        <v>190</v>
      </c>
      <c r="N411" s="616">
        <v>23.48</v>
      </c>
      <c r="O411" s="616">
        <v>221.37</v>
      </c>
    </row>
    <row r="412" spans="1:15" x14ac:dyDescent="0.3">
      <c r="A412" s="615">
        <v>39828</v>
      </c>
      <c r="B412" s="614" t="s">
        <v>1891</v>
      </c>
      <c r="C412" s="614" t="s">
        <v>201</v>
      </c>
      <c r="D412" s="614" t="s">
        <v>369</v>
      </c>
      <c r="E412" s="614">
        <v>50</v>
      </c>
      <c r="F412" s="629">
        <v>121</v>
      </c>
      <c r="G412" s="629">
        <v>6050</v>
      </c>
      <c r="H412" s="614" t="s">
        <v>1961</v>
      </c>
      <c r="I412" s="616">
        <v>1.03</v>
      </c>
      <c r="J412" s="616">
        <v>3.03</v>
      </c>
      <c r="K412" s="616">
        <v>0.12</v>
      </c>
      <c r="L412" s="616">
        <v>0.01</v>
      </c>
      <c r="M412" s="616">
        <v>95</v>
      </c>
      <c r="N412" s="616">
        <v>11.74</v>
      </c>
      <c r="O412" s="616">
        <v>110.93</v>
      </c>
    </row>
    <row r="413" spans="1:15" x14ac:dyDescent="0.3">
      <c r="A413" s="615">
        <v>39827</v>
      </c>
      <c r="B413" s="614" t="s">
        <v>1889</v>
      </c>
      <c r="C413" s="614" t="s">
        <v>201</v>
      </c>
      <c r="D413" s="614" t="s">
        <v>369</v>
      </c>
      <c r="E413" s="614">
        <v>50</v>
      </c>
      <c r="F413" s="629">
        <v>105.45</v>
      </c>
      <c r="G413" s="629">
        <v>5272.5</v>
      </c>
      <c r="H413" s="614" t="s">
        <v>1960</v>
      </c>
      <c r="I413" s="616">
        <v>0.9</v>
      </c>
      <c r="J413" s="616">
        <v>2.64</v>
      </c>
      <c r="K413" s="616">
        <v>0.11</v>
      </c>
      <c r="L413" s="616">
        <v>0.01</v>
      </c>
      <c r="M413" s="616">
        <v>95</v>
      </c>
      <c r="N413" s="616">
        <v>11.74</v>
      </c>
      <c r="O413" s="616">
        <v>110.4</v>
      </c>
    </row>
    <row r="414" spans="1:15" x14ac:dyDescent="0.3">
      <c r="A414" s="615">
        <v>39826</v>
      </c>
      <c r="B414" s="614" t="s">
        <v>1887</v>
      </c>
      <c r="C414" s="614" t="s">
        <v>201</v>
      </c>
      <c r="D414" s="614" t="s">
        <v>369</v>
      </c>
      <c r="E414" s="614">
        <v>50</v>
      </c>
      <c r="F414" s="629">
        <v>12</v>
      </c>
      <c r="G414" s="629">
        <v>600</v>
      </c>
      <c r="H414" s="614" t="s">
        <v>1959</v>
      </c>
      <c r="I414" s="616">
        <v>0.1</v>
      </c>
      <c r="J414" s="616">
        <v>0.3</v>
      </c>
      <c r="K414" s="616">
        <v>0.01</v>
      </c>
      <c r="L414" s="616">
        <v>0</v>
      </c>
      <c r="M414" s="616">
        <v>95</v>
      </c>
      <c r="N414" s="616">
        <v>11.74</v>
      </c>
      <c r="O414" s="616">
        <v>107.15</v>
      </c>
    </row>
    <row r="415" spans="1:15" x14ac:dyDescent="0.3">
      <c r="A415" s="615">
        <v>39826</v>
      </c>
      <c r="B415" s="614" t="s">
        <v>1829</v>
      </c>
      <c r="C415" s="614" t="s">
        <v>201</v>
      </c>
      <c r="D415" s="614" t="s">
        <v>369</v>
      </c>
      <c r="E415" s="614">
        <v>4300</v>
      </c>
      <c r="F415" s="629">
        <v>0.4</v>
      </c>
      <c r="G415" s="629">
        <v>1720</v>
      </c>
      <c r="H415" s="614" t="s">
        <v>1942</v>
      </c>
      <c r="I415" s="616">
        <v>0.28000000000000003</v>
      </c>
      <c r="J415" s="616">
        <v>0.86</v>
      </c>
      <c r="K415" s="616">
        <v>0.03</v>
      </c>
      <c r="L415" s="616">
        <v>0</v>
      </c>
      <c r="M415" s="616">
        <v>95</v>
      </c>
      <c r="N415" s="616">
        <v>11.74</v>
      </c>
      <c r="O415" s="616">
        <v>107.91</v>
      </c>
    </row>
    <row r="416" spans="1:15" x14ac:dyDescent="0.3">
      <c r="A416" s="615">
        <v>39826</v>
      </c>
      <c r="B416" s="614" t="s">
        <v>1833</v>
      </c>
      <c r="C416" s="614" t="s">
        <v>201</v>
      </c>
      <c r="D416" s="614" t="s">
        <v>369</v>
      </c>
      <c r="E416" s="614">
        <v>2400</v>
      </c>
      <c r="F416" s="629">
        <v>0.75</v>
      </c>
      <c r="G416" s="629">
        <v>1800</v>
      </c>
      <c r="H416" s="614" t="s">
        <v>1944</v>
      </c>
      <c r="I416" s="616">
        <v>0.31</v>
      </c>
      <c r="J416" s="616">
        <v>0.9</v>
      </c>
      <c r="K416" s="616">
        <v>0.04</v>
      </c>
      <c r="L416" s="616">
        <v>0</v>
      </c>
      <c r="M416" s="616">
        <v>95</v>
      </c>
      <c r="N416" s="616">
        <v>11.74</v>
      </c>
      <c r="O416" s="616">
        <v>107.99</v>
      </c>
    </row>
    <row r="417" spans="1:15" x14ac:dyDescent="0.3">
      <c r="A417" s="615">
        <v>39825</v>
      </c>
      <c r="B417" s="614" t="s">
        <v>1883</v>
      </c>
      <c r="C417" s="614" t="s">
        <v>201</v>
      </c>
      <c r="D417" s="614" t="s">
        <v>369</v>
      </c>
      <c r="E417" s="614">
        <v>50</v>
      </c>
      <c r="F417" s="629">
        <v>5.6</v>
      </c>
      <c r="G417" s="629">
        <v>280</v>
      </c>
      <c r="H417" s="614" t="s">
        <v>1958</v>
      </c>
      <c r="I417" s="616">
        <v>0.05</v>
      </c>
      <c r="J417" s="616">
        <v>0.14000000000000001</v>
      </c>
      <c r="K417" s="616">
        <v>0.01</v>
      </c>
      <c r="L417" s="616">
        <v>0</v>
      </c>
      <c r="M417" s="616">
        <v>95</v>
      </c>
      <c r="N417" s="616">
        <v>11.74</v>
      </c>
      <c r="O417" s="616">
        <v>106.94</v>
      </c>
    </row>
    <row r="418" spans="1:15" x14ac:dyDescent="0.3">
      <c r="A418" s="615">
        <v>39825</v>
      </c>
      <c r="B418" s="614" t="s">
        <v>1885</v>
      </c>
      <c r="C418" s="614" t="s">
        <v>201</v>
      </c>
      <c r="D418" s="614" t="s">
        <v>369</v>
      </c>
      <c r="E418" s="614">
        <v>50</v>
      </c>
      <c r="F418" s="629">
        <v>11.75</v>
      </c>
      <c r="G418" s="629">
        <v>587.5</v>
      </c>
      <c r="H418" s="614" t="s">
        <v>1957</v>
      </c>
      <c r="I418" s="616">
        <v>0.1</v>
      </c>
      <c r="J418" s="616">
        <v>0.28000000000000003</v>
      </c>
      <c r="K418" s="616">
        <v>0.01</v>
      </c>
      <c r="L418" s="616">
        <v>0</v>
      </c>
      <c r="M418" s="616">
        <v>95</v>
      </c>
      <c r="N418" s="616">
        <v>11.74</v>
      </c>
      <c r="O418" s="616">
        <v>107.13</v>
      </c>
    </row>
    <row r="419" spans="1:15" x14ac:dyDescent="0.3">
      <c r="A419" s="615">
        <v>39800</v>
      </c>
      <c r="B419" s="614" t="s">
        <v>1937</v>
      </c>
      <c r="C419" s="614" t="s">
        <v>201</v>
      </c>
      <c r="D419" s="614" t="s">
        <v>369</v>
      </c>
      <c r="E419" s="614">
        <v>1000</v>
      </c>
      <c r="F419" s="629">
        <v>8.5</v>
      </c>
      <c r="G419" s="629">
        <v>8500</v>
      </c>
      <c r="H419" s="614" t="s">
        <v>1980</v>
      </c>
      <c r="I419" s="616">
        <v>1.45</v>
      </c>
      <c r="J419" s="616">
        <v>4.25</v>
      </c>
      <c r="K419" s="616">
        <v>0.17</v>
      </c>
      <c r="L419" s="616">
        <v>0.02</v>
      </c>
      <c r="M419" s="616">
        <v>95</v>
      </c>
      <c r="N419" s="616">
        <v>11.74</v>
      </c>
      <c r="O419" s="616">
        <v>112.63</v>
      </c>
    </row>
    <row r="420" spans="1:15" x14ac:dyDescent="0.3">
      <c r="A420" s="615">
        <v>39794</v>
      </c>
      <c r="B420" s="614" t="s">
        <v>1879</v>
      </c>
      <c r="C420" s="614" t="s">
        <v>201</v>
      </c>
      <c r="D420" s="614" t="s">
        <v>369</v>
      </c>
      <c r="E420" s="614">
        <v>50</v>
      </c>
      <c r="F420" s="629">
        <v>99.25</v>
      </c>
      <c r="G420" s="629">
        <v>4962.5</v>
      </c>
      <c r="H420" s="614" t="s">
        <v>1956</v>
      </c>
      <c r="I420" s="616">
        <v>0.84</v>
      </c>
      <c r="J420" s="616">
        <v>2.48</v>
      </c>
      <c r="K420" s="616">
        <v>0.1</v>
      </c>
      <c r="L420" s="616">
        <v>0.01</v>
      </c>
      <c r="M420" s="616">
        <v>95</v>
      </c>
      <c r="N420" s="616">
        <v>11.74</v>
      </c>
      <c r="O420" s="616">
        <v>110.17</v>
      </c>
    </row>
    <row r="421" spans="1:15" x14ac:dyDescent="0.3">
      <c r="A421" s="615">
        <v>39794</v>
      </c>
      <c r="B421" s="614" t="s">
        <v>1881</v>
      </c>
      <c r="C421" s="614" t="s">
        <v>201</v>
      </c>
      <c r="D421" s="614" t="s">
        <v>369</v>
      </c>
      <c r="E421" s="614">
        <v>50</v>
      </c>
      <c r="F421" s="629">
        <v>24</v>
      </c>
      <c r="G421" s="629">
        <v>1200</v>
      </c>
      <c r="H421" s="614" t="s">
        <v>1955</v>
      </c>
      <c r="I421" s="616">
        <v>0.2</v>
      </c>
      <c r="J421" s="616">
        <v>0.6</v>
      </c>
      <c r="K421" s="616">
        <v>0.02</v>
      </c>
      <c r="L421" s="616">
        <v>0</v>
      </c>
      <c r="M421" s="616">
        <v>95</v>
      </c>
      <c r="N421" s="616">
        <v>11.74</v>
      </c>
      <c r="O421" s="616">
        <v>107.56</v>
      </c>
    </row>
    <row r="422" spans="1:15" x14ac:dyDescent="0.3">
      <c r="A422" s="615">
        <v>39792</v>
      </c>
      <c r="B422" s="614" t="s">
        <v>1937</v>
      </c>
      <c r="C422" s="614" t="s">
        <v>201</v>
      </c>
      <c r="D422" s="614" t="s">
        <v>369</v>
      </c>
      <c r="E422" s="614">
        <v>1000</v>
      </c>
      <c r="F422" s="629">
        <v>3.35</v>
      </c>
      <c r="G422" s="629">
        <v>3350</v>
      </c>
      <c r="H422" s="614" t="s">
        <v>1979</v>
      </c>
      <c r="I422" s="616">
        <v>0.56000000000000005</v>
      </c>
      <c r="J422" s="616">
        <v>1.68</v>
      </c>
      <c r="K422" s="616">
        <v>7.0000000000000007E-2</v>
      </c>
      <c r="L422" s="616">
        <v>0.01</v>
      </c>
      <c r="M422" s="616">
        <v>95</v>
      </c>
      <c r="N422" s="616">
        <v>11.74</v>
      </c>
      <c r="O422" s="616">
        <v>109.06</v>
      </c>
    </row>
    <row r="423" spans="1:15" x14ac:dyDescent="0.3">
      <c r="A423" s="615">
        <v>39792</v>
      </c>
      <c r="B423" s="614" t="s">
        <v>1937</v>
      </c>
      <c r="C423" s="614" t="s">
        <v>201</v>
      </c>
      <c r="D423" s="614" t="s">
        <v>369</v>
      </c>
      <c r="E423" s="614">
        <v>1000</v>
      </c>
      <c r="F423" s="629">
        <v>3.05</v>
      </c>
      <c r="G423" s="629">
        <v>3050</v>
      </c>
      <c r="H423" s="614" t="s">
        <v>1978</v>
      </c>
      <c r="I423" s="616">
        <v>0.52</v>
      </c>
      <c r="J423" s="616">
        <v>1.53</v>
      </c>
      <c r="K423" s="616">
        <v>0.06</v>
      </c>
      <c r="L423" s="616">
        <v>0.01</v>
      </c>
      <c r="M423" s="616">
        <v>95</v>
      </c>
      <c r="N423" s="616">
        <v>11.74</v>
      </c>
      <c r="O423" s="616">
        <v>108.86</v>
      </c>
    </row>
    <row r="424" spans="1:15" x14ac:dyDescent="0.3">
      <c r="A424" s="615">
        <v>39792</v>
      </c>
      <c r="B424" s="614" t="s">
        <v>1877</v>
      </c>
      <c r="C424" s="614" t="s">
        <v>201</v>
      </c>
      <c r="D424" s="614" t="s">
        <v>369</v>
      </c>
      <c r="E424" s="614">
        <v>50</v>
      </c>
      <c r="F424" s="629">
        <v>64.8</v>
      </c>
      <c r="G424" s="629">
        <v>3240</v>
      </c>
      <c r="H424" s="614" t="s">
        <v>1954</v>
      </c>
      <c r="I424" s="616">
        <v>0.55000000000000004</v>
      </c>
      <c r="J424" s="616">
        <v>1.62</v>
      </c>
      <c r="K424" s="616">
        <v>0.06</v>
      </c>
      <c r="L424" s="616">
        <v>0.01</v>
      </c>
      <c r="M424" s="616">
        <v>95</v>
      </c>
      <c r="N424" s="616">
        <v>11.74</v>
      </c>
      <c r="O424" s="616">
        <v>108.98</v>
      </c>
    </row>
    <row r="425" spans="1:15" x14ac:dyDescent="0.3">
      <c r="A425" s="615">
        <v>39790</v>
      </c>
      <c r="B425" s="614" t="s">
        <v>1937</v>
      </c>
      <c r="C425" s="614" t="s">
        <v>201</v>
      </c>
      <c r="D425" s="614" t="s">
        <v>369</v>
      </c>
      <c r="E425" s="614">
        <v>1000</v>
      </c>
      <c r="F425" s="629">
        <v>1.95</v>
      </c>
      <c r="G425" s="629">
        <v>1950</v>
      </c>
      <c r="H425" s="614" t="s">
        <v>1977</v>
      </c>
      <c r="I425" s="616">
        <v>0.33</v>
      </c>
      <c r="J425" s="616">
        <v>0.98</v>
      </c>
      <c r="K425" s="616">
        <v>0.04</v>
      </c>
      <c r="L425" s="616">
        <v>0</v>
      </c>
      <c r="M425" s="616">
        <v>0</v>
      </c>
      <c r="N425" s="616">
        <v>0</v>
      </c>
      <c r="O425" s="616">
        <v>1.35</v>
      </c>
    </row>
    <row r="426" spans="1:15" x14ac:dyDescent="0.3">
      <c r="A426" s="615">
        <v>39790</v>
      </c>
      <c r="B426" s="614" t="s">
        <v>1933</v>
      </c>
      <c r="C426" s="614" t="s">
        <v>201</v>
      </c>
      <c r="D426" s="614" t="s">
        <v>369</v>
      </c>
      <c r="E426" s="614">
        <v>1000</v>
      </c>
      <c r="F426" s="629">
        <v>3.9</v>
      </c>
      <c r="G426" s="629">
        <v>3900</v>
      </c>
      <c r="H426" s="614" t="s">
        <v>1976</v>
      </c>
      <c r="I426" s="616">
        <v>0.66</v>
      </c>
      <c r="J426" s="616">
        <v>1.95</v>
      </c>
      <c r="K426" s="616">
        <v>0.08</v>
      </c>
      <c r="L426" s="616">
        <v>0.01</v>
      </c>
      <c r="M426" s="616">
        <v>95</v>
      </c>
      <c r="N426" s="616">
        <v>11.74</v>
      </c>
      <c r="O426" s="616">
        <v>109.44</v>
      </c>
    </row>
    <row r="427" spans="1:15" x14ac:dyDescent="0.3">
      <c r="A427" s="615">
        <v>39786</v>
      </c>
      <c r="B427" s="614" t="s">
        <v>1875</v>
      </c>
      <c r="C427" s="614" t="s">
        <v>201</v>
      </c>
      <c r="D427" s="614" t="s">
        <v>369</v>
      </c>
      <c r="E427" s="614">
        <v>50</v>
      </c>
      <c r="F427" s="629">
        <v>73.8</v>
      </c>
      <c r="G427" s="629">
        <v>3690</v>
      </c>
      <c r="H427" s="614" t="s">
        <v>1953</v>
      </c>
      <c r="I427" s="616">
        <v>0.63</v>
      </c>
      <c r="J427" s="616">
        <v>1.85</v>
      </c>
      <c r="K427" s="616">
        <v>7.0000000000000007E-2</v>
      </c>
      <c r="L427" s="616">
        <v>0.01</v>
      </c>
      <c r="M427" s="616">
        <v>0</v>
      </c>
      <c r="N427" s="616">
        <v>0</v>
      </c>
      <c r="O427" s="616">
        <v>2.56</v>
      </c>
    </row>
    <row r="428" spans="1:15" x14ac:dyDescent="0.3">
      <c r="A428" s="615">
        <v>39785</v>
      </c>
      <c r="B428" s="614" t="s">
        <v>1873</v>
      </c>
      <c r="C428" s="614" t="s">
        <v>201</v>
      </c>
      <c r="D428" s="614" t="s">
        <v>369</v>
      </c>
      <c r="E428" s="614">
        <v>50</v>
      </c>
      <c r="F428" s="629">
        <v>73.2</v>
      </c>
      <c r="G428" s="629">
        <v>3660</v>
      </c>
      <c r="H428" s="614" t="s">
        <v>1952</v>
      </c>
      <c r="I428" s="616">
        <v>0.62</v>
      </c>
      <c r="J428" s="616">
        <v>1.83</v>
      </c>
      <c r="K428" s="616">
        <v>7.0000000000000007E-2</v>
      </c>
      <c r="L428" s="616">
        <v>0.01</v>
      </c>
      <c r="M428" s="616">
        <v>95</v>
      </c>
      <c r="N428" s="616">
        <v>11.74</v>
      </c>
      <c r="O428" s="616">
        <v>109.27</v>
      </c>
    </row>
    <row r="429" spans="1:15" x14ac:dyDescent="0.3">
      <c r="A429" s="615">
        <v>39769</v>
      </c>
      <c r="B429" s="614" t="s">
        <v>1930</v>
      </c>
      <c r="C429" s="614" t="s">
        <v>201</v>
      </c>
      <c r="D429" s="614" t="s">
        <v>369</v>
      </c>
      <c r="E429" s="614">
        <v>1000</v>
      </c>
      <c r="F429" s="629">
        <v>0.9</v>
      </c>
      <c r="G429" s="629">
        <v>900</v>
      </c>
      <c r="H429" s="614" t="s">
        <v>1975</v>
      </c>
      <c r="I429" s="616">
        <v>0.15</v>
      </c>
      <c r="J429" s="616">
        <v>0.45</v>
      </c>
      <c r="K429" s="616">
        <v>0.02</v>
      </c>
      <c r="L429" s="616">
        <v>0</v>
      </c>
      <c r="M429" s="616">
        <v>95</v>
      </c>
      <c r="N429" s="616">
        <v>11.74</v>
      </c>
      <c r="O429" s="616">
        <v>107.36</v>
      </c>
    </row>
    <row r="430" spans="1:15" x14ac:dyDescent="0.3">
      <c r="A430" s="615">
        <v>39764</v>
      </c>
      <c r="B430" s="614" t="s">
        <v>1870</v>
      </c>
      <c r="C430" s="614" t="s">
        <v>201</v>
      </c>
      <c r="D430" s="614" t="s">
        <v>369</v>
      </c>
      <c r="E430" s="614">
        <v>50</v>
      </c>
      <c r="F430" s="629">
        <v>45.45</v>
      </c>
      <c r="G430" s="629">
        <v>2272.5</v>
      </c>
      <c r="H430" s="614" t="s">
        <v>1951</v>
      </c>
      <c r="I430" s="616">
        <v>0.39</v>
      </c>
      <c r="J430" s="616">
        <v>1.1299999999999999</v>
      </c>
      <c r="K430" s="616">
        <v>0.05</v>
      </c>
      <c r="L430" s="616">
        <v>0</v>
      </c>
      <c r="M430" s="616">
        <v>95</v>
      </c>
      <c r="N430" s="616">
        <v>11.74</v>
      </c>
      <c r="O430" s="616">
        <v>108.31</v>
      </c>
    </row>
    <row r="431" spans="1:15" x14ac:dyDescent="0.3">
      <c r="A431" s="615">
        <v>39759</v>
      </c>
      <c r="B431" s="614" t="s">
        <v>1866</v>
      </c>
      <c r="C431" s="614" t="s">
        <v>201</v>
      </c>
      <c r="D431" s="614" t="s">
        <v>369</v>
      </c>
      <c r="E431" s="614">
        <v>50</v>
      </c>
      <c r="F431" s="629">
        <v>77.05</v>
      </c>
      <c r="G431" s="629">
        <v>3852.5</v>
      </c>
      <c r="H431" s="614" t="s">
        <v>1950</v>
      </c>
      <c r="I431" s="616">
        <v>0.65</v>
      </c>
      <c r="J431" s="616">
        <v>1.93</v>
      </c>
      <c r="K431" s="616">
        <v>0.08</v>
      </c>
      <c r="L431" s="616">
        <v>0.01</v>
      </c>
      <c r="M431" s="616">
        <v>0</v>
      </c>
      <c r="N431" s="616">
        <v>0</v>
      </c>
      <c r="O431" s="616">
        <v>2.67</v>
      </c>
    </row>
    <row r="432" spans="1:15" x14ac:dyDescent="0.3">
      <c r="A432" s="615">
        <v>39759</v>
      </c>
      <c r="B432" s="614" t="s">
        <v>1930</v>
      </c>
      <c r="C432" s="614" t="s">
        <v>201</v>
      </c>
      <c r="D432" s="614" t="s">
        <v>369</v>
      </c>
      <c r="E432" s="614">
        <v>1000</v>
      </c>
      <c r="F432" s="629">
        <v>5.0999999999999996</v>
      </c>
      <c r="G432" s="629">
        <v>5100</v>
      </c>
      <c r="H432" s="614" t="s">
        <v>1974</v>
      </c>
      <c r="I432" s="616">
        <v>0.87</v>
      </c>
      <c r="J432" s="616">
        <v>2.54</v>
      </c>
      <c r="K432" s="616">
        <v>0.1</v>
      </c>
      <c r="L432" s="616">
        <v>0.01</v>
      </c>
      <c r="M432" s="616">
        <v>95</v>
      </c>
      <c r="N432" s="616">
        <v>11.74</v>
      </c>
      <c r="O432" s="616">
        <v>110.26</v>
      </c>
    </row>
    <row r="433" spans="1:15" x14ac:dyDescent="0.3">
      <c r="A433" s="615">
        <v>39757</v>
      </c>
      <c r="B433" s="614" t="s">
        <v>1843</v>
      </c>
      <c r="C433" s="614" t="s">
        <v>201</v>
      </c>
      <c r="D433" s="614" t="s">
        <v>369</v>
      </c>
      <c r="E433" s="614">
        <v>400</v>
      </c>
      <c r="F433" s="629">
        <v>8</v>
      </c>
      <c r="G433" s="629">
        <v>3200</v>
      </c>
      <c r="H433" s="614" t="s">
        <v>1946</v>
      </c>
      <c r="I433" s="616">
        <v>0.54</v>
      </c>
      <c r="J433" s="616">
        <v>1.6</v>
      </c>
      <c r="K433" s="616">
        <v>0.06</v>
      </c>
      <c r="L433" s="616">
        <v>0.01</v>
      </c>
      <c r="M433" s="616">
        <v>95</v>
      </c>
      <c r="N433" s="616">
        <v>11.74</v>
      </c>
      <c r="O433" s="616">
        <v>108.95</v>
      </c>
    </row>
    <row r="434" spans="1:15" x14ac:dyDescent="0.3">
      <c r="A434" s="615">
        <v>39757</v>
      </c>
      <c r="B434" s="614" t="s">
        <v>1868</v>
      </c>
      <c r="C434" s="614" t="s">
        <v>201</v>
      </c>
      <c r="D434" s="614" t="s">
        <v>369</v>
      </c>
      <c r="E434" s="614">
        <v>50</v>
      </c>
      <c r="F434" s="629">
        <v>54</v>
      </c>
      <c r="G434" s="629">
        <v>2700</v>
      </c>
      <c r="H434" s="614" t="s">
        <v>1949</v>
      </c>
      <c r="I434" s="616">
        <v>0.46</v>
      </c>
      <c r="J434" s="616">
        <v>1.35</v>
      </c>
      <c r="K434" s="616">
        <v>0.05</v>
      </c>
      <c r="L434" s="616">
        <v>0.01</v>
      </c>
      <c r="M434" s="616">
        <v>0</v>
      </c>
      <c r="N434" s="616">
        <v>0</v>
      </c>
      <c r="O434" s="616">
        <v>1.87</v>
      </c>
    </row>
    <row r="435" spans="1:15" x14ac:dyDescent="0.3">
      <c r="A435" s="615">
        <v>39755</v>
      </c>
      <c r="B435" s="614" t="s">
        <v>1866</v>
      </c>
      <c r="C435" s="614" t="s">
        <v>201</v>
      </c>
      <c r="D435" s="614" t="s">
        <v>369</v>
      </c>
      <c r="E435" s="614">
        <v>50</v>
      </c>
      <c r="F435" s="629">
        <v>87.9</v>
      </c>
      <c r="G435" s="629">
        <v>4395</v>
      </c>
      <c r="H435" s="614" t="s">
        <v>1948</v>
      </c>
      <c r="I435" s="616">
        <v>0.75</v>
      </c>
      <c r="J435" s="616">
        <v>2.2000000000000002</v>
      </c>
      <c r="K435" s="616">
        <v>0.09</v>
      </c>
      <c r="L435" s="616">
        <v>0.01</v>
      </c>
      <c r="M435" s="616">
        <v>95</v>
      </c>
      <c r="N435" s="616">
        <v>11.74</v>
      </c>
      <c r="O435" s="616">
        <v>109.79</v>
      </c>
    </row>
    <row r="436" spans="1:15" x14ac:dyDescent="0.3">
      <c r="A436" s="615">
        <v>39549</v>
      </c>
      <c r="B436" s="614" t="s">
        <v>1837</v>
      </c>
      <c r="C436" s="614" t="s">
        <v>201</v>
      </c>
      <c r="D436" s="614" t="s">
        <v>369</v>
      </c>
      <c r="E436" s="614">
        <v>400</v>
      </c>
      <c r="F436" s="629">
        <v>5.2</v>
      </c>
      <c r="G436" s="629">
        <v>2080</v>
      </c>
      <c r="H436" s="614" t="s">
        <v>1945</v>
      </c>
      <c r="I436" s="616">
        <v>0</v>
      </c>
      <c r="J436" s="616">
        <v>0</v>
      </c>
      <c r="K436" s="616">
        <v>0</v>
      </c>
      <c r="L436" s="616">
        <v>0</v>
      </c>
      <c r="M436" s="616">
        <v>154.69</v>
      </c>
      <c r="N436" s="616">
        <v>0</v>
      </c>
      <c r="O436" s="616">
        <v>154.69</v>
      </c>
    </row>
    <row r="437" spans="1:15" x14ac:dyDescent="0.3">
      <c r="A437" s="615">
        <v>39374</v>
      </c>
      <c r="B437" s="614" t="s">
        <v>2449</v>
      </c>
      <c r="C437" s="614" t="s">
        <v>201</v>
      </c>
      <c r="D437" s="614" t="s">
        <v>369</v>
      </c>
      <c r="E437" s="614">
        <v>400</v>
      </c>
      <c r="F437" s="629">
        <v>16</v>
      </c>
      <c r="G437" s="629">
        <v>6400</v>
      </c>
      <c r="H437" s="614" t="s">
        <v>1411</v>
      </c>
      <c r="I437" s="616">
        <v>0</v>
      </c>
      <c r="J437" s="616">
        <v>0</v>
      </c>
      <c r="K437" s="616">
        <v>0</v>
      </c>
      <c r="L437" s="616">
        <v>0</v>
      </c>
      <c r="M437" s="616">
        <v>127.16</v>
      </c>
      <c r="N437" s="616">
        <v>0</v>
      </c>
      <c r="O437" s="616">
        <v>127.16</v>
      </c>
    </row>
    <row r="438" spans="1:15" x14ac:dyDescent="0.3">
      <c r="A438" s="615">
        <v>39318</v>
      </c>
      <c r="B438" s="614" t="s">
        <v>2444</v>
      </c>
      <c r="C438" s="614" t="s">
        <v>201</v>
      </c>
      <c r="D438" s="614" t="s">
        <v>369</v>
      </c>
      <c r="E438" s="614">
        <v>800</v>
      </c>
      <c r="F438" s="629">
        <v>4.0999999999999996</v>
      </c>
      <c r="G438" s="629">
        <v>3280</v>
      </c>
      <c r="H438" s="614" t="s">
        <v>1410</v>
      </c>
      <c r="I438" s="616">
        <v>0</v>
      </c>
      <c r="J438" s="616">
        <v>0</v>
      </c>
      <c r="K438" s="616">
        <v>0</v>
      </c>
      <c r="L438" s="616">
        <v>0</v>
      </c>
      <c r="M438" s="616">
        <v>292.92</v>
      </c>
      <c r="N438" s="616">
        <v>0</v>
      </c>
      <c r="O438" s="616">
        <v>292.92</v>
      </c>
    </row>
    <row r="439" spans="1:15" x14ac:dyDescent="0.3">
      <c r="A439" s="615">
        <v>39318</v>
      </c>
      <c r="B439" s="614" t="s">
        <v>2447</v>
      </c>
      <c r="C439" s="614" t="s">
        <v>201</v>
      </c>
      <c r="D439" s="614" t="s">
        <v>369</v>
      </c>
      <c r="E439" s="614">
        <v>400</v>
      </c>
      <c r="F439" s="629">
        <v>1.55</v>
      </c>
      <c r="G439" s="629">
        <v>620</v>
      </c>
      <c r="H439" s="614" t="s">
        <v>1409</v>
      </c>
      <c r="I439" s="616">
        <v>0</v>
      </c>
      <c r="J439" s="616">
        <v>0</v>
      </c>
      <c r="K439" s="616">
        <v>0</v>
      </c>
      <c r="L439" s="616">
        <v>0</v>
      </c>
      <c r="M439" s="616">
        <v>149.01</v>
      </c>
      <c r="N439" s="616">
        <v>0</v>
      </c>
      <c r="O439" s="616">
        <v>149.01</v>
      </c>
    </row>
    <row r="440" spans="1:15" x14ac:dyDescent="0.3">
      <c r="A440" s="615">
        <v>39294</v>
      </c>
      <c r="B440" s="614" t="s">
        <v>2442</v>
      </c>
      <c r="C440" s="614" t="s">
        <v>201</v>
      </c>
      <c r="D440" s="614" t="s">
        <v>369</v>
      </c>
      <c r="E440" s="614">
        <v>400</v>
      </c>
      <c r="F440" s="629">
        <v>36</v>
      </c>
      <c r="G440" s="629">
        <v>14400</v>
      </c>
      <c r="H440" s="614" t="s">
        <v>1408</v>
      </c>
      <c r="I440" s="616">
        <v>0</v>
      </c>
      <c r="J440" s="616">
        <v>0</v>
      </c>
      <c r="K440" s="616">
        <v>0</v>
      </c>
      <c r="L440" s="616">
        <v>0</v>
      </c>
      <c r="M440" s="616">
        <v>149.99</v>
      </c>
      <c r="N440" s="616">
        <v>0</v>
      </c>
      <c r="O440" s="616">
        <v>149.99</v>
      </c>
    </row>
    <row r="441" spans="1:15" x14ac:dyDescent="0.3">
      <c r="A441" s="615">
        <v>39288</v>
      </c>
      <c r="B441" s="614" t="s">
        <v>2435</v>
      </c>
      <c r="C441" s="614" t="s">
        <v>201</v>
      </c>
      <c r="D441" s="614" t="s">
        <v>369</v>
      </c>
      <c r="E441" s="614">
        <v>400</v>
      </c>
      <c r="F441" s="629">
        <v>20.9</v>
      </c>
      <c r="G441" s="629">
        <v>8360</v>
      </c>
      <c r="H441" s="614" t="s">
        <v>1407</v>
      </c>
      <c r="I441" s="616">
        <v>0</v>
      </c>
      <c r="J441" s="616">
        <v>0</v>
      </c>
      <c r="K441" s="616">
        <v>0</v>
      </c>
      <c r="L441" s="616">
        <v>0</v>
      </c>
      <c r="M441" s="616">
        <v>150.32</v>
      </c>
      <c r="N441" s="616">
        <v>0</v>
      </c>
      <c r="O441" s="616">
        <v>150.32</v>
      </c>
    </row>
    <row r="442" spans="1:15" x14ac:dyDescent="0.3">
      <c r="A442" s="615">
        <v>39288</v>
      </c>
      <c r="B442" s="614" t="s">
        <v>2435</v>
      </c>
      <c r="C442" s="614" t="s">
        <v>201</v>
      </c>
      <c r="D442" s="614" t="s">
        <v>369</v>
      </c>
      <c r="E442" s="614">
        <v>400</v>
      </c>
      <c r="F442" s="629">
        <v>22</v>
      </c>
      <c r="G442" s="629">
        <v>8800</v>
      </c>
      <c r="H442" s="614" t="s">
        <v>1406</v>
      </c>
      <c r="I442" s="616">
        <v>0</v>
      </c>
      <c r="J442" s="616">
        <v>0</v>
      </c>
      <c r="K442" s="616">
        <v>0</v>
      </c>
      <c r="L442" s="616">
        <v>0</v>
      </c>
      <c r="M442" s="616">
        <v>150.4</v>
      </c>
      <c r="N442" s="616">
        <v>0</v>
      </c>
      <c r="O442" s="616">
        <v>150.4</v>
      </c>
    </row>
    <row r="443" spans="1:15" x14ac:dyDescent="0.3">
      <c r="A443" s="615">
        <v>39288</v>
      </c>
      <c r="B443" s="614" t="s">
        <v>2435</v>
      </c>
      <c r="C443" s="614" t="s">
        <v>201</v>
      </c>
      <c r="D443" s="614" t="s">
        <v>369</v>
      </c>
      <c r="E443" s="614">
        <v>400</v>
      </c>
      <c r="F443" s="629">
        <v>22</v>
      </c>
      <c r="G443" s="629">
        <v>8800</v>
      </c>
      <c r="H443" s="614" t="s">
        <v>1405</v>
      </c>
      <c r="I443" s="616">
        <v>0</v>
      </c>
      <c r="J443" s="616">
        <v>0</v>
      </c>
      <c r="K443" s="616">
        <v>0</v>
      </c>
      <c r="L443" s="616">
        <v>0</v>
      </c>
      <c r="M443" s="616">
        <v>150.4</v>
      </c>
      <c r="N443" s="616">
        <v>0</v>
      </c>
      <c r="O443" s="616">
        <v>150.4</v>
      </c>
    </row>
    <row r="444" spans="1:15" x14ac:dyDescent="0.3">
      <c r="A444" s="615">
        <v>39283</v>
      </c>
      <c r="B444" s="614" t="s">
        <v>2437</v>
      </c>
      <c r="C444" s="614" t="s">
        <v>201</v>
      </c>
      <c r="D444" s="614" t="s">
        <v>369</v>
      </c>
      <c r="E444" s="614">
        <v>400</v>
      </c>
      <c r="F444" s="629">
        <v>8.15</v>
      </c>
      <c r="G444" s="629">
        <v>3260</v>
      </c>
      <c r="H444" s="614" t="s">
        <v>1404</v>
      </c>
      <c r="I444" s="616">
        <v>0</v>
      </c>
      <c r="J444" s="616">
        <v>0</v>
      </c>
      <c r="K444" s="616">
        <v>0</v>
      </c>
      <c r="L444" s="616">
        <v>0</v>
      </c>
      <c r="M444" s="616">
        <v>150.81</v>
      </c>
      <c r="N444" s="616">
        <v>0</v>
      </c>
      <c r="O444" s="616">
        <v>150.81</v>
      </c>
    </row>
    <row r="445" spans="1:15" x14ac:dyDescent="0.3">
      <c r="A445" s="615">
        <v>39283</v>
      </c>
      <c r="B445" s="614" t="s">
        <v>2437</v>
      </c>
      <c r="C445" s="614" t="s">
        <v>201</v>
      </c>
      <c r="D445" s="614" t="s">
        <v>369</v>
      </c>
      <c r="E445" s="614">
        <v>400</v>
      </c>
      <c r="F445" s="629">
        <v>8.1</v>
      </c>
      <c r="G445" s="629">
        <v>3240</v>
      </c>
      <c r="H445" s="614" t="s">
        <v>1403</v>
      </c>
      <c r="I445" s="616">
        <v>0</v>
      </c>
      <c r="J445" s="616">
        <v>0</v>
      </c>
      <c r="K445" s="616">
        <v>0</v>
      </c>
      <c r="L445" s="616">
        <v>0</v>
      </c>
      <c r="M445" s="616">
        <v>150.81</v>
      </c>
      <c r="N445" s="616">
        <v>0</v>
      </c>
      <c r="O445" s="616">
        <v>150.81</v>
      </c>
    </row>
    <row r="446" spans="1:15" x14ac:dyDescent="0.3">
      <c r="A446" s="615">
        <v>39282</v>
      </c>
      <c r="B446" s="614" t="s">
        <v>2389</v>
      </c>
      <c r="C446" s="614" t="s">
        <v>201</v>
      </c>
      <c r="D446" s="614" t="s">
        <v>369</v>
      </c>
      <c r="E446" s="614">
        <v>400</v>
      </c>
      <c r="F446" s="629">
        <v>48.4</v>
      </c>
      <c r="G446" s="629">
        <v>19360</v>
      </c>
      <c r="H446" s="614" t="s">
        <v>1402</v>
      </c>
      <c r="I446" s="616">
        <v>0</v>
      </c>
      <c r="J446" s="616">
        <v>0</v>
      </c>
      <c r="K446" s="616">
        <v>0</v>
      </c>
      <c r="L446" s="616">
        <v>0</v>
      </c>
      <c r="M446" s="616">
        <v>150.83000000000001</v>
      </c>
      <c r="N446" s="616">
        <v>0</v>
      </c>
      <c r="O446" s="616">
        <v>150.83000000000001</v>
      </c>
    </row>
    <row r="447" spans="1:15" x14ac:dyDescent="0.3">
      <c r="A447" s="615">
        <v>39282</v>
      </c>
      <c r="B447" s="614" t="s">
        <v>2435</v>
      </c>
      <c r="C447" s="614" t="s">
        <v>201</v>
      </c>
      <c r="D447" s="614" t="s">
        <v>369</v>
      </c>
      <c r="E447" s="614">
        <v>800</v>
      </c>
      <c r="F447" s="629">
        <v>31.8</v>
      </c>
      <c r="G447" s="629">
        <v>25440</v>
      </c>
      <c r="H447" s="614" t="s">
        <v>1401</v>
      </c>
      <c r="I447" s="616">
        <v>0</v>
      </c>
      <c r="J447" s="616">
        <v>0</v>
      </c>
      <c r="K447" s="616">
        <v>0</v>
      </c>
      <c r="L447" s="616">
        <v>0</v>
      </c>
      <c r="M447" s="616">
        <v>88.64</v>
      </c>
      <c r="N447" s="616">
        <v>0</v>
      </c>
      <c r="O447" s="616">
        <v>88.64</v>
      </c>
    </row>
    <row r="448" spans="1:15" x14ac:dyDescent="0.3">
      <c r="A448" s="615">
        <v>39281</v>
      </c>
      <c r="B448" s="614" t="s">
        <v>2385</v>
      </c>
      <c r="C448" s="614" t="s">
        <v>201</v>
      </c>
      <c r="D448" s="614" t="s">
        <v>369</v>
      </c>
      <c r="E448" s="614">
        <v>1200</v>
      </c>
      <c r="F448" s="629">
        <v>49.8</v>
      </c>
      <c r="G448" s="629">
        <v>59760</v>
      </c>
      <c r="H448" s="614" t="s">
        <v>1400</v>
      </c>
      <c r="I448" s="616">
        <v>0</v>
      </c>
      <c r="J448" s="616">
        <v>0</v>
      </c>
      <c r="K448" s="616">
        <v>0</v>
      </c>
      <c r="L448" s="616">
        <v>0</v>
      </c>
      <c r="M448" s="616">
        <v>448.71</v>
      </c>
      <c r="N448" s="616">
        <v>0</v>
      </c>
      <c r="O448" s="616">
        <v>448.71</v>
      </c>
    </row>
    <row r="449" spans="1:15" x14ac:dyDescent="0.3">
      <c r="A449" s="615">
        <v>39279</v>
      </c>
      <c r="B449" s="614" t="s">
        <v>2789</v>
      </c>
      <c r="C449" s="614" t="s">
        <v>201</v>
      </c>
      <c r="D449" s="614" t="s">
        <v>369</v>
      </c>
      <c r="E449" s="614">
        <v>3350</v>
      </c>
      <c r="F449" s="629">
        <v>0.35</v>
      </c>
      <c r="G449" s="629">
        <v>1172.5</v>
      </c>
      <c r="H449" s="614" t="s">
        <v>120</v>
      </c>
      <c r="I449" s="616">
        <v>0</v>
      </c>
      <c r="J449" s="616">
        <v>0</v>
      </c>
      <c r="K449" s="616">
        <v>0</v>
      </c>
      <c r="L449" s="616">
        <v>0</v>
      </c>
      <c r="M449" s="616">
        <v>163.89</v>
      </c>
      <c r="N449" s="616">
        <v>0</v>
      </c>
      <c r="O449" s="616">
        <v>163.89</v>
      </c>
    </row>
    <row r="450" spans="1:15" x14ac:dyDescent="0.3">
      <c r="A450" s="615">
        <v>39275</v>
      </c>
      <c r="B450" s="614" t="s">
        <v>2456</v>
      </c>
      <c r="C450" s="614" t="s">
        <v>201</v>
      </c>
      <c r="D450" s="614" t="s">
        <v>369</v>
      </c>
      <c r="E450" s="614">
        <v>5400</v>
      </c>
      <c r="F450" s="629">
        <v>5.0999999999999996</v>
      </c>
      <c r="G450" s="629">
        <v>27540</v>
      </c>
      <c r="H450" s="614" t="s">
        <v>1414</v>
      </c>
      <c r="I450" s="616">
        <v>0</v>
      </c>
      <c r="J450" s="616">
        <v>0</v>
      </c>
      <c r="K450" s="616">
        <v>0</v>
      </c>
      <c r="L450" s="616">
        <v>0</v>
      </c>
      <c r="M450" s="616">
        <v>328.32</v>
      </c>
      <c r="N450" s="616">
        <v>0</v>
      </c>
      <c r="O450" s="616">
        <v>328.32</v>
      </c>
    </row>
    <row r="451" spans="1:15" x14ac:dyDescent="0.3">
      <c r="A451" s="615">
        <v>39274</v>
      </c>
      <c r="B451" s="614" t="s">
        <v>2773</v>
      </c>
      <c r="C451" s="614" t="s">
        <v>201</v>
      </c>
      <c r="D451" s="614" t="s">
        <v>369</v>
      </c>
      <c r="E451" s="614">
        <v>100</v>
      </c>
      <c r="F451" s="629">
        <v>82.8</v>
      </c>
      <c r="G451" s="629">
        <v>8280</v>
      </c>
      <c r="H451" s="614" t="s">
        <v>110</v>
      </c>
      <c r="I451" s="616">
        <v>0</v>
      </c>
      <c r="J451" s="616">
        <v>0</v>
      </c>
      <c r="K451" s="616">
        <v>0</v>
      </c>
      <c r="L451" s="616">
        <v>0</v>
      </c>
      <c r="M451" s="616">
        <v>289.69</v>
      </c>
      <c r="N451" s="616">
        <v>0</v>
      </c>
      <c r="O451" s="616">
        <v>289.69</v>
      </c>
    </row>
    <row r="452" spans="1:15" x14ac:dyDescent="0.3">
      <c r="A452" s="615">
        <v>39273</v>
      </c>
      <c r="B452" s="614" t="s">
        <v>2453</v>
      </c>
      <c r="C452" s="614" t="s">
        <v>201</v>
      </c>
      <c r="D452" s="614" t="s">
        <v>369</v>
      </c>
      <c r="E452" s="614">
        <v>2700</v>
      </c>
      <c r="F452" s="629">
        <v>3.8</v>
      </c>
      <c r="G452" s="629">
        <v>10260</v>
      </c>
      <c r="H452" s="614" t="s">
        <v>1413</v>
      </c>
      <c r="I452" s="616">
        <v>0</v>
      </c>
      <c r="J452" s="616">
        <v>0</v>
      </c>
      <c r="K452" s="616">
        <v>0</v>
      </c>
      <c r="L452" s="616">
        <v>0</v>
      </c>
      <c r="M452" s="616">
        <v>163.56</v>
      </c>
      <c r="N452" s="616">
        <v>0</v>
      </c>
      <c r="O452" s="616">
        <v>163.56</v>
      </c>
    </row>
    <row r="453" spans="1:15" x14ac:dyDescent="0.3">
      <c r="A453" s="615">
        <v>39269</v>
      </c>
      <c r="B453" s="614" t="s">
        <v>75</v>
      </c>
      <c r="C453" s="614" t="s">
        <v>201</v>
      </c>
      <c r="D453" s="614" t="s">
        <v>369</v>
      </c>
      <c r="E453" s="614">
        <v>6700</v>
      </c>
      <c r="F453" s="629">
        <v>3.25</v>
      </c>
      <c r="G453" s="629">
        <v>21775</v>
      </c>
      <c r="H453" s="614" t="s">
        <v>114</v>
      </c>
      <c r="I453" s="616">
        <v>0</v>
      </c>
      <c r="J453" s="616">
        <v>0</v>
      </c>
      <c r="K453" s="616">
        <v>0</v>
      </c>
      <c r="L453" s="616">
        <v>0</v>
      </c>
      <c r="M453" s="616">
        <v>353.86</v>
      </c>
      <c r="N453" s="616">
        <v>0</v>
      </c>
      <c r="O453" s="616">
        <v>353.86</v>
      </c>
    </row>
    <row r="454" spans="1:15" x14ac:dyDescent="0.3">
      <c r="A454" s="615">
        <v>39269</v>
      </c>
      <c r="B454" s="614" t="s">
        <v>2380</v>
      </c>
      <c r="C454" s="614" t="s">
        <v>201</v>
      </c>
      <c r="D454" s="614" t="s">
        <v>369</v>
      </c>
      <c r="E454" s="614">
        <v>800</v>
      </c>
      <c r="F454" s="629">
        <v>49</v>
      </c>
      <c r="G454" s="629">
        <v>39200</v>
      </c>
      <c r="H454" s="614" t="s">
        <v>1399</v>
      </c>
      <c r="I454" s="616">
        <v>0</v>
      </c>
      <c r="J454" s="616">
        <v>0</v>
      </c>
      <c r="K454" s="616">
        <v>0</v>
      </c>
      <c r="L454" s="616">
        <v>0</v>
      </c>
      <c r="M454" s="616">
        <v>293.58</v>
      </c>
      <c r="N454" s="616">
        <v>0</v>
      </c>
      <c r="O454" s="616">
        <v>293.58</v>
      </c>
    </row>
    <row r="455" spans="1:15" x14ac:dyDescent="0.3">
      <c r="A455" s="615">
        <v>39268</v>
      </c>
      <c r="B455" s="614" t="s">
        <v>2380</v>
      </c>
      <c r="C455" s="614" t="s">
        <v>201</v>
      </c>
      <c r="D455" s="614" t="s">
        <v>369</v>
      </c>
      <c r="E455" s="614">
        <v>400</v>
      </c>
      <c r="F455" s="629">
        <v>40</v>
      </c>
      <c r="G455" s="629">
        <v>16000</v>
      </c>
      <c r="H455" s="614" t="s">
        <v>1398</v>
      </c>
      <c r="I455" s="616">
        <v>0</v>
      </c>
      <c r="J455" s="616">
        <v>0</v>
      </c>
      <c r="K455" s="616">
        <v>0</v>
      </c>
      <c r="L455" s="616">
        <v>0</v>
      </c>
      <c r="M455" s="616">
        <v>39.44</v>
      </c>
      <c r="N455" s="616">
        <v>0</v>
      </c>
      <c r="O455" s="616">
        <v>39.44</v>
      </c>
    </row>
    <row r="456" spans="1:15" x14ac:dyDescent="0.3">
      <c r="A456" s="615">
        <v>39266</v>
      </c>
      <c r="B456" s="614" t="s">
        <v>2453</v>
      </c>
      <c r="C456" s="614" t="s">
        <v>201</v>
      </c>
      <c r="D456" s="614" t="s">
        <v>369</v>
      </c>
      <c r="E456" s="614">
        <v>2700</v>
      </c>
      <c r="F456" s="629">
        <v>2.15</v>
      </c>
      <c r="G456" s="629">
        <v>5805</v>
      </c>
      <c r="H456" s="614" t="s">
        <v>1412</v>
      </c>
      <c r="I456" s="616">
        <v>0</v>
      </c>
      <c r="J456" s="616">
        <v>0</v>
      </c>
      <c r="K456" s="616">
        <v>0</v>
      </c>
      <c r="L456" s="616">
        <v>0</v>
      </c>
      <c r="M456" s="616">
        <v>162.81</v>
      </c>
      <c r="N456" s="616">
        <v>0</v>
      </c>
      <c r="O456" s="616">
        <v>162.81</v>
      </c>
    </row>
    <row r="457" spans="1:15" x14ac:dyDescent="0.3">
      <c r="A457" s="615">
        <v>39262</v>
      </c>
      <c r="B457" s="614" t="s">
        <v>2771</v>
      </c>
      <c r="C457" s="614" t="s">
        <v>201</v>
      </c>
      <c r="D457" s="614" t="s">
        <v>369</v>
      </c>
      <c r="E457" s="614">
        <v>100</v>
      </c>
      <c r="F457" s="629">
        <v>72.5</v>
      </c>
      <c r="G457" s="629">
        <v>7250</v>
      </c>
      <c r="H457" s="614" t="s">
        <v>109</v>
      </c>
      <c r="I457" s="616">
        <v>0</v>
      </c>
      <c r="J457" s="616">
        <v>0</v>
      </c>
      <c r="K457" s="616">
        <v>0</v>
      </c>
      <c r="L457" s="616">
        <v>0</v>
      </c>
      <c r="M457" s="616">
        <v>286.12</v>
      </c>
      <c r="N457" s="616">
        <v>0</v>
      </c>
      <c r="O457" s="616">
        <v>286.12</v>
      </c>
    </row>
    <row r="458" spans="1:15" x14ac:dyDescent="0.3">
      <c r="A458" s="615">
        <v>39247</v>
      </c>
      <c r="B458" s="614" t="s">
        <v>2461</v>
      </c>
      <c r="C458" s="614" t="s">
        <v>201</v>
      </c>
      <c r="D458" s="614" t="s">
        <v>369</v>
      </c>
      <c r="E458" s="614">
        <v>200</v>
      </c>
      <c r="F458" s="629">
        <v>76</v>
      </c>
      <c r="G458" s="629">
        <v>15200</v>
      </c>
      <c r="H458" s="614" t="s">
        <v>108</v>
      </c>
      <c r="I458" s="616">
        <v>0</v>
      </c>
      <c r="J458" s="616">
        <v>0</v>
      </c>
      <c r="K458" s="616">
        <v>0</v>
      </c>
      <c r="L458" s="616">
        <v>0</v>
      </c>
      <c r="M458" s="616">
        <v>570.64</v>
      </c>
      <c r="N458" s="616">
        <v>0</v>
      </c>
      <c r="O458" s="616">
        <v>570.64</v>
      </c>
    </row>
    <row r="459" spans="1:15" x14ac:dyDescent="0.3">
      <c r="A459" s="615">
        <v>39239</v>
      </c>
      <c r="B459" s="614" t="s">
        <v>2786</v>
      </c>
      <c r="C459" s="614" t="s">
        <v>201</v>
      </c>
      <c r="D459" s="614" t="s">
        <v>369</v>
      </c>
      <c r="E459" s="614">
        <v>3350</v>
      </c>
      <c r="F459" s="629">
        <v>1</v>
      </c>
      <c r="G459" s="629">
        <v>3350</v>
      </c>
      <c r="H459" s="614" t="s">
        <v>113</v>
      </c>
      <c r="I459" s="616">
        <v>0</v>
      </c>
      <c r="J459" s="616">
        <v>0</v>
      </c>
      <c r="K459" s="616">
        <v>0</v>
      </c>
      <c r="L459" s="616">
        <v>0</v>
      </c>
      <c r="M459" s="616">
        <v>158.56</v>
      </c>
      <c r="N459" s="616">
        <v>0</v>
      </c>
      <c r="O459" s="616">
        <v>158.56</v>
      </c>
    </row>
    <row r="460" spans="1:15" x14ac:dyDescent="0.3">
      <c r="A460" s="615">
        <v>39239</v>
      </c>
      <c r="B460" s="614" t="s">
        <v>2786</v>
      </c>
      <c r="C460" s="614" t="s">
        <v>201</v>
      </c>
      <c r="D460" s="614" t="s">
        <v>369</v>
      </c>
      <c r="E460" s="614">
        <v>3350</v>
      </c>
      <c r="F460" s="629">
        <v>0.9</v>
      </c>
      <c r="G460" s="629">
        <v>3015</v>
      </c>
      <c r="H460" s="614" t="s">
        <v>112</v>
      </c>
      <c r="I460" s="616">
        <v>0</v>
      </c>
      <c r="J460" s="616">
        <v>0</v>
      </c>
      <c r="K460" s="616">
        <v>0</v>
      </c>
      <c r="L460" s="616">
        <v>0</v>
      </c>
      <c r="M460" s="616">
        <v>158.51</v>
      </c>
      <c r="N460" s="616">
        <v>0</v>
      </c>
      <c r="O460" s="616">
        <v>158.51</v>
      </c>
    </row>
    <row r="461" spans="1:15" x14ac:dyDescent="0.3">
      <c r="A461" s="615">
        <v>39239</v>
      </c>
      <c r="B461" s="614" t="s">
        <v>2783</v>
      </c>
      <c r="C461" s="614" t="s">
        <v>201</v>
      </c>
      <c r="D461" s="614" t="s">
        <v>369</v>
      </c>
      <c r="E461" s="614">
        <v>450</v>
      </c>
      <c r="F461" s="629">
        <v>54</v>
      </c>
      <c r="G461" s="629">
        <v>24300</v>
      </c>
      <c r="H461" s="614" t="s">
        <v>111</v>
      </c>
      <c r="I461" s="616">
        <v>0</v>
      </c>
      <c r="J461" s="616">
        <v>0</v>
      </c>
      <c r="K461" s="616">
        <v>0</v>
      </c>
      <c r="L461" s="616">
        <v>0</v>
      </c>
      <c r="M461" s="616">
        <v>455.16</v>
      </c>
      <c r="N461" s="616">
        <v>0</v>
      </c>
      <c r="O461" s="616">
        <v>455.16</v>
      </c>
    </row>
    <row r="462" spans="1:15" x14ac:dyDescent="0.3">
      <c r="A462" s="615">
        <v>39219</v>
      </c>
      <c r="B462" s="614" t="s">
        <v>2459</v>
      </c>
      <c r="C462" s="614" t="s">
        <v>201</v>
      </c>
      <c r="D462" s="614" t="s">
        <v>369</v>
      </c>
      <c r="E462" s="614">
        <v>100</v>
      </c>
      <c r="F462" s="629">
        <v>38</v>
      </c>
      <c r="G462" s="629">
        <v>3800</v>
      </c>
      <c r="H462" s="614" t="s">
        <v>107</v>
      </c>
      <c r="I462" s="616">
        <v>0</v>
      </c>
      <c r="J462" s="616">
        <v>0</v>
      </c>
      <c r="K462" s="616">
        <v>0</v>
      </c>
      <c r="L462" s="616">
        <v>0</v>
      </c>
      <c r="M462" s="616">
        <v>147.18</v>
      </c>
      <c r="N462" s="616">
        <v>0</v>
      </c>
      <c r="O462" s="616">
        <v>147.18</v>
      </c>
    </row>
    <row r="464" spans="1:15" s="613" customFormat="1" ht="42.75" customHeight="1" x14ac:dyDescent="0.3">
      <c r="A464" s="617" t="s">
        <v>4027</v>
      </c>
      <c r="B464" s="617" t="s">
        <v>468</v>
      </c>
      <c r="C464" s="617" t="s">
        <v>3450</v>
      </c>
      <c r="D464" s="617" t="s">
        <v>3736</v>
      </c>
      <c r="E464" s="634" t="s">
        <v>3734</v>
      </c>
      <c r="F464" s="617" t="s">
        <v>4029</v>
      </c>
      <c r="G464" s="635" t="s">
        <v>470</v>
      </c>
      <c r="H464" s="617" t="s">
        <v>4028</v>
      </c>
      <c r="I464" s="618" t="s">
        <v>4030</v>
      </c>
      <c r="J464" s="618" t="s">
        <v>4031</v>
      </c>
      <c r="K464" s="618"/>
      <c r="L464" s="617"/>
      <c r="M464" s="617"/>
      <c r="N464" s="617"/>
      <c r="O464" s="618" t="s">
        <v>471</v>
      </c>
    </row>
    <row r="465" spans="1:15" x14ac:dyDescent="0.3">
      <c r="A465" s="615">
        <v>40542</v>
      </c>
      <c r="B465" s="614" t="s">
        <v>656</v>
      </c>
      <c r="C465" s="614" t="s">
        <v>201</v>
      </c>
      <c r="D465" s="614" t="s">
        <v>4033</v>
      </c>
      <c r="E465" s="614">
        <v>200</v>
      </c>
      <c r="F465" s="614">
        <v>6101.85</v>
      </c>
      <c r="G465" s="629">
        <v>370.00000000007276</v>
      </c>
      <c r="H465" s="614" t="s">
        <v>4032</v>
      </c>
      <c r="I465" s="616">
        <v>6100</v>
      </c>
      <c r="J465" s="616">
        <v>1.8500000000003638</v>
      </c>
      <c r="L465" s="614"/>
      <c r="M465" s="614"/>
      <c r="N465" s="614"/>
      <c r="O465" s="616">
        <v>1550.63</v>
      </c>
    </row>
    <row r="466" spans="1:15" x14ac:dyDescent="0.3">
      <c r="A466" s="615">
        <v>39961</v>
      </c>
      <c r="B466" s="614" t="s">
        <v>4034</v>
      </c>
      <c r="C466" s="614" t="s">
        <v>201</v>
      </c>
      <c r="D466" s="614" t="s">
        <v>4033</v>
      </c>
      <c r="E466" s="614">
        <v>1625</v>
      </c>
      <c r="F466" s="614">
        <v>207.8</v>
      </c>
      <c r="G466" s="629">
        <v>12675.000000000018</v>
      </c>
      <c r="H466" s="614" t="s">
        <v>4032</v>
      </c>
      <c r="I466" s="616">
        <v>200</v>
      </c>
      <c r="J466" s="616">
        <v>7.8000000000000114</v>
      </c>
      <c r="L466" s="614"/>
      <c r="M466" s="614"/>
      <c r="N466" s="614"/>
      <c r="O466" s="616">
        <v>534.30999999999995</v>
      </c>
    </row>
    <row r="467" spans="1:15" x14ac:dyDescent="0.3">
      <c r="A467" s="615">
        <v>41970</v>
      </c>
      <c r="B467" s="614" t="s">
        <v>3733</v>
      </c>
      <c r="C467" s="614" t="s">
        <v>201</v>
      </c>
      <c r="D467" s="614" t="s">
        <v>4033</v>
      </c>
      <c r="E467" s="614">
        <v>5000</v>
      </c>
      <c r="F467" s="614">
        <v>469.4</v>
      </c>
      <c r="G467" s="629">
        <v>3000.0000000001137</v>
      </c>
      <c r="H467" s="614" t="s">
        <v>4032</v>
      </c>
      <c r="I467" s="616">
        <v>470</v>
      </c>
      <c r="J467" s="616">
        <v>0.60000000000002274</v>
      </c>
      <c r="L467" s="614"/>
      <c r="M467" s="614"/>
      <c r="N467" s="614"/>
      <c r="O467" s="616">
        <v>3079.51</v>
      </c>
    </row>
    <row r="472" spans="1:15" x14ac:dyDescent="0.3">
      <c r="G472" s="630">
        <f>SUM(G302:G471)</f>
        <v>1460696.25</v>
      </c>
      <c r="O472" s="631">
        <f>SUM(O302:O471)</f>
        <v>38929.940000000017</v>
      </c>
    </row>
    <row r="476" spans="1:15" ht="15" thickBot="1" x14ac:dyDescent="0.35"/>
    <row r="477" spans="1:15" ht="15" thickBot="1" x14ac:dyDescent="0.35">
      <c r="F477" s="633" t="s">
        <v>659</v>
      </c>
      <c r="G477" s="632">
        <f>G472-O472</f>
        <v>1421766.31</v>
      </c>
    </row>
    <row r="478" spans="1:15" x14ac:dyDescent="0.3">
      <c r="G478" s="623"/>
    </row>
    <row r="479" spans="1:15" x14ac:dyDescent="0.3">
      <c r="G479" s="623"/>
    </row>
    <row r="480" spans="1:15" x14ac:dyDescent="0.3">
      <c r="F480" s="633" t="s">
        <v>4026</v>
      </c>
      <c r="G480" s="623">
        <f>G477-G285</f>
        <v>-372163.65999999992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2"/>
  </sheetPr>
  <dimension ref="A1:W717"/>
  <sheetViews>
    <sheetView zoomScaleNormal="100" workbookViewId="0">
      <selection activeCell="J26" sqref="J26"/>
    </sheetView>
  </sheetViews>
  <sheetFormatPr defaultColWidth="9.21875" defaultRowHeight="12.75" customHeight="1" x14ac:dyDescent="0.25"/>
  <cols>
    <col min="1" max="1" width="8.21875" style="224" customWidth="1"/>
    <col min="2" max="2" width="12.77734375" style="295" customWidth="1"/>
    <col min="3" max="3" width="12.77734375" style="536" customWidth="1"/>
    <col min="4" max="4" width="43.44140625" style="711" bestFit="1" customWidth="1"/>
    <col min="5" max="5" width="12.77734375" style="249" customWidth="1"/>
    <col min="6" max="9" width="12.77734375" style="299" customWidth="1"/>
    <col min="10" max="10" width="12.77734375" style="249" customWidth="1"/>
    <col min="11" max="19" width="12.77734375" style="299" customWidth="1"/>
    <col min="20" max="20" width="8.5546875" style="224" bestFit="1" customWidth="1"/>
    <col min="21" max="21" width="10.21875" style="224" bestFit="1" customWidth="1"/>
    <col min="22" max="16384" width="9.21875" style="224"/>
  </cols>
  <sheetData>
    <row r="1" spans="2:22" ht="13.2" x14ac:dyDescent="0.25">
      <c r="B1" s="752" t="s">
        <v>4576</v>
      </c>
      <c r="D1" s="776"/>
      <c r="F1" s="257"/>
      <c r="G1" s="257"/>
      <c r="H1" s="539"/>
      <c r="I1" s="257"/>
      <c r="J1" s="539"/>
      <c r="K1" s="257"/>
      <c r="L1" s="257"/>
      <c r="M1" s="257"/>
      <c r="N1" s="257"/>
      <c r="O1" s="257"/>
      <c r="P1" s="257"/>
      <c r="Q1" s="257"/>
      <c r="R1" s="257"/>
      <c r="S1" s="257"/>
    </row>
    <row r="2" spans="2:22" ht="13.2" x14ac:dyDescent="0.25">
      <c r="B2" s="752" t="s">
        <v>4601</v>
      </c>
      <c r="H2" s="249"/>
    </row>
    <row r="3" spans="2:22" ht="13.2" x14ac:dyDescent="0.25">
      <c r="B3" s="753" t="s">
        <v>4578</v>
      </c>
      <c r="D3" s="777"/>
      <c r="F3" s="568"/>
      <c r="G3" s="568"/>
      <c r="H3" s="540"/>
      <c r="I3" s="568"/>
      <c r="J3" s="540"/>
      <c r="K3" s="568"/>
      <c r="L3" s="568"/>
      <c r="M3" s="568"/>
      <c r="N3" s="568"/>
      <c r="O3" s="568"/>
      <c r="P3" s="568"/>
      <c r="Q3" s="568"/>
      <c r="R3" s="568"/>
      <c r="S3" s="568"/>
    </row>
    <row r="4" spans="2:22" ht="12.75" customHeight="1" x14ac:dyDescent="0.25">
      <c r="B4" s="753" t="s">
        <v>4579</v>
      </c>
      <c r="D4" s="778"/>
      <c r="F4" s="255"/>
      <c r="G4" s="60"/>
      <c r="H4" s="2"/>
      <c r="I4" s="255"/>
      <c r="J4" s="255"/>
      <c r="K4" s="60"/>
      <c r="L4" s="303"/>
      <c r="M4" s="60"/>
      <c r="V4" s="247"/>
    </row>
    <row r="5" spans="2:22" ht="12.75" customHeight="1" x14ac:dyDescent="0.25">
      <c r="B5" s="325"/>
      <c r="D5" s="778"/>
      <c r="F5" s="255"/>
      <c r="G5" s="60"/>
      <c r="H5" s="2"/>
      <c r="K5" s="60"/>
      <c r="L5" s="303"/>
      <c r="M5" s="60"/>
    </row>
    <row r="6" spans="2:22" ht="12.75" customHeight="1" x14ac:dyDescent="0.25">
      <c r="M6" s="60"/>
      <c r="O6" s="60"/>
      <c r="P6" s="60"/>
      <c r="Q6" s="60"/>
      <c r="R6" s="60"/>
    </row>
    <row r="7" spans="2:22" ht="12.75" customHeight="1" x14ac:dyDescent="0.25">
      <c r="H7" s="249"/>
      <c r="L7" s="249"/>
      <c r="M7" s="60"/>
      <c r="O7" s="60"/>
      <c r="P7" s="60"/>
      <c r="Q7" s="60"/>
      <c r="R7" s="60"/>
    </row>
    <row r="8" spans="2:22" ht="12.75" customHeight="1" x14ac:dyDescent="0.25">
      <c r="E8" s="281"/>
      <c r="F8" s="281" t="s">
        <v>538</v>
      </c>
      <c r="G8" s="281" t="s">
        <v>537</v>
      </c>
      <c r="I8" s="249"/>
      <c r="J8" s="60"/>
    </row>
    <row r="9" spans="2:22" ht="12.75" customHeight="1" x14ac:dyDescent="0.25">
      <c r="E9" s="281" t="s">
        <v>1046</v>
      </c>
      <c r="F9" s="281">
        <f>J454</f>
        <v>-459334.46999999974</v>
      </c>
      <c r="G9" s="281">
        <f>J52</f>
        <v>0</v>
      </c>
      <c r="I9" s="249"/>
      <c r="J9" s="60"/>
    </row>
    <row r="10" spans="2:22" ht="12.75" customHeight="1" x14ac:dyDescent="0.25">
      <c r="E10" s="281" t="s">
        <v>1140</v>
      </c>
      <c r="F10" s="281">
        <f>E565+E596+E651</f>
        <v>490.61000000000018</v>
      </c>
      <c r="G10" s="943">
        <v>0</v>
      </c>
      <c r="I10" s="249"/>
      <c r="J10" s="60"/>
    </row>
    <row r="11" spans="2:22" ht="12.75" customHeight="1" x14ac:dyDescent="0.25">
      <c r="E11" s="281" t="s">
        <v>1262</v>
      </c>
      <c r="F11" s="428">
        <f>F9-F10</f>
        <v>-459825.07999999973</v>
      </c>
      <c r="G11" s="428">
        <f>G9-G10</f>
        <v>0</v>
      </c>
      <c r="I11" s="249"/>
      <c r="J11" s="60"/>
    </row>
    <row r="12" spans="2:22" ht="12.75" customHeight="1" x14ac:dyDescent="0.25">
      <c r="E12" s="299"/>
      <c r="F12" s="255"/>
      <c r="G12" s="255"/>
      <c r="I12" s="249"/>
      <c r="J12" s="60"/>
    </row>
    <row r="13" spans="2:22" ht="20.100000000000001" customHeight="1" x14ac:dyDescent="0.25">
      <c r="E13" s="299"/>
      <c r="F13" s="257"/>
      <c r="G13" s="257"/>
      <c r="I13" s="249"/>
      <c r="J13" s="60"/>
    </row>
    <row r="14" spans="2:22" ht="12.75" customHeight="1" x14ac:dyDescent="0.25">
      <c r="E14" s="255"/>
      <c r="F14" s="762" t="s">
        <v>4448</v>
      </c>
      <c r="G14" s="364">
        <f>G11+F11</f>
        <v>-459825.07999999973</v>
      </c>
      <c r="H14" s="255"/>
      <c r="I14" s="263"/>
      <c r="J14" s="60"/>
    </row>
    <row r="15" spans="2:22" ht="12.75" customHeight="1" x14ac:dyDescent="0.25">
      <c r="E15" s="255"/>
      <c r="F15" s="920" t="s">
        <v>1263</v>
      </c>
      <c r="G15" s="255"/>
      <c r="H15" s="255"/>
      <c r="I15" s="263"/>
      <c r="J15" s="60"/>
    </row>
    <row r="16" spans="2:22" ht="12.75" customHeight="1" x14ac:dyDescent="0.25">
      <c r="E16" s="255"/>
      <c r="F16" s="255" t="s">
        <v>2141</v>
      </c>
      <c r="G16" s="383">
        <f>G531</f>
        <v>560489.82999999961</v>
      </c>
      <c r="H16" s="255"/>
      <c r="I16" s="263"/>
      <c r="J16" s="299"/>
    </row>
    <row r="17" spans="4:21" ht="12.75" customHeight="1" x14ac:dyDescent="0.25">
      <c r="E17" s="255"/>
      <c r="F17" s="255"/>
      <c r="G17" s="255"/>
      <c r="H17" s="255"/>
      <c r="I17" s="263"/>
      <c r="J17" s="299"/>
    </row>
    <row r="18" spans="4:21" ht="12.75" customHeight="1" thickBot="1" x14ac:dyDescent="0.3">
      <c r="E18" s="255"/>
      <c r="F18" s="290"/>
      <c r="G18" s="290" t="s">
        <v>539</v>
      </c>
      <c r="H18" s="255"/>
      <c r="I18" s="263"/>
      <c r="J18" s="299"/>
    </row>
    <row r="19" spans="4:21" ht="12.75" customHeight="1" thickBot="1" x14ac:dyDescent="0.3">
      <c r="E19" s="255"/>
      <c r="F19" s="255" t="s">
        <v>1568</v>
      </c>
      <c r="G19" s="384">
        <f>SUM(G14:G18)</f>
        <v>100664.74999999988</v>
      </c>
      <c r="H19" s="255"/>
      <c r="J19" s="956" t="s">
        <v>4855</v>
      </c>
      <c r="L19" s="299">
        <v>272.83999999999997</v>
      </c>
      <c r="M19" s="299">
        <f>G19-L19</f>
        <v>100391.90999999989</v>
      </c>
      <c r="T19" s="259"/>
    </row>
    <row r="20" spans="4:21" ht="12.75" customHeight="1" x14ac:dyDescent="0.25">
      <c r="E20" s="299"/>
      <c r="F20" s="257"/>
      <c r="G20" s="257"/>
      <c r="I20" s="249"/>
      <c r="J20" s="299"/>
    </row>
    <row r="21" spans="4:21" ht="12.75" customHeight="1" x14ac:dyDescent="0.25">
      <c r="E21" s="299"/>
      <c r="I21" s="249"/>
      <c r="J21" s="299"/>
      <c r="U21" s="247"/>
    </row>
    <row r="22" spans="4:21" ht="12.75" customHeight="1" x14ac:dyDescent="0.25">
      <c r="E22" s="299"/>
      <c r="F22" s="255" t="s">
        <v>458</v>
      </c>
      <c r="G22" s="958" t="s">
        <v>4856</v>
      </c>
      <c r="H22" s="255"/>
      <c r="I22" s="337"/>
      <c r="J22" s="299"/>
    </row>
    <row r="23" spans="4:21" ht="12.75" customHeight="1" x14ac:dyDescent="0.25">
      <c r="E23" s="299"/>
      <c r="G23" s="249"/>
      <c r="I23" s="249"/>
      <c r="J23" s="299"/>
    </row>
    <row r="24" spans="4:21" ht="12.75" customHeight="1" x14ac:dyDescent="0.25">
      <c r="E24" s="299"/>
      <c r="F24" s="257"/>
      <c r="G24" s="884"/>
      <c r="I24" s="249"/>
      <c r="J24" s="299"/>
      <c r="M24" s="299">
        <f>J29-M19</f>
        <v>-560216.98999999964</v>
      </c>
      <c r="T24" s="247"/>
      <c r="U24" s="247"/>
    </row>
    <row r="25" spans="4:21" ht="12.75" customHeight="1" x14ac:dyDescent="0.25">
      <c r="E25" s="697"/>
      <c r="F25" s="970" t="s">
        <v>4660</v>
      </c>
      <c r="G25" s="885">
        <f>'FY17-Equ-FNO-Zerodha'!G29</f>
        <v>-138010.17000000036</v>
      </c>
      <c r="I25" s="249"/>
      <c r="J25" s="299"/>
      <c r="U25" s="247"/>
    </row>
    <row r="26" spans="4:21" ht="12.75" customHeight="1" x14ac:dyDescent="0.25">
      <c r="E26" s="698"/>
      <c r="F26" s="362" t="s">
        <v>1503</v>
      </c>
      <c r="G26" s="433">
        <f>G16-G25</f>
        <v>698500</v>
      </c>
      <c r="H26" s="698"/>
      <c r="I26" s="870" t="s">
        <v>73</v>
      </c>
      <c r="J26" s="433">
        <f>G16</f>
        <v>560489.82999999961</v>
      </c>
      <c r="U26" s="254"/>
    </row>
    <row r="27" spans="4:21" ht="13.2" x14ac:dyDescent="0.25">
      <c r="E27" s="699"/>
      <c r="F27" s="364" t="s">
        <v>4109</v>
      </c>
      <c r="G27" s="371"/>
      <c r="H27" s="699"/>
      <c r="I27" s="869" t="s">
        <v>4110</v>
      </c>
      <c r="J27" s="371"/>
    </row>
    <row r="28" spans="4:21" ht="13.2" x14ac:dyDescent="0.25">
      <c r="E28" s="699"/>
      <c r="F28" s="364"/>
      <c r="G28" s="371"/>
      <c r="H28" s="818"/>
      <c r="I28" s="886"/>
      <c r="J28" s="371"/>
      <c r="U28" s="247"/>
    </row>
    <row r="29" spans="4:21" ht="13.2" x14ac:dyDescent="0.25">
      <c r="E29" s="382"/>
      <c r="F29" s="380" t="s">
        <v>948</v>
      </c>
      <c r="G29" s="434">
        <f>G27+G19-G26</f>
        <v>-597835.25000000012</v>
      </c>
      <c r="H29" s="697"/>
      <c r="I29" s="887" t="s">
        <v>383</v>
      </c>
      <c r="J29" s="434">
        <f>J27+G19-J26</f>
        <v>-459825.07999999973</v>
      </c>
      <c r="U29" s="247"/>
    </row>
    <row r="30" spans="4:21" ht="12.75" customHeight="1" x14ac:dyDescent="0.25">
      <c r="H30" s="249"/>
      <c r="L30" s="249"/>
    </row>
    <row r="31" spans="4:21" ht="12.75" customHeight="1" x14ac:dyDescent="0.25">
      <c r="D31" s="816"/>
      <c r="F31" s="809"/>
      <c r="G31" s="809"/>
      <c r="H31" s="888"/>
      <c r="K31" s="809"/>
      <c r="L31" s="888"/>
      <c r="M31" s="809"/>
      <c r="N31" s="809"/>
    </row>
    <row r="32" spans="4:21" ht="12.75" customHeight="1" x14ac:dyDescent="0.25">
      <c r="D32" s="816"/>
      <c r="F32" s="809"/>
      <c r="G32" s="809"/>
      <c r="H32" s="888"/>
      <c r="K32" s="809"/>
      <c r="L32" s="888"/>
      <c r="M32" s="809"/>
      <c r="N32" s="809"/>
      <c r="T32" s="259"/>
    </row>
    <row r="33" spans="2:21" ht="12.75" customHeight="1" x14ac:dyDescent="0.25">
      <c r="D33" s="816"/>
      <c r="F33" s="809"/>
      <c r="G33" s="814"/>
      <c r="H33" s="889"/>
      <c r="K33" s="814"/>
      <c r="L33" s="889"/>
      <c r="M33" s="809"/>
      <c r="N33" s="809"/>
    </row>
    <row r="34" spans="2:21" ht="12.75" customHeight="1" x14ac:dyDescent="0.25">
      <c r="D34" s="816"/>
      <c r="F34" s="809"/>
      <c r="G34" s="809"/>
      <c r="H34" s="809"/>
      <c r="K34" s="809"/>
      <c r="L34" s="809"/>
      <c r="M34" s="809"/>
      <c r="N34" s="809"/>
    </row>
    <row r="35" spans="2:21" ht="12.75" customHeight="1" x14ac:dyDescent="0.25">
      <c r="D35" s="816"/>
      <c r="F35" s="809"/>
      <c r="G35" s="809"/>
      <c r="H35" s="809"/>
      <c r="K35" s="809"/>
      <c r="L35" s="809"/>
      <c r="M35" s="809"/>
      <c r="N35" s="809"/>
    </row>
    <row r="36" spans="2:21" ht="12.75" customHeight="1" x14ac:dyDescent="0.25">
      <c r="D36" s="816"/>
      <c r="F36" s="809"/>
      <c r="G36" s="809"/>
      <c r="H36" s="809"/>
      <c r="K36" s="809"/>
      <c r="L36" s="809"/>
      <c r="M36" s="809"/>
      <c r="N36" s="809"/>
    </row>
    <row r="37" spans="2:21" ht="13.8" thickBot="1" x14ac:dyDescent="0.3">
      <c r="B37" s="575"/>
      <c r="D37" s="777"/>
      <c r="F37" s="568"/>
      <c r="G37" s="568"/>
      <c r="H37" s="540"/>
      <c r="I37" s="568"/>
      <c r="J37" s="540"/>
      <c r="K37" s="568"/>
      <c r="L37" s="568"/>
      <c r="M37" s="568"/>
      <c r="N37" s="568"/>
      <c r="O37" s="568"/>
      <c r="P37" s="568"/>
      <c r="Q37" s="568"/>
      <c r="R37" s="568"/>
      <c r="S37" s="568"/>
    </row>
    <row r="38" spans="2:21" ht="13.8" thickBot="1" x14ac:dyDescent="0.3">
      <c r="B38" s="576" t="s">
        <v>1255</v>
      </c>
      <c r="C38" s="918"/>
      <c r="D38" s="780"/>
      <c r="E38" s="541"/>
      <c r="F38" s="704"/>
      <c r="G38" s="704"/>
      <c r="H38" s="541"/>
      <c r="I38" s="704"/>
      <c r="J38" s="541"/>
      <c r="K38" s="704"/>
      <c r="L38" s="704"/>
      <c r="M38" s="704"/>
      <c r="N38" s="704"/>
      <c r="O38" s="704"/>
      <c r="P38" s="704"/>
      <c r="Q38" s="704"/>
      <c r="R38" s="704"/>
      <c r="S38" s="919"/>
    </row>
    <row r="39" spans="2:21" s="231" customFormat="1" ht="13.8" thickBot="1" x14ac:dyDescent="0.3">
      <c r="B39" s="911" t="s">
        <v>184</v>
      </c>
      <c r="C39" s="912" t="s">
        <v>4445</v>
      </c>
      <c r="D39" s="913" t="s">
        <v>2079</v>
      </c>
      <c r="E39" s="914" t="s">
        <v>186</v>
      </c>
      <c r="F39" s="915" t="s">
        <v>469</v>
      </c>
      <c r="G39" s="916" t="s">
        <v>664</v>
      </c>
      <c r="H39" s="916" t="s">
        <v>470</v>
      </c>
      <c r="I39" s="916" t="s">
        <v>1216</v>
      </c>
      <c r="J39" s="916" t="s">
        <v>3372</v>
      </c>
      <c r="K39" s="916" t="s">
        <v>471</v>
      </c>
      <c r="L39" s="917" t="s">
        <v>4585</v>
      </c>
      <c r="M39" s="916" t="s">
        <v>3368</v>
      </c>
      <c r="N39" s="917" t="s">
        <v>4582</v>
      </c>
      <c r="O39" s="917" t="s">
        <v>4583</v>
      </c>
      <c r="P39" s="917" t="s">
        <v>893</v>
      </c>
      <c r="Q39" s="917" t="s">
        <v>4584</v>
      </c>
      <c r="R39" s="917" t="s">
        <v>2247</v>
      </c>
      <c r="S39" s="916" t="s">
        <v>4455</v>
      </c>
    </row>
    <row r="40" spans="2:21" s="231" customFormat="1" ht="13.2" x14ac:dyDescent="0.25">
      <c r="B40" s="729"/>
      <c r="C40" s="827"/>
      <c r="D40" s="782"/>
      <c r="E40" s="730"/>
      <c r="F40" s="836"/>
      <c r="G40" s="299"/>
      <c r="H40" s="299"/>
      <c r="I40" s="299"/>
      <c r="J40" s="299"/>
      <c r="K40" s="299"/>
      <c r="L40" s="299"/>
      <c r="M40" s="299"/>
      <c r="N40" s="299"/>
      <c r="O40" s="299"/>
      <c r="P40" s="299"/>
      <c r="Q40" s="299"/>
      <c r="R40" s="299"/>
      <c r="S40" s="299"/>
      <c r="U40" s="91"/>
    </row>
    <row r="41" spans="2:21" ht="12.75" customHeight="1" x14ac:dyDescent="0.25">
      <c r="F41" s="836"/>
      <c r="I41" s="249"/>
      <c r="J41" s="299"/>
    </row>
    <row r="42" spans="2:21" ht="12.75" customHeight="1" x14ac:dyDescent="0.25">
      <c r="F42" s="836"/>
      <c r="I42" s="249"/>
      <c r="J42" s="299"/>
    </row>
    <row r="43" spans="2:21" ht="12.75" customHeight="1" x14ac:dyDescent="0.25">
      <c r="B43" s="477"/>
      <c r="D43" s="783"/>
      <c r="F43" s="838"/>
      <c r="G43" s="246"/>
      <c r="H43" s="246"/>
      <c r="I43" s="257" t="s">
        <v>2121</v>
      </c>
      <c r="J43" s="257">
        <f>SUM(J40:J42)</f>
        <v>0</v>
      </c>
      <c r="K43" s="246"/>
      <c r="L43" s="246"/>
      <c r="M43" s="243"/>
      <c r="N43" s="243"/>
    </row>
    <row r="44" spans="2:21" ht="12.75" customHeight="1" x14ac:dyDescent="0.25">
      <c r="B44" s="350"/>
      <c r="D44" s="783"/>
      <c r="F44" s="838"/>
      <c r="G44" s="246"/>
      <c r="H44" s="246"/>
      <c r="I44" s="246"/>
      <c r="J44" s="890"/>
      <c r="K44" s="246"/>
      <c r="L44" s="246"/>
      <c r="M44" s="246"/>
      <c r="N44" s="246"/>
      <c r="O44" s="246"/>
      <c r="P44" s="246"/>
      <c r="Q44" s="246"/>
      <c r="R44" s="246"/>
      <c r="S44" s="246"/>
    </row>
    <row r="45" spans="2:21" ht="12.75" customHeight="1" thickBot="1" x14ac:dyDescent="0.3">
      <c r="B45" s="350"/>
      <c r="D45" s="783"/>
      <c r="F45" s="838"/>
      <c r="G45" s="246"/>
      <c r="H45" s="246"/>
      <c r="I45" s="246"/>
      <c r="J45" s="890"/>
      <c r="K45" s="246"/>
      <c r="L45" s="246"/>
      <c r="M45" s="246"/>
      <c r="N45" s="246"/>
      <c r="O45" s="246"/>
      <c r="P45" s="246"/>
      <c r="Q45" s="246"/>
      <c r="R45" s="246"/>
      <c r="S45" s="246"/>
    </row>
    <row r="46" spans="2:21" ht="12.75" customHeight="1" thickBot="1" x14ac:dyDescent="0.3">
      <c r="B46" s="911" t="s">
        <v>184</v>
      </c>
      <c r="C46" s="912" t="s">
        <v>4445</v>
      </c>
      <c r="D46" s="913" t="s">
        <v>2079</v>
      </c>
      <c r="E46" s="914" t="s">
        <v>186</v>
      </c>
      <c r="F46" s="915" t="s">
        <v>469</v>
      </c>
      <c r="G46" s="916" t="s">
        <v>664</v>
      </c>
      <c r="H46" s="916" t="s">
        <v>470</v>
      </c>
      <c r="I46" s="916" t="s">
        <v>1216</v>
      </c>
      <c r="J46" s="916" t="s">
        <v>3372</v>
      </c>
      <c r="K46" s="916" t="s">
        <v>471</v>
      </c>
      <c r="L46" s="917" t="s">
        <v>4585</v>
      </c>
      <c r="M46" s="916" t="s">
        <v>3368</v>
      </c>
      <c r="N46" s="917" t="s">
        <v>4582</v>
      </c>
      <c r="O46" s="917" t="s">
        <v>4583</v>
      </c>
      <c r="P46" s="917" t="s">
        <v>893</v>
      </c>
      <c r="Q46" s="917" t="s">
        <v>4584</v>
      </c>
      <c r="R46" s="917" t="s">
        <v>2247</v>
      </c>
      <c r="S46" s="916" t="s">
        <v>4455</v>
      </c>
    </row>
    <row r="47" spans="2:21" s="231" customFormat="1" ht="13.2" x14ac:dyDescent="0.25">
      <c r="B47" s="477"/>
      <c r="C47" s="829"/>
      <c r="D47" s="29"/>
      <c r="E47" s="891"/>
      <c r="F47" s="837"/>
      <c r="G47" s="60"/>
      <c r="H47" s="299"/>
      <c r="I47" s="299"/>
      <c r="J47" s="299"/>
      <c r="K47" s="299"/>
      <c r="L47" s="299"/>
      <c r="M47" s="299"/>
      <c r="N47" s="299"/>
      <c r="O47" s="299"/>
      <c r="P47" s="299"/>
      <c r="Q47" s="299"/>
      <c r="R47" s="299"/>
      <c r="S47" s="299"/>
      <c r="U47" s="91"/>
    </row>
    <row r="48" spans="2:21" ht="12.75" customHeight="1" x14ac:dyDescent="0.25">
      <c r="B48" s="298"/>
      <c r="C48" s="830"/>
      <c r="F48" s="836"/>
      <c r="I48" s="60"/>
      <c r="J48" s="531"/>
    </row>
    <row r="49" spans="2:19" ht="12.75" customHeight="1" x14ac:dyDescent="0.25">
      <c r="F49" s="836"/>
      <c r="I49" s="60"/>
      <c r="J49" s="531"/>
    </row>
    <row r="50" spans="2:19" ht="12.75" customHeight="1" x14ac:dyDescent="0.25">
      <c r="B50" s="16"/>
      <c r="D50" s="31"/>
      <c r="F50" s="837"/>
      <c r="G50" s="60"/>
      <c r="H50" s="60"/>
      <c r="I50" s="257" t="s">
        <v>2127</v>
      </c>
      <c r="J50" s="257">
        <f>SUM(J47:J49)</f>
        <v>0</v>
      </c>
      <c r="K50" s="60"/>
      <c r="L50" s="60"/>
      <c r="N50" s="257"/>
    </row>
    <row r="51" spans="2:19" ht="12.75" customHeight="1" x14ac:dyDescent="0.25">
      <c r="B51" s="16"/>
      <c r="D51" s="31"/>
      <c r="F51" s="837"/>
      <c r="G51" s="60"/>
      <c r="H51" s="60"/>
      <c r="I51" s="708"/>
      <c r="J51" s="299"/>
      <c r="K51" s="60"/>
      <c r="L51" s="60"/>
      <c r="N51" s="255"/>
      <c r="O51" s="255"/>
      <c r="P51" s="255"/>
      <c r="Q51" s="255"/>
      <c r="R51" s="255"/>
      <c r="S51" s="255"/>
    </row>
    <row r="52" spans="2:19" ht="12.75" customHeight="1" x14ac:dyDescent="0.25">
      <c r="B52" s="16"/>
      <c r="D52" s="23"/>
      <c r="F52" s="837"/>
      <c r="G52" s="60"/>
      <c r="H52" s="60"/>
      <c r="I52" s="257" t="s">
        <v>2128</v>
      </c>
      <c r="J52" s="257">
        <f>J50-J43</f>
        <v>0</v>
      </c>
      <c r="K52" s="60"/>
      <c r="L52" s="60"/>
      <c r="N52" s="257"/>
    </row>
    <row r="53" spans="2:19" ht="12.75" customHeight="1" x14ac:dyDescent="0.25">
      <c r="B53" s="16"/>
      <c r="D53" s="31"/>
      <c r="F53" s="837"/>
      <c r="G53" s="60"/>
      <c r="H53" s="60"/>
      <c r="K53" s="60"/>
      <c r="L53" s="60"/>
      <c r="M53" s="60"/>
    </row>
    <row r="54" spans="2:19" ht="12.75" customHeight="1" x14ac:dyDescent="0.25">
      <c r="F54" s="836"/>
    </row>
    <row r="55" spans="2:19" ht="12.75" customHeight="1" thickBot="1" x14ac:dyDescent="0.3">
      <c r="F55" s="836"/>
      <c r="O55" s="243"/>
      <c r="P55" s="243"/>
      <c r="Q55" s="243"/>
      <c r="R55" s="243"/>
      <c r="S55" s="243"/>
    </row>
    <row r="56" spans="2:19" ht="12.75" customHeight="1" thickBot="1" x14ac:dyDescent="0.3">
      <c r="B56" s="894" t="s">
        <v>1256</v>
      </c>
      <c r="C56" s="909"/>
      <c r="D56" s="895"/>
      <c r="E56" s="899"/>
      <c r="F56" s="896"/>
      <c r="G56" s="897"/>
      <c r="H56" s="898"/>
      <c r="I56" s="897"/>
      <c r="J56" s="898"/>
      <c r="K56" s="897"/>
      <c r="L56" s="897"/>
      <c r="M56" s="897"/>
      <c r="N56" s="897"/>
      <c r="O56" s="897"/>
      <c r="P56" s="897"/>
      <c r="Q56" s="897"/>
      <c r="R56" s="897"/>
      <c r="S56" s="910"/>
    </row>
    <row r="57" spans="2:19" ht="12.75" customHeight="1" thickBot="1" x14ac:dyDescent="0.3">
      <c r="B57" s="911" t="s">
        <v>184</v>
      </c>
      <c r="C57" s="912" t="s">
        <v>4445</v>
      </c>
      <c r="D57" s="913" t="s">
        <v>2079</v>
      </c>
      <c r="E57" s="914" t="s">
        <v>186</v>
      </c>
      <c r="F57" s="915" t="s">
        <v>469</v>
      </c>
      <c r="G57" s="916" t="s">
        <v>664</v>
      </c>
      <c r="H57" s="916" t="s">
        <v>470</v>
      </c>
      <c r="I57" s="916" t="s">
        <v>1216</v>
      </c>
      <c r="J57" s="916" t="s">
        <v>3372</v>
      </c>
      <c r="K57" s="916" t="s">
        <v>471</v>
      </c>
      <c r="L57" s="917" t="s">
        <v>4585</v>
      </c>
      <c r="M57" s="916" t="s">
        <v>3368</v>
      </c>
      <c r="N57" s="917" t="s">
        <v>4582</v>
      </c>
      <c r="O57" s="917" t="s">
        <v>4583</v>
      </c>
      <c r="P57" s="917" t="s">
        <v>893</v>
      </c>
      <c r="Q57" s="917" t="s">
        <v>4584</v>
      </c>
      <c r="R57" s="917" t="s">
        <v>2247</v>
      </c>
      <c r="S57" s="916" t="s">
        <v>4455</v>
      </c>
    </row>
    <row r="58" spans="2:19" ht="12.75" customHeight="1" x14ac:dyDescent="0.25">
      <c r="B58" s="957" t="s">
        <v>4635</v>
      </c>
      <c r="C58" s="827">
        <v>1462534</v>
      </c>
      <c r="D58" s="962" t="s">
        <v>4639</v>
      </c>
      <c r="E58" s="956" t="s">
        <v>4642</v>
      </c>
      <c r="F58" s="836">
        <v>700</v>
      </c>
      <c r="G58" s="299">
        <v>5.7</v>
      </c>
      <c r="H58" s="299">
        <f>F58*G58</f>
        <v>3990</v>
      </c>
      <c r="I58" s="299">
        <f t="shared" ref="I58:I59" si="0">SUM(K58:S58)</f>
        <v>0</v>
      </c>
      <c r="J58" s="299">
        <f>H58+I58</f>
        <v>3990</v>
      </c>
    </row>
    <row r="59" spans="2:19" ht="12.75" customHeight="1" x14ac:dyDescent="0.25">
      <c r="B59" s="957" t="s">
        <v>4635</v>
      </c>
      <c r="C59" s="827">
        <v>1462534</v>
      </c>
      <c r="D59" s="955" t="s">
        <v>4640</v>
      </c>
      <c r="E59" s="956" t="s">
        <v>4642</v>
      </c>
      <c r="F59" s="836">
        <v>500</v>
      </c>
      <c r="G59" s="299">
        <v>11.5</v>
      </c>
      <c r="H59" s="299">
        <f t="shared" ref="H59:H64" si="1">F59*G59</f>
        <v>5750</v>
      </c>
      <c r="I59" s="299">
        <f t="shared" si="0"/>
        <v>0</v>
      </c>
      <c r="J59" s="299">
        <f t="shared" ref="J59" si="2">H59+I59</f>
        <v>5750</v>
      </c>
    </row>
    <row r="60" spans="2:19" ht="12.75" customHeight="1" x14ac:dyDescent="0.25">
      <c r="B60" s="957" t="s">
        <v>4635</v>
      </c>
      <c r="C60" s="827">
        <v>1462534</v>
      </c>
      <c r="D60" s="955" t="s">
        <v>4641</v>
      </c>
      <c r="E60" s="956" t="s">
        <v>4642</v>
      </c>
      <c r="F60" s="836">
        <v>500</v>
      </c>
      <c r="G60" s="299">
        <v>9.8000000000000007</v>
      </c>
      <c r="H60" s="299">
        <f t="shared" si="1"/>
        <v>4900</v>
      </c>
      <c r="I60" s="299">
        <f>SUM(K60:S60)</f>
        <v>78.78</v>
      </c>
      <c r="J60" s="299">
        <f>H60+I60</f>
        <v>4978.78</v>
      </c>
      <c r="K60" s="299">
        <v>60</v>
      </c>
      <c r="L60" s="299">
        <v>7.76</v>
      </c>
      <c r="M60" s="299">
        <v>9.49</v>
      </c>
      <c r="N60" s="299">
        <v>0.34</v>
      </c>
      <c r="O60" s="299">
        <v>0.34</v>
      </c>
      <c r="Q60" s="299">
        <v>0.02</v>
      </c>
      <c r="R60" s="299">
        <v>0.88</v>
      </c>
      <c r="S60" s="299">
        <v>-0.05</v>
      </c>
    </row>
    <row r="61" spans="2:19" ht="12.75" customHeight="1" x14ac:dyDescent="0.25">
      <c r="B61" s="957" t="s">
        <v>4643</v>
      </c>
      <c r="C61" s="827">
        <v>1626669</v>
      </c>
      <c r="D61" s="955" t="s">
        <v>4645</v>
      </c>
      <c r="E61" s="956" t="s">
        <v>4642</v>
      </c>
      <c r="F61" s="836">
        <v>500</v>
      </c>
      <c r="G61" s="299">
        <v>7.8</v>
      </c>
      <c r="H61" s="299">
        <f t="shared" si="1"/>
        <v>3900</v>
      </c>
      <c r="I61" s="299">
        <f t="shared" ref="I61:I64" si="3">SUM(K61:S61)</f>
        <v>0</v>
      </c>
      <c r="J61" s="299">
        <f t="shared" ref="J61:J64" si="4">H61+I61</f>
        <v>3900</v>
      </c>
    </row>
    <row r="62" spans="2:19" ht="12.75" customHeight="1" x14ac:dyDescent="0.25">
      <c r="B62" s="957" t="s">
        <v>4643</v>
      </c>
      <c r="C62" s="827">
        <v>1626669</v>
      </c>
      <c r="D62" s="955" t="s">
        <v>4641</v>
      </c>
      <c r="E62" s="956" t="s">
        <v>4642</v>
      </c>
      <c r="F62" s="836">
        <v>500</v>
      </c>
      <c r="G62" s="299">
        <v>3.8</v>
      </c>
      <c r="H62" s="299">
        <f t="shared" si="1"/>
        <v>1900</v>
      </c>
      <c r="I62" s="299">
        <f t="shared" si="3"/>
        <v>0</v>
      </c>
      <c r="J62" s="299">
        <f t="shared" si="4"/>
        <v>1900</v>
      </c>
    </row>
    <row r="63" spans="2:19" ht="12.75" customHeight="1" x14ac:dyDescent="0.25">
      <c r="B63" s="957" t="s">
        <v>4652</v>
      </c>
      <c r="C63" s="536">
        <v>1798762</v>
      </c>
      <c r="D63" s="955" t="s">
        <v>4650</v>
      </c>
      <c r="E63" s="956" t="s">
        <v>4642</v>
      </c>
      <c r="F63" s="836">
        <v>40</v>
      </c>
      <c r="G63" s="299">
        <v>94</v>
      </c>
      <c r="H63" s="299">
        <f t="shared" si="1"/>
        <v>3760</v>
      </c>
      <c r="I63" s="299">
        <f t="shared" si="3"/>
        <v>0</v>
      </c>
      <c r="J63" s="299">
        <f t="shared" si="4"/>
        <v>3760</v>
      </c>
    </row>
    <row r="64" spans="2:19" ht="12.75" customHeight="1" x14ac:dyDescent="0.25">
      <c r="B64" s="957" t="s">
        <v>4652</v>
      </c>
      <c r="C64" s="536">
        <v>1798762</v>
      </c>
      <c r="D64" s="955" t="s">
        <v>4651</v>
      </c>
      <c r="E64" s="956" t="s">
        <v>4642</v>
      </c>
      <c r="F64" s="836">
        <v>12000</v>
      </c>
      <c r="G64" s="299">
        <v>0.6</v>
      </c>
      <c r="H64" s="299">
        <f t="shared" si="1"/>
        <v>7200</v>
      </c>
      <c r="I64" s="299">
        <f t="shared" si="3"/>
        <v>83.1</v>
      </c>
      <c r="J64" s="299">
        <f t="shared" si="4"/>
        <v>7283.1</v>
      </c>
      <c r="K64" s="299">
        <v>60</v>
      </c>
      <c r="L64" s="299">
        <v>8.7799999999999994</v>
      </c>
      <c r="M64" s="299">
        <v>9.6300000000000008</v>
      </c>
      <c r="N64" s="299">
        <v>0.34</v>
      </c>
      <c r="O64" s="299">
        <v>0.34</v>
      </c>
      <c r="P64" s="299">
        <v>3</v>
      </c>
      <c r="Q64" s="299">
        <v>0.03</v>
      </c>
      <c r="R64" s="299">
        <v>0.99</v>
      </c>
      <c r="S64" s="299">
        <v>-0.01</v>
      </c>
    </row>
    <row r="65" spans="2:19" ht="12.75" customHeight="1" x14ac:dyDescent="0.25">
      <c r="B65" s="957" t="s">
        <v>4656</v>
      </c>
      <c r="C65" s="536">
        <v>1913882</v>
      </c>
      <c r="D65" s="955" t="s">
        <v>4655</v>
      </c>
      <c r="E65" s="956" t="s">
        <v>4642</v>
      </c>
      <c r="F65" s="836">
        <v>1200</v>
      </c>
      <c r="G65" s="299">
        <v>9</v>
      </c>
      <c r="H65" s="299">
        <f t="shared" ref="H65:H86" si="5">F65*G65</f>
        <v>10800</v>
      </c>
      <c r="I65" s="299">
        <f t="shared" ref="I65" si="6">SUM(K65:S65)</f>
        <v>69.910000000000011</v>
      </c>
      <c r="J65" s="299">
        <f t="shared" ref="J65" si="7">H65+I65</f>
        <v>10869.91</v>
      </c>
      <c r="K65" s="299">
        <v>40</v>
      </c>
      <c r="L65" s="299">
        <v>13.36</v>
      </c>
      <c r="M65" s="299">
        <v>7.47</v>
      </c>
      <c r="N65" s="299">
        <v>0.27</v>
      </c>
      <c r="O65" s="299">
        <v>0.27</v>
      </c>
      <c r="P65" s="299">
        <v>7</v>
      </c>
      <c r="Q65" s="299">
        <v>0.04</v>
      </c>
      <c r="R65" s="299">
        <v>1.51</v>
      </c>
      <c r="S65" s="299">
        <v>-0.01</v>
      </c>
    </row>
    <row r="66" spans="2:19" ht="12.75" customHeight="1" x14ac:dyDescent="0.25">
      <c r="B66" s="957" t="s">
        <v>4657</v>
      </c>
      <c r="C66" s="536">
        <v>1973085</v>
      </c>
      <c r="D66" s="955" t="s">
        <v>4658</v>
      </c>
      <c r="E66" s="956" t="s">
        <v>4642</v>
      </c>
      <c r="F66" s="836">
        <v>3200</v>
      </c>
      <c r="G66" s="299">
        <v>2.4</v>
      </c>
      <c r="H66" s="299">
        <f t="shared" si="5"/>
        <v>7680</v>
      </c>
      <c r="I66" s="299">
        <f t="shared" ref="I66" si="8">SUM(K66:S66)</f>
        <v>28.150000000000006</v>
      </c>
      <c r="J66" s="299">
        <f t="shared" ref="J66" si="9">H66+I66</f>
        <v>7708.15</v>
      </c>
      <c r="K66" s="299">
        <v>20</v>
      </c>
      <c r="L66" s="299">
        <v>4.07</v>
      </c>
      <c r="M66" s="299">
        <v>3.37</v>
      </c>
      <c r="N66" s="299">
        <v>0.12</v>
      </c>
      <c r="O66" s="299">
        <v>0.12</v>
      </c>
      <c r="Q66" s="299">
        <v>0.01</v>
      </c>
      <c r="R66" s="299">
        <v>0.46</v>
      </c>
    </row>
    <row r="67" spans="2:19" ht="12.75" customHeight="1" x14ac:dyDescent="0.25">
      <c r="B67" s="957" t="s">
        <v>4664</v>
      </c>
      <c r="C67" s="536">
        <v>2029234</v>
      </c>
      <c r="D67" s="955" t="s">
        <v>4665</v>
      </c>
      <c r="E67" s="956" t="s">
        <v>4642</v>
      </c>
      <c r="F67" s="836">
        <v>12000</v>
      </c>
      <c r="G67" s="299">
        <v>0.9</v>
      </c>
      <c r="H67" s="299">
        <f t="shared" si="5"/>
        <v>10800</v>
      </c>
      <c r="I67" s="299">
        <f t="shared" ref="I67" si="10">SUM(K67:S67)</f>
        <v>69.920000000000016</v>
      </c>
      <c r="J67" s="299">
        <f t="shared" ref="J67" si="11">H67+I67</f>
        <v>10869.92</v>
      </c>
      <c r="K67" s="299">
        <v>40</v>
      </c>
      <c r="L67" s="299">
        <v>13.36</v>
      </c>
      <c r="M67" s="299">
        <v>7.47</v>
      </c>
      <c r="N67" s="299">
        <v>0.27</v>
      </c>
      <c r="O67" s="299">
        <v>0.27</v>
      </c>
      <c r="P67" s="299">
        <v>7</v>
      </c>
      <c r="Q67" s="299">
        <v>0.04</v>
      </c>
      <c r="R67" s="299">
        <v>1.51</v>
      </c>
    </row>
    <row r="68" spans="2:19" ht="12.75" customHeight="1" x14ac:dyDescent="0.25">
      <c r="B68" s="957" t="s">
        <v>4666</v>
      </c>
      <c r="C68" s="536">
        <v>2082814</v>
      </c>
      <c r="D68" s="955" t="s">
        <v>4667</v>
      </c>
      <c r="E68" s="956" t="s">
        <v>4642</v>
      </c>
      <c r="F68" s="836">
        <v>3084</v>
      </c>
      <c r="G68" s="299">
        <v>5</v>
      </c>
      <c r="H68" s="299">
        <f t="shared" si="5"/>
        <v>15420</v>
      </c>
      <c r="I68" s="299">
        <f t="shared" ref="I68" si="12">SUM(K68:S68)</f>
        <v>33.35</v>
      </c>
      <c r="J68" s="299">
        <f t="shared" ref="J68" si="13">H68+I68</f>
        <v>15453.35</v>
      </c>
      <c r="K68" s="299">
        <v>20</v>
      </c>
      <c r="L68" s="299">
        <v>8.17</v>
      </c>
      <c r="M68" s="299">
        <v>3.94</v>
      </c>
      <c r="N68" s="299">
        <v>0.14000000000000001</v>
      </c>
      <c r="O68" s="299">
        <v>0.14000000000000001</v>
      </c>
      <c r="P68" s="224"/>
      <c r="Q68" s="299">
        <v>0.02</v>
      </c>
      <c r="R68" s="960">
        <v>0.93</v>
      </c>
      <c r="S68" s="299">
        <v>0.01</v>
      </c>
    </row>
    <row r="69" spans="2:19" ht="12.75" customHeight="1" x14ac:dyDescent="0.25">
      <c r="B69" s="957" t="s">
        <v>4669</v>
      </c>
      <c r="C69" s="536">
        <v>2136855</v>
      </c>
      <c r="D69" s="955" t="s">
        <v>4668</v>
      </c>
      <c r="E69" s="956" t="s">
        <v>4642</v>
      </c>
      <c r="F69" s="836">
        <v>1500</v>
      </c>
      <c r="G69" s="299">
        <v>4.5</v>
      </c>
      <c r="H69" s="299">
        <f t="shared" si="5"/>
        <v>6750</v>
      </c>
      <c r="I69" s="299">
        <f t="shared" ref="I69" si="14">SUM(K69:S69)</f>
        <v>71.95</v>
      </c>
      <c r="J69" s="299">
        <f t="shared" ref="J69" si="15">H69+I69</f>
        <v>6821.95</v>
      </c>
      <c r="K69" s="299">
        <v>40</v>
      </c>
      <c r="L69" s="299">
        <v>13.39</v>
      </c>
      <c r="M69" s="299">
        <v>7.47</v>
      </c>
      <c r="N69" s="299">
        <v>0.27</v>
      </c>
      <c r="O69" s="299">
        <v>0.27</v>
      </c>
      <c r="P69" s="299">
        <v>9</v>
      </c>
      <c r="Q69" s="299">
        <v>0.04</v>
      </c>
      <c r="R69" s="299">
        <v>1.52</v>
      </c>
      <c r="S69" s="299">
        <v>-0.01</v>
      </c>
    </row>
    <row r="70" spans="2:19" ht="12.75" customHeight="1" x14ac:dyDescent="0.25">
      <c r="B70" s="957" t="s">
        <v>4671</v>
      </c>
      <c r="C70" s="536">
        <v>2300785</v>
      </c>
      <c r="D70" s="955" t="s">
        <v>4672</v>
      </c>
      <c r="E70" s="956" t="s">
        <v>4642</v>
      </c>
      <c r="F70" s="836">
        <v>7375</v>
      </c>
      <c r="G70" s="299">
        <v>1.5</v>
      </c>
      <c r="H70" s="299">
        <f t="shared" si="5"/>
        <v>11062.5</v>
      </c>
      <c r="I70" s="299">
        <f t="shared" ref="I70:I71" si="16">SUM(K70:S70)</f>
        <v>0</v>
      </c>
      <c r="J70" s="299">
        <f t="shared" ref="J70:J71" si="17">H70+I70</f>
        <v>11062.5</v>
      </c>
    </row>
    <row r="71" spans="2:19" ht="12.75" customHeight="1" x14ac:dyDescent="0.25">
      <c r="B71" s="957" t="s">
        <v>4671</v>
      </c>
      <c r="C71" s="536">
        <v>2300785</v>
      </c>
      <c r="D71" s="955" t="s">
        <v>4673</v>
      </c>
      <c r="E71" s="956" t="s">
        <v>4642</v>
      </c>
      <c r="F71" s="836">
        <v>1500</v>
      </c>
      <c r="G71" s="299">
        <v>8.5</v>
      </c>
      <c r="H71" s="299">
        <f t="shared" si="5"/>
        <v>12750</v>
      </c>
      <c r="I71" s="299">
        <f t="shared" si="16"/>
        <v>0</v>
      </c>
      <c r="J71" s="299">
        <f t="shared" si="17"/>
        <v>12750</v>
      </c>
    </row>
    <row r="72" spans="2:19" ht="12.75" customHeight="1" x14ac:dyDescent="0.25">
      <c r="B72" s="957" t="s">
        <v>4674</v>
      </c>
      <c r="C72" s="536">
        <v>2354908</v>
      </c>
      <c r="D72" s="955" t="s">
        <v>4675</v>
      </c>
      <c r="E72" s="956" t="s">
        <v>4642</v>
      </c>
      <c r="F72" s="836">
        <v>120</v>
      </c>
      <c r="G72" s="299">
        <v>73</v>
      </c>
      <c r="H72" s="299">
        <f t="shared" si="5"/>
        <v>8760</v>
      </c>
      <c r="I72" s="299">
        <f>SUM(K72:S72)</f>
        <v>123.10999999999999</v>
      </c>
      <c r="J72" s="299">
        <f>H72+I72</f>
        <v>8883.11</v>
      </c>
      <c r="K72" s="299">
        <v>80</v>
      </c>
      <c r="L72" s="299">
        <v>18.25</v>
      </c>
      <c r="M72" s="299">
        <v>13.76</v>
      </c>
      <c r="N72" s="299">
        <v>0.49</v>
      </c>
      <c r="O72" s="299">
        <v>0.49</v>
      </c>
      <c r="P72" s="299">
        <v>8</v>
      </c>
      <c r="Q72" s="299">
        <v>0.05</v>
      </c>
      <c r="R72" s="299">
        <v>2.0699999999999998</v>
      </c>
    </row>
    <row r="73" spans="2:19" ht="12.75" customHeight="1" x14ac:dyDescent="0.25">
      <c r="B73" s="957" t="s">
        <v>4674</v>
      </c>
      <c r="C73" s="536">
        <v>2354908</v>
      </c>
      <c r="D73" s="955" t="s">
        <v>4676</v>
      </c>
      <c r="E73" s="956" t="s">
        <v>4642</v>
      </c>
      <c r="F73" s="836">
        <v>500</v>
      </c>
      <c r="G73" s="299">
        <v>19</v>
      </c>
      <c r="H73" s="299">
        <f t="shared" si="5"/>
        <v>9500</v>
      </c>
      <c r="I73" s="299">
        <f>SUM(K73:S73)</f>
        <v>0</v>
      </c>
      <c r="J73" s="299">
        <f>H73+I73</f>
        <v>9500</v>
      </c>
    </row>
    <row r="74" spans="2:19" ht="12.75" customHeight="1" x14ac:dyDescent="0.25">
      <c r="B74" s="957" t="s">
        <v>4677</v>
      </c>
      <c r="C74" s="536">
        <v>2408471</v>
      </c>
      <c r="D74" s="955" t="s">
        <v>4678</v>
      </c>
      <c r="E74" s="956" t="s">
        <v>4642</v>
      </c>
      <c r="F74" s="836">
        <v>700</v>
      </c>
      <c r="G74" s="299">
        <v>10.8</v>
      </c>
      <c r="H74" s="299">
        <f t="shared" si="5"/>
        <v>7560.0000000000009</v>
      </c>
      <c r="I74" s="299">
        <f>SUM(K74:S74)</f>
        <v>28.07</v>
      </c>
      <c r="J74" s="299">
        <f>H74+I74</f>
        <v>7588.0700000000006</v>
      </c>
      <c r="K74" s="299">
        <v>20</v>
      </c>
      <c r="L74" s="299">
        <v>4.01</v>
      </c>
      <c r="M74" s="299">
        <v>3.36</v>
      </c>
      <c r="N74" s="299">
        <v>0.12</v>
      </c>
      <c r="O74" s="299">
        <v>0.12</v>
      </c>
      <c r="Q74" s="299">
        <v>0.01</v>
      </c>
      <c r="R74" s="299">
        <v>0.45</v>
      </c>
    </row>
    <row r="75" spans="2:19" ht="12.75" customHeight="1" x14ac:dyDescent="0.25">
      <c r="B75" s="957" t="s">
        <v>4679</v>
      </c>
      <c r="C75" s="536">
        <v>2464007</v>
      </c>
      <c r="D75" s="955" t="s">
        <v>4680</v>
      </c>
      <c r="E75" s="956" t="s">
        <v>4642</v>
      </c>
      <c r="F75" s="836">
        <v>400</v>
      </c>
      <c r="G75" s="299">
        <v>17.2</v>
      </c>
      <c r="H75" s="299">
        <f t="shared" si="5"/>
        <v>6880</v>
      </c>
      <c r="I75" s="299">
        <f t="shared" ref="I75:I76" si="18">SUM(K75:S75)</f>
        <v>99.070000000000007</v>
      </c>
      <c r="J75" s="299">
        <f t="shared" ref="J75:J87" si="19">H75+I75</f>
        <v>6979.07</v>
      </c>
      <c r="K75" s="299">
        <v>60</v>
      </c>
      <c r="L75" s="299">
        <v>18.22</v>
      </c>
      <c r="M75" s="299">
        <v>10.95</v>
      </c>
      <c r="N75" s="299">
        <v>0.39</v>
      </c>
      <c r="O75" s="299">
        <v>0.39</v>
      </c>
      <c r="P75" s="299">
        <v>7</v>
      </c>
      <c r="Q75" s="299">
        <v>0.05</v>
      </c>
      <c r="R75" s="299">
        <v>2.06</v>
      </c>
      <c r="S75" s="299">
        <v>0.01</v>
      </c>
    </row>
    <row r="76" spans="2:19" ht="12.75" customHeight="1" x14ac:dyDescent="0.25">
      <c r="B76" s="957" t="s">
        <v>4679</v>
      </c>
      <c r="C76" s="536">
        <v>2464007</v>
      </c>
      <c r="D76" s="955" t="s">
        <v>4681</v>
      </c>
      <c r="E76" s="956" t="s">
        <v>4642</v>
      </c>
      <c r="F76" s="836">
        <v>2000</v>
      </c>
      <c r="G76" s="299">
        <v>6.65</v>
      </c>
      <c r="H76" s="299">
        <f t="shared" si="5"/>
        <v>13300</v>
      </c>
      <c r="I76" s="299">
        <f t="shared" si="18"/>
        <v>320.70000000000005</v>
      </c>
      <c r="J76" s="299">
        <f t="shared" si="19"/>
        <v>13620.7</v>
      </c>
      <c r="K76" s="299">
        <v>220</v>
      </c>
      <c r="L76" s="299">
        <v>39.25</v>
      </c>
      <c r="M76" s="299">
        <v>36.29</v>
      </c>
      <c r="N76" s="299">
        <v>1.3</v>
      </c>
      <c r="O76" s="299">
        <v>1.3</v>
      </c>
      <c r="P76" s="299">
        <v>18</v>
      </c>
      <c r="Q76" s="299">
        <v>0.11</v>
      </c>
      <c r="R76" s="299">
        <v>4.4400000000000004</v>
      </c>
      <c r="S76" s="299">
        <v>0.01</v>
      </c>
    </row>
    <row r="77" spans="2:19" ht="12.75" customHeight="1" x14ac:dyDescent="0.25">
      <c r="B77" s="957" t="s">
        <v>4682</v>
      </c>
      <c r="C77" s="536">
        <v>2519175</v>
      </c>
      <c r="D77" s="955" t="s">
        <v>4683</v>
      </c>
      <c r="E77" s="956" t="s">
        <v>4642</v>
      </c>
      <c r="F77" s="836">
        <v>500</v>
      </c>
      <c r="G77" s="299">
        <v>15.2</v>
      </c>
      <c r="H77" s="299">
        <f t="shared" si="5"/>
        <v>7600</v>
      </c>
      <c r="I77" s="299">
        <f t="shared" ref="I77:I83" si="20">SUM(K77:S77)</f>
        <v>0</v>
      </c>
      <c r="J77" s="299">
        <f t="shared" si="19"/>
        <v>7600</v>
      </c>
    </row>
    <row r="78" spans="2:19" ht="12.75" customHeight="1" x14ac:dyDescent="0.25">
      <c r="B78" s="957" t="s">
        <v>4682</v>
      </c>
      <c r="C78" s="536">
        <v>2519175</v>
      </c>
      <c r="D78" s="955" t="s">
        <v>4684</v>
      </c>
      <c r="E78" s="956" t="s">
        <v>4642</v>
      </c>
      <c r="F78" s="836">
        <v>700</v>
      </c>
      <c r="G78" s="299">
        <v>5.85</v>
      </c>
      <c r="H78" s="299">
        <f t="shared" si="5"/>
        <v>4094.9999999999995</v>
      </c>
      <c r="I78" s="299">
        <f t="shared" si="20"/>
        <v>0</v>
      </c>
      <c r="J78" s="299">
        <f t="shared" si="19"/>
        <v>4094.9999999999995</v>
      </c>
    </row>
    <row r="79" spans="2:19" ht="12.75" customHeight="1" x14ac:dyDescent="0.25">
      <c r="B79" s="957" t="s">
        <v>4682</v>
      </c>
      <c r="C79" s="536">
        <v>2519175</v>
      </c>
      <c r="D79" s="955" t="s">
        <v>4680</v>
      </c>
      <c r="E79" s="956" t="s">
        <v>4642</v>
      </c>
      <c r="F79" s="836">
        <v>400</v>
      </c>
      <c r="G79" s="299">
        <v>11</v>
      </c>
      <c r="H79" s="299">
        <f t="shared" si="5"/>
        <v>4400</v>
      </c>
      <c r="I79" s="299">
        <f t="shared" si="20"/>
        <v>0</v>
      </c>
      <c r="J79" s="299">
        <f t="shared" si="19"/>
        <v>4400</v>
      </c>
    </row>
    <row r="80" spans="2:19" ht="12.75" customHeight="1" x14ac:dyDescent="0.25">
      <c r="B80" s="957" t="s">
        <v>4682</v>
      </c>
      <c r="C80" s="536">
        <v>2519175</v>
      </c>
      <c r="D80" s="955" t="s">
        <v>4685</v>
      </c>
      <c r="E80" s="956" t="s">
        <v>4642</v>
      </c>
      <c r="F80" s="836">
        <v>75</v>
      </c>
      <c r="G80" s="299">
        <v>45.5</v>
      </c>
      <c r="H80" s="299">
        <f t="shared" si="5"/>
        <v>3412.5</v>
      </c>
      <c r="I80" s="299">
        <f t="shared" si="20"/>
        <v>0</v>
      </c>
      <c r="J80" s="299">
        <f t="shared" si="19"/>
        <v>3412.5</v>
      </c>
    </row>
    <row r="81" spans="2:23" ht="12.75" customHeight="1" x14ac:dyDescent="0.25">
      <c r="B81" s="957" t="s">
        <v>4682</v>
      </c>
      <c r="C81" s="536">
        <v>2519175</v>
      </c>
      <c r="D81" s="955" t="s">
        <v>4685</v>
      </c>
      <c r="E81" s="956" t="s">
        <v>4642</v>
      </c>
      <c r="F81" s="836">
        <v>150</v>
      </c>
      <c r="G81" s="299">
        <v>45.5</v>
      </c>
      <c r="H81" s="299">
        <f t="shared" si="5"/>
        <v>6825</v>
      </c>
      <c r="I81" s="299">
        <f t="shared" si="20"/>
        <v>0</v>
      </c>
      <c r="J81" s="299">
        <f t="shared" si="19"/>
        <v>6825</v>
      </c>
    </row>
    <row r="82" spans="2:23" ht="12.75" customHeight="1" x14ac:dyDescent="0.25">
      <c r="B82" s="957" t="s">
        <v>4682</v>
      </c>
      <c r="C82" s="536">
        <v>2519175</v>
      </c>
      <c r="D82" s="955" t="s">
        <v>4685</v>
      </c>
      <c r="E82" s="956" t="s">
        <v>4642</v>
      </c>
      <c r="F82" s="836">
        <v>75</v>
      </c>
      <c r="G82" s="299">
        <v>38.9</v>
      </c>
      <c r="H82" s="299">
        <f t="shared" si="5"/>
        <v>2917.5</v>
      </c>
      <c r="I82" s="299">
        <f t="shared" si="20"/>
        <v>0</v>
      </c>
      <c r="J82" s="299">
        <f t="shared" si="19"/>
        <v>2917.5</v>
      </c>
    </row>
    <row r="83" spans="2:23" ht="12.75" customHeight="1" x14ac:dyDescent="0.25">
      <c r="B83" s="957" t="s">
        <v>4682</v>
      </c>
      <c r="C83" s="536">
        <v>2519175</v>
      </c>
      <c r="D83" s="955" t="s">
        <v>4685</v>
      </c>
      <c r="E83" s="956" t="s">
        <v>4642</v>
      </c>
      <c r="F83" s="836">
        <v>300</v>
      </c>
      <c r="G83" s="299">
        <v>30.2</v>
      </c>
      <c r="H83" s="299">
        <f t="shared" si="5"/>
        <v>9060</v>
      </c>
      <c r="I83" s="299">
        <f t="shared" si="20"/>
        <v>0</v>
      </c>
      <c r="J83" s="299">
        <f t="shared" si="19"/>
        <v>9060</v>
      </c>
    </row>
    <row r="84" spans="2:23" s="299" customFormat="1" ht="12.75" customHeight="1" x14ac:dyDescent="0.25">
      <c r="B84" s="957" t="s">
        <v>4686</v>
      </c>
      <c r="C84" s="536">
        <v>2573041</v>
      </c>
      <c r="D84" s="955" t="s">
        <v>4687</v>
      </c>
      <c r="E84" s="956" t="s">
        <v>4642</v>
      </c>
      <c r="F84" s="836">
        <v>120</v>
      </c>
      <c r="G84" s="299">
        <v>63</v>
      </c>
      <c r="H84" s="299">
        <f t="shared" si="5"/>
        <v>7560</v>
      </c>
      <c r="I84" s="299">
        <f t="shared" ref="I84:I85" si="21">SUM(K84:S84)</f>
        <v>137.80999999999997</v>
      </c>
      <c r="J84" s="299">
        <f t="shared" si="19"/>
        <v>7697.81</v>
      </c>
      <c r="K84" s="299">
        <v>100</v>
      </c>
      <c r="L84" s="299">
        <v>14.07</v>
      </c>
      <c r="M84" s="299">
        <v>15.97</v>
      </c>
      <c r="N84" s="299">
        <v>0.56999999999999995</v>
      </c>
      <c r="O84" s="299">
        <v>0.56999999999999995</v>
      </c>
      <c r="P84" s="299">
        <v>5</v>
      </c>
      <c r="Q84" s="299">
        <v>0.04</v>
      </c>
      <c r="R84" s="299">
        <v>1.59</v>
      </c>
      <c r="T84" s="224"/>
      <c r="U84" s="224"/>
      <c r="V84" s="224"/>
      <c r="W84" s="224"/>
    </row>
    <row r="85" spans="2:23" s="299" customFormat="1" ht="12.75" customHeight="1" x14ac:dyDescent="0.25">
      <c r="B85" s="957" t="s">
        <v>4686</v>
      </c>
      <c r="C85" s="536">
        <v>2573041</v>
      </c>
      <c r="D85" s="955" t="s">
        <v>4678</v>
      </c>
      <c r="E85" s="956" t="s">
        <v>4642</v>
      </c>
      <c r="F85" s="836">
        <v>700</v>
      </c>
      <c r="G85" s="299">
        <v>5.6</v>
      </c>
      <c r="H85" s="299">
        <f t="shared" si="5"/>
        <v>3919.9999999999995</v>
      </c>
      <c r="I85" s="299">
        <f t="shared" si="21"/>
        <v>0</v>
      </c>
      <c r="J85" s="299">
        <f t="shared" si="19"/>
        <v>3919.9999999999995</v>
      </c>
      <c r="T85" s="224"/>
      <c r="U85" s="224"/>
      <c r="V85" s="224"/>
      <c r="W85" s="224"/>
    </row>
    <row r="86" spans="2:23" s="299" customFormat="1" ht="12.75" customHeight="1" x14ac:dyDescent="0.25">
      <c r="B86" s="957" t="s">
        <v>4686</v>
      </c>
      <c r="C86" s="536">
        <v>2573041</v>
      </c>
      <c r="D86" s="955" t="s">
        <v>4680</v>
      </c>
      <c r="E86" s="956" t="s">
        <v>4642</v>
      </c>
      <c r="F86" s="836">
        <v>400</v>
      </c>
      <c r="G86" s="299">
        <v>10.3</v>
      </c>
      <c r="H86" s="299">
        <f t="shared" si="5"/>
        <v>4120</v>
      </c>
      <c r="I86" s="299">
        <f t="shared" ref="I86" si="22">SUM(K86:S86)</f>
        <v>0</v>
      </c>
      <c r="J86" s="299">
        <f t="shared" si="19"/>
        <v>4120</v>
      </c>
      <c r="T86" s="224"/>
      <c r="U86" s="224"/>
      <c r="V86" s="224"/>
      <c r="W86" s="224"/>
    </row>
    <row r="87" spans="2:23" s="299" customFormat="1" ht="12.75" customHeight="1" x14ac:dyDescent="0.25">
      <c r="B87" s="957" t="s">
        <v>4688</v>
      </c>
      <c r="C87" s="536">
        <v>2627928</v>
      </c>
      <c r="D87" s="955" t="s">
        <v>4690</v>
      </c>
      <c r="E87" s="956" t="s">
        <v>4642</v>
      </c>
      <c r="F87" s="836">
        <v>12000</v>
      </c>
      <c r="G87" s="299">
        <v>1.35</v>
      </c>
      <c r="H87" s="299">
        <f t="shared" ref="H87:H92" si="23">F87*G87</f>
        <v>16200.000000000002</v>
      </c>
      <c r="I87" s="299">
        <f t="shared" ref="I87" si="24">SUM(K87:S87)</f>
        <v>91.750000000000014</v>
      </c>
      <c r="J87" s="299">
        <f t="shared" si="19"/>
        <v>16291.750000000002</v>
      </c>
      <c r="K87" s="299">
        <v>60</v>
      </c>
      <c r="L87" s="299">
        <v>14.02</v>
      </c>
      <c r="M87" s="299">
        <v>10.36</v>
      </c>
      <c r="N87" s="299">
        <v>0.37</v>
      </c>
      <c r="O87" s="299">
        <v>0.37</v>
      </c>
      <c r="P87" s="299">
        <v>5</v>
      </c>
      <c r="Q87" s="299">
        <v>0.04</v>
      </c>
      <c r="R87" s="299">
        <v>1.59</v>
      </c>
      <c r="T87" s="224"/>
      <c r="U87" s="224"/>
      <c r="V87" s="224"/>
      <c r="W87" s="224"/>
    </row>
    <row r="88" spans="2:23" s="299" customFormat="1" ht="12.75" customHeight="1" x14ac:dyDescent="0.25">
      <c r="B88" s="957" t="s">
        <v>4691</v>
      </c>
      <c r="C88" s="536">
        <v>2681930</v>
      </c>
      <c r="D88" s="955" t="s">
        <v>4692</v>
      </c>
      <c r="E88" s="956" t="s">
        <v>4642</v>
      </c>
      <c r="F88" s="836">
        <v>40</v>
      </c>
      <c r="G88" s="299">
        <v>123.65</v>
      </c>
      <c r="H88" s="299">
        <f t="shared" si="23"/>
        <v>4946</v>
      </c>
      <c r="I88" s="299">
        <f t="shared" ref="I88:I92" si="25">SUM(K88:S88)</f>
        <v>0</v>
      </c>
      <c r="J88" s="299">
        <f t="shared" ref="J88:J92" si="26">H88+I88</f>
        <v>4946</v>
      </c>
      <c r="T88" s="224"/>
      <c r="U88" s="224"/>
      <c r="V88" s="224"/>
      <c r="W88" s="224"/>
    </row>
    <row r="89" spans="2:23" s="299" customFormat="1" ht="12.75" customHeight="1" x14ac:dyDescent="0.25">
      <c r="B89" s="957" t="s">
        <v>4691</v>
      </c>
      <c r="C89" s="536">
        <v>2681930</v>
      </c>
      <c r="D89" s="955" t="s">
        <v>4692</v>
      </c>
      <c r="E89" s="956" t="s">
        <v>4642</v>
      </c>
      <c r="F89" s="836">
        <v>80</v>
      </c>
      <c r="G89" s="299">
        <v>123.7</v>
      </c>
      <c r="H89" s="299">
        <f t="shared" si="23"/>
        <v>9896</v>
      </c>
      <c r="I89" s="299">
        <f t="shared" si="25"/>
        <v>0</v>
      </c>
      <c r="J89" s="299">
        <f t="shared" si="26"/>
        <v>9896</v>
      </c>
      <c r="T89" s="224"/>
      <c r="U89" s="224"/>
      <c r="V89" s="224"/>
      <c r="W89" s="224"/>
    </row>
    <row r="90" spans="2:23" s="299" customFormat="1" ht="12.75" customHeight="1" x14ac:dyDescent="0.25">
      <c r="B90" s="957" t="s">
        <v>4691</v>
      </c>
      <c r="C90" s="536">
        <v>2681930</v>
      </c>
      <c r="D90" s="955" t="s">
        <v>4693</v>
      </c>
      <c r="E90" s="956" t="s">
        <v>4642</v>
      </c>
      <c r="F90" s="836">
        <v>3200</v>
      </c>
      <c r="G90" s="299">
        <v>1.6</v>
      </c>
      <c r="H90" s="299">
        <f t="shared" si="23"/>
        <v>5120</v>
      </c>
      <c r="I90" s="299">
        <f t="shared" si="25"/>
        <v>0</v>
      </c>
      <c r="J90" s="299">
        <f t="shared" si="26"/>
        <v>5120</v>
      </c>
      <c r="T90" s="224"/>
      <c r="U90" s="224"/>
      <c r="V90" s="224"/>
      <c r="W90" s="224"/>
    </row>
    <row r="91" spans="2:23" s="299" customFormat="1" ht="12.75" customHeight="1" x14ac:dyDescent="0.25">
      <c r="B91" s="957" t="s">
        <v>4691</v>
      </c>
      <c r="C91" s="536">
        <v>2681930</v>
      </c>
      <c r="D91" s="955" t="s">
        <v>4694</v>
      </c>
      <c r="E91" s="956" t="s">
        <v>4642</v>
      </c>
      <c r="F91" s="836">
        <v>1500</v>
      </c>
      <c r="G91" s="299">
        <v>7.3</v>
      </c>
      <c r="H91" s="299">
        <f t="shared" si="23"/>
        <v>10950</v>
      </c>
      <c r="I91" s="299">
        <f t="shared" si="25"/>
        <v>0</v>
      </c>
      <c r="J91" s="299">
        <f t="shared" si="26"/>
        <v>10950</v>
      </c>
      <c r="T91" s="224"/>
      <c r="U91" s="224"/>
      <c r="V91" s="224"/>
      <c r="W91" s="224"/>
    </row>
    <row r="92" spans="2:23" s="299" customFormat="1" ht="12.75" customHeight="1" x14ac:dyDescent="0.25">
      <c r="B92" s="957" t="s">
        <v>4691</v>
      </c>
      <c r="C92" s="536">
        <v>2681930</v>
      </c>
      <c r="D92" s="955" t="s">
        <v>4695</v>
      </c>
      <c r="E92" s="956" t="s">
        <v>4642</v>
      </c>
      <c r="F92" s="836">
        <v>350</v>
      </c>
      <c r="G92" s="299">
        <v>18</v>
      </c>
      <c r="H92" s="299">
        <f t="shared" si="23"/>
        <v>6300</v>
      </c>
      <c r="I92" s="299">
        <f t="shared" si="25"/>
        <v>207.01000000000002</v>
      </c>
      <c r="J92" s="299">
        <f t="shared" si="26"/>
        <v>6507.01</v>
      </c>
      <c r="K92" s="299">
        <v>120</v>
      </c>
      <c r="L92" s="249">
        <v>39.5</v>
      </c>
      <c r="M92" s="299">
        <v>22.33</v>
      </c>
      <c r="N92" s="299">
        <v>0.8</v>
      </c>
      <c r="O92" s="299">
        <v>0.8</v>
      </c>
      <c r="P92" s="299">
        <v>19</v>
      </c>
      <c r="Q92" s="299">
        <v>0.11</v>
      </c>
      <c r="R92" s="299">
        <v>4.47</v>
      </c>
      <c r="T92" s="224"/>
      <c r="U92" s="224"/>
      <c r="V92" s="224"/>
      <c r="W92" s="224"/>
    </row>
    <row r="93" spans="2:23" s="299" customFormat="1" ht="12.75" customHeight="1" x14ac:dyDescent="0.25">
      <c r="B93" s="957" t="s">
        <v>4696</v>
      </c>
      <c r="C93" s="536">
        <v>2739380</v>
      </c>
      <c r="D93" s="955" t="s">
        <v>4697</v>
      </c>
      <c r="E93" s="956" t="s">
        <v>4642</v>
      </c>
      <c r="F93" s="836">
        <v>500</v>
      </c>
      <c r="G93" s="299">
        <v>22.45</v>
      </c>
      <c r="H93" s="299">
        <f t="shared" ref="H93:H100" si="27">F93*G93</f>
        <v>11225</v>
      </c>
      <c r="I93" s="299">
        <f t="shared" ref="I93:I96" si="28">SUM(K93:S93)</f>
        <v>0</v>
      </c>
      <c r="J93" s="299">
        <f t="shared" ref="J93:J102" si="29">H93+I93</f>
        <v>11225</v>
      </c>
      <c r="T93" s="224"/>
      <c r="U93" s="224"/>
      <c r="V93" s="224"/>
      <c r="W93" s="224"/>
    </row>
    <row r="94" spans="2:23" ht="12.75" customHeight="1" x14ac:dyDescent="0.25">
      <c r="B94" s="957" t="s">
        <v>4696</v>
      </c>
      <c r="C94" s="536">
        <v>2739380</v>
      </c>
      <c r="D94" s="955" t="s">
        <v>4687</v>
      </c>
      <c r="E94" s="956" t="s">
        <v>4642</v>
      </c>
      <c r="F94" s="836">
        <v>200</v>
      </c>
      <c r="G94" s="299">
        <v>32.9</v>
      </c>
      <c r="H94" s="299">
        <f t="shared" si="27"/>
        <v>6580</v>
      </c>
      <c r="I94" s="299">
        <f t="shared" si="28"/>
        <v>0</v>
      </c>
      <c r="J94" s="299">
        <f t="shared" si="29"/>
        <v>6580</v>
      </c>
    </row>
    <row r="95" spans="2:23" ht="12.75" customHeight="1" x14ac:dyDescent="0.25">
      <c r="B95" s="957" t="s">
        <v>4696</v>
      </c>
      <c r="C95" s="536">
        <v>2739380</v>
      </c>
      <c r="D95" s="955" t="s">
        <v>4687</v>
      </c>
      <c r="E95" s="956" t="s">
        <v>4642</v>
      </c>
      <c r="F95" s="836">
        <v>40</v>
      </c>
      <c r="G95" s="299">
        <v>33</v>
      </c>
      <c r="H95" s="299">
        <f t="shared" si="27"/>
        <v>1320</v>
      </c>
      <c r="I95" s="299">
        <f t="shared" si="28"/>
        <v>0</v>
      </c>
      <c r="J95" s="299">
        <f t="shared" si="29"/>
        <v>1320</v>
      </c>
    </row>
    <row r="96" spans="2:23" ht="12.75" customHeight="1" x14ac:dyDescent="0.25">
      <c r="B96" s="957" t="s">
        <v>4696</v>
      </c>
      <c r="C96" s="536">
        <v>2739380</v>
      </c>
      <c r="D96" s="956" t="s">
        <v>4694</v>
      </c>
      <c r="E96" s="956" t="s">
        <v>4642</v>
      </c>
      <c r="F96" s="836">
        <v>1500</v>
      </c>
      <c r="G96" s="249">
        <v>5.75</v>
      </c>
      <c r="H96" s="299">
        <f t="shared" si="27"/>
        <v>8625</v>
      </c>
      <c r="I96" s="299">
        <f t="shared" si="28"/>
        <v>254.38000000000002</v>
      </c>
      <c r="J96" s="299">
        <f t="shared" si="29"/>
        <v>8879.3799999999992</v>
      </c>
      <c r="K96" s="249">
        <v>160</v>
      </c>
      <c r="L96" s="249">
        <v>38.200000000000003</v>
      </c>
      <c r="M96" s="249">
        <v>27.75</v>
      </c>
      <c r="N96" s="249">
        <v>0.99</v>
      </c>
      <c r="O96" s="249">
        <v>0.99</v>
      </c>
      <c r="P96" s="249">
        <v>22</v>
      </c>
      <c r="Q96" s="249">
        <v>0.11</v>
      </c>
      <c r="R96" s="249">
        <v>4.33</v>
      </c>
      <c r="S96" s="249">
        <v>0.01</v>
      </c>
    </row>
    <row r="97" spans="1:22" ht="12.75" customHeight="1" x14ac:dyDescent="0.25">
      <c r="B97" s="957" t="s">
        <v>4705</v>
      </c>
      <c r="C97" s="536">
        <v>2795007</v>
      </c>
      <c r="D97" s="955" t="s">
        <v>4701</v>
      </c>
      <c r="E97" s="956" t="s">
        <v>4642</v>
      </c>
      <c r="F97" s="836">
        <v>2000</v>
      </c>
      <c r="G97" s="299">
        <v>3.8</v>
      </c>
      <c r="H97" s="299">
        <f t="shared" si="27"/>
        <v>7600</v>
      </c>
      <c r="I97" s="299">
        <f t="shared" ref="I97:I99" si="30">SUM(K97:S97)</f>
        <v>0</v>
      </c>
      <c r="J97" s="299">
        <f t="shared" si="29"/>
        <v>7600</v>
      </c>
    </row>
    <row r="98" spans="1:22" ht="12.75" customHeight="1" x14ac:dyDescent="0.25">
      <c r="B98" s="957" t="s">
        <v>4705</v>
      </c>
      <c r="C98" s="536">
        <v>2795007</v>
      </c>
      <c r="D98" s="955" t="s">
        <v>4702</v>
      </c>
      <c r="E98" s="956" t="s">
        <v>4642</v>
      </c>
      <c r="F98" s="836">
        <v>600</v>
      </c>
      <c r="G98" s="299">
        <v>11.5</v>
      </c>
      <c r="H98" s="299">
        <f t="shared" si="27"/>
        <v>6900</v>
      </c>
      <c r="I98" s="299">
        <f t="shared" si="30"/>
        <v>0</v>
      </c>
      <c r="J98" s="299">
        <f t="shared" si="29"/>
        <v>6900</v>
      </c>
      <c r="V98" s="247"/>
    </row>
    <row r="99" spans="1:22" ht="12.75" customHeight="1" x14ac:dyDescent="0.25">
      <c r="B99" s="957" t="s">
        <v>4705</v>
      </c>
      <c r="C99" s="536">
        <v>2795007</v>
      </c>
      <c r="D99" s="955" t="s">
        <v>4702</v>
      </c>
      <c r="E99" s="956" t="s">
        <v>4642</v>
      </c>
      <c r="F99" s="836">
        <v>600</v>
      </c>
      <c r="G99" s="299">
        <v>12</v>
      </c>
      <c r="H99" s="299">
        <f t="shared" si="27"/>
        <v>7200</v>
      </c>
      <c r="I99" s="299">
        <f t="shared" si="30"/>
        <v>0</v>
      </c>
      <c r="J99" s="299">
        <f t="shared" si="29"/>
        <v>7200</v>
      </c>
    </row>
    <row r="100" spans="1:22" ht="12.75" customHeight="1" x14ac:dyDescent="0.25">
      <c r="B100" s="957" t="s">
        <v>4705</v>
      </c>
      <c r="C100" s="536">
        <v>2795007</v>
      </c>
      <c r="D100" s="955" t="s">
        <v>4703</v>
      </c>
      <c r="E100" s="956" t="s">
        <v>4642</v>
      </c>
      <c r="F100" s="836">
        <v>2400</v>
      </c>
      <c r="G100" s="299">
        <v>1.6</v>
      </c>
      <c r="H100" s="299">
        <f t="shared" si="27"/>
        <v>3840</v>
      </c>
      <c r="I100" s="299">
        <f t="shared" ref="I100" si="31">SUM(K100:S100)</f>
        <v>171.53</v>
      </c>
      <c r="J100" s="299">
        <f t="shared" si="29"/>
        <v>4011.53</v>
      </c>
      <c r="K100" s="299">
        <v>120</v>
      </c>
      <c r="L100" s="299">
        <v>20.96</v>
      </c>
      <c r="M100" s="299">
        <v>19.739999999999998</v>
      </c>
      <c r="N100" s="299">
        <v>0.7</v>
      </c>
      <c r="O100" s="299">
        <v>0.7</v>
      </c>
      <c r="P100" s="299">
        <v>7</v>
      </c>
      <c r="Q100" s="299">
        <v>0.06</v>
      </c>
      <c r="R100" s="299">
        <v>2.37</v>
      </c>
    </row>
    <row r="101" spans="1:22" s="451" customFormat="1" ht="12.75" customHeight="1" x14ac:dyDescent="0.25">
      <c r="B101" s="993" t="s">
        <v>4706</v>
      </c>
      <c r="C101" s="537">
        <v>2849781</v>
      </c>
      <c r="D101" s="987" t="s">
        <v>4702</v>
      </c>
      <c r="E101" s="976" t="s">
        <v>4642</v>
      </c>
      <c r="F101" s="994">
        <v>600</v>
      </c>
      <c r="G101" s="457">
        <v>7.35</v>
      </c>
      <c r="H101" s="457">
        <f t="shared" ref="H101:H106" si="32">F101*G101</f>
        <v>4410</v>
      </c>
      <c r="I101" s="457">
        <f t="shared" ref="I101" si="33">SUM(K101:S101)</f>
        <v>0</v>
      </c>
      <c r="J101" s="457">
        <f t="shared" si="29"/>
        <v>4410</v>
      </c>
      <c r="K101" s="457"/>
      <c r="L101" s="457"/>
      <c r="M101" s="457"/>
      <c r="N101" s="457"/>
      <c r="O101" s="457"/>
      <c r="P101" s="457"/>
      <c r="Q101" s="457"/>
      <c r="R101" s="457"/>
      <c r="S101" s="457"/>
    </row>
    <row r="102" spans="1:22" s="451" customFormat="1" ht="12.75" customHeight="1" x14ac:dyDescent="0.25">
      <c r="B102" s="993" t="s">
        <v>4706</v>
      </c>
      <c r="C102" s="537">
        <v>2849781</v>
      </c>
      <c r="D102" s="987" t="s">
        <v>4707</v>
      </c>
      <c r="E102" s="976" t="s">
        <v>4642</v>
      </c>
      <c r="F102" s="994">
        <v>525</v>
      </c>
      <c r="G102" s="457">
        <v>29.95</v>
      </c>
      <c r="H102" s="457">
        <f t="shared" si="32"/>
        <v>15723.75</v>
      </c>
      <c r="I102" s="457">
        <f>SUM(K102:S102)</f>
        <v>193.7</v>
      </c>
      <c r="J102" s="457">
        <f t="shared" si="29"/>
        <v>15917.45</v>
      </c>
      <c r="K102" s="457">
        <v>100</v>
      </c>
      <c r="L102" s="457">
        <v>26.61</v>
      </c>
      <c r="M102" s="457">
        <v>17.73</v>
      </c>
      <c r="N102" s="457">
        <v>0.63</v>
      </c>
      <c r="O102" s="457">
        <v>0.63</v>
      </c>
      <c r="P102" s="457">
        <v>15</v>
      </c>
      <c r="Q102" s="457">
        <v>0.08</v>
      </c>
      <c r="R102" s="457">
        <v>3.01</v>
      </c>
      <c r="S102" s="457">
        <v>30.01</v>
      </c>
    </row>
    <row r="103" spans="1:22" s="451" customFormat="1" ht="12.75" customHeight="1" x14ac:dyDescent="0.25">
      <c r="A103" s="458"/>
      <c r="B103" s="993" t="s">
        <v>4708</v>
      </c>
      <c r="C103" s="537">
        <v>2904034</v>
      </c>
      <c r="D103" s="987" t="s">
        <v>4709</v>
      </c>
      <c r="E103" s="976" t="s">
        <v>4642</v>
      </c>
      <c r="F103" s="994">
        <v>9000</v>
      </c>
      <c r="G103" s="457">
        <v>0.3</v>
      </c>
      <c r="H103" s="457">
        <f t="shared" si="32"/>
        <v>2700</v>
      </c>
      <c r="I103" s="457">
        <f t="shared" ref="I103:I106" si="34">SUM(K103:S103)</f>
        <v>0</v>
      </c>
      <c r="J103" s="457">
        <f t="shared" ref="J103:J106" si="35">H103+I103</f>
        <v>2700</v>
      </c>
      <c r="K103" s="457"/>
      <c r="L103" s="457"/>
      <c r="M103" s="457"/>
      <c r="N103" s="457"/>
      <c r="O103" s="457"/>
      <c r="P103" s="457"/>
      <c r="Q103" s="457"/>
      <c r="R103" s="457"/>
      <c r="S103" s="457"/>
    </row>
    <row r="104" spans="1:22" ht="12.75" customHeight="1" x14ac:dyDescent="0.25">
      <c r="B104" s="957" t="s">
        <v>4708</v>
      </c>
      <c r="C104" s="536">
        <v>2904034</v>
      </c>
      <c r="D104" s="955" t="s">
        <v>4709</v>
      </c>
      <c r="E104" s="956" t="s">
        <v>4642</v>
      </c>
      <c r="F104" s="836">
        <v>9000</v>
      </c>
      <c r="G104" s="299">
        <v>0.4</v>
      </c>
      <c r="H104" s="299">
        <f t="shared" si="32"/>
        <v>3600</v>
      </c>
      <c r="I104" s="299">
        <f t="shared" si="34"/>
        <v>0</v>
      </c>
      <c r="J104" s="299">
        <f t="shared" si="35"/>
        <v>3600</v>
      </c>
    </row>
    <row r="105" spans="1:22" ht="12.75" customHeight="1" x14ac:dyDescent="0.25">
      <c r="B105" s="957" t="s">
        <v>4708</v>
      </c>
      <c r="C105" s="536">
        <v>2904034</v>
      </c>
      <c r="D105" s="955" t="s">
        <v>4709</v>
      </c>
      <c r="E105" s="956" t="s">
        <v>4642</v>
      </c>
      <c r="F105" s="836">
        <v>9000</v>
      </c>
      <c r="G105" s="299">
        <v>0.4</v>
      </c>
      <c r="H105" s="299">
        <f t="shared" si="32"/>
        <v>3600</v>
      </c>
      <c r="I105" s="299">
        <f t="shared" si="34"/>
        <v>0</v>
      </c>
      <c r="J105" s="299">
        <f t="shared" si="35"/>
        <v>3600</v>
      </c>
    </row>
    <row r="106" spans="1:22" ht="12.75" customHeight="1" x14ac:dyDescent="0.25">
      <c r="B106" s="957" t="s">
        <v>4708</v>
      </c>
      <c r="C106" s="536">
        <v>2904034</v>
      </c>
      <c r="D106" s="955" t="s">
        <v>4709</v>
      </c>
      <c r="E106" s="956" t="s">
        <v>4642</v>
      </c>
      <c r="F106" s="836">
        <v>9000</v>
      </c>
      <c r="G106" s="299">
        <v>0.4</v>
      </c>
      <c r="H106" s="299">
        <f t="shared" si="32"/>
        <v>3600</v>
      </c>
      <c r="I106" s="299">
        <f t="shared" si="34"/>
        <v>78.350000000000009</v>
      </c>
      <c r="J106" s="299">
        <f t="shared" si="35"/>
        <v>3678.35</v>
      </c>
      <c r="K106" s="299">
        <v>40</v>
      </c>
      <c r="L106" s="299">
        <v>17.649999999999999</v>
      </c>
      <c r="M106" s="299">
        <v>8.07</v>
      </c>
      <c r="N106" s="299">
        <v>0.28999999999999998</v>
      </c>
      <c r="O106" s="299">
        <v>0.28999999999999998</v>
      </c>
      <c r="P106" s="299">
        <v>10</v>
      </c>
      <c r="Q106" s="299">
        <v>0.05</v>
      </c>
      <c r="R106" s="299">
        <v>2</v>
      </c>
    </row>
    <row r="107" spans="1:22" ht="12.75" customHeight="1" x14ac:dyDescent="0.25">
      <c r="B107" s="957" t="s">
        <v>4710</v>
      </c>
      <c r="C107" s="536">
        <v>2960954</v>
      </c>
      <c r="D107" s="955" t="s">
        <v>4711</v>
      </c>
      <c r="E107" s="956" t="s">
        <v>4642</v>
      </c>
      <c r="F107" s="836">
        <v>240</v>
      </c>
      <c r="G107" s="299">
        <v>83.3</v>
      </c>
      <c r="H107" s="299">
        <f t="shared" ref="H107:H113" si="36">F107*G107</f>
        <v>19992</v>
      </c>
      <c r="I107" s="299">
        <f t="shared" ref="I107:I110" si="37">SUM(K107:S107)</f>
        <v>0</v>
      </c>
      <c r="J107" s="299">
        <f t="shared" ref="J107:J110" si="38">H107+I107</f>
        <v>19992</v>
      </c>
    </row>
    <row r="108" spans="1:22" ht="12.75" customHeight="1" x14ac:dyDescent="0.25">
      <c r="B108" s="957" t="s">
        <v>4710</v>
      </c>
      <c r="C108" s="536">
        <v>2960954</v>
      </c>
      <c r="D108" s="955" t="s">
        <v>4712</v>
      </c>
      <c r="E108" s="956" t="s">
        <v>4642</v>
      </c>
      <c r="F108" s="836">
        <v>1200</v>
      </c>
      <c r="G108" s="299">
        <v>10.4</v>
      </c>
      <c r="H108" s="299">
        <f t="shared" si="36"/>
        <v>12480</v>
      </c>
      <c r="I108" s="299">
        <f t="shared" si="37"/>
        <v>0</v>
      </c>
      <c r="J108" s="299">
        <f t="shared" si="38"/>
        <v>12480</v>
      </c>
    </row>
    <row r="109" spans="1:22" ht="12.75" customHeight="1" x14ac:dyDescent="0.25">
      <c r="B109" s="957" t="s">
        <v>4710</v>
      </c>
      <c r="C109" s="536">
        <v>2960954</v>
      </c>
      <c r="D109" s="955" t="s">
        <v>4713</v>
      </c>
      <c r="E109" s="956" t="s">
        <v>4642</v>
      </c>
      <c r="F109" s="836">
        <v>12000</v>
      </c>
      <c r="G109" s="299">
        <v>1.85</v>
      </c>
      <c r="H109" s="299">
        <f t="shared" si="36"/>
        <v>22200</v>
      </c>
      <c r="I109" s="299">
        <f t="shared" si="37"/>
        <v>0</v>
      </c>
      <c r="J109" s="299">
        <f t="shared" si="38"/>
        <v>22200</v>
      </c>
    </row>
    <row r="110" spans="1:22" ht="12.75" customHeight="1" x14ac:dyDescent="0.25">
      <c r="B110" s="957" t="s">
        <v>4710</v>
      </c>
      <c r="C110" s="536">
        <v>2960954</v>
      </c>
      <c r="D110" s="955" t="s">
        <v>4695</v>
      </c>
      <c r="E110" s="956" t="s">
        <v>4642</v>
      </c>
      <c r="F110" s="836">
        <v>1400</v>
      </c>
      <c r="G110" s="299">
        <v>14.2</v>
      </c>
      <c r="H110" s="299">
        <f t="shared" si="36"/>
        <v>19880</v>
      </c>
      <c r="I110" s="299">
        <f t="shared" si="37"/>
        <v>311.77000000000004</v>
      </c>
      <c r="J110" s="299">
        <f t="shared" si="38"/>
        <v>20191.77</v>
      </c>
      <c r="K110" s="299">
        <v>160</v>
      </c>
      <c r="L110" s="299">
        <v>74.87</v>
      </c>
      <c r="M110" s="299">
        <v>32.880000000000003</v>
      </c>
      <c r="N110" s="299">
        <v>1.17</v>
      </c>
      <c r="O110" s="299">
        <v>1.17</v>
      </c>
      <c r="P110" s="299">
        <v>33</v>
      </c>
      <c r="Q110" s="299">
        <v>0.21</v>
      </c>
      <c r="R110" s="299">
        <v>8.48</v>
      </c>
      <c r="S110" s="299">
        <v>-0.01</v>
      </c>
    </row>
    <row r="111" spans="1:22" ht="12.75" customHeight="1" x14ac:dyDescent="0.25">
      <c r="B111" s="957" t="s">
        <v>4716</v>
      </c>
      <c r="C111" s="536">
        <v>3021042</v>
      </c>
      <c r="D111" s="955" t="s">
        <v>4717</v>
      </c>
      <c r="E111" s="956" t="s">
        <v>4642</v>
      </c>
      <c r="F111" s="975">
        <v>10000</v>
      </c>
      <c r="G111" s="299">
        <v>1.8</v>
      </c>
      <c r="H111" s="299">
        <f t="shared" si="36"/>
        <v>18000</v>
      </c>
      <c r="I111" s="299">
        <f t="shared" ref="I111:I113" si="39">SUM(K111:S111)</f>
        <v>228.69000000000005</v>
      </c>
      <c r="J111" s="299">
        <f t="shared" ref="J111:J113" si="40">H111+I111</f>
        <v>18228.689999999999</v>
      </c>
      <c r="K111" s="299">
        <v>120</v>
      </c>
      <c r="L111" s="299">
        <v>52.67</v>
      </c>
      <c r="M111" s="299">
        <v>24.17</v>
      </c>
      <c r="N111" s="299">
        <v>0.87</v>
      </c>
      <c r="O111" s="299">
        <v>0.87</v>
      </c>
      <c r="P111" s="299">
        <v>24</v>
      </c>
      <c r="Q111" s="299">
        <v>0.15</v>
      </c>
      <c r="R111" s="299">
        <v>5.96</v>
      </c>
    </row>
    <row r="112" spans="1:22" ht="12.75" customHeight="1" x14ac:dyDescent="0.25">
      <c r="B112" s="957" t="s">
        <v>4716</v>
      </c>
      <c r="C112" s="536">
        <v>3021042</v>
      </c>
      <c r="D112" s="962" t="s">
        <v>4712</v>
      </c>
      <c r="E112" s="956" t="s">
        <v>4642</v>
      </c>
      <c r="F112" s="844">
        <v>1200</v>
      </c>
      <c r="G112" s="455">
        <v>9.4</v>
      </c>
      <c r="H112" s="454">
        <f t="shared" si="36"/>
        <v>11280</v>
      </c>
      <c r="I112" s="299">
        <f t="shared" si="39"/>
        <v>0</v>
      </c>
      <c r="J112" s="299">
        <f t="shared" si="40"/>
        <v>11280</v>
      </c>
      <c r="K112" s="455"/>
      <c r="L112" s="303"/>
    </row>
    <row r="113" spans="2:20" ht="12.75" customHeight="1" x14ac:dyDescent="0.25">
      <c r="B113" s="957" t="s">
        <v>4716</v>
      </c>
      <c r="C113" s="536">
        <v>3021042</v>
      </c>
      <c r="D113" s="785" t="s">
        <v>4694</v>
      </c>
      <c r="E113" s="977" t="s">
        <v>4642</v>
      </c>
      <c r="F113" s="844">
        <v>3000</v>
      </c>
      <c r="G113" s="455">
        <v>7.7</v>
      </c>
      <c r="H113" s="454">
        <f t="shared" si="36"/>
        <v>23100</v>
      </c>
      <c r="I113" s="299">
        <f t="shared" si="39"/>
        <v>0</v>
      </c>
      <c r="J113" s="299">
        <f t="shared" si="40"/>
        <v>23100</v>
      </c>
      <c r="K113" s="455"/>
      <c r="L113" s="303"/>
      <c r="M113" s="455"/>
      <c r="N113" s="457"/>
      <c r="O113" s="457"/>
      <c r="P113" s="457"/>
      <c r="Q113" s="457"/>
      <c r="R113" s="457"/>
      <c r="S113" s="457"/>
      <c r="T113" s="451"/>
    </row>
    <row r="114" spans="2:20" ht="12.75" customHeight="1" x14ac:dyDescent="0.25">
      <c r="B114" s="957" t="s">
        <v>4714</v>
      </c>
      <c r="C114" s="536">
        <v>3080364</v>
      </c>
      <c r="D114" s="955" t="s">
        <v>4715</v>
      </c>
      <c r="E114" s="956" t="s">
        <v>4642</v>
      </c>
      <c r="F114" s="836">
        <v>5000</v>
      </c>
      <c r="G114" s="299">
        <v>1.3</v>
      </c>
      <c r="H114" s="299">
        <f>F114*G114</f>
        <v>6500</v>
      </c>
      <c r="I114" s="299">
        <f t="shared" ref="I114" si="41">SUM(K114:S114)</f>
        <v>27.360000000000003</v>
      </c>
      <c r="J114" s="299">
        <f t="shared" ref="J114" si="42">H114+I114</f>
        <v>6527.36</v>
      </c>
      <c r="K114" s="299">
        <v>20</v>
      </c>
      <c r="L114" s="299">
        <v>3.45</v>
      </c>
      <c r="M114" s="299">
        <v>3.28</v>
      </c>
      <c r="N114" s="299">
        <v>0.12</v>
      </c>
      <c r="O114" s="299">
        <v>0.12</v>
      </c>
      <c r="Q114" s="299">
        <v>0.01</v>
      </c>
      <c r="R114" s="299">
        <v>0.39</v>
      </c>
      <c r="S114" s="299">
        <v>-0.01</v>
      </c>
    </row>
    <row r="115" spans="2:20" ht="12.75" customHeight="1" x14ac:dyDescent="0.25">
      <c r="B115" s="957" t="s">
        <v>4718</v>
      </c>
      <c r="C115" s="536">
        <v>3139980</v>
      </c>
      <c r="D115" s="955" t="s">
        <v>4719</v>
      </c>
      <c r="E115" s="956" t="s">
        <v>4642</v>
      </c>
      <c r="F115" s="836">
        <v>13200</v>
      </c>
      <c r="G115" s="299">
        <v>0.3</v>
      </c>
      <c r="H115" s="299">
        <f>F115*G115</f>
        <v>3960</v>
      </c>
      <c r="I115" s="299">
        <f t="shared" ref="I115" si="43">SUM(K115:S115)</f>
        <v>0</v>
      </c>
      <c r="J115" s="299">
        <f t="shared" ref="J115" si="44">H115+I115</f>
        <v>3960</v>
      </c>
    </row>
    <row r="116" spans="2:20" ht="12.75" customHeight="1" x14ac:dyDescent="0.25">
      <c r="B116" s="957" t="s">
        <v>4720</v>
      </c>
      <c r="C116" s="536">
        <v>3199644</v>
      </c>
      <c r="D116" s="955" t="s">
        <v>4722</v>
      </c>
      <c r="E116" s="956" t="s">
        <v>4642</v>
      </c>
      <c r="F116" s="836">
        <v>500</v>
      </c>
      <c r="G116" s="299">
        <v>6.3</v>
      </c>
      <c r="H116" s="299">
        <f>F116*G116</f>
        <v>3150</v>
      </c>
      <c r="I116" s="299">
        <f t="shared" ref="I116:I118" si="45">SUM(K116:S116)</f>
        <v>101.75</v>
      </c>
      <c r="J116" s="299">
        <f t="shared" ref="J116:J118" si="46">H116+I116</f>
        <v>3251.75</v>
      </c>
      <c r="K116" s="299">
        <v>60</v>
      </c>
      <c r="L116" s="299">
        <v>17.18</v>
      </c>
      <c r="M116" s="299">
        <v>10.81</v>
      </c>
      <c r="N116" s="299">
        <v>0.38</v>
      </c>
      <c r="O116" s="299">
        <v>0.38</v>
      </c>
      <c r="P116" s="299">
        <v>11</v>
      </c>
      <c r="Q116" s="299">
        <v>0.05</v>
      </c>
      <c r="R116" s="299">
        <v>1.95</v>
      </c>
    </row>
    <row r="117" spans="2:20" ht="12.75" customHeight="1" x14ac:dyDescent="0.25">
      <c r="B117" s="957" t="s">
        <v>4720</v>
      </c>
      <c r="C117" s="536">
        <v>3199644</v>
      </c>
      <c r="D117" s="955" t="s">
        <v>4722</v>
      </c>
      <c r="E117" s="956" t="s">
        <v>4642</v>
      </c>
      <c r="F117" s="836">
        <v>500</v>
      </c>
      <c r="G117" s="299">
        <v>6.3</v>
      </c>
      <c r="H117" s="299">
        <f>F117*G117</f>
        <v>3150</v>
      </c>
      <c r="I117" s="299">
        <f t="shared" si="45"/>
        <v>0</v>
      </c>
      <c r="J117" s="299">
        <f t="shared" si="46"/>
        <v>3150</v>
      </c>
    </row>
    <row r="118" spans="2:20" ht="12.75" customHeight="1" x14ac:dyDescent="0.25">
      <c r="B118" s="957" t="s">
        <v>4720</v>
      </c>
      <c r="C118" s="536">
        <v>3199644</v>
      </c>
      <c r="D118" s="955" t="s">
        <v>4722</v>
      </c>
      <c r="E118" s="956" t="s">
        <v>4642</v>
      </c>
      <c r="F118" s="836">
        <v>500</v>
      </c>
      <c r="G118" s="299">
        <v>6.3</v>
      </c>
      <c r="H118" s="299">
        <f>F118*G118</f>
        <v>3150</v>
      </c>
      <c r="I118" s="299">
        <f t="shared" si="45"/>
        <v>0</v>
      </c>
      <c r="J118" s="299">
        <f t="shared" si="46"/>
        <v>3150</v>
      </c>
    </row>
    <row r="119" spans="2:20" ht="12.75" customHeight="1" x14ac:dyDescent="0.25">
      <c r="B119" s="957" t="s">
        <v>4723</v>
      </c>
      <c r="C119" s="536">
        <v>3319675</v>
      </c>
      <c r="D119" s="955" t="s">
        <v>4724</v>
      </c>
      <c r="E119" s="956" t="s">
        <v>4642</v>
      </c>
      <c r="F119" s="836">
        <v>120</v>
      </c>
      <c r="G119" s="299">
        <v>113</v>
      </c>
      <c r="H119" s="299">
        <f t="shared" ref="H119:H126" si="47">F119*G119</f>
        <v>13560</v>
      </c>
      <c r="I119" s="299">
        <f t="shared" ref="I119" si="48">SUM(K119:S119)</f>
        <v>66.950000000000017</v>
      </c>
      <c r="J119" s="299">
        <f t="shared" ref="J119" si="49">H119+I119</f>
        <v>13626.95</v>
      </c>
      <c r="K119" s="299">
        <v>40</v>
      </c>
      <c r="L119" s="299">
        <v>12.59</v>
      </c>
      <c r="M119" s="299">
        <v>7.36</v>
      </c>
      <c r="N119" s="299">
        <v>0.26</v>
      </c>
      <c r="O119" s="299">
        <v>0.26</v>
      </c>
      <c r="P119" s="299">
        <v>5</v>
      </c>
      <c r="Q119" s="299">
        <v>0.04</v>
      </c>
      <c r="R119" s="299">
        <v>1.43</v>
      </c>
      <c r="S119" s="299">
        <v>0.01</v>
      </c>
    </row>
    <row r="120" spans="2:20" ht="12.75" customHeight="1" x14ac:dyDescent="0.25">
      <c r="B120" s="957" t="s">
        <v>4725</v>
      </c>
      <c r="C120" s="536">
        <v>3377126</v>
      </c>
      <c r="D120" s="955" t="s">
        <v>4727</v>
      </c>
      <c r="E120" s="956" t="s">
        <v>4642</v>
      </c>
      <c r="F120" s="836">
        <v>160</v>
      </c>
      <c r="G120" s="299">
        <v>54.75</v>
      </c>
      <c r="H120" s="299">
        <f t="shared" si="47"/>
        <v>8760</v>
      </c>
      <c r="I120" s="299">
        <f t="shared" ref="I120" si="50">SUM(K120:S120)</f>
        <v>188.79000000000002</v>
      </c>
      <c r="J120" s="299">
        <f t="shared" ref="J120" si="51">H120+I120</f>
        <v>8948.7900000000009</v>
      </c>
      <c r="K120" s="299">
        <v>120</v>
      </c>
      <c r="L120" s="299">
        <v>27.16</v>
      </c>
      <c r="O120" s="299">
        <v>26.49</v>
      </c>
      <c r="P120" s="299">
        <v>12</v>
      </c>
      <c r="Q120" s="299">
        <v>0.08</v>
      </c>
      <c r="R120" s="299">
        <v>3.07</v>
      </c>
      <c r="S120" s="299">
        <v>-0.01</v>
      </c>
    </row>
    <row r="121" spans="2:20" ht="12.75" customHeight="1" x14ac:dyDescent="0.25">
      <c r="B121" s="957" t="s">
        <v>4725</v>
      </c>
      <c r="C121" s="536">
        <v>3377126</v>
      </c>
      <c r="D121" s="955" t="s">
        <v>4726</v>
      </c>
      <c r="E121" s="956" t="s">
        <v>4642</v>
      </c>
      <c r="F121" s="836">
        <v>160</v>
      </c>
      <c r="G121" s="299">
        <v>58.4</v>
      </c>
      <c r="H121" s="299">
        <f>F121*G121</f>
        <v>9344</v>
      </c>
      <c r="I121" s="299">
        <f t="shared" ref="I121:I122" si="52">SUM(K121:S121)</f>
        <v>0</v>
      </c>
      <c r="J121" s="299">
        <f t="shared" ref="J121:J122" si="53">H121+I121</f>
        <v>9344</v>
      </c>
    </row>
    <row r="122" spans="2:20" ht="12.75" customHeight="1" x14ac:dyDescent="0.25">
      <c r="B122" s="957" t="s">
        <v>4725</v>
      </c>
      <c r="C122" s="536">
        <v>3377126</v>
      </c>
      <c r="D122" s="955" t="s">
        <v>4727</v>
      </c>
      <c r="E122" s="956" t="s">
        <v>4642</v>
      </c>
      <c r="F122" s="836">
        <v>80</v>
      </c>
      <c r="G122" s="299">
        <v>108</v>
      </c>
      <c r="H122" s="299">
        <f t="shared" si="47"/>
        <v>8640</v>
      </c>
      <c r="I122" s="299">
        <f t="shared" si="52"/>
        <v>0</v>
      </c>
      <c r="J122" s="299">
        <f t="shared" si="53"/>
        <v>8640</v>
      </c>
    </row>
    <row r="123" spans="2:20" ht="12.75" customHeight="1" x14ac:dyDescent="0.25">
      <c r="B123" s="957" t="s">
        <v>4728</v>
      </c>
      <c r="C123" s="536">
        <v>3436130</v>
      </c>
      <c r="D123" s="955" t="s">
        <v>4729</v>
      </c>
      <c r="E123" s="956" t="s">
        <v>4642</v>
      </c>
      <c r="F123" s="836">
        <v>2500</v>
      </c>
      <c r="G123" s="299">
        <v>3.45</v>
      </c>
      <c r="H123" s="299">
        <f t="shared" si="47"/>
        <v>8625</v>
      </c>
      <c r="I123" s="299">
        <f t="shared" ref="I123:I136" si="54">SUM(K123:S123)</f>
        <v>0</v>
      </c>
      <c r="J123" s="299">
        <f t="shared" ref="J123:J136" si="55">H123+I123</f>
        <v>8625</v>
      </c>
    </row>
    <row r="124" spans="2:20" ht="12.75" customHeight="1" x14ac:dyDescent="0.25">
      <c r="B124" s="957" t="s">
        <v>4728</v>
      </c>
      <c r="C124" s="536">
        <v>3436130</v>
      </c>
      <c r="D124" s="955" t="s">
        <v>4730</v>
      </c>
      <c r="E124" s="956" t="s">
        <v>4642</v>
      </c>
      <c r="F124" s="836">
        <v>40</v>
      </c>
      <c r="G124" s="299">
        <v>63</v>
      </c>
      <c r="H124" s="299">
        <f t="shared" si="47"/>
        <v>2520</v>
      </c>
      <c r="I124" s="299">
        <f t="shared" si="54"/>
        <v>0</v>
      </c>
      <c r="J124" s="299">
        <f t="shared" si="55"/>
        <v>2520</v>
      </c>
    </row>
    <row r="125" spans="2:20" ht="12.75" customHeight="1" x14ac:dyDescent="0.25">
      <c r="B125" s="957" t="s">
        <v>4728</v>
      </c>
      <c r="C125" s="536">
        <v>3436130</v>
      </c>
      <c r="D125" s="955" t="s">
        <v>4730</v>
      </c>
      <c r="E125" s="956" t="s">
        <v>4642</v>
      </c>
      <c r="F125" s="836">
        <v>40</v>
      </c>
      <c r="G125" s="299">
        <v>63</v>
      </c>
      <c r="H125" s="299">
        <f t="shared" si="47"/>
        <v>2520</v>
      </c>
      <c r="I125" s="299">
        <f t="shared" si="54"/>
        <v>0</v>
      </c>
      <c r="J125" s="299">
        <f t="shared" si="55"/>
        <v>2520</v>
      </c>
    </row>
    <row r="126" spans="2:20" ht="12.75" customHeight="1" x14ac:dyDescent="0.25">
      <c r="B126" s="957" t="s">
        <v>4728</v>
      </c>
      <c r="C126" s="536">
        <v>3436130</v>
      </c>
      <c r="D126" s="955" t="s">
        <v>4730</v>
      </c>
      <c r="E126" s="956" t="s">
        <v>4642</v>
      </c>
      <c r="F126" s="836">
        <v>40</v>
      </c>
      <c r="G126" s="299">
        <v>63</v>
      </c>
      <c r="H126" s="299">
        <f t="shared" si="47"/>
        <v>2520</v>
      </c>
      <c r="I126" s="299">
        <f t="shared" si="54"/>
        <v>0</v>
      </c>
      <c r="J126" s="299">
        <f t="shared" si="55"/>
        <v>2520</v>
      </c>
    </row>
    <row r="127" spans="2:20" ht="12.75" customHeight="1" x14ac:dyDescent="0.25">
      <c r="B127" s="957" t="s">
        <v>4728</v>
      </c>
      <c r="C127" s="536">
        <v>3436130</v>
      </c>
      <c r="D127" s="955" t="s">
        <v>4675</v>
      </c>
      <c r="E127" s="956" t="s">
        <v>4642</v>
      </c>
      <c r="F127" s="836">
        <v>80</v>
      </c>
      <c r="G127" s="299">
        <v>104</v>
      </c>
      <c r="H127" s="299">
        <f>F127*G127</f>
        <v>8320</v>
      </c>
      <c r="I127" s="299">
        <f t="shared" si="54"/>
        <v>0</v>
      </c>
      <c r="J127" s="299">
        <f t="shared" si="55"/>
        <v>8320</v>
      </c>
      <c r="K127" s="455"/>
      <c r="L127" s="456"/>
      <c r="M127" s="455"/>
      <c r="N127" s="457"/>
      <c r="O127" s="457"/>
      <c r="P127" s="457"/>
      <c r="Q127" s="457"/>
      <c r="R127" s="457"/>
      <c r="S127" s="457"/>
      <c r="T127" s="451"/>
    </row>
    <row r="128" spans="2:20" ht="12.75" customHeight="1" x14ac:dyDescent="0.25">
      <c r="B128" s="957" t="s">
        <v>4728</v>
      </c>
      <c r="C128" s="536">
        <v>3436130</v>
      </c>
      <c r="D128" s="955" t="s">
        <v>4731</v>
      </c>
      <c r="E128" s="977" t="s">
        <v>4642</v>
      </c>
      <c r="F128" s="844">
        <v>75</v>
      </c>
      <c r="G128" s="455">
        <v>66.5</v>
      </c>
      <c r="H128" s="454">
        <f>F128*G128</f>
        <v>4987.5</v>
      </c>
      <c r="I128" s="299">
        <f t="shared" si="54"/>
        <v>0</v>
      </c>
      <c r="J128" s="299">
        <f t="shared" si="55"/>
        <v>4987.5</v>
      </c>
      <c r="K128" s="455"/>
      <c r="L128" s="303"/>
      <c r="M128" s="455"/>
      <c r="N128" s="457"/>
      <c r="O128" s="457"/>
      <c r="P128" s="457"/>
      <c r="Q128" s="457"/>
      <c r="R128" s="457"/>
      <c r="S128" s="457"/>
      <c r="T128" s="451"/>
    </row>
    <row r="129" spans="2:22" ht="12.75" customHeight="1" x14ac:dyDescent="0.25">
      <c r="B129" s="957" t="s">
        <v>4728</v>
      </c>
      <c r="C129" s="536">
        <v>3436130</v>
      </c>
      <c r="D129" s="955" t="s">
        <v>4731</v>
      </c>
      <c r="E129" s="977" t="s">
        <v>4642</v>
      </c>
      <c r="F129" s="844">
        <v>75</v>
      </c>
      <c r="G129" s="455">
        <v>66.5</v>
      </c>
      <c r="H129" s="454">
        <f>F129*G129</f>
        <v>4987.5</v>
      </c>
      <c r="I129" s="299">
        <f t="shared" si="54"/>
        <v>0</v>
      </c>
      <c r="J129" s="299">
        <f t="shared" si="55"/>
        <v>4987.5</v>
      </c>
      <c r="K129" s="455"/>
      <c r="L129" s="303"/>
      <c r="M129" s="455"/>
      <c r="N129" s="457"/>
      <c r="O129" s="457"/>
      <c r="P129" s="457"/>
      <c r="Q129" s="457"/>
      <c r="R129" s="457"/>
      <c r="S129" s="457"/>
      <c r="T129" s="451"/>
    </row>
    <row r="130" spans="2:22" ht="12.75" customHeight="1" x14ac:dyDescent="0.25">
      <c r="B130" s="957" t="s">
        <v>4728</v>
      </c>
      <c r="C130" s="536">
        <v>3436130</v>
      </c>
      <c r="D130" s="955" t="s">
        <v>4685</v>
      </c>
      <c r="E130" s="956" t="s">
        <v>4642</v>
      </c>
      <c r="F130" s="836">
        <v>150</v>
      </c>
      <c r="G130" s="299">
        <v>68.5</v>
      </c>
      <c r="H130" s="299">
        <f>F130*G130</f>
        <v>10275</v>
      </c>
      <c r="I130" s="299">
        <f t="shared" si="54"/>
        <v>0</v>
      </c>
      <c r="J130" s="299">
        <f t="shared" si="55"/>
        <v>10275</v>
      </c>
    </row>
    <row r="131" spans="2:22" ht="12.75" customHeight="1" x14ac:dyDescent="0.25">
      <c r="B131" s="957" t="s">
        <v>4728</v>
      </c>
      <c r="C131" s="536">
        <v>3436130</v>
      </c>
      <c r="D131" s="978" t="s">
        <v>4732</v>
      </c>
      <c r="E131" s="976" t="s">
        <v>4642</v>
      </c>
      <c r="F131" s="836">
        <v>14000</v>
      </c>
      <c r="G131" s="455">
        <v>0.7</v>
      </c>
      <c r="H131" s="299">
        <f>F131*G131</f>
        <v>9800</v>
      </c>
      <c r="I131" s="299">
        <f t="shared" si="54"/>
        <v>353.5</v>
      </c>
      <c r="J131" s="299">
        <f t="shared" si="55"/>
        <v>10153.5</v>
      </c>
      <c r="K131" s="455">
        <v>220</v>
      </c>
      <c r="L131" s="456">
        <v>53.94</v>
      </c>
      <c r="M131" s="224"/>
      <c r="N131" s="457"/>
      <c r="O131" s="455">
        <v>49.31</v>
      </c>
      <c r="P131" s="457">
        <v>24</v>
      </c>
      <c r="Q131" s="457">
        <v>0.15</v>
      </c>
      <c r="R131" s="457">
        <v>6.11</v>
      </c>
      <c r="S131" s="457">
        <v>-0.01</v>
      </c>
      <c r="T131" s="451"/>
    </row>
    <row r="132" spans="2:22" ht="12.75" customHeight="1" x14ac:dyDescent="0.25">
      <c r="B132" s="957" t="s">
        <v>4736</v>
      </c>
      <c r="C132" s="536">
        <v>3496546</v>
      </c>
      <c r="D132" s="955" t="s">
        <v>4675</v>
      </c>
      <c r="E132" s="956" t="s">
        <v>4642</v>
      </c>
      <c r="F132" s="836">
        <v>120</v>
      </c>
      <c r="G132" s="299">
        <v>78</v>
      </c>
      <c r="H132" s="299">
        <f t="shared" ref="H132:H136" si="56">F132*G132</f>
        <v>9360</v>
      </c>
      <c r="I132" s="299">
        <f t="shared" si="54"/>
        <v>0</v>
      </c>
      <c r="J132" s="299">
        <f t="shared" si="55"/>
        <v>9360</v>
      </c>
      <c r="V132" s="247"/>
    </row>
    <row r="133" spans="2:22" ht="12.75" customHeight="1" x14ac:dyDescent="0.25">
      <c r="B133" s="957" t="s">
        <v>4736</v>
      </c>
      <c r="C133" s="536">
        <v>3496546</v>
      </c>
      <c r="D133" s="955" t="s">
        <v>4733</v>
      </c>
      <c r="E133" s="956" t="s">
        <v>4642</v>
      </c>
      <c r="F133" s="836">
        <v>160</v>
      </c>
      <c r="G133" s="299">
        <v>49</v>
      </c>
      <c r="H133" s="299">
        <f t="shared" si="56"/>
        <v>7840</v>
      </c>
      <c r="I133" s="299">
        <f t="shared" si="54"/>
        <v>0</v>
      </c>
      <c r="J133" s="299">
        <f t="shared" si="55"/>
        <v>7840</v>
      </c>
    </row>
    <row r="134" spans="2:22" ht="12.75" customHeight="1" x14ac:dyDescent="0.25">
      <c r="B134" s="957" t="s">
        <v>4736</v>
      </c>
      <c r="C134" s="536">
        <v>3496546</v>
      </c>
      <c r="D134" s="955" t="s">
        <v>4734</v>
      </c>
      <c r="E134" s="956" t="s">
        <v>4642</v>
      </c>
      <c r="F134" s="836">
        <v>2700</v>
      </c>
      <c r="G134" s="299">
        <v>2.2999999999999998</v>
      </c>
      <c r="H134" s="299">
        <f t="shared" si="56"/>
        <v>6209.9999999999991</v>
      </c>
      <c r="I134" s="299">
        <f t="shared" si="54"/>
        <v>0</v>
      </c>
      <c r="J134" s="299">
        <f t="shared" si="55"/>
        <v>6209.9999999999991</v>
      </c>
    </row>
    <row r="135" spans="2:22" ht="12.75" customHeight="1" x14ac:dyDescent="0.25">
      <c r="B135" s="957" t="s">
        <v>4736</v>
      </c>
      <c r="C135" s="536">
        <v>3496546</v>
      </c>
      <c r="D135" s="955" t="s">
        <v>4734</v>
      </c>
      <c r="E135" s="956" t="s">
        <v>4642</v>
      </c>
      <c r="F135" s="836">
        <v>2700</v>
      </c>
      <c r="G135" s="299">
        <v>2.25</v>
      </c>
      <c r="H135" s="299">
        <f t="shared" si="56"/>
        <v>6075</v>
      </c>
      <c r="I135" s="299">
        <f t="shared" si="54"/>
        <v>0</v>
      </c>
      <c r="J135" s="299">
        <f t="shared" si="55"/>
        <v>6075</v>
      </c>
    </row>
    <row r="136" spans="2:22" ht="12.75" customHeight="1" x14ac:dyDescent="0.25">
      <c r="B136" s="957" t="s">
        <v>4736</v>
      </c>
      <c r="C136" s="536">
        <v>3496546</v>
      </c>
      <c r="D136" s="955" t="s">
        <v>4735</v>
      </c>
      <c r="E136" s="956" t="s">
        <v>4642</v>
      </c>
      <c r="F136" s="836">
        <v>1050</v>
      </c>
      <c r="G136" s="299">
        <v>7.4</v>
      </c>
      <c r="H136" s="299">
        <f t="shared" si="56"/>
        <v>7770</v>
      </c>
      <c r="I136" s="299">
        <f t="shared" si="54"/>
        <v>307.00000000000006</v>
      </c>
      <c r="J136" s="299">
        <f t="shared" si="55"/>
        <v>8077</v>
      </c>
      <c r="K136" s="299">
        <v>200</v>
      </c>
      <c r="L136" s="299">
        <v>40.119999999999997</v>
      </c>
      <c r="O136" s="299">
        <v>43.22</v>
      </c>
      <c r="P136" s="299">
        <v>19</v>
      </c>
      <c r="Q136" s="299">
        <v>0.12</v>
      </c>
      <c r="R136" s="299">
        <v>4.54</v>
      </c>
    </row>
    <row r="137" spans="2:22" ht="12.75" customHeight="1" x14ac:dyDescent="0.25">
      <c r="B137" s="957" t="s">
        <v>4737</v>
      </c>
      <c r="C137" s="536">
        <v>3560232</v>
      </c>
      <c r="D137" s="955" t="s">
        <v>4738</v>
      </c>
      <c r="E137" s="956" t="s">
        <v>4642</v>
      </c>
      <c r="F137" s="836">
        <v>80</v>
      </c>
      <c r="G137" s="299">
        <v>28.2</v>
      </c>
      <c r="H137" s="299">
        <f t="shared" ref="H137:H139" si="57">F137*G137</f>
        <v>2256</v>
      </c>
      <c r="I137" s="299">
        <f t="shared" ref="I137:I139" si="58">SUM(K137:S137)</f>
        <v>0</v>
      </c>
      <c r="J137" s="299">
        <f t="shared" ref="J137:J139" si="59">H137+I137</f>
        <v>2256</v>
      </c>
    </row>
    <row r="138" spans="2:22" ht="12.75" customHeight="1" x14ac:dyDescent="0.25">
      <c r="B138" s="957" t="s">
        <v>4737</v>
      </c>
      <c r="C138" s="536">
        <v>3560232</v>
      </c>
      <c r="D138" s="955" t="s">
        <v>4738</v>
      </c>
      <c r="E138" s="956" t="s">
        <v>4642</v>
      </c>
      <c r="F138" s="836">
        <v>40</v>
      </c>
      <c r="G138" s="299">
        <v>28.2</v>
      </c>
      <c r="H138" s="299">
        <f t="shared" si="57"/>
        <v>1128</v>
      </c>
      <c r="I138" s="299">
        <f t="shared" si="58"/>
        <v>0</v>
      </c>
      <c r="J138" s="299">
        <f t="shared" si="59"/>
        <v>1128</v>
      </c>
    </row>
    <row r="139" spans="2:22" ht="12.75" customHeight="1" x14ac:dyDescent="0.25">
      <c r="B139" s="957" t="s">
        <v>4737</v>
      </c>
      <c r="C139" s="536">
        <v>3560232</v>
      </c>
      <c r="D139" s="955" t="s">
        <v>4738</v>
      </c>
      <c r="E139" s="956" t="s">
        <v>4642</v>
      </c>
      <c r="F139" s="836">
        <v>80</v>
      </c>
      <c r="G139" s="299">
        <v>28.2</v>
      </c>
      <c r="H139" s="299">
        <f t="shared" si="57"/>
        <v>2256</v>
      </c>
      <c r="I139" s="299">
        <f t="shared" si="58"/>
        <v>0</v>
      </c>
      <c r="J139" s="299">
        <f t="shared" si="59"/>
        <v>2256</v>
      </c>
    </row>
    <row r="140" spans="2:22" ht="12.75" customHeight="1" x14ac:dyDescent="0.25">
      <c r="B140" s="957" t="s">
        <v>4737</v>
      </c>
      <c r="C140" s="536">
        <v>3560232</v>
      </c>
      <c r="D140" s="955" t="s">
        <v>4739</v>
      </c>
      <c r="E140" s="956" t="s">
        <v>4642</v>
      </c>
      <c r="F140" s="836">
        <v>500</v>
      </c>
      <c r="G140" s="299">
        <v>9.8000000000000007</v>
      </c>
      <c r="H140" s="299">
        <f>F140*G140</f>
        <v>4900</v>
      </c>
      <c r="I140" s="299">
        <f>SUM(K140:S140)</f>
        <v>0</v>
      </c>
      <c r="J140" s="299">
        <f>H140+I140</f>
        <v>4900</v>
      </c>
    </row>
    <row r="141" spans="2:22" ht="12.75" customHeight="1" x14ac:dyDescent="0.25">
      <c r="B141" s="957" t="s">
        <v>4737</v>
      </c>
      <c r="C141" s="536">
        <v>3560232</v>
      </c>
      <c r="D141" s="955" t="s">
        <v>4739</v>
      </c>
      <c r="E141" s="956" t="s">
        <v>4642</v>
      </c>
      <c r="F141" s="836">
        <v>500</v>
      </c>
      <c r="G141" s="299">
        <v>10</v>
      </c>
      <c r="H141" s="299">
        <f>F141*G141</f>
        <v>5000</v>
      </c>
      <c r="I141" s="299">
        <f>SUM(K141:S141)</f>
        <v>0</v>
      </c>
      <c r="J141" s="299">
        <f>H141+I141</f>
        <v>5000</v>
      </c>
    </row>
    <row r="142" spans="2:22" ht="12.75" customHeight="1" x14ac:dyDescent="0.25">
      <c r="B142" s="957" t="s">
        <v>4737</v>
      </c>
      <c r="C142" s="536">
        <v>3560232</v>
      </c>
      <c r="D142" s="955" t="s">
        <v>4719</v>
      </c>
      <c r="E142" s="956" t="s">
        <v>4642</v>
      </c>
      <c r="F142" s="836">
        <v>13200</v>
      </c>
      <c r="G142" s="299">
        <v>0.45</v>
      </c>
      <c r="H142" s="299">
        <f>F142*G142</f>
        <v>5940</v>
      </c>
      <c r="I142" s="299">
        <f>SUM(K142:S142)</f>
        <v>229.10000000000002</v>
      </c>
      <c r="J142" s="299">
        <f>H142+I142</f>
        <v>6169.1</v>
      </c>
      <c r="K142" s="299">
        <v>160</v>
      </c>
      <c r="L142" s="299">
        <v>22.61</v>
      </c>
      <c r="O142" s="299">
        <v>32.869999999999997</v>
      </c>
      <c r="P142" s="299">
        <v>11</v>
      </c>
      <c r="Q142" s="299">
        <v>0.06</v>
      </c>
      <c r="R142" s="299">
        <v>2.56</v>
      </c>
    </row>
    <row r="143" spans="2:22" ht="12.75" customHeight="1" x14ac:dyDescent="0.25">
      <c r="B143" s="957" t="s">
        <v>4740</v>
      </c>
      <c r="C143" s="536">
        <v>3623681</v>
      </c>
      <c r="D143" s="955" t="s">
        <v>4738</v>
      </c>
      <c r="E143" s="956" t="s">
        <v>4642</v>
      </c>
      <c r="F143" s="836">
        <v>40</v>
      </c>
      <c r="G143" s="299">
        <v>102.5</v>
      </c>
      <c r="H143" s="299">
        <f t="shared" ref="H143:H145" si="60">F143*G143</f>
        <v>4100</v>
      </c>
      <c r="I143" s="299">
        <f t="shared" ref="I143:I145" si="61">SUM(K143:S143)</f>
        <v>0</v>
      </c>
      <c r="J143" s="299">
        <f t="shared" ref="J143:J146" si="62">H143+I143</f>
        <v>4100</v>
      </c>
    </row>
    <row r="144" spans="2:22" ht="12.75" customHeight="1" x14ac:dyDescent="0.25">
      <c r="B144" s="957" t="s">
        <v>4740</v>
      </c>
      <c r="C144" s="536">
        <v>3623681</v>
      </c>
      <c r="D144" s="955" t="s">
        <v>4738</v>
      </c>
      <c r="E144" s="956" t="s">
        <v>4642</v>
      </c>
      <c r="F144" s="836">
        <v>40</v>
      </c>
      <c r="G144" s="299">
        <v>102.5</v>
      </c>
      <c r="H144" s="299">
        <f t="shared" si="60"/>
        <v>4100</v>
      </c>
      <c r="I144" s="299">
        <f t="shared" si="61"/>
        <v>0</v>
      </c>
      <c r="J144" s="299">
        <f t="shared" si="62"/>
        <v>4100</v>
      </c>
    </row>
    <row r="145" spans="2:19" ht="12.75" customHeight="1" x14ac:dyDescent="0.25">
      <c r="B145" s="957" t="s">
        <v>4740</v>
      </c>
      <c r="C145" s="536">
        <v>3623681</v>
      </c>
      <c r="D145" s="955" t="s">
        <v>4741</v>
      </c>
      <c r="E145" s="956" t="s">
        <v>4642</v>
      </c>
      <c r="F145" s="836">
        <v>1200</v>
      </c>
      <c r="G145" s="299">
        <v>6.3</v>
      </c>
      <c r="H145" s="299">
        <f t="shared" si="60"/>
        <v>7560</v>
      </c>
      <c r="I145" s="299">
        <f t="shared" si="61"/>
        <v>124.03999999999999</v>
      </c>
      <c r="J145" s="299">
        <f t="shared" si="62"/>
        <v>7684.04</v>
      </c>
      <c r="K145" s="299">
        <v>80</v>
      </c>
      <c r="L145" s="299">
        <v>16.7</v>
      </c>
      <c r="M145" s="224"/>
      <c r="O145" s="299">
        <v>17.41</v>
      </c>
      <c r="P145" s="299">
        <v>8</v>
      </c>
      <c r="Q145" s="299">
        <v>0.05</v>
      </c>
      <c r="R145" s="299">
        <v>1.89</v>
      </c>
      <c r="S145" s="299">
        <v>-0.01</v>
      </c>
    </row>
    <row r="146" spans="2:19" ht="12.75" customHeight="1" x14ac:dyDescent="0.25">
      <c r="B146" s="957" t="s">
        <v>4742</v>
      </c>
      <c r="C146" s="536">
        <v>3668740</v>
      </c>
      <c r="D146" s="955" t="s">
        <v>4739</v>
      </c>
      <c r="E146" s="956" t="s">
        <v>4642</v>
      </c>
      <c r="F146" s="836">
        <v>500</v>
      </c>
      <c r="G146" s="299">
        <v>8.6</v>
      </c>
      <c r="H146" s="299">
        <f t="shared" ref="H146:H149" si="63">F146*G146</f>
        <v>4300</v>
      </c>
      <c r="I146" s="299">
        <f t="shared" ref="I146" si="64">SUM(K146:S146)</f>
        <v>55.120000000000005</v>
      </c>
      <c r="J146" s="299">
        <f t="shared" si="62"/>
        <v>4355.12</v>
      </c>
      <c r="K146" s="299">
        <v>40</v>
      </c>
      <c r="L146" s="299">
        <v>4.57</v>
      </c>
      <c r="O146" s="299">
        <v>8.02</v>
      </c>
      <c r="P146" s="299">
        <v>2</v>
      </c>
      <c r="Q146" s="299">
        <v>0.01</v>
      </c>
      <c r="R146" s="299">
        <v>0.52</v>
      </c>
    </row>
    <row r="147" spans="2:19" ht="12.75" customHeight="1" x14ac:dyDescent="0.25">
      <c r="B147" s="957" t="s">
        <v>4744</v>
      </c>
      <c r="C147" s="536">
        <v>3704774</v>
      </c>
      <c r="D147" s="955" t="s">
        <v>4745</v>
      </c>
      <c r="E147" s="956" t="s">
        <v>4642</v>
      </c>
      <c r="F147" s="836">
        <v>1000</v>
      </c>
      <c r="G147" s="299">
        <v>3.25</v>
      </c>
      <c r="H147" s="299">
        <f t="shared" si="63"/>
        <v>3250</v>
      </c>
      <c r="I147" s="299">
        <f t="shared" ref="I147" si="65">SUM(K147:S147)</f>
        <v>53.699999999999996</v>
      </c>
      <c r="J147" s="299">
        <f t="shared" ref="J147" si="66">H147+I147</f>
        <v>3303.7</v>
      </c>
      <c r="K147" s="299">
        <v>40</v>
      </c>
      <c r="L147" s="299">
        <v>3.47</v>
      </c>
      <c r="O147" s="299">
        <v>7.83</v>
      </c>
      <c r="P147" s="299">
        <v>2</v>
      </c>
      <c r="Q147" s="299">
        <v>0.01</v>
      </c>
      <c r="R147" s="299">
        <v>0.39</v>
      </c>
    </row>
    <row r="148" spans="2:19" ht="12.75" customHeight="1" x14ac:dyDescent="0.25">
      <c r="B148" s="957" t="s">
        <v>4746</v>
      </c>
      <c r="C148" s="536">
        <v>4114409</v>
      </c>
      <c r="D148" s="955" t="s">
        <v>4747</v>
      </c>
      <c r="E148" s="956" t="s">
        <v>4642</v>
      </c>
      <c r="F148" s="836">
        <v>800</v>
      </c>
      <c r="G148" s="299">
        <v>7</v>
      </c>
      <c r="H148" s="299">
        <f t="shared" si="63"/>
        <v>5600</v>
      </c>
      <c r="I148" s="299">
        <f t="shared" ref="I148" si="67">SUM(K148:S148)</f>
        <v>84.69</v>
      </c>
      <c r="J148" s="299">
        <f t="shared" ref="J148:J150" si="68">H148+I148</f>
        <v>5684.69</v>
      </c>
      <c r="K148" s="299">
        <v>60</v>
      </c>
      <c r="L148" s="299">
        <v>7.63</v>
      </c>
      <c r="O148" s="299">
        <v>12.17</v>
      </c>
      <c r="P148" s="299">
        <v>4</v>
      </c>
      <c r="Q148" s="299">
        <v>0.02</v>
      </c>
      <c r="R148" s="299">
        <v>0.86</v>
      </c>
      <c r="S148" s="299">
        <v>0.01</v>
      </c>
    </row>
    <row r="149" spans="2:19" s="451" customFormat="1" ht="12.75" customHeight="1" x14ac:dyDescent="0.25">
      <c r="B149" s="993" t="s">
        <v>4748</v>
      </c>
      <c r="C149" s="537">
        <v>4180879</v>
      </c>
      <c r="D149" s="987" t="s">
        <v>4749</v>
      </c>
      <c r="E149" s="976" t="s">
        <v>4642</v>
      </c>
      <c r="F149" s="994">
        <v>500</v>
      </c>
      <c r="G149" s="457">
        <v>5.8</v>
      </c>
      <c r="H149" s="457">
        <f t="shared" si="63"/>
        <v>2900</v>
      </c>
      <c r="I149" s="457">
        <f t="shared" ref="I149" si="69">SUM(K149:S149)</f>
        <v>79.900000000000006</v>
      </c>
      <c r="J149" s="457">
        <f t="shared" si="68"/>
        <v>2979.9</v>
      </c>
      <c r="K149" s="457">
        <v>60</v>
      </c>
      <c r="L149" s="457">
        <v>5.48</v>
      </c>
      <c r="M149" s="457"/>
      <c r="N149" s="457"/>
      <c r="O149" s="457">
        <v>11.79</v>
      </c>
      <c r="P149" s="457">
        <v>2</v>
      </c>
      <c r="Q149" s="457">
        <v>0.02</v>
      </c>
      <c r="R149" s="457">
        <v>0.62</v>
      </c>
      <c r="S149" s="457">
        <v>-0.01</v>
      </c>
    </row>
    <row r="150" spans="2:19" s="451" customFormat="1" ht="12.75" customHeight="1" x14ac:dyDescent="0.25">
      <c r="B150" s="993" t="s">
        <v>4748</v>
      </c>
      <c r="C150" s="537">
        <v>4180879</v>
      </c>
      <c r="D150" s="987" t="s">
        <v>4750</v>
      </c>
      <c r="E150" s="976" t="s">
        <v>4642</v>
      </c>
      <c r="F150" s="994">
        <v>3750</v>
      </c>
      <c r="G150" s="457">
        <v>1.05</v>
      </c>
      <c r="H150" s="457">
        <f t="shared" ref="H150:H152" si="70">F150*G150</f>
        <v>3937.5</v>
      </c>
      <c r="I150" s="457">
        <f t="shared" ref="I150" si="71">SUM(K150:S150)</f>
        <v>0</v>
      </c>
      <c r="J150" s="457">
        <f t="shared" si="68"/>
        <v>3937.5</v>
      </c>
      <c r="K150" s="457"/>
      <c r="L150" s="457"/>
      <c r="M150" s="457"/>
      <c r="N150" s="457"/>
      <c r="O150" s="457"/>
      <c r="P150" s="457"/>
      <c r="Q150" s="457"/>
      <c r="R150" s="457"/>
      <c r="S150" s="457"/>
    </row>
    <row r="151" spans="2:19" ht="12.75" customHeight="1" x14ac:dyDescent="0.25">
      <c r="B151" s="957" t="s">
        <v>4755</v>
      </c>
      <c r="C151" s="536">
        <v>13177443</v>
      </c>
      <c r="D151" s="955" t="s">
        <v>4756</v>
      </c>
      <c r="E151" s="956" t="s">
        <v>4642</v>
      </c>
      <c r="F151" s="836">
        <v>150</v>
      </c>
      <c r="G151" s="299">
        <v>85</v>
      </c>
      <c r="H151" s="299">
        <f t="shared" si="70"/>
        <v>12750</v>
      </c>
      <c r="I151" s="299">
        <f t="shared" ref="I151:I152" si="72">SUM(K151:S151)</f>
        <v>63.890000000000008</v>
      </c>
      <c r="J151" s="299">
        <f t="shared" ref="J151:J153" si="73">H151+I151</f>
        <v>12813.89</v>
      </c>
      <c r="K151" s="299">
        <v>40</v>
      </c>
      <c r="L151" s="299">
        <v>12.88</v>
      </c>
      <c r="O151" s="299">
        <v>9.52</v>
      </c>
      <c r="P151" s="224"/>
      <c r="Q151" s="299">
        <v>0.04</v>
      </c>
      <c r="R151" s="299">
        <v>1.46</v>
      </c>
      <c r="S151" s="299">
        <v>-0.01</v>
      </c>
    </row>
    <row r="152" spans="2:19" ht="12.75" customHeight="1" x14ac:dyDescent="0.25">
      <c r="B152" s="957" t="s">
        <v>4755</v>
      </c>
      <c r="C152" s="536">
        <v>13177443</v>
      </c>
      <c r="D152" s="955" t="s">
        <v>4756</v>
      </c>
      <c r="E152" s="956" t="s">
        <v>4642</v>
      </c>
      <c r="F152" s="836">
        <v>75</v>
      </c>
      <c r="G152" s="299">
        <v>85</v>
      </c>
      <c r="H152" s="299">
        <f t="shared" si="70"/>
        <v>6375</v>
      </c>
      <c r="I152" s="299">
        <f t="shared" si="72"/>
        <v>0</v>
      </c>
      <c r="J152" s="299">
        <f t="shared" si="73"/>
        <v>6375</v>
      </c>
    </row>
    <row r="153" spans="2:19" ht="12.75" customHeight="1" x14ac:dyDescent="0.25">
      <c r="B153" s="957" t="s">
        <v>4755</v>
      </c>
      <c r="C153" s="536">
        <v>13177443</v>
      </c>
      <c r="D153" s="955" t="s">
        <v>4757</v>
      </c>
      <c r="E153" s="956" t="s">
        <v>4642</v>
      </c>
      <c r="F153" s="836">
        <v>150</v>
      </c>
      <c r="G153" s="299">
        <v>34.5</v>
      </c>
      <c r="H153" s="299">
        <f t="shared" ref="H153:H180" si="74">F153*G153</f>
        <v>5175</v>
      </c>
      <c r="I153" s="299">
        <f>SUM(K153:S153)</f>
        <v>0</v>
      </c>
      <c r="J153" s="299">
        <f t="shared" si="73"/>
        <v>5175</v>
      </c>
    </row>
    <row r="154" spans="2:19" ht="12.75" customHeight="1" x14ac:dyDescent="0.25">
      <c r="B154" s="957" t="s">
        <v>4759</v>
      </c>
      <c r="C154" s="536">
        <v>13395363</v>
      </c>
      <c r="D154" s="955" t="s">
        <v>4756</v>
      </c>
      <c r="E154" s="956" t="s">
        <v>4642</v>
      </c>
      <c r="F154" s="836">
        <v>225</v>
      </c>
      <c r="G154" s="299">
        <v>34.5</v>
      </c>
      <c r="H154" s="299">
        <f t="shared" si="74"/>
        <v>7762.5</v>
      </c>
      <c r="I154" s="299">
        <f>SUM(K154:S154)</f>
        <v>28.94</v>
      </c>
      <c r="J154" s="299">
        <f t="shared" ref="J154" si="75">H154+I154</f>
        <v>7791.44</v>
      </c>
      <c r="K154" s="299">
        <v>20</v>
      </c>
      <c r="L154" s="299">
        <v>4.1100000000000003</v>
      </c>
      <c r="O154" s="299">
        <v>4.34</v>
      </c>
      <c r="Q154" s="299">
        <v>0.01</v>
      </c>
      <c r="R154" s="299">
        <v>0.47</v>
      </c>
      <c r="S154" s="299">
        <v>0.01</v>
      </c>
    </row>
    <row r="155" spans="2:19" ht="12.75" customHeight="1" x14ac:dyDescent="0.25">
      <c r="B155" s="957" t="s">
        <v>4763</v>
      </c>
      <c r="C155" s="536">
        <v>13749375</v>
      </c>
      <c r="D155" s="955" t="s">
        <v>4756</v>
      </c>
      <c r="E155" s="956" t="s">
        <v>4642</v>
      </c>
      <c r="F155" s="836">
        <v>150</v>
      </c>
      <c r="G155" s="299">
        <v>21.95</v>
      </c>
      <c r="H155" s="299">
        <f t="shared" si="74"/>
        <v>3292.5</v>
      </c>
      <c r="I155" s="299">
        <f t="shared" ref="I155:I157" si="76">SUM(K155:S155)</f>
        <v>0</v>
      </c>
      <c r="J155" s="299">
        <f t="shared" ref="J155:J157" si="77">H155+I155</f>
        <v>3292.5</v>
      </c>
    </row>
    <row r="156" spans="2:19" ht="12.75" customHeight="1" x14ac:dyDescent="0.25">
      <c r="B156" s="957" t="s">
        <v>4763</v>
      </c>
      <c r="C156" s="536">
        <v>13749375</v>
      </c>
      <c r="D156" s="955" t="s">
        <v>4756</v>
      </c>
      <c r="E156" s="956" t="s">
        <v>4642</v>
      </c>
      <c r="F156" s="836">
        <v>225</v>
      </c>
      <c r="G156" s="299">
        <v>21.95</v>
      </c>
      <c r="H156" s="299">
        <f t="shared" si="74"/>
        <v>4938.75</v>
      </c>
      <c r="I156" s="299">
        <f t="shared" si="76"/>
        <v>0</v>
      </c>
      <c r="J156" s="299">
        <f t="shared" si="77"/>
        <v>4938.75</v>
      </c>
    </row>
    <row r="157" spans="2:19" ht="12.75" customHeight="1" x14ac:dyDescent="0.25">
      <c r="B157" s="957" t="s">
        <v>4763</v>
      </c>
      <c r="C157" s="536">
        <v>13749375</v>
      </c>
      <c r="D157" s="955" t="s">
        <v>4756</v>
      </c>
      <c r="E157" s="956" t="s">
        <v>4642</v>
      </c>
      <c r="F157" s="836">
        <v>75</v>
      </c>
      <c r="G157" s="299">
        <v>21.95</v>
      </c>
      <c r="H157" s="299">
        <f t="shared" si="74"/>
        <v>1646.25</v>
      </c>
      <c r="I157" s="299">
        <f t="shared" si="76"/>
        <v>30.390000000000004</v>
      </c>
      <c r="J157" s="299">
        <f t="shared" si="77"/>
        <v>1676.64</v>
      </c>
      <c r="K157" s="299">
        <v>20</v>
      </c>
      <c r="L157" s="299">
        <v>5.24</v>
      </c>
      <c r="O157" s="299">
        <v>4.54</v>
      </c>
      <c r="Q157" s="299">
        <v>0.01</v>
      </c>
      <c r="R157" s="299">
        <v>0.59</v>
      </c>
      <c r="S157" s="299">
        <v>0.01</v>
      </c>
    </row>
    <row r="158" spans="2:19" ht="12.75" customHeight="1" x14ac:dyDescent="0.25">
      <c r="B158" s="957" t="s">
        <v>4765</v>
      </c>
      <c r="C158" s="536">
        <v>14251342</v>
      </c>
      <c r="D158" s="955" t="s">
        <v>4766</v>
      </c>
      <c r="E158" s="956" t="s">
        <v>4642</v>
      </c>
      <c r="F158" s="836">
        <f>75*9</f>
        <v>675</v>
      </c>
      <c r="G158" s="299">
        <v>21.05</v>
      </c>
      <c r="H158" s="299">
        <f t="shared" si="74"/>
        <v>14208.75</v>
      </c>
      <c r="I158" s="299">
        <f t="shared" ref="I158:I159" si="78">SUM(K158:S158)</f>
        <v>0</v>
      </c>
      <c r="J158" s="299">
        <f t="shared" ref="J158:J166" si="79">H158+I158</f>
        <v>14208.75</v>
      </c>
    </row>
    <row r="159" spans="2:19" ht="12.75" customHeight="1" x14ac:dyDescent="0.25">
      <c r="B159" s="957" t="s">
        <v>4765</v>
      </c>
      <c r="C159" s="536">
        <v>14251342</v>
      </c>
      <c r="D159" s="955" t="s">
        <v>4767</v>
      </c>
      <c r="E159" s="956" t="s">
        <v>4642</v>
      </c>
      <c r="F159" s="975">
        <f>5*75</f>
        <v>375</v>
      </c>
      <c r="G159" s="299">
        <v>20.85</v>
      </c>
      <c r="H159" s="299">
        <f t="shared" si="74"/>
        <v>7818.7500000000009</v>
      </c>
      <c r="I159" s="299">
        <f t="shared" si="78"/>
        <v>102.13999999999999</v>
      </c>
      <c r="J159" s="299">
        <f t="shared" si="79"/>
        <v>7920.8900000000012</v>
      </c>
      <c r="K159" s="299">
        <v>60</v>
      </c>
      <c r="L159" s="299">
        <v>18.79</v>
      </c>
      <c r="O159" s="299">
        <v>14.18</v>
      </c>
      <c r="P159" s="299">
        <v>7</v>
      </c>
      <c r="Q159" s="299">
        <v>0.05</v>
      </c>
      <c r="R159" s="299">
        <v>2.13</v>
      </c>
      <c r="S159" s="299">
        <v>-0.01</v>
      </c>
    </row>
    <row r="160" spans="2:19" ht="12.75" customHeight="1" x14ac:dyDescent="0.25">
      <c r="B160" s="957" t="s">
        <v>4768</v>
      </c>
      <c r="C160" s="536">
        <v>14679145</v>
      </c>
      <c r="D160" s="955" t="s">
        <v>4766</v>
      </c>
      <c r="E160" s="956" t="s">
        <v>4642</v>
      </c>
      <c r="F160" s="836">
        <v>450</v>
      </c>
      <c r="G160" s="299">
        <v>18</v>
      </c>
      <c r="H160" s="299">
        <f t="shared" si="74"/>
        <v>8100</v>
      </c>
      <c r="I160" s="299">
        <f t="shared" ref="I160" si="80">SUM(K160:S160)</f>
        <v>29.17</v>
      </c>
      <c r="J160" s="299">
        <f t="shared" si="79"/>
        <v>8129.17</v>
      </c>
      <c r="K160" s="299">
        <v>20</v>
      </c>
      <c r="L160" s="299">
        <v>4.29</v>
      </c>
      <c r="O160" s="299">
        <v>4.37</v>
      </c>
      <c r="Q160" s="299">
        <v>0.01</v>
      </c>
      <c r="R160" s="299">
        <v>0.49</v>
      </c>
      <c r="S160" s="299">
        <v>0.01</v>
      </c>
    </row>
    <row r="161" spans="2:20" ht="12.75" customHeight="1" x14ac:dyDescent="0.25">
      <c r="B161" s="957" t="s">
        <v>4772</v>
      </c>
      <c r="C161" s="536">
        <v>15364770</v>
      </c>
      <c r="D161" s="955" t="s">
        <v>4773</v>
      </c>
      <c r="E161" s="956" t="s">
        <v>4642</v>
      </c>
      <c r="F161" s="836">
        <v>300</v>
      </c>
      <c r="G161" s="299">
        <v>24.7</v>
      </c>
      <c r="H161" s="299">
        <f t="shared" si="74"/>
        <v>7410</v>
      </c>
      <c r="I161" s="299">
        <f t="shared" ref="I161:I162" si="81">SUM(K161:S161)</f>
        <v>0</v>
      </c>
      <c r="J161" s="299">
        <f t="shared" si="79"/>
        <v>7410</v>
      </c>
    </row>
    <row r="162" spans="2:20" ht="12.75" customHeight="1" x14ac:dyDescent="0.25">
      <c r="B162" s="957" t="s">
        <v>4772</v>
      </c>
      <c r="C162" s="536">
        <v>15364770</v>
      </c>
      <c r="D162" s="955" t="s">
        <v>4773</v>
      </c>
      <c r="E162" s="956" t="s">
        <v>4642</v>
      </c>
      <c r="F162" s="836">
        <v>225</v>
      </c>
      <c r="G162" s="299">
        <v>24.9</v>
      </c>
      <c r="H162" s="299">
        <f t="shared" si="74"/>
        <v>5602.5</v>
      </c>
      <c r="I162" s="299">
        <f t="shared" si="81"/>
        <v>32.54</v>
      </c>
      <c r="J162" s="299">
        <f t="shared" si="79"/>
        <v>5635.04</v>
      </c>
      <c r="K162" s="299">
        <v>20</v>
      </c>
      <c r="L162" s="299">
        <v>6.9</v>
      </c>
      <c r="O162" s="299">
        <v>4.84</v>
      </c>
      <c r="Q162" s="299">
        <v>0.02</v>
      </c>
      <c r="R162" s="299">
        <v>0.78</v>
      </c>
    </row>
    <row r="163" spans="2:20" ht="12.75" customHeight="1" x14ac:dyDescent="0.25">
      <c r="B163" s="957" t="s">
        <v>4776</v>
      </c>
      <c r="C163" s="536">
        <v>15717858</v>
      </c>
      <c r="D163" s="955" t="s">
        <v>4777</v>
      </c>
      <c r="E163" s="956" t="s">
        <v>4642</v>
      </c>
      <c r="F163" s="836">
        <v>150</v>
      </c>
      <c r="G163" s="299">
        <v>12.5</v>
      </c>
      <c r="H163" s="299">
        <f t="shared" si="74"/>
        <v>1875</v>
      </c>
      <c r="I163" s="299">
        <f t="shared" ref="I163:I164" si="82">SUM(K163:S163)</f>
        <v>0</v>
      </c>
      <c r="J163" s="299">
        <f t="shared" si="79"/>
        <v>1875</v>
      </c>
    </row>
    <row r="164" spans="2:20" ht="12.75" customHeight="1" x14ac:dyDescent="0.25">
      <c r="B164" s="957" t="s">
        <v>4776</v>
      </c>
      <c r="C164" s="536">
        <v>15717858</v>
      </c>
      <c r="D164" s="955" t="s">
        <v>4777</v>
      </c>
      <c r="E164" s="956" t="s">
        <v>4642</v>
      </c>
      <c r="F164" s="836">
        <v>375</v>
      </c>
      <c r="G164" s="299">
        <v>12.45</v>
      </c>
      <c r="H164" s="299">
        <f t="shared" si="74"/>
        <v>4668.75</v>
      </c>
      <c r="I164" s="299">
        <f t="shared" si="82"/>
        <v>51.69</v>
      </c>
      <c r="J164" s="299">
        <f t="shared" si="79"/>
        <v>4720.4399999999996</v>
      </c>
      <c r="K164" s="299">
        <v>40</v>
      </c>
      <c r="L164" s="299">
        <v>3.47</v>
      </c>
      <c r="O164" s="299">
        <v>7.82</v>
      </c>
      <c r="Q164" s="299">
        <v>0.01</v>
      </c>
      <c r="R164" s="299">
        <v>0.39</v>
      </c>
    </row>
    <row r="165" spans="2:20" ht="12.75" customHeight="1" x14ac:dyDescent="0.25">
      <c r="B165" s="957" t="s">
        <v>4779</v>
      </c>
      <c r="C165" s="536">
        <v>15846294</v>
      </c>
      <c r="D165" s="955" t="s">
        <v>4778</v>
      </c>
      <c r="E165" s="956" t="s">
        <v>4642</v>
      </c>
      <c r="F165" s="836">
        <v>75</v>
      </c>
      <c r="G165" s="299">
        <v>51</v>
      </c>
      <c r="H165" s="299">
        <f t="shared" si="74"/>
        <v>3825</v>
      </c>
      <c r="I165" s="299">
        <f t="shared" ref="I165:I166" si="83">SUM(K165:S165)</f>
        <v>0</v>
      </c>
      <c r="J165" s="299">
        <f t="shared" si="79"/>
        <v>3825</v>
      </c>
    </row>
    <row r="166" spans="2:20" ht="12.75" customHeight="1" x14ac:dyDescent="0.25">
      <c r="B166" s="957" t="s">
        <v>4779</v>
      </c>
      <c r="C166" s="536">
        <v>15846294</v>
      </c>
      <c r="D166" s="955" t="s">
        <v>4778</v>
      </c>
      <c r="E166" s="956" t="s">
        <v>4642</v>
      </c>
      <c r="F166" s="836">
        <v>675</v>
      </c>
      <c r="G166" s="299">
        <v>51</v>
      </c>
      <c r="H166" s="299">
        <f t="shared" si="74"/>
        <v>34425</v>
      </c>
      <c r="I166" s="299">
        <f t="shared" si="83"/>
        <v>113.2</v>
      </c>
      <c r="J166" s="299">
        <f t="shared" si="79"/>
        <v>34538.199999999997</v>
      </c>
      <c r="K166" s="299">
        <v>60</v>
      </c>
      <c r="L166" s="299">
        <v>27.31</v>
      </c>
      <c r="O166" s="299">
        <v>15.72</v>
      </c>
      <c r="P166" s="299">
        <v>7</v>
      </c>
      <c r="Q166" s="299">
        <v>0.08</v>
      </c>
      <c r="R166" s="299">
        <v>3.09</v>
      </c>
    </row>
    <row r="167" spans="2:20" ht="12.75" customHeight="1" x14ac:dyDescent="0.25">
      <c r="B167" s="957" t="s">
        <v>4784</v>
      </c>
      <c r="C167" s="536">
        <v>17064626</v>
      </c>
      <c r="D167" s="955" t="s">
        <v>4783</v>
      </c>
      <c r="E167" s="956" t="s">
        <v>4642</v>
      </c>
      <c r="F167" s="836">
        <v>150</v>
      </c>
      <c r="G167" s="299">
        <v>98</v>
      </c>
      <c r="H167" s="299">
        <f t="shared" si="74"/>
        <v>14700</v>
      </c>
      <c r="I167" s="299">
        <f t="shared" ref="I167" si="84">SUM(K167:S167)</f>
        <v>71.17</v>
      </c>
      <c r="J167" s="299">
        <f t="shared" ref="J167" si="85">H167+I167</f>
        <v>14771.17</v>
      </c>
      <c r="K167" s="299">
        <v>40</v>
      </c>
      <c r="L167" s="299">
        <v>13.84</v>
      </c>
      <c r="O167" s="299">
        <v>9.69</v>
      </c>
      <c r="P167" s="299">
        <v>6</v>
      </c>
      <c r="Q167" s="299">
        <v>0.04</v>
      </c>
      <c r="R167" s="299">
        <v>1.6</v>
      </c>
    </row>
    <row r="168" spans="2:20" ht="12.75" customHeight="1" x14ac:dyDescent="0.25">
      <c r="B168" s="957" t="s">
        <v>4786</v>
      </c>
      <c r="C168" s="536">
        <v>17264163</v>
      </c>
      <c r="D168" s="955" t="s">
        <v>4783</v>
      </c>
      <c r="E168" s="956" t="s">
        <v>4642</v>
      </c>
      <c r="F168" s="836">
        <v>150</v>
      </c>
      <c r="G168" s="299">
        <v>76.400000000000006</v>
      </c>
      <c r="H168" s="299">
        <f t="shared" si="74"/>
        <v>11460</v>
      </c>
      <c r="I168" s="299">
        <f t="shared" ref="I168" si="86">SUM(K168:S168)</f>
        <v>31.330000000000002</v>
      </c>
      <c r="J168" s="299">
        <f t="shared" ref="J168" si="87">H168+I168</f>
        <v>11491.33</v>
      </c>
      <c r="K168" s="299">
        <v>20</v>
      </c>
      <c r="L168" s="299">
        <v>5.96</v>
      </c>
      <c r="O168" s="299">
        <v>4.67</v>
      </c>
      <c r="Q168" s="299">
        <v>0.02</v>
      </c>
      <c r="R168" s="299">
        <v>0.69</v>
      </c>
      <c r="S168" s="299">
        <v>-0.01</v>
      </c>
    </row>
    <row r="169" spans="2:20" ht="12.75" customHeight="1" x14ac:dyDescent="0.25">
      <c r="B169" s="957" t="s">
        <v>4788</v>
      </c>
      <c r="C169" s="536">
        <v>17385032</v>
      </c>
      <c r="D169" s="955" t="s">
        <v>4783</v>
      </c>
      <c r="E169" s="956" t="s">
        <v>4642</v>
      </c>
      <c r="F169" s="836">
        <v>75</v>
      </c>
      <c r="G169" s="299">
        <v>58.5</v>
      </c>
      <c r="H169" s="299">
        <f t="shared" si="74"/>
        <v>4387.5</v>
      </c>
      <c r="I169" s="299">
        <f t="shared" ref="I169:I170" si="88">SUM(K169:S169)</f>
        <v>0</v>
      </c>
      <c r="J169" s="299">
        <f t="shared" ref="J169:J170" si="89">H169+I169</f>
        <v>4387.5</v>
      </c>
      <c r="Q169" s="224"/>
      <c r="R169" s="224"/>
    </row>
    <row r="170" spans="2:20" ht="12.75" customHeight="1" x14ac:dyDescent="0.25">
      <c r="B170" s="957" t="s">
        <v>4788</v>
      </c>
      <c r="C170" s="536">
        <v>17385032</v>
      </c>
      <c r="D170" s="955" t="s">
        <v>4783</v>
      </c>
      <c r="E170" s="956" t="s">
        <v>4642</v>
      </c>
      <c r="F170" s="836">
        <v>75</v>
      </c>
      <c r="G170" s="299">
        <v>58.5</v>
      </c>
      <c r="H170" s="299">
        <f t="shared" si="74"/>
        <v>4387.5</v>
      </c>
      <c r="I170" s="299">
        <f t="shared" si="88"/>
        <v>29.53</v>
      </c>
      <c r="J170" s="299">
        <f t="shared" si="89"/>
        <v>4417.03</v>
      </c>
      <c r="K170" s="299">
        <v>20</v>
      </c>
      <c r="L170" s="299">
        <v>4.5599999999999996</v>
      </c>
      <c r="M170" s="299">
        <v>4.42</v>
      </c>
      <c r="Q170" s="299">
        <v>0.01</v>
      </c>
      <c r="R170" s="299">
        <v>0.53</v>
      </c>
      <c r="S170" s="299">
        <v>0.01</v>
      </c>
    </row>
    <row r="171" spans="2:20" ht="12.75" customHeight="1" x14ac:dyDescent="0.25">
      <c r="B171" s="957" t="s">
        <v>4791</v>
      </c>
      <c r="C171" s="536">
        <v>17439704</v>
      </c>
      <c r="D171" s="955" t="s">
        <v>4783</v>
      </c>
      <c r="E171" s="956" t="s">
        <v>4642</v>
      </c>
      <c r="F171" s="836">
        <v>75</v>
      </c>
      <c r="G171" s="299">
        <v>87.9</v>
      </c>
      <c r="H171" s="299">
        <f t="shared" si="74"/>
        <v>6592.5</v>
      </c>
      <c r="I171" s="299">
        <f t="shared" ref="I171:I172" si="90">SUM(K171:S171)</f>
        <v>0</v>
      </c>
      <c r="J171" s="299">
        <f t="shared" ref="J171:J172" si="91">H171+I171</f>
        <v>6592.5</v>
      </c>
    </row>
    <row r="172" spans="2:20" ht="12.75" customHeight="1" x14ac:dyDescent="0.25">
      <c r="B172" s="957" t="s">
        <v>4791</v>
      </c>
      <c r="C172" s="536">
        <v>17439704</v>
      </c>
      <c r="D172" s="955" t="s">
        <v>4783</v>
      </c>
      <c r="E172" s="956" t="s">
        <v>4642</v>
      </c>
      <c r="F172" s="836">
        <v>75</v>
      </c>
      <c r="G172" s="299">
        <v>87.9</v>
      </c>
      <c r="H172" s="299">
        <f t="shared" si="74"/>
        <v>6592.5</v>
      </c>
      <c r="I172" s="299">
        <f t="shared" si="90"/>
        <v>32.5</v>
      </c>
      <c r="J172" s="299">
        <f t="shared" si="91"/>
        <v>6625</v>
      </c>
      <c r="K172" s="299">
        <v>20</v>
      </c>
      <c r="L172" s="299">
        <v>6.86</v>
      </c>
      <c r="M172" s="299">
        <v>4.83</v>
      </c>
      <c r="Q172" s="299">
        <v>0.02</v>
      </c>
      <c r="R172" s="299">
        <v>0.79</v>
      </c>
    </row>
    <row r="173" spans="2:20" ht="12.75" customHeight="1" x14ac:dyDescent="0.25">
      <c r="B173" s="957" t="s">
        <v>4792</v>
      </c>
      <c r="C173" s="537">
        <v>17795812</v>
      </c>
      <c r="D173" s="978" t="s">
        <v>4783</v>
      </c>
      <c r="E173" s="976" t="s">
        <v>4642</v>
      </c>
      <c r="F173" s="844">
        <v>75</v>
      </c>
      <c r="G173" s="455">
        <v>430</v>
      </c>
      <c r="H173" s="454">
        <f t="shared" si="74"/>
        <v>32250</v>
      </c>
      <c r="I173" s="299">
        <f t="shared" ref="I173:I176" si="92">SUM(K173:S173)</f>
        <v>0</v>
      </c>
      <c r="J173" s="299">
        <f t="shared" ref="J173:J176" si="93">H173+I173</f>
        <v>32250</v>
      </c>
      <c r="K173" s="455"/>
      <c r="L173" s="456"/>
      <c r="M173" s="455"/>
      <c r="N173" s="457"/>
      <c r="O173" s="457"/>
      <c r="P173" s="457"/>
      <c r="Q173" s="457"/>
      <c r="R173" s="457"/>
      <c r="S173" s="457"/>
      <c r="T173" s="451"/>
    </row>
    <row r="174" spans="2:20" ht="12.75" customHeight="1" x14ac:dyDescent="0.25">
      <c r="B174" s="957" t="s">
        <v>4792</v>
      </c>
      <c r="C174" s="536">
        <v>17795812</v>
      </c>
      <c r="D174" s="978" t="s">
        <v>4783</v>
      </c>
      <c r="E174" s="976" t="s">
        <v>4642</v>
      </c>
      <c r="F174" s="844">
        <v>75</v>
      </c>
      <c r="G174" s="455">
        <v>419.9</v>
      </c>
      <c r="H174" s="454">
        <f t="shared" si="74"/>
        <v>31492.5</v>
      </c>
      <c r="I174" s="299">
        <f t="shared" si="92"/>
        <v>0</v>
      </c>
      <c r="J174" s="299">
        <f t="shared" si="93"/>
        <v>31492.5</v>
      </c>
      <c r="K174" s="455"/>
      <c r="L174" s="303"/>
    </row>
    <row r="175" spans="2:20" ht="12.75" customHeight="1" x14ac:dyDescent="0.25">
      <c r="B175" s="957" t="s">
        <v>4792</v>
      </c>
      <c r="C175" s="536">
        <v>17795812</v>
      </c>
      <c r="D175" s="978" t="s">
        <v>4783</v>
      </c>
      <c r="E175" s="976" t="s">
        <v>4642</v>
      </c>
      <c r="F175" s="844">
        <v>150</v>
      </c>
      <c r="G175" s="455">
        <v>419.95</v>
      </c>
      <c r="H175" s="454">
        <f t="shared" si="74"/>
        <v>62992.5</v>
      </c>
      <c r="I175" s="299">
        <f t="shared" si="92"/>
        <v>0</v>
      </c>
      <c r="J175" s="299">
        <f t="shared" si="93"/>
        <v>62992.5</v>
      </c>
      <c r="K175" s="455"/>
      <c r="L175" s="303"/>
      <c r="M175" s="455"/>
      <c r="N175" s="457"/>
      <c r="O175" s="457"/>
      <c r="P175" s="457"/>
      <c r="Q175" s="457"/>
      <c r="R175" s="457"/>
      <c r="S175" s="457"/>
      <c r="T175" s="451"/>
    </row>
    <row r="176" spans="2:20" ht="12.75" customHeight="1" x14ac:dyDescent="0.25">
      <c r="B176" s="957" t="s">
        <v>4792</v>
      </c>
      <c r="C176" s="536">
        <v>17795812</v>
      </c>
      <c r="D176" s="978" t="s">
        <v>4783</v>
      </c>
      <c r="E176" s="976" t="s">
        <v>4642</v>
      </c>
      <c r="F176" s="844">
        <v>150</v>
      </c>
      <c r="G176" s="455">
        <v>425</v>
      </c>
      <c r="H176" s="454">
        <f t="shared" si="74"/>
        <v>63750</v>
      </c>
      <c r="I176" s="299">
        <f t="shared" si="92"/>
        <v>199.4</v>
      </c>
      <c r="J176" s="299">
        <f t="shared" si="93"/>
        <v>63949.4</v>
      </c>
      <c r="K176" s="299">
        <v>60</v>
      </c>
      <c r="L176" s="455">
        <v>99.05</v>
      </c>
      <c r="M176" s="303">
        <v>28.63</v>
      </c>
      <c r="N176" s="457"/>
      <c r="O176" s="457"/>
      <c r="P176" s="457"/>
      <c r="Q176" s="457">
        <v>0.28999999999999998</v>
      </c>
      <c r="R176" s="457">
        <v>11.43</v>
      </c>
      <c r="S176" s="457"/>
      <c r="T176" s="451"/>
    </row>
    <row r="177" spans="2:19" ht="12.75" customHeight="1" x14ac:dyDescent="0.25">
      <c r="B177" s="957" t="s">
        <v>4793</v>
      </c>
      <c r="C177" s="536">
        <v>18067553</v>
      </c>
      <c r="D177" s="955" t="s">
        <v>4766</v>
      </c>
      <c r="E177" s="956" t="s">
        <v>4642</v>
      </c>
      <c r="F177" s="836">
        <v>525</v>
      </c>
      <c r="G177" s="299">
        <v>23.8</v>
      </c>
      <c r="H177" s="299">
        <f t="shared" si="74"/>
        <v>12495</v>
      </c>
      <c r="I177" s="299">
        <f t="shared" ref="I177" si="94">SUM(K177:S177)</f>
        <v>32.04</v>
      </c>
      <c r="J177" s="299">
        <f t="shared" ref="J177" si="95">H177+I177</f>
        <v>12527.04</v>
      </c>
      <c r="K177" s="299">
        <v>20</v>
      </c>
      <c r="L177" s="299">
        <v>6.5</v>
      </c>
      <c r="O177" s="299">
        <v>4.7699999999999996</v>
      </c>
      <c r="P177" s="224"/>
      <c r="Q177" s="299">
        <v>0.02</v>
      </c>
      <c r="R177" s="299">
        <v>0.75</v>
      </c>
    </row>
    <row r="178" spans="2:19" ht="12.75" customHeight="1" x14ac:dyDescent="0.25">
      <c r="B178" s="957" t="s">
        <v>4796</v>
      </c>
      <c r="C178" s="536">
        <v>18197100</v>
      </c>
      <c r="D178" s="955" t="s">
        <v>4766</v>
      </c>
      <c r="E178" s="956" t="s">
        <v>4642</v>
      </c>
      <c r="F178" s="836">
        <v>75</v>
      </c>
      <c r="G178" s="299">
        <v>39</v>
      </c>
      <c r="H178" s="299">
        <f t="shared" si="74"/>
        <v>2925</v>
      </c>
      <c r="I178" s="299">
        <f t="shared" ref="I178:I180" si="96">SUM(K178:S178)</f>
        <v>0</v>
      </c>
      <c r="J178" s="299">
        <f t="shared" ref="J178:J180" si="97">H178+I178</f>
        <v>2925</v>
      </c>
    </row>
    <row r="179" spans="2:19" ht="12.75" customHeight="1" x14ac:dyDescent="0.25">
      <c r="B179" s="957" t="s">
        <v>4796</v>
      </c>
      <c r="C179" s="536">
        <v>18197100</v>
      </c>
      <c r="D179" s="955" t="s">
        <v>4766</v>
      </c>
      <c r="E179" s="956" t="s">
        <v>4642</v>
      </c>
      <c r="F179" s="836">
        <v>600</v>
      </c>
      <c r="G179" s="299">
        <v>39</v>
      </c>
      <c r="H179" s="299">
        <f t="shared" si="74"/>
        <v>23400</v>
      </c>
      <c r="I179" s="299">
        <f t="shared" si="96"/>
        <v>97.46</v>
      </c>
      <c r="J179" s="299">
        <f t="shared" si="97"/>
        <v>23497.46</v>
      </c>
      <c r="K179" s="299">
        <v>40</v>
      </c>
      <c r="L179" s="299">
        <v>27.94</v>
      </c>
      <c r="O179" s="299">
        <v>12.23</v>
      </c>
      <c r="P179" s="299">
        <v>14</v>
      </c>
      <c r="Q179" s="299">
        <v>0.08</v>
      </c>
      <c r="R179" s="299">
        <v>3.22</v>
      </c>
      <c r="S179" s="299">
        <v>-0.01</v>
      </c>
    </row>
    <row r="180" spans="2:19" ht="12.75" customHeight="1" x14ac:dyDescent="0.25">
      <c r="B180" s="957" t="s">
        <v>4797</v>
      </c>
      <c r="C180" s="536">
        <v>18376473</v>
      </c>
      <c r="D180" s="955" t="s">
        <v>4766</v>
      </c>
      <c r="E180" s="956" t="s">
        <v>4642</v>
      </c>
      <c r="F180" s="836">
        <v>75</v>
      </c>
      <c r="G180" s="299">
        <v>263</v>
      </c>
      <c r="H180" s="299">
        <f t="shared" si="74"/>
        <v>19725</v>
      </c>
      <c r="I180" s="299">
        <f t="shared" si="96"/>
        <v>0</v>
      </c>
      <c r="J180" s="299">
        <f t="shared" si="97"/>
        <v>19725</v>
      </c>
    </row>
    <row r="181" spans="2:19" ht="12.75" customHeight="1" x14ac:dyDescent="0.25">
      <c r="B181" s="957" t="s">
        <v>4798</v>
      </c>
      <c r="C181" s="536">
        <v>18601329</v>
      </c>
      <c r="D181" s="955" t="s">
        <v>4799</v>
      </c>
      <c r="E181" s="956" t="s">
        <v>4642</v>
      </c>
      <c r="F181" s="836">
        <v>300</v>
      </c>
      <c r="G181" s="299">
        <v>17.5</v>
      </c>
      <c r="H181" s="299">
        <f t="shared" ref="H181:H204" si="98">F181*G181</f>
        <v>5250</v>
      </c>
      <c r="I181" s="299">
        <f t="shared" ref="I181:I202" si="99">SUM(K181:S181)</f>
        <v>0</v>
      </c>
      <c r="J181" s="299">
        <f t="shared" ref="J181:J202" si="100">H181+I181</f>
        <v>5250</v>
      </c>
    </row>
    <row r="182" spans="2:19" ht="12.75" customHeight="1" x14ac:dyDescent="0.25">
      <c r="B182" s="957" t="s">
        <v>4798</v>
      </c>
      <c r="C182" s="536">
        <v>18601329</v>
      </c>
      <c r="D182" s="955" t="s">
        <v>4799</v>
      </c>
      <c r="E182" s="956" t="s">
        <v>4642</v>
      </c>
      <c r="F182" s="836">
        <v>1125</v>
      </c>
      <c r="G182" s="299">
        <v>17.5</v>
      </c>
      <c r="H182" s="299">
        <f t="shared" si="98"/>
        <v>19687.5</v>
      </c>
      <c r="I182" s="299">
        <f t="shared" si="99"/>
        <v>0</v>
      </c>
      <c r="J182" s="299">
        <f t="shared" si="100"/>
        <v>19687.5</v>
      </c>
    </row>
    <row r="183" spans="2:19" ht="12.75" customHeight="1" x14ac:dyDescent="0.25">
      <c r="B183" s="957" t="s">
        <v>4798</v>
      </c>
      <c r="C183" s="536">
        <v>18601329</v>
      </c>
      <c r="D183" s="955" t="s">
        <v>4799</v>
      </c>
      <c r="E183" s="956" t="s">
        <v>4642</v>
      </c>
      <c r="F183" s="836">
        <v>1500</v>
      </c>
      <c r="G183" s="299">
        <v>17.5</v>
      </c>
      <c r="H183" s="299">
        <f t="shared" si="98"/>
        <v>26250</v>
      </c>
      <c r="I183" s="299">
        <f t="shared" si="99"/>
        <v>0</v>
      </c>
      <c r="J183" s="299">
        <f t="shared" si="100"/>
        <v>26250</v>
      </c>
    </row>
    <row r="184" spans="2:19" ht="12.75" customHeight="1" x14ac:dyDescent="0.25">
      <c r="B184" s="957" t="s">
        <v>4798</v>
      </c>
      <c r="C184" s="536">
        <v>18601329</v>
      </c>
      <c r="D184" s="955" t="s">
        <v>4799</v>
      </c>
      <c r="E184" s="956" t="s">
        <v>4642</v>
      </c>
      <c r="F184" s="836">
        <v>300</v>
      </c>
      <c r="G184" s="299">
        <v>17.5</v>
      </c>
      <c r="H184" s="299">
        <f t="shared" si="98"/>
        <v>5250</v>
      </c>
      <c r="I184" s="299">
        <f t="shared" si="99"/>
        <v>0</v>
      </c>
      <c r="J184" s="299">
        <f t="shared" si="100"/>
        <v>5250</v>
      </c>
    </row>
    <row r="185" spans="2:19" ht="12.75" customHeight="1" x14ac:dyDescent="0.25">
      <c r="B185" s="957" t="s">
        <v>4798</v>
      </c>
      <c r="C185" s="536">
        <v>18601329</v>
      </c>
      <c r="D185" s="955" t="s">
        <v>4799</v>
      </c>
      <c r="E185" s="956" t="s">
        <v>4642</v>
      </c>
      <c r="F185" s="836">
        <v>75</v>
      </c>
      <c r="G185" s="299">
        <v>17.5</v>
      </c>
      <c r="H185" s="299">
        <f t="shared" si="98"/>
        <v>1312.5</v>
      </c>
      <c r="I185" s="299">
        <f t="shared" si="99"/>
        <v>0</v>
      </c>
      <c r="J185" s="299">
        <f t="shared" si="100"/>
        <v>1312.5</v>
      </c>
    </row>
    <row r="186" spans="2:19" ht="12.75" customHeight="1" x14ac:dyDescent="0.25">
      <c r="B186" s="957" t="s">
        <v>4798</v>
      </c>
      <c r="C186" s="536">
        <v>18601329</v>
      </c>
      <c r="D186" s="955" t="s">
        <v>4799</v>
      </c>
      <c r="E186" s="956" t="s">
        <v>4642</v>
      </c>
      <c r="F186" s="836">
        <v>75</v>
      </c>
      <c r="G186" s="299">
        <v>17.55</v>
      </c>
      <c r="H186" s="299">
        <f t="shared" si="98"/>
        <v>1316.25</v>
      </c>
      <c r="I186" s="299">
        <f t="shared" si="99"/>
        <v>0</v>
      </c>
      <c r="J186" s="299">
        <f t="shared" si="100"/>
        <v>1316.25</v>
      </c>
    </row>
    <row r="187" spans="2:19" ht="12.75" customHeight="1" x14ac:dyDescent="0.25">
      <c r="B187" s="957" t="s">
        <v>4798</v>
      </c>
      <c r="C187" s="536">
        <v>18601329</v>
      </c>
      <c r="D187" s="955" t="s">
        <v>4799</v>
      </c>
      <c r="E187" s="956" t="s">
        <v>4642</v>
      </c>
      <c r="F187" s="836">
        <v>75</v>
      </c>
      <c r="G187" s="299">
        <v>17.55</v>
      </c>
      <c r="H187" s="299">
        <f t="shared" si="98"/>
        <v>1316.25</v>
      </c>
      <c r="I187" s="299">
        <f t="shared" si="99"/>
        <v>0</v>
      </c>
      <c r="J187" s="299">
        <f t="shared" si="100"/>
        <v>1316.25</v>
      </c>
    </row>
    <row r="188" spans="2:19" ht="12.75" customHeight="1" x14ac:dyDescent="0.25">
      <c r="B188" s="957" t="s">
        <v>4798</v>
      </c>
      <c r="C188" s="536">
        <v>18601329</v>
      </c>
      <c r="D188" s="955" t="s">
        <v>4799</v>
      </c>
      <c r="E188" s="956" t="s">
        <v>4642</v>
      </c>
      <c r="F188" s="836">
        <v>225</v>
      </c>
      <c r="G188" s="299">
        <v>17.55</v>
      </c>
      <c r="H188" s="299">
        <f t="shared" si="98"/>
        <v>3948.75</v>
      </c>
      <c r="I188" s="299">
        <f t="shared" si="99"/>
        <v>0</v>
      </c>
      <c r="J188" s="299">
        <f t="shared" si="100"/>
        <v>3948.75</v>
      </c>
    </row>
    <row r="189" spans="2:19" ht="12.75" customHeight="1" x14ac:dyDescent="0.25">
      <c r="B189" s="957" t="s">
        <v>4798</v>
      </c>
      <c r="C189" s="536">
        <v>18601329</v>
      </c>
      <c r="D189" s="955" t="s">
        <v>4799</v>
      </c>
      <c r="E189" s="956" t="s">
        <v>4642</v>
      </c>
      <c r="F189" s="836">
        <v>300</v>
      </c>
      <c r="G189" s="299">
        <v>17.55</v>
      </c>
      <c r="H189" s="299">
        <f t="shared" si="98"/>
        <v>5265</v>
      </c>
      <c r="I189" s="299">
        <f t="shared" si="99"/>
        <v>0</v>
      </c>
      <c r="J189" s="299">
        <f t="shared" si="100"/>
        <v>5265</v>
      </c>
    </row>
    <row r="190" spans="2:19" ht="12.75" customHeight="1" x14ac:dyDescent="0.25">
      <c r="B190" s="957" t="s">
        <v>4798</v>
      </c>
      <c r="C190" s="536">
        <v>18601329</v>
      </c>
      <c r="D190" s="955" t="s">
        <v>4799</v>
      </c>
      <c r="E190" s="956" t="s">
        <v>4642</v>
      </c>
      <c r="F190" s="836">
        <v>1125</v>
      </c>
      <c r="G190" s="299">
        <v>17.55</v>
      </c>
      <c r="H190" s="299">
        <f t="shared" si="98"/>
        <v>19743.75</v>
      </c>
      <c r="I190" s="299">
        <f t="shared" si="99"/>
        <v>0</v>
      </c>
      <c r="J190" s="299">
        <f t="shared" si="100"/>
        <v>19743.75</v>
      </c>
    </row>
    <row r="191" spans="2:19" ht="12.75" customHeight="1" x14ac:dyDescent="0.25">
      <c r="B191" s="957" t="s">
        <v>4798</v>
      </c>
      <c r="C191" s="536">
        <v>18601329</v>
      </c>
      <c r="D191" s="955" t="s">
        <v>4799</v>
      </c>
      <c r="E191" s="956" t="s">
        <v>4642</v>
      </c>
      <c r="F191" s="836">
        <v>900</v>
      </c>
      <c r="G191" s="299">
        <v>17.55</v>
      </c>
      <c r="H191" s="299">
        <f t="shared" si="98"/>
        <v>15795</v>
      </c>
      <c r="I191" s="299">
        <f t="shared" si="99"/>
        <v>0</v>
      </c>
      <c r="J191" s="299">
        <f t="shared" si="100"/>
        <v>15795</v>
      </c>
    </row>
    <row r="192" spans="2:19" ht="12.75" customHeight="1" x14ac:dyDescent="0.25">
      <c r="B192" s="957" t="s">
        <v>4798</v>
      </c>
      <c r="C192" s="536">
        <v>18601329</v>
      </c>
      <c r="D192" s="955" t="s">
        <v>4799</v>
      </c>
      <c r="E192" s="956" t="s">
        <v>4642</v>
      </c>
      <c r="F192" s="836">
        <v>225</v>
      </c>
      <c r="G192" s="299">
        <v>14.9</v>
      </c>
      <c r="H192" s="299">
        <f t="shared" si="98"/>
        <v>3352.5</v>
      </c>
      <c r="I192" s="299">
        <f t="shared" si="99"/>
        <v>0</v>
      </c>
      <c r="J192" s="299">
        <f t="shared" si="100"/>
        <v>3352.5</v>
      </c>
    </row>
    <row r="193" spans="2:20" ht="12.75" customHeight="1" x14ac:dyDescent="0.25">
      <c r="B193" s="957" t="s">
        <v>4798</v>
      </c>
      <c r="C193" s="536">
        <v>18601329</v>
      </c>
      <c r="D193" s="955" t="s">
        <v>4799</v>
      </c>
      <c r="E193" s="956" t="s">
        <v>4642</v>
      </c>
      <c r="F193" s="836">
        <v>150</v>
      </c>
      <c r="G193" s="299">
        <v>14.9</v>
      </c>
      <c r="H193" s="299">
        <f t="shared" si="98"/>
        <v>2235</v>
      </c>
      <c r="I193" s="299">
        <f t="shared" si="99"/>
        <v>0</v>
      </c>
      <c r="J193" s="299">
        <f t="shared" si="100"/>
        <v>2235</v>
      </c>
    </row>
    <row r="194" spans="2:20" ht="12.75" customHeight="1" x14ac:dyDescent="0.25">
      <c r="B194" s="957" t="s">
        <v>4798</v>
      </c>
      <c r="C194" s="536">
        <v>18601329</v>
      </c>
      <c r="D194" s="955" t="s">
        <v>4799</v>
      </c>
      <c r="E194" s="956" t="s">
        <v>4642</v>
      </c>
      <c r="F194" s="844">
        <v>300</v>
      </c>
      <c r="G194" s="455">
        <v>14.9</v>
      </c>
      <c r="H194" s="299">
        <f t="shared" si="98"/>
        <v>4470</v>
      </c>
      <c r="I194" s="299">
        <f t="shared" si="99"/>
        <v>0</v>
      </c>
      <c r="J194" s="299">
        <f t="shared" si="100"/>
        <v>4470</v>
      </c>
      <c r="K194" s="455"/>
      <c r="L194" s="456"/>
      <c r="M194" s="455"/>
      <c r="N194" s="457"/>
      <c r="O194" s="457"/>
      <c r="P194" s="457"/>
      <c r="Q194" s="457"/>
      <c r="R194" s="457"/>
      <c r="S194" s="457"/>
      <c r="T194" s="451"/>
    </row>
    <row r="195" spans="2:20" ht="12.75" customHeight="1" x14ac:dyDescent="0.25">
      <c r="B195" s="957" t="s">
        <v>4798</v>
      </c>
      <c r="C195" s="536">
        <v>18601329</v>
      </c>
      <c r="D195" s="955" t="s">
        <v>4799</v>
      </c>
      <c r="E195" s="956" t="s">
        <v>4642</v>
      </c>
      <c r="F195" s="844">
        <v>150</v>
      </c>
      <c r="G195" s="455">
        <v>14.9</v>
      </c>
      <c r="H195" s="299">
        <f t="shared" si="98"/>
        <v>2235</v>
      </c>
      <c r="I195" s="299">
        <f t="shared" si="99"/>
        <v>0</v>
      </c>
      <c r="J195" s="299">
        <f t="shared" si="100"/>
        <v>2235</v>
      </c>
      <c r="K195" s="455"/>
      <c r="L195" s="303"/>
    </row>
    <row r="196" spans="2:20" ht="12.75" customHeight="1" x14ac:dyDescent="0.25">
      <c r="B196" s="957" t="s">
        <v>4798</v>
      </c>
      <c r="C196" s="536">
        <v>18601329</v>
      </c>
      <c r="D196" s="955" t="s">
        <v>4799</v>
      </c>
      <c r="E196" s="956" t="s">
        <v>4642</v>
      </c>
      <c r="F196" s="844">
        <v>150</v>
      </c>
      <c r="G196" s="455">
        <v>14.9</v>
      </c>
      <c r="H196" s="299">
        <f t="shared" si="98"/>
        <v>2235</v>
      </c>
      <c r="I196" s="299">
        <f t="shared" si="99"/>
        <v>0</v>
      </c>
      <c r="J196" s="299">
        <f t="shared" si="100"/>
        <v>2235</v>
      </c>
      <c r="K196" s="455"/>
      <c r="L196" s="303"/>
      <c r="M196" s="455"/>
      <c r="N196" s="457"/>
      <c r="O196" s="457"/>
      <c r="P196" s="457"/>
      <c r="Q196" s="457"/>
      <c r="R196" s="457"/>
      <c r="S196" s="457"/>
      <c r="T196" s="451"/>
    </row>
    <row r="197" spans="2:20" ht="12.75" customHeight="1" x14ac:dyDescent="0.25">
      <c r="B197" s="957" t="s">
        <v>4798</v>
      </c>
      <c r="C197" s="536">
        <v>18601329</v>
      </c>
      <c r="D197" s="955" t="s">
        <v>4799</v>
      </c>
      <c r="E197" s="956" t="s">
        <v>4642</v>
      </c>
      <c r="F197" s="844">
        <v>675</v>
      </c>
      <c r="G197" s="455">
        <v>14.9</v>
      </c>
      <c r="H197" s="299">
        <f t="shared" si="98"/>
        <v>10057.5</v>
      </c>
      <c r="I197" s="299">
        <f t="shared" si="99"/>
        <v>0</v>
      </c>
      <c r="J197" s="299">
        <f t="shared" si="100"/>
        <v>10057.5</v>
      </c>
      <c r="K197" s="455"/>
      <c r="L197" s="303"/>
      <c r="M197" s="455"/>
      <c r="N197" s="457"/>
      <c r="O197" s="457"/>
      <c r="P197" s="457"/>
      <c r="Q197" s="457"/>
      <c r="R197" s="457"/>
      <c r="S197" s="457"/>
      <c r="T197" s="451"/>
    </row>
    <row r="198" spans="2:20" ht="12.75" customHeight="1" x14ac:dyDescent="0.25">
      <c r="B198" s="957" t="s">
        <v>4798</v>
      </c>
      <c r="C198" s="536">
        <v>18601329</v>
      </c>
      <c r="D198" s="955" t="s">
        <v>4799</v>
      </c>
      <c r="E198" s="956" t="s">
        <v>4642</v>
      </c>
      <c r="F198" s="844">
        <v>375</v>
      </c>
      <c r="G198" s="455">
        <v>15.35</v>
      </c>
      <c r="H198" s="299">
        <f t="shared" si="98"/>
        <v>5756.25</v>
      </c>
      <c r="I198" s="299">
        <f t="shared" si="99"/>
        <v>0</v>
      </c>
      <c r="J198" s="299">
        <f t="shared" si="100"/>
        <v>5756.25</v>
      </c>
      <c r="K198" s="455"/>
      <c r="L198" s="303"/>
      <c r="M198" s="455"/>
      <c r="N198" s="457"/>
      <c r="O198" s="457"/>
      <c r="P198" s="457"/>
      <c r="Q198" s="457"/>
      <c r="R198" s="457"/>
      <c r="S198" s="457"/>
      <c r="T198" s="451"/>
    </row>
    <row r="199" spans="2:20" ht="12.75" customHeight="1" x14ac:dyDescent="0.25">
      <c r="B199" s="957" t="s">
        <v>4798</v>
      </c>
      <c r="C199" s="536">
        <v>18601329</v>
      </c>
      <c r="D199" s="955" t="s">
        <v>4799</v>
      </c>
      <c r="E199" s="956" t="s">
        <v>4642</v>
      </c>
      <c r="F199" s="844">
        <v>300</v>
      </c>
      <c r="G199" s="455">
        <v>15.35</v>
      </c>
      <c r="H199" s="299">
        <f t="shared" si="98"/>
        <v>4605</v>
      </c>
      <c r="I199" s="299">
        <f t="shared" si="99"/>
        <v>0</v>
      </c>
      <c r="J199" s="299">
        <f t="shared" si="100"/>
        <v>4605</v>
      </c>
      <c r="K199" s="455"/>
      <c r="L199" s="303"/>
      <c r="M199" s="455"/>
      <c r="N199" s="457"/>
      <c r="O199" s="457"/>
      <c r="P199" s="457"/>
      <c r="Q199" s="457"/>
      <c r="R199" s="457"/>
      <c r="S199" s="457"/>
      <c r="T199" s="451"/>
    </row>
    <row r="200" spans="2:20" ht="12.75" customHeight="1" x14ac:dyDescent="0.25">
      <c r="B200" s="957" t="s">
        <v>4798</v>
      </c>
      <c r="C200" s="536">
        <v>18601329</v>
      </c>
      <c r="D200" s="955" t="s">
        <v>4799</v>
      </c>
      <c r="E200" s="956" t="s">
        <v>4642</v>
      </c>
      <c r="F200" s="844">
        <v>600</v>
      </c>
      <c r="G200" s="455">
        <v>15.7</v>
      </c>
      <c r="H200" s="299">
        <f t="shared" si="98"/>
        <v>9420</v>
      </c>
      <c r="I200" s="299">
        <f t="shared" si="99"/>
        <v>0</v>
      </c>
      <c r="J200" s="299">
        <f t="shared" si="100"/>
        <v>9420</v>
      </c>
      <c r="K200" s="455"/>
      <c r="L200" s="303"/>
      <c r="M200" s="455"/>
      <c r="N200" s="457"/>
      <c r="O200" s="457"/>
      <c r="P200" s="457"/>
      <c r="Q200" s="457"/>
      <c r="R200" s="457"/>
      <c r="S200" s="457"/>
      <c r="T200" s="451"/>
    </row>
    <row r="201" spans="2:20" ht="12.75" customHeight="1" x14ac:dyDescent="0.25">
      <c r="B201" s="957" t="s">
        <v>4798</v>
      </c>
      <c r="C201" s="536">
        <v>18601329</v>
      </c>
      <c r="D201" s="955" t="s">
        <v>4799</v>
      </c>
      <c r="E201" s="956" t="s">
        <v>4642</v>
      </c>
      <c r="F201" s="836">
        <v>375</v>
      </c>
      <c r="G201" s="455">
        <v>15.75</v>
      </c>
      <c r="H201" s="299">
        <f t="shared" si="98"/>
        <v>5906.25</v>
      </c>
      <c r="I201" s="299">
        <f t="shared" si="99"/>
        <v>0</v>
      </c>
      <c r="J201" s="299">
        <f t="shared" si="100"/>
        <v>5906.25</v>
      </c>
      <c r="K201" s="455"/>
      <c r="L201" s="456"/>
      <c r="M201" s="455"/>
      <c r="N201" s="457"/>
      <c r="O201" s="457"/>
      <c r="P201" s="457"/>
      <c r="Q201" s="457"/>
      <c r="R201" s="457"/>
      <c r="S201" s="457"/>
      <c r="T201" s="451"/>
    </row>
    <row r="202" spans="2:20" ht="12.75" customHeight="1" x14ac:dyDescent="0.25">
      <c r="B202" s="957" t="s">
        <v>4798</v>
      </c>
      <c r="C202" s="536">
        <v>18601329</v>
      </c>
      <c r="D202" s="955" t="s">
        <v>4799</v>
      </c>
      <c r="E202" s="956" t="s">
        <v>4642</v>
      </c>
      <c r="F202" s="836">
        <v>750</v>
      </c>
      <c r="G202" s="60">
        <v>15.75</v>
      </c>
      <c r="H202" s="299">
        <f t="shared" si="98"/>
        <v>11812.5</v>
      </c>
      <c r="I202" s="299">
        <f t="shared" si="99"/>
        <v>477.78</v>
      </c>
      <c r="J202" s="299">
        <f t="shared" si="100"/>
        <v>12290.28</v>
      </c>
      <c r="K202" s="60">
        <v>100</v>
      </c>
      <c r="L202" s="303">
        <v>196.25</v>
      </c>
      <c r="M202" s="60"/>
      <c r="O202" s="299">
        <v>53.32</v>
      </c>
      <c r="P202" s="299">
        <v>105</v>
      </c>
      <c r="Q202" s="299">
        <v>0.56000000000000005</v>
      </c>
      <c r="R202" s="299">
        <v>22.64</v>
      </c>
      <c r="S202" s="299">
        <v>0.01</v>
      </c>
    </row>
    <row r="203" spans="2:20" ht="12.75" customHeight="1" x14ac:dyDescent="0.25">
      <c r="B203" s="957" t="s">
        <v>4802</v>
      </c>
      <c r="C203" s="536">
        <v>18733745</v>
      </c>
      <c r="D203" s="955" t="s">
        <v>4799</v>
      </c>
      <c r="E203" s="956" t="s">
        <v>4642</v>
      </c>
      <c r="F203" s="836">
        <v>1575</v>
      </c>
      <c r="G203" s="299">
        <v>6.45</v>
      </c>
      <c r="H203" s="299">
        <f t="shared" si="98"/>
        <v>10158.75</v>
      </c>
      <c r="I203" s="299">
        <f t="shared" ref="I203:I204" si="101">SUM(K203:S203)</f>
        <v>0</v>
      </c>
      <c r="J203" s="299">
        <f t="shared" ref="J203:J204" si="102">H203+I203</f>
        <v>10158.75</v>
      </c>
    </row>
    <row r="204" spans="2:20" ht="12.75" customHeight="1" x14ac:dyDescent="0.25">
      <c r="B204" s="957" t="s">
        <v>4802</v>
      </c>
      <c r="C204" s="536">
        <v>18733745</v>
      </c>
      <c r="D204" s="955" t="s">
        <v>4799</v>
      </c>
      <c r="E204" s="956" t="s">
        <v>4642</v>
      </c>
      <c r="F204" s="836">
        <v>3450</v>
      </c>
      <c r="G204" s="299">
        <v>6.5</v>
      </c>
      <c r="H204" s="299">
        <f t="shared" si="98"/>
        <v>22425</v>
      </c>
      <c r="I204" s="299">
        <f t="shared" si="101"/>
        <v>45.61</v>
      </c>
      <c r="J204" s="299">
        <f t="shared" si="102"/>
        <v>22470.61</v>
      </c>
      <c r="K204" s="299">
        <v>20</v>
      </c>
      <c r="L204" s="299">
        <v>16.95</v>
      </c>
      <c r="O204" s="299">
        <v>6.65</v>
      </c>
      <c r="Q204" s="299">
        <v>0.05</v>
      </c>
      <c r="R204" s="299">
        <v>1.96</v>
      </c>
    </row>
    <row r="205" spans="2:20" ht="12.75" customHeight="1" x14ac:dyDescent="0.25">
      <c r="B205" s="957" t="s">
        <v>4803</v>
      </c>
      <c r="C205" s="536">
        <v>18780226</v>
      </c>
      <c r="D205" s="955" t="s">
        <v>4757</v>
      </c>
      <c r="E205" s="956" t="s">
        <v>4642</v>
      </c>
      <c r="F205" s="836">
        <v>975</v>
      </c>
      <c r="G205" s="299">
        <v>33.4</v>
      </c>
      <c r="H205" s="299">
        <f t="shared" ref="H205:H238" si="103">F205*G205</f>
        <v>32565</v>
      </c>
      <c r="I205" s="299">
        <f t="shared" ref="I205:I208" si="104">SUM(K205:S205)</f>
        <v>0</v>
      </c>
      <c r="J205" s="299">
        <f t="shared" ref="J205:J208" si="105">H205+I205</f>
        <v>32565</v>
      </c>
    </row>
    <row r="206" spans="2:20" ht="12.75" customHeight="1" x14ac:dyDescent="0.25">
      <c r="B206" s="957" t="s">
        <v>4803</v>
      </c>
      <c r="C206" s="536">
        <v>18780226</v>
      </c>
      <c r="D206" s="955" t="s">
        <v>4757</v>
      </c>
      <c r="E206" s="956" t="s">
        <v>4642</v>
      </c>
      <c r="F206" s="836">
        <v>150</v>
      </c>
      <c r="G206" s="299">
        <v>34.200000000000003</v>
      </c>
      <c r="H206" s="299">
        <f t="shared" si="103"/>
        <v>5130</v>
      </c>
      <c r="I206" s="299">
        <f t="shared" si="104"/>
        <v>0</v>
      </c>
      <c r="J206" s="299">
        <f t="shared" si="105"/>
        <v>5130</v>
      </c>
    </row>
    <row r="207" spans="2:20" ht="12.75" customHeight="1" x14ac:dyDescent="0.25">
      <c r="B207" s="957" t="s">
        <v>4803</v>
      </c>
      <c r="C207" s="536">
        <v>18780226</v>
      </c>
      <c r="D207" s="955" t="s">
        <v>4757</v>
      </c>
      <c r="E207" s="956" t="s">
        <v>4642</v>
      </c>
      <c r="F207" s="836">
        <v>375</v>
      </c>
      <c r="G207" s="299">
        <v>29.75</v>
      </c>
      <c r="H207" s="299">
        <f t="shared" si="103"/>
        <v>11156.25</v>
      </c>
      <c r="I207" s="299">
        <f t="shared" si="104"/>
        <v>0</v>
      </c>
      <c r="J207" s="299">
        <f t="shared" si="105"/>
        <v>11156.25</v>
      </c>
    </row>
    <row r="208" spans="2:20" ht="12.75" customHeight="1" x14ac:dyDescent="0.25">
      <c r="B208" s="957" t="s">
        <v>4803</v>
      </c>
      <c r="C208" s="536">
        <v>18780226</v>
      </c>
      <c r="D208" s="955" t="s">
        <v>4757</v>
      </c>
      <c r="E208" s="956" t="s">
        <v>4642</v>
      </c>
      <c r="F208" s="836">
        <v>525</v>
      </c>
      <c r="G208" s="299">
        <v>17.7</v>
      </c>
      <c r="H208" s="299">
        <f t="shared" si="103"/>
        <v>9292.5</v>
      </c>
      <c r="I208" s="299">
        <f t="shared" si="104"/>
        <v>242.41</v>
      </c>
      <c r="J208" s="299">
        <f t="shared" si="105"/>
        <v>9534.91</v>
      </c>
      <c r="K208" s="299">
        <v>140</v>
      </c>
      <c r="L208" s="299">
        <v>47.15</v>
      </c>
      <c r="O208" s="299">
        <v>33.69</v>
      </c>
      <c r="P208" s="299">
        <v>16</v>
      </c>
      <c r="Q208" s="299">
        <v>0.13</v>
      </c>
      <c r="R208" s="299">
        <v>5.44</v>
      </c>
    </row>
    <row r="209" spans="1:19" ht="12.75" customHeight="1" x14ac:dyDescent="0.25">
      <c r="A209" s="247"/>
      <c r="B209" s="957" t="s">
        <v>4806</v>
      </c>
      <c r="C209" s="536">
        <v>18972707</v>
      </c>
      <c r="D209" s="955" t="s">
        <v>4757</v>
      </c>
      <c r="E209" s="956" t="s">
        <v>4642</v>
      </c>
      <c r="F209" s="836">
        <v>525</v>
      </c>
      <c r="G209" s="299">
        <v>22.3</v>
      </c>
      <c r="H209" s="299">
        <f t="shared" si="103"/>
        <v>11707.5</v>
      </c>
      <c r="I209" s="299">
        <f t="shared" ref="I209" si="106">SUM(K209:S209)</f>
        <v>31.499999999999996</v>
      </c>
      <c r="J209" s="299">
        <f t="shared" ref="J209" si="107">H209+I209</f>
        <v>11739</v>
      </c>
      <c r="K209" s="299">
        <v>20</v>
      </c>
      <c r="L209" s="299">
        <v>6.09</v>
      </c>
      <c r="O209" s="299">
        <v>4.7</v>
      </c>
      <c r="Q209" s="299">
        <v>0.02</v>
      </c>
      <c r="R209" s="299">
        <v>0.7</v>
      </c>
      <c r="S209" s="299">
        <v>-0.01</v>
      </c>
    </row>
    <row r="210" spans="1:19" ht="12.75" customHeight="1" x14ac:dyDescent="0.25">
      <c r="B210" s="957" t="s">
        <v>4807</v>
      </c>
      <c r="C210" s="536">
        <v>19017225</v>
      </c>
      <c r="D210" s="955" t="s">
        <v>4808</v>
      </c>
      <c r="E210" s="956" t="s">
        <v>4642</v>
      </c>
      <c r="F210" s="836">
        <v>825</v>
      </c>
      <c r="G210" s="299">
        <v>33.35</v>
      </c>
      <c r="H210" s="299">
        <f t="shared" si="103"/>
        <v>27513.75</v>
      </c>
      <c r="I210" s="299">
        <f t="shared" ref="I210" si="108">SUM(K210:S210)</f>
        <v>77.31</v>
      </c>
      <c r="J210" s="299">
        <f t="shared" ref="J210" si="109">H210+I210</f>
        <v>27591.06</v>
      </c>
      <c r="K210" s="299">
        <v>40</v>
      </c>
      <c r="L210" s="299">
        <v>19.350000000000001</v>
      </c>
      <c r="O210" s="299">
        <v>10.68</v>
      </c>
      <c r="P210" s="299">
        <v>5</v>
      </c>
      <c r="Q210" s="299">
        <v>0.05</v>
      </c>
      <c r="R210" s="299">
        <v>2.23</v>
      </c>
    </row>
    <row r="211" spans="1:19" ht="12.75" customHeight="1" x14ac:dyDescent="0.25">
      <c r="B211" s="957" t="s">
        <v>4810</v>
      </c>
      <c r="C211" s="536">
        <v>19259548</v>
      </c>
      <c r="D211" s="955" t="s">
        <v>4808</v>
      </c>
      <c r="E211" s="956" t="s">
        <v>4642</v>
      </c>
      <c r="F211" s="836">
        <v>450</v>
      </c>
      <c r="G211" s="299">
        <v>22.45</v>
      </c>
      <c r="H211" s="299">
        <f t="shared" si="103"/>
        <v>10102.5</v>
      </c>
      <c r="I211" s="299">
        <f t="shared" ref="I211:I212" si="110">SUM(K211:S211)</f>
        <v>0</v>
      </c>
      <c r="J211" s="299">
        <f t="shared" ref="J211:J212" si="111">H211+I211</f>
        <v>10102.5</v>
      </c>
    </row>
    <row r="212" spans="1:19" ht="12.75" customHeight="1" x14ac:dyDescent="0.25">
      <c r="B212" s="957" t="s">
        <v>4810</v>
      </c>
      <c r="C212" s="536">
        <v>19259548</v>
      </c>
      <c r="D212" s="955" t="s">
        <v>4808</v>
      </c>
      <c r="E212" s="956" t="s">
        <v>4642</v>
      </c>
      <c r="F212" s="836">
        <v>225</v>
      </c>
      <c r="G212" s="299">
        <v>23</v>
      </c>
      <c r="H212" s="299">
        <f t="shared" si="103"/>
        <v>5175</v>
      </c>
      <c r="I212" s="299">
        <f t="shared" si="110"/>
        <v>57.52</v>
      </c>
      <c r="J212" s="299">
        <f t="shared" si="111"/>
        <v>5232.5200000000004</v>
      </c>
      <c r="K212" s="299">
        <v>40</v>
      </c>
      <c r="L212" s="299">
        <v>7.94</v>
      </c>
      <c r="O212" s="299">
        <v>8.6300000000000008</v>
      </c>
      <c r="Q212" s="299">
        <v>0.02</v>
      </c>
      <c r="R212" s="299">
        <v>0.92</v>
      </c>
      <c r="S212" s="299">
        <v>0.01</v>
      </c>
    </row>
    <row r="213" spans="1:19" ht="12.75" customHeight="1" x14ac:dyDescent="0.25">
      <c r="B213" s="957" t="s">
        <v>4815</v>
      </c>
      <c r="C213" s="536">
        <v>19685431</v>
      </c>
      <c r="D213" s="955" t="s">
        <v>4816</v>
      </c>
      <c r="E213" s="956" t="s">
        <v>4642</v>
      </c>
      <c r="F213" s="836">
        <v>375</v>
      </c>
      <c r="G213" s="299">
        <v>113</v>
      </c>
      <c r="H213" s="299">
        <f t="shared" si="103"/>
        <v>42375</v>
      </c>
      <c r="I213" s="299">
        <f t="shared" ref="I213" si="112">SUM(K213:S213)</f>
        <v>0</v>
      </c>
      <c r="J213" s="299">
        <f t="shared" ref="J213" si="113">H213+I213</f>
        <v>42375</v>
      </c>
    </row>
    <row r="214" spans="1:19" ht="12.75" customHeight="1" x14ac:dyDescent="0.25">
      <c r="B214" s="957" t="s">
        <v>4815</v>
      </c>
      <c r="C214" s="536">
        <v>19685431</v>
      </c>
      <c r="D214" s="955" t="s">
        <v>4808</v>
      </c>
      <c r="E214" s="956" t="s">
        <v>4642</v>
      </c>
      <c r="F214" s="836">
        <v>450</v>
      </c>
      <c r="G214" s="299">
        <v>33.4</v>
      </c>
      <c r="H214" s="299">
        <f t="shared" ref="H214" si="114">F214*G214</f>
        <v>15030</v>
      </c>
      <c r="I214" s="299">
        <f t="shared" ref="I214" si="115">SUM(K214:S214)</f>
        <v>0</v>
      </c>
      <c r="J214" s="299">
        <f t="shared" ref="J214" si="116">H214+I214</f>
        <v>15030</v>
      </c>
    </row>
    <row r="215" spans="1:19" ht="12.75" customHeight="1" x14ac:dyDescent="0.25">
      <c r="B215" s="957" t="s">
        <v>4815</v>
      </c>
      <c r="C215" s="536">
        <v>19685431</v>
      </c>
      <c r="D215" s="955" t="s">
        <v>4808</v>
      </c>
      <c r="E215" s="956" t="s">
        <v>4642</v>
      </c>
      <c r="F215" s="836">
        <v>1050</v>
      </c>
      <c r="G215" s="299">
        <v>33.450000000000003</v>
      </c>
      <c r="H215" s="299">
        <f t="shared" si="103"/>
        <v>35122.5</v>
      </c>
      <c r="I215" s="299">
        <f t="shared" ref="I215:I216" si="117">SUM(K215:S215)</f>
        <v>0</v>
      </c>
      <c r="J215" s="299">
        <f t="shared" ref="J215:J216" si="118">H215+I215</f>
        <v>35122.5</v>
      </c>
    </row>
    <row r="216" spans="1:19" ht="12.75" customHeight="1" x14ac:dyDescent="0.25">
      <c r="B216" s="957" t="s">
        <v>4815</v>
      </c>
      <c r="C216" s="536">
        <v>19685431</v>
      </c>
      <c r="D216" s="955" t="s">
        <v>4808</v>
      </c>
      <c r="E216" s="956" t="s">
        <v>4642</v>
      </c>
      <c r="F216" s="836">
        <v>75</v>
      </c>
      <c r="G216" s="299">
        <v>33.9</v>
      </c>
      <c r="H216" s="299">
        <f t="shared" si="103"/>
        <v>2542.5</v>
      </c>
      <c r="I216" s="299">
        <f t="shared" si="117"/>
        <v>282.65999999999997</v>
      </c>
      <c r="J216" s="299">
        <f t="shared" si="118"/>
        <v>2825.16</v>
      </c>
      <c r="K216" s="299">
        <v>100</v>
      </c>
      <c r="L216" s="299">
        <v>93.71</v>
      </c>
      <c r="O216" s="299">
        <v>34.869999999999997</v>
      </c>
      <c r="P216" s="299">
        <v>43</v>
      </c>
      <c r="Q216" s="299">
        <v>0.27</v>
      </c>
      <c r="R216" s="299">
        <v>10.81</v>
      </c>
    </row>
    <row r="217" spans="1:19" ht="12.75" customHeight="1" x14ac:dyDescent="0.25">
      <c r="A217" s="247"/>
      <c r="B217" s="957" t="s">
        <v>4817</v>
      </c>
      <c r="C217" s="536">
        <v>19804391</v>
      </c>
      <c r="D217" s="955" t="s">
        <v>4808</v>
      </c>
      <c r="E217" s="956" t="s">
        <v>4642</v>
      </c>
      <c r="F217" s="836">
        <v>375</v>
      </c>
      <c r="G217" s="299">
        <v>25.85</v>
      </c>
      <c r="H217" s="299">
        <f t="shared" si="103"/>
        <v>9693.75</v>
      </c>
      <c r="I217" s="299">
        <f t="shared" ref="I217:I218" si="119">SUM(K217:S217)</f>
        <v>0</v>
      </c>
      <c r="J217" s="299">
        <f t="shared" ref="J217:J218" si="120">H217+I217</f>
        <v>9693.75</v>
      </c>
    </row>
    <row r="218" spans="1:19" ht="12.75" customHeight="1" x14ac:dyDescent="0.25">
      <c r="B218" s="957" t="s">
        <v>4817</v>
      </c>
      <c r="C218" s="536">
        <v>19804391</v>
      </c>
      <c r="D218" s="955" t="s">
        <v>4808</v>
      </c>
      <c r="E218" s="956" t="s">
        <v>4642</v>
      </c>
      <c r="F218" s="836">
        <v>75</v>
      </c>
      <c r="G218" s="299">
        <v>26</v>
      </c>
      <c r="H218" s="299">
        <f t="shared" si="103"/>
        <v>1950</v>
      </c>
      <c r="I218" s="299">
        <f t="shared" si="119"/>
        <v>55.070000000000007</v>
      </c>
      <c r="J218" s="299">
        <f t="shared" si="120"/>
        <v>2005.07</v>
      </c>
      <c r="K218" s="299">
        <v>40</v>
      </c>
      <c r="L218" s="299">
        <v>6.06</v>
      </c>
      <c r="M218" s="224"/>
      <c r="N218" s="224"/>
      <c r="O218" s="299">
        <v>8.2899999999999991</v>
      </c>
      <c r="P218" s="299">
        <v>0.02</v>
      </c>
      <c r="Q218" s="299">
        <v>0.7</v>
      </c>
    </row>
    <row r="219" spans="1:19" ht="12.75" customHeight="1" x14ac:dyDescent="0.25">
      <c r="B219" s="957" t="s">
        <v>4818</v>
      </c>
      <c r="C219" s="536">
        <v>19851085</v>
      </c>
      <c r="D219" s="955" t="s">
        <v>4808</v>
      </c>
      <c r="E219" s="956" t="s">
        <v>4642</v>
      </c>
      <c r="F219" s="836">
        <v>975</v>
      </c>
      <c r="G219" s="299">
        <v>14.8</v>
      </c>
      <c r="H219" s="299">
        <f t="shared" si="103"/>
        <v>14430</v>
      </c>
      <c r="I219" s="299">
        <f t="shared" ref="I219" si="121">SUM(K219:S219)</f>
        <v>33.330000000000005</v>
      </c>
      <c r="J219" s="299">
        <f t="shared" ref="J219" si="122">H219+I219</f>
        <v>14463.33</v>
      </c>
      <c r="K219" s="299">
        <v>20</v>
      </c>
      <c r="L219" s="299">
        <v>7.5</v>
      </c>
      <c r="O219" s="299">
        <v>4.95</v>
      </c>
      <c r="P219" s="224"/>
      <c r="Q219" s="299">
        <v>0.02</v>
      </c>
      <c r="R219" s="299">
        <v>0.87</v>
      </c>
      <c r="S219" s="299">
        <v>-0.01</v>
      </c>
    </row>
    <row r="220" spans="1:19" ht="12.75" customHeight="1" x14ac:dyDescent="0.25">
      <c r="B220" s="957" t="s">
        <v>4824</v>
      </c>
      <c r="C220" s="536">
        <v>20181911</v>
      </c>
      <c r="D220" s="955" t="s">
        <v>4825</v>
      </c>
      <c r="E220" s="956" t="s">
        <v>4642</v>
      </c>
      <c r="F220" s="836">
        <v>975</v>
      </c>
      <c r="G220" s="299">
        <v>12</v>
      </c>
      <c r="H220" s="299">
        <f t="shared" si="103"/>
        <v>11700</v>
      </c>
      <c r="I220" s="299">
        <f t="shared" ref="I220:I222" si="123">SUM(K220:S220)</f>
        <v>0</v>
      </c>
      <c r="J220" s="299">
        <f t="shared" ref="J220:J222" si="124">H220+I220</f>
        <v>11700</v>
      </c>
    </row>
    <row r="221" spans="1:19" ht="12.75" customHeight="1" x14ac:dyDescent="0.25">
      <c r="B221" s="957" t="s">
        <v>4824</v>
      </c>
      <c r="C221" s="536">
        <v>20181911</v>
      </c>
      <c r="D221" s="955" t="s">
        <v>4825</v>
      </c>
      <c r="E221" s="956" t="s">
        <v>4642</v>
      </c>
      <c r="F221" s="836">
        <v>1800</v>
      </c>
      <c r="G221" s="299">
        <v>14.85</v>
      </c>
      <c r="H221" s="299">
        <f t="shared" si="103"/>
        <v>26730</v>
      </c>
      <c r="I221" s="299">
        <f t="shared" si="123"/>
        <v>0</v>
      </c>
      <c r="J221" s="299">
        <f t="shared" si="124"/>
        <v>26730</v>
      </c>
    </row>
    <row r="222" spans="1:19" ht="12.75" customHeight="1" x14ac:dyDescent="0.25">
      <c r="B222" s="957" t="s">
        <v>4824</v>
      </c>
      <c r="C222" s="536">
        <v>20181911</v>
      </c>
      <c r="D222" s="955" t="s">
        <v>4825</v>
      </c>
      <c r="E222" s="956" t="s">
        <v>4642</v>
      </c>
      <c r="F222" s="836">
        <v>225</v>
      </c>
      <c r="G222" s="299">
        <v>15.3</v>
      </c>
      <c r="H222" s="299">
        <f t="shared" si="103"/>
        <v>3442.5</v>
      </c>
      <c r="I222" s="299">
        <f t="shared" si="123"/>
        <v>153.39000000000001</v>
      </c>
      <c r="J222" s="299">
        <f t="shared" si="124"/>
        <v>3595.89</v>
      </c>
      <c r="K222" s="299">
        <v>80</v>
      </c>
      <c r="L222" s="299">
        <v>35.43</v>
      </c>
      <c r="O222" s="299">
        <v>20.78</v>
      </c>
      <c r="P222" s="299">
        <v>13</v>
      </c>
      <c r="Q222" s="299">
        <v>0.1</v>
      </c>
      <c r="R222" s="299">
        <v>4.09</v>
      </c>
      <c r="S222" s="299">
        <v>-0.01</v>
      </c>
    </row>
    <row r="223" spans="1:19" ht="12.75" customHeight="1" x14ac:dyDescent="0.25">
      <c r="B223" s="957" t="s">
        <v>4831</v>
      </c>
      <c r="C223" s="536">
        <v>20352522</v>
      </c>
      <c r="D223" s="955" t="s">
        <v>4757</v>
      </c>
      <c r="E223" s="956" t="s">
        <v>4642</v>
      </c>
      <c r="F223" s="836">
        <v>900</v>
      </c>
      <c r="G223" s="299">
        <v>27.9</v>
      </c>
      <c r="H223" s="299">
        <f t="shared" si="103"/>
        <v>25110</v>
      </c>
      <c r="I223" s="299">
        <f t="shared" ref="I223:I227" si="125">SUM(K223:S223)</f>
        <v>0</v>
      </c>
      <c r="J223" s="299">
        <f t="shared" ref="J223:J227" si="126">H223+I223</f>
        <v>25110</v>
      </c>
    </row>
    <row r="224" spans="1:19" ht="12.75" customHeight="1" x14ac:dyDescent="0.25">
      <c r="B224" s="957" t="s">
        <v>4831</v>
      </c>
      <c r="C224" s="536">
        <v>20352522</v>
      </c>
      <c r="D224" s="955" t="s">
        <v>4757</v>
      </c>
      <c r="E224" s="956" t="s">
        <v>4642</v>
      </c>
      <c r="F224" s="836">
        <v>150</v>
      </c>
      <c r="G224" s="299">
        <v>27.5</v>
      </c>
      <c r="H224" s="299">
        <f t="shared" si="103"/>
        <v>4125</v>
      </c>
      <c r="I224" s="299">
        <f t="shared" si="125"/>
        <v>0</v>
      </c>
      <c r="J224" s="299">
        <f t="shared" si="126"/>
        <v>4125</v>
      </c>
    </row>
    <row r="225" spans="2:20" ht="12.75" customHeight="1" x14ac:dyDescent="0.25">
      <c r="B225" s="957" t="s">
        <v>4831</v>
      </c>
      <c r="C225" s="536">
        <v>20352522</v>
      </c>
      <c r="D225" s="955" t="s">
        <v>4825</v>
      </c>
      <c r="E225" s="956" t="s">
        <v>4642</v>
      </c>
      <c r="F225" s="836">
        <v>3000</v>
      </c>
      <c r="G225" s="299">
        <v>10.1</v>
      </c>
      <c r="H225" s="299">
        <f t="shared" si="103"/>
        <v>30300</v>
      </c>
      <c r="I225" s="299">
        <f t="shared" si="125"/>
        <v>0</v>
      </c>
      <c r="J225" s="299">
        <f t="shared" si="126"/>
        <v>30300</v>
      </c>
    </row>
    <row r="226" spans="2:20" ht="12.75" customHeight="1" x14ac:dyDescent="0.25">
      <c r="B226" s="957" t="s">
        <v>4831</v>
      </c>
      <c r="C226" s="536">
        <v>20352522</v>
      </c>
      <c r="D226" s="955" t="s">
        <v>4809</v>
      </c>
      <c r="E226" s="956" t="s">
        <v>4642</v>
      </c>
      <c r="F226" s="836">
        <v>600</v>
      </c>
      <c r="G226" s="299">
        <v>24.45</v>
      </c>
      <c r="H226" s="299">
        <f t="shared" si="103"/>
        <v>14670</v>
      </c>
      <c r="I226" s="299">
        <f t="shared" si="125"/>
        <v>0</v>
      </c>
      <c r="J226" s="299">
        <f t="shared" si="126"/>
        <v>14670</v>
      </c>
    </row>
    <row r="227" spans="2:20" ht="12.75" customHeight="1" x14ac:dyDescent="0.25">
      <c r="B227" s="957" t="s">
        <v>4831</v>
      </c>
      <c r="C227" s="536">
        <v>20352522</v>
      </c>
      <c r="D227" s="955" t="s">
        <v>4809</v>
      </c>
      <c r="E227" s="956" t="s">
        <v>4642</v>
      </c>
      <c r="F227" s="836">
        <v>375</v>
      </c>
      <c r="G227" s="299">
        <v>24.45</v>
      </c>
      <c r="H227" s="299">
        <f t="shared" si="103"/>
        <v>9168.75</v>
      </c>
      <c r="I227" s="299">
        <f t="shared" si="125"/>
        <v>257.19</v>
      </c>
      <c r="J227" s="299">
        <f t="shared" si="126"/>
        <v>9425.94</v>
      </c>
      <c r="K227" s="299">
        <v>120</v>
      </c>
      <c r="L227" s="299">
        <v>69.78</v>
      </c>
      <c r="O227" s="299">
        <v>34.159999999999997</v>
      </c>
      <c r="P227" s="299">
        <v>25</v>
      </c>
      <c r="Q227" s="299">
        <v>0.2</v>
      </c>
      <c r="R227" s="299">
        <v>8.0500000000000007</v>
      </c>
    </row>
    <row r="228" spans="2:20" ht="12.75" customHeight="1" x14ac:dyDescent="0.25">
      <c r="B228" s="957" t="s">
        <v>4834</v>
      </c>
      <c r="C228" s="536">
        <v>20540803</v>
      </c>
      <c r="D228" s="955" t="s">
        <v>4825</v>
      </c>
      <c r="E228" s="956" t="s">
        <v>4642</v>
      </c>
      <c r="F228" s="836">
        <v>2025</v>
      </c>
      <c r="G228" s="299">
        <v>9.75</v>
      </c>
      <c r="H228" s="299">
        <f t="shared" si="103"/>
        <v>19743.75</v>
      </c>
      <c r="I228" s="299">
        <f t="shared" ref="I228:I232" si="127">SUM(K228:S228)</f>
        <v>0</v>
      </c>
      <c r="J228" s="299">
        <f t="shared" ref="J228:J232" si="128">H228+I228</f>
        <v>19743.75</v>
      </c>
    </row>
    <row r="229" spans="2:20" ht="12.75" customHeight="1" x14ac:dyDescent="0.25">
      <c r="B229" s="957" t="s">
        <v>4834</v>
      </c>
      <c r="C229" s="536">
        <v>20540803</v>
      </c>
      <c r="D229" s="955" t="s">
        <v>4809</v>
      </c>
      <c r="E229" s="956" t="s">
        <v>4642</v>
      </c>
      <c r="F229" s="836">
        <v>675</v>
      </c>
      <c r="G229" s="299">
        <v>21.9</v>
      </c>
      <c r="H229" s="299">
        <f t="shared" si="103"/>
        <v>14782.499999999998</v>
      </c>
      <c r="I229" s="299">
        <f t="shared" si="127"/>
        <v>0</v>
      </c>
      <c r="J229" s="299">
        <f t="shared" si="128"/>
        <v>14782.499999999998</v>
      </c>
    </row>
    <row r="230" spans="2:20" ht="12.75" customHeight="1" x14ac:dyDescent="0.25">
      <c r="B230" s="957" t="s">
        <v>4834</v>
      </c>
      <c r="C230" s="536">
        <v>20540803</v>
      </c>
      <c r="D230" s="955" t="s">
        <v>4835</v>
      </c>
      <c r="E230" s="956" t="s">
        <v>4642</v>
      </c>
      <c r="F230" s="836">
        <v>3225</v>
      </c>
      <c r="G230" s="299">
        <v>21.95</v>
      </c>
      <c r="H230" s="299">
        <f t="shared" si="103"/>
        <v>70788.75</v>
      </c>
      <c r="I230" s="299">
        <f t="shared" si="127"/>
        <v>0</v>
      </c>
      <c r="J230" s="299">
        <f t="shared" si="128"/>
        <v>70788.75</v>
      </c>
    </row>
    <row r="231" spans="2:20" ht="12.75" customHeight="1" x14ac:dyDescent="0.25">
      <c r="B231" s="957" t="s">
        <v>4834</v>
      </c>
      <c r="C231" s="536">
        <v>20540803</v>
      </c>
      <c r="D231" s="955" t="s">
        <v>4835</v>
      </c>
      <c r="E231" s="956" t="s">
        <v>4642</v>
      </c>
      <c r="F231" s="836">
        <v>225</v>
      </c>
      <c r="G231" s="299">
        <v>23.3</v>
      </c>
      <c r="H231" s="299">
        <f t="shared" si="103"/>
        <v>5242.5</v>
      </c>
      <c r="I231" s="299">
        <f t="shared" si="127"/>
        <v>0</v>
      </c>
      <c r="J231" s="299">
        <f t="shared" si="128"/>
        <v>5242.5</v>
      </c>
    </row>
    <row r="232" spans="2:20" ht="12.75" customHeight="1" x14ac:dyDescent="0.25">
      <c r="B232" s="957" t="s">
        <v>4834</v>
      </c>
      <c r="C232" s="536">
        <v>20540803</v>
      </c>
      <c r="D232" s="955" t="s">
        <v>4835</v>
      </c>
      <c r="E232" s="956" t="s">
        <v>4642</v>
      </c>
      <c r="F232" s="836">
        <v>75</v>
      </c>
      <c r="G232" s="299">
        <v>11.85</v>
      </c>
      <c r="H232" s="299">
        <f t="shared" si="103"/>
        <v>888.75</v>
      </c>
      <c r="I232" s="299">
        <f t="shared" si="127"/>
        <v>318.29000000000002</v>
      </c>
      <c r="J232" s="299">
        <f t="shared" si="128"/>
        <v>1207.04</v>
      </c>
      <c r="K232" s="299">
        <v>120</v>
      </c>
      <c r="L232" s="299">
        <v>102.97</v>
      </c>
      <c r="O232" s="299">
        <v>40.130000000000003</v>
      </c>
      <c r="P232" s="299">
        <v>43</v>
      </c>
      <c r="Q232" s="299">
        <v>0.3</v>
      </c>
      <c r="R232" s="299">
        <v>11.88</v>
      </c>
      <c r="S232" s="299">
        <v>0.01</v>
      </c>
    </row>
    <row r="233" spans="2:20" ht="12.75" customHeight="1" x14ac:dyDescent="0.25">
      <c r="B233" s="957" t="s">
        <v>4836</v>
      </c>
      <c r="C233" s="536">
        <v>20710586</v>
      </c>
      <c r="D233" s="955" t="s">
        <v>4835</v>
      </c>
      <c r="E233" s="956" t="s">
        <v>4642</v>
      </c>
      <c r="F233" s="836">
        <v>2025</v>
      </c>
      <c r="G233" s="299">
        <v>28.5</v>
      </c>
      <c r="H233" s="299">
        <f t="shared" si="103"/>
        <v>57712.5</v>
      </c>
      <c r="I233" s="299">
        <f t="shared" ref="I233:I237" si="129">SUM(K233:S233)</f>
        <v>0</v>
      </c>
      <c r="J233" s="299">
        <f t="shared" ref="J233:J237" si="130">H233+I233</f>
        <v>57712.5</v>
      </c>
    </row>
    <row r="234" spans="2:20" ht="12.75" customHeight="1" x14ac:dyDescent="0.25">
      <c r="B234" s="957" t="s">
        <v>4836</v>
      </c>
      <c r="C234" s="536">
        <v>20710586</v>
      </c>
      <c r="D234" s="955" t="s">
        <v>4825</v>
      </c>
      <c r="E234" s="956" t="s">
        <v>4642</v>
      </c>
      <c r="F234" s="836">
        <v>675</v>
      </c>
      <c r="G234" s="299">
        <v>15</v>
      </c>
      <c r="H234" s="299">
        <f t="shared" si="103"/>
        <v>10125</v>
      </c>
      <c r="I234" s="299">
        <f t="shared" si="129"/>
        <v>0</v>
      </c>
      <c r="J234" s="299">
        <f t="shared" si="130"/>
        <v>10125</v>
      </c>
    </row>
    <row r="235" spans="2:20" ht="12.75" customHeight="1" x14ac:dyDescent="0.25">
      <c r="B235" s="957" t="s">
        <v>4836</v>
      </c>
      <c r="C235" s="536">
        <v>20710586</v>
      </c>
      <c r="D235" s="955" t="s">
        <v>4825</v>
      </c>
      <c r="E235" s="956" t="s">
        <v>4642</v>
      </c>
      <c r="F235" s="836">
        <v>1350</v>
      </c>
      <c r="G235" s="299">
        <v>15.5</v>
      </c>
      <c r="H235" s="299">
        <f t="shared" si="103"/>
        <v>20925</v>
      </c>
      <c r="I235" s="299">
        <f t="shared" si="129"/>
        <v>0</v>
      </c>
      <c r="J235" s="299">
        <f t="shared" si="130"/>
        <v>20925</v>
      </c>
    </row>
    <row r="236" spans="2:20" ht="12.75" customHeight="1" x14ac:dyDescent="0.25">
      <c r="B236" s="957" t="s">
        <v>4836</v>
      </c>
      <c r="C236" s="536">
        <v>20710586</v>
      </c>
      <c r="D236" s="978" t="s">
        <v>4835</v>
      </c>
      <c r="E236" s="976" t="s">
        <v>4642</v>
      </c>
      <c r="F236" s="844">
        <v>375</v>
      </c>
      <c r="G236" s="455">
        <v>35.799999999999997</v>
      </c>
      <c r="H236" s="454">
        <f t="shared" si="103"/>
        <v>13424.999999999998</v>
      </c>
      <c r="I236" s="299">
        <f t="shared" si="129"/>
        <v>0</v>
      </c>
      <c r="J236" s="299">
        <f t="shared" si="130"/>
        <v>13424.999999999998</v>
      </c>
      <c r="K236" s="455"/>
      <c r="L236" s="456"/>
      <c r="M236" s="455"/>
      <c r="N236" s="457"/>
      <c r="O236" s="457"/>
      <c r="P236" s="457"/>
      <c r="Q236" s="457"/>
      <c r="R236" s="457"/>
      <c r="S236" s="457"/>
      <c r="T236" s="451"/>
    </row>
    <row r="237" spans="2:20" ht="12.75" customHeight="1" x14ac:dyDescent="0.25">
      <c r="B237" s="957" t="s">
        <v>4836</v>
      </c>
      <c r="C237" s="536">
        <v>20710586</v>
      </c>
      <c r="D237" s="962" t="s">
        <v>4825</v>
      </c>
      <c r="E237" s="956" t="s">
        <v>4642</v>
      </c>
      <c r="F237" s="844">
        <v>75</v>
      </c>
      <c r="G237" s="455">
        <v>17.399999999999999</v>
      </c>
      <c r="H237" s="454">
        <f t="shared" si="103"/>
        <v>1305</v>
      </c>
      <c r="I237" s="299">
        <f t="shared" si="129"/>
        <v>333.79999999999995</v>
      </c>
      <c r="J237" s="299">
        <f t="shared" si="130"/>
        <v>1638.8</v>
      </c>
      <c r="K237" s="455">
        <v>140</v>
      </c>
      <c r="L237" s="303">
        <v>97.51</v>
      </c>
      <c r="O237" s="299">
        <v>42.75</v>
      </c>
      <c r="P237" s="299">
        <v>42</v>
      </c>
      <c r="Q237" s="299">
        <v>0.28000000000000003</v>
      </c>
      <c r="R237" s="299">
        <v>11.25</v>
      </c>
      <c r="S237" s="299">
        <v>0.01</v>
      </c>
    </row>
    <row r="238" spans="2:20" ht="12.75" customHeight="1" x14ac:dyDescent="0.25">
      <c r="B238" s="957" t="s">
        <v>4840</v>
      </c>
      <c r="C238" s="537">
        <v>20952385</v>
      </c>
      <c r="D238" s="978" t="s">
        <v>4809</v>
      </c>
      <c r="E238" s="977" t="s">
        <v>4642</v>
      </c>
      <c r="F238" s="844">
        <v>3000</v>
      </c>
      <c r="G238" s="455">
        <v>21.3</v>
      </c>
      <c r="H238" s="454">
        <f t="shared" si="103"/>
        <v>63900</v>
      </c>
      <c r="I238" s="299">
        <f t="shared" ref="I238" si="131">SUM(K238:S238)</f>
        <v>212.73999999999998</v>
      </c>
      <c r="J238" s="299">
        <f t="shared" ref="J238" si="132">H238+I238</f>
        <v>64112.74</v>
      </c>
      <c r="K238" s="455">
        <v>80</v>
      </c>
      <c r="L238" s="303">
        <v>66.510000000000005</v>
      </c>
      <c r="M238" s="455"/>
      <c r="N238" s="457"/>
      <c r="O238" s="457">
        <v>26.37</v>
      </c>
      <c r="P238" s="457">
        <v>32</v>
      </c>
      <c r="Q238" s="457">
        <v>0.19</v>
      </c>
      <c r="R238" s="457">
        <v>7.67</v>
      </c>
      <c r="S238" s="457"/>
      <c r="T238" s="451"/>
    </row>
    <row r="239" spans="2:20" ht="12.75" customHeight="1" x14ac:dyDescent="0.25">
      <c r="B239" s="957" t="s">
        <v>4841</v>
      </c>
      <c r="C239" s="536">
        <v>21157808</v>
      </c>
      <c r="D239" s="955" t="s">
        <v>4767</v>
      </c>
      <c r="E239" s="956" t="s">
        <v>4642</v>
      </c>
      <c r="F239" s="836">
        <v>750</v>
      </c>
      <c r="G239" s="299">
        <v>54</v>
      </c>
      <c r="H239" s="454">
        <f t="shared" ref="H239:H243" si="133">F239*G239</f>
        <v>40500</v>
      </c>
      <c r="I239" s="299">
        <f t="shared" ref="I239:I241" si="134">SUM(K239:S239)</f>
        <v>0</v>
      </c>
      <c r="J239" s="299">
        <f t="shared" ref="J239:J241" si="135">H239+I239</f>
        <v>40500</v>
      </c>
    </row>
    <row r="240" spans="2:20" ht="12.75" customHeight="1" x14ac:dyDescent="0.25">
      <c r="B240" s="957" t="s">
        <v>4841</v>
      </c>
      <c r="C240" s="536">
        <v>21157808</v>
      </c>
      <c r="D240" s="955" t="s">
        <v>4809</v>
      </c>
      <c r="E240" s="956" t="s">
        <v>4642</v>
      </c>
      <c r="F240" s="836">
        <v>750</v>
      </c>
      <c r="G240" s="299">
        <v>59.2</v>
      </c>
      <c r="H240" s="454">
        <f t="shared" si="133"/>
        <v>44400</v>
      </c>
      <c r="I240" s="299">
        <f t="shared" si="134"/>
        <v>0</v>
      </c>
      <c r="J240" s="299">
        <f t="shared" si="135"/>
        <v>44400</v>
      </c>
    </row>
    <row r="241" spans="2:19" ht="12.75" customHeight="1" x14ac:dyDescent="0.25">
      <c r="B241" s="957" t="s">
        <v>4841</v>
      </c>
      <c r="C241" s="536">
        <v>21157808</v>
      </c>
      <c r="D241" s="955" t="s">
        <v>4809</v>
      </c>
      <c r="E241" s="956" t="s">
        <v>4642</v>
      </c>
      <c r="F241" s="836">
        <v>300</v>
      </c>
      <c r="G241" s="299">
        <v>59.3</v>
      </c>
      <c r="H241" s="454">
        <f t="shared" si="133"/>
        <v>17790</v>
      </c>
      <c r="I241" s="299">
        <f t="shared" si="134"/>
        <v>257.91000000000003</v>
      </c>
      <c r="J241" s="299">
        <f t="shared" si="135"/>
        <v>18047.91</v>
      </c>
      <c r="K241" s="299">
        <v>80</v>
      </c>
      <c r="L241" s="299">
        <v>95.13</v>
      </c>
      <c r="O241" s="299">
        <v>31.52</v>
      </c>
      <c r="P241" s="299">
        <v>40</v>
      </c>
      <c r="Q241" s="299">
        <v>0.28000000000000003</v>
      </c>
      <c r="R241" s="299">
        <v>10.98</v>
      </c>
    </row>
    <row r="242" spans="2:19" ht="12.75" customHeight="1" x14ac:dyDescent="0.25">
      <c r="B242" s="957" t="s">
        <v>4844</v>
      </c>
      <c r="C242" s="536">
        <v>21274291</v>
      </c>
      <c r="D242" s="955" t="s">
        <v>4809</v>
      </c>
      <c r="E242" s="956" t="s">
        <v>4642</v>
      </c>
      <c r="F242" s="836">
        <v>75</v>
      </c>
      <c r="G242" s="299">
        <v>60.6</v>
      </c>
      <c r="H242" s="299">
        <f t="shared" si="133"/>
        <v>4545</v>
      </c>
      <c r="I242" s="299">
        <f t="shared" ref="I242:I243" si="136">SUM(K242:S242)</f>
        <v>0</v>
      </c>
      <c r="J242" s="299">
        <f t="shared" ref="J242:J243" si="137">H242+I242</f>
        <v>4545</v>
      </c>
    </row>
    <row r="243" spans="2:19" ht="12.75" customHeight="1" x14ac:dyDescent="0.25">
      <c r="B243" s="957" t="s">
        <v>4844</v>
      </c>
      <c r="C243" s="536">
        <v>21274291</v>
      </c>
      <c r="D243" s="955" t="s">
        <v>4809</v>
      </c>
      <c r="E243" s="956" t="s">
        <v>4642</v>
      </c>
      <c r="F243" s="836">
        <v>450</v>
      </c>
      <c r="G243" s="299">
        <v>60.7</v>
      </c>
      <c r="H243" s="299">
        <f t="shared" si="133"/>
        <v>27315</v>
      </c>
      <c r="I243" s="299">
        <f t="shared" si="136"/>
        <v>63.11</v>
      </c>
      <c r="J243" s="299">
        <f t="shared" si="137"/>
        <v>27378.11</v>
      </c>
      <c r="K243" s="299">
        <v>20</v>
      </c>
      <c r="L243" s="299">
        <v>16.57</v>
      </c>
      <c r="O243" s="299">
        <v>6.58</v>
      </c>
      <c r="Q243" s="299">
        <v>0.05</v>
      </c>
      <c r="R243" s="299">
        <v>19.91</v>
      </c>
    </row>
    <row r="244" spans="2:19" ht="12.75" customHeight="1" x14ac:dyDescent="0.25">
      <c r="B244" s="957" t="s">
        <v>4846</v>
      </c>
      <c r="C244" s="536">
        <v>21320908</v>
      </c>
      <c r="D244" s="955" t="s">
        <v>4757</v>
      </c>
      <c r="E244" s="956" t="s">
        <v>4642</v>
      </c>
      <c r="F244" s="836">
        <v>300</v>
      </c>
      <c r="G244" s="299">
        <v>64</v>
      </c>
      <c r="H244" s="454">
        <f t="shared" ref="H244:H254" si="138">F244*G244</f>
        <v>19200</v>
      </c>
      <c r="I244" s="299">
        <f>SUM(K244:S244)</f>
        <v>159.83000000000001</v>
      </c>
      <c r="J244" s="299">
        <f>H244+I244</f>
        <v>19359.830000000002</v>
      </c>
      <c r="K244" s="299">
        <v>40</v>
      </c>
      <c r="L244" s="299">
        <v>62.11</v>
      </c>
      <c r="O244" s="299">
        <v>18.38</v>
      </c>
      <c r="P244" s="299">
        <v>50</v>
      </c>
      <c r="Q244" s="299">
        <v>0.18</v>
      </c>
      <c r="R244" s="299">
        <v>7.17</v>
      </c>
      <c r="S244" s="299">
        <v>-18.010000000000002</v>
      </c>
    </row>
    <row r="245" spans="2:19" ht="12.75" customHeight="1" x14ac:dyDescent="0.25">
      <c r="B245" s="957" t="s">
        <v>4847</v>
      </c>
      <c r="C245" s="536">
        <v>21510791</v>
      </c>
      <c r="D245" s="955" t="s">
        <v>4809</v>
      </c>
      <c r="E245" s="956" t="s">
        <v>4642</v>
      </c>
      <c r="F245" s="836">
        <v>1050</v>
      </c>
      <c r="G245" s="299">
        <v>58.75</v>
      </c>
      <c r="H245" s="299">
        <f t="shared" si="138"/>
        <v>61687.5</v>
      </c>
      <c r="I245" s="299">
        <f t="shared" ref="I245:I247" si="139">SUM(K245:S245)</f>
        <v>0</v>
      </c>
      <c r="J245" s="299">
        <f t="shared" ref="J245:J247" si="140">H245+I245</f>
        <v>61687.5</v>
      </c>
    </row>
    <row r="246" spans="2:19" ht="12.75" customHeight="1" x14ac:dyDescent="0.25">
      <c r="B246" s="957" t="s">
        <v>4847</v>
      </c>
      <c r="C246" s="536">
        <v>21510791</v>
      </c>
      <c r="D246" s="955" t="s">
        <v>4809</v>
      </c>
      <c r="E246" s="956" t="s">
        <v>4642</v>
      </c>
      <c r="F246" s="836">
        <v>525</v>
      </c>
      <c r="G246" s="299">
        <v>58.85</v>
      </c>
      <c r="H246" s="299">
        <f t="shared" si="138"/>
        <v>30896.25</v>
      </c>
      <c r="I246" s="299">
        <f t="shared" si="139"/>
        <v>0</v>
      </c>
      <c r="J246" s="299">
        <f t="shared" si="140"/>
        <v>30896.25</v>
      </c>
    </row>
    <row r="247" spans="2:19" ht="12.75" customHeight="1" x14ac:dyDescent="0.25">
      <c r="B247" s="957" t="s">
        <v>4847</v>
      </c>
      <c r="C247" s="536">
        <v>21510791</v>
      </c>
      <c r="D247" s="955" t="s">
        <v>4809</v>
      </c>
      <c r="E247" s="956" t="s">
        <v>4642</v>
      </c>
      <c r="F247" s="836">
        <v>450</v>
      </c>
      <c r="G247" s="299">
        <v>54.6</v>
      </c>
      <c r="H247" s="299">
        <f t="shared" si="138"/>
        <v>24570</v>
      </c>
      <c r="I247" s="299">
        <f t="shared" si="139"/>
        <v>175.06</v>
      </c>
      <c r="J247" s="299">
        <f t="shared" si="140"/>
        <v>24745.06</v>
      </c>
      <c r="K247" s="299">
        <v>60</v>
      </c>
      <c r="L247" s="299">
        <v>71.84</v>
      </c>
      <c r="O247" s="299">
        <v>23.73</v>
      </c>
      <c r="P247" s="299">
        <v>11</v>
      </c>
      <c r="Q247" s="299">
        <v>0.21</v>
      </c>
      <c r="R247" s="299">
        <v>8.2899999999999991</v>
      </c>
      <c r="S247" s="299">
        <v>-0.01</v>
      </c>
    </row>
    <row r="248" spans="2:19" ht="12.75" customHeight="1" x14ac:dyDescent="0.25">
      <c r="B248" s="957" t="s">
        <v>4851</v>
      </c>
      <c r="C248" s="536">
        <v>21643190</v>
      </c>
      <c r="D248" s="955" t="s">
        <v>4809</v>
      </c>
      <c r="E248" s="956" t="s">
        <v>4642</v>
      </c>
      <c r="F248" s="836">
        <v>450</v>
      </c>
      <c r="G248" s="299">
        <v>29.75</v>
      </c>
      <c r="H248" s="299">
        <f t="shared" si="138"/>
        <v>13387.5</v>
      </c>
      <c r="I248" s="299">
        <f t="shared" ref="I248:I250" si="141">SUM(K248:S248)</f>
        <v>0</v>
      </c>
      <c r="J248" s="299">
        <f t="shared" ref="J248:J250" si="142">H248+I248</f>
        <v>13387.5</v>
      </c>
    </row>
    <row r="249" spans="2:19" ht="12.75" customHeight="1" x14ac:dyDescent="0.25">
      <c r="B249" s="957" t="s">
        <v>4851</v>
      </c>
      <c r="C249" s="536">
        <v>21643190</v>
      </c>
      <c r="D249" s="955" t="s">
        <v>4809</v>
      </c>
      <c r="E249" s="956" t="s">
        <v>4642</v>
      </c>
      <c r="F249" s="836">
        <v>525</v>
      </c>
      <c r="G249" s="299">
        <v>29.55</v>
      </c>
      <c r="H249" s="299">
        <f t="shared" si="138"/>
        <v>15513.75</v>
      </c>
      <c r="I249" s="299">
        <f t="shared" si="141"/>
        <v>0</v>
      </c>
      <c r="J249" s="299">
        <f t="shared" si="142"/>
        <v>15513.75</v>
      </c>
    </row>
    <row r="250" spans="2:19" ht="12.75" customHeight="1" x14ac:dyDescent="0.25">
      <c r="B250" s="957" t="s">
        <v>4851</v>
      </c>
      <c r="C250" s="536">
        <v>21643190</v>
      </c>
      <c r="D250" s="955" t="s">
        <v>4809</v>
      </c>
      <c r="E250" s="956" t="s">
        <v>4642</v>
      </c>
      <c r="F250" s="836">
        <v>975</v>
      </c>
      <c r="G250" s="299">
        <v>31</v>
      </c>
      <c r="H250" s="299">
        <f t="shared" si="138"/>
        <v>30225</v>
      </c>
      <c r="I250" s="299">
        <f t="shared" si="141"/>
        <v>87.12</v>
      </c>
      <c r="J250" s="299">
        <f t="shared" si="142"/>
        <v>30312.12</v>
      </c>
      <c r="K250" s="299">
        <v>40</v>
      </c>
      <c r="L250" s="299">
        <v>30.75</v>
      </c>
      <c r="O250" s="299">
        <v>12.73</v>
      </c>
      <c r="Q250" s="299">
        <v>0.09</v>
      </c>
      <c r="R250" s="299">
        <v>3.55</v>
      </c>
    </row>
    <row r="251" spans="2:19" ht="12.75" customHeight="1" x14ac:dyDescent="0.25">
      <c r="B251" s="957" t="s">
        <v>4852</v>
      </c>
      <c r="C251" s="536">
        <v>21759890</v>
      </c>
      <c r="D251" s="955" t="s">
        <v>4757</v>
      </c>
      <c r="E251" s="956" t="s">
        <v>4642</v>
      </c>
      <c r="F251" s="836">
        <v>75</v>
      </c>
      <c r="G251" s="299">
        <v>27.7</v>
      </c>
      <c r="H251" s="299">
        <f t="shared" si="138"/>
        <v>2077.5</v>
      </c>
      <c r="I251" s="299">
        <f t="shared" ref="I251" si="143">SUM(K251:S251)</f>
        <v>24.999999999999996</v>
      </c>
      <c r="J251" s="299">
        <f t="shared" ref="J251:J257" si="144">H251+I251</f>
        <v>2102.5</v>
      </c>
      <c r="K251" s="299">
        <v>20</v>
      </c>
      <c r="L251" s="299">
        <v>1.08</v>
      </c>
      <c r="O251" s="299">
        <v>3.79</v>
      </c>
      <c r="R251" s="299">
        <v>0.13</v>
      </c>
    </row>
    <row r="252" spans="2:19" ht="12.75" customHeight="1" x14ac:dyDescent="0.25">
      <c r="B252" s="957" t="s">
        <v>4853</v>
      </c>
      <c r="C252" s="536">
        <v>21883922</v>
      </c>
      <c r="D252" s="955" t="s">
        <v>4767</v>
      </c>
      <c r="E252" s="956" t="s">
        <v>4642</v>
      </c>
      <c r="F252" s="836">
        <v>1050</v>
      </c>
      <c r="G252" s="299">
        <v>88.5</v>
      </c>
      <c r="H252" s="299">
        <f t="shared" si="138"/>
        <v>92925</v>
      </c>
      <c r="I252" s="299">
        <f t="shared" ref="I252:I253" si="145">SUM(K252:S252)</f>
        <v>0</v>
      </c>
      <c r="J252" s="299">
        <f t="shared" si="144"/>
        <v>92925</v>
      </c>
    </row>
    <row r="253" spans="2:19" ht="12.75" customHeight="1" x14ac:dyDescent="0.25">
      <c r="B253" s="957" t="s">
        <v>4853</v>
      </c>
      <c r="C253" s="536">
        <v>21883922</v>
      </c>
      <c r="D253" s="955" t="s">
        <v>4767</v>
      </c>
      <c r="E253" s="956" t="s">
        <v>4642</v>
      </c>
      <c r="F253" s="836">
        <v>525</v>
      </c>
      <c r="G253" s="299">
        <v>93.55</v>
      </c>
      <c r="H253" s="299">
        <f t="shared" si="138"/>
        <v>49113.75</v>
      </c>
      <c r="I253" s="299">
        <f t="shared" si="145"/>
        <v>419.59</v>
      </c>
      <c r="J253" s="299">
        <f t="shared" si="144"/>
        <v>49533.34</v>
      </c>
      <c r="K253" s="299">
        <v>80</v>
      </c>
      <c r="L253" s="299">
        <v>182.69</v>
      </c>
      <c r="O253" s="299">
        <v>47.29</v>
      </c>
      <c r="P253" s="299">
        <v>88</v>
      </c>
      <c r="Q253" s="299">
        <v>0.53</v>
      </c>
      <c r="R253" s="299">
        <v>21.08</v>
      </c>
    </row>
    <row r="254" spans="2:19" ht="12.75" customHeight="1" x14ac:dyDescent="0.25">
      <c r="B254" s="957" t="s">
        <v>4853</v>
      </c>
      <c r="C254" s="536">
        <v>21883922</v>
      </c>
      <c r="D254" s="955" t="s">
        <v>4767</v>
      </c>
      <c r="E254" s="956" t="s">
        <v>4642</v>
      </c>
      <c r="F254" s="836">
        <v>375</v>
      </c>
      <c r="G254" s="299">
        <v>88.1</v>
      </c>
      <c r="H254" s="299">
        <f t="shared" si="138"/>
        <v>33037.5</v>
      </c>
      <c r="I254" s="299">
        <f t="shared" ref="I254" si="146">SUM(K254:S254)</f>
        <v>0</v>
      </c>
      <c r="J254" s="299">
        <f t="shared" si="144"/>
        <v>33037.5</v>
      </c>
    </row>
    <row r="255" spans="2:19" ht="12.75" customHeight="1" x14ac:dyDescent="0.25">
      <c r="B255" s="957" t="s">
        <v>4854</v>
      </c>
      <c r="C255" s="536">
        <v>22013117</v>
      </c>
      <c r="D255" s="955" t="s">
        <v>4757</v>
      </c>
      <c r="E255" s="956" t="s">
        <v>4642</v>
      </c>
      <c r="F255" s="836">
        <v>150</v>
      </c>
      <c r="G255" s="299">
        <v>32.450000000000003</v>
      </c>
      <c r="H255" s="299">
        <f>F255*G255</f>
        <v>4867.5</v>
      </c>
      <c r="I255" s="299">
        <f>SUM(K255:S255)</f>
        <v>0</v>
      </c>
      <c r="J255" s="299">
        <f t="shared" si="144"/>
        <v>4867.5</v>
      </c>
    </row>
    <row r="256" spans="2:19" ht="12.75" customHeight="1" x14ac:dyDescent="0.25">
      <c r="B256" s="957" t="s">
        <v>4854</v>
      </c>
      <c r="C256" s="536">
        <v>22013117</v>
      </c>
      <c r="D256" s="955" t="s">
        <v>4757</v>
      </c>
      <c r="E256" s="956" t="s">
        <v>4642</v>
      </c>
      <c r="F256" s="836">
        <v>1875</v>
      </c>
      <c r="G256" s="299">
        <v>32.5</v>
      </c>
      <c r="H256" s="299">
        <f>F256*G256</f>
        <v>60937.5</v>
      </c>
      <c r="I256" s="299">
        <f>SUM(K256:S256)</f>
        <v>0</v>
      </c>
      <c r="J256" s="299">
        <f t="shared" si="144"/>
        <v>60937.5</v>
      </c>
    </row>
    <row r="257" spans="2:20" ht="12.75" customHeight="1" x14ac:dyDescent="0.25">
      <c r="B257" s="957" t="s">
        <v>4854</v>
      </c>
      <c r="C257" s="536">
        <v>22013117</v>
      </c>
      <c r="D257" s="955" t="s">
        <v>4757</v>
      </c>
      <c r="E257" s="956" t="s">
        <v>4642</v>
      </c>
      <c r="F257" s="836">
        <v>975</v>
      </c>
      <c r="G257" s="299">
        <v>35.35</v>
      </c>
      <c r="H257" s="299">
        <f>F257*G257</f>
        <v>34466.25</v>
      </c>
      <c r="I257" s="299">
        <f>SUM(K257:S257)</f>
        <v>535.27</v>
      </c>
      <c r="J257" s="299">
        <f t="shared" si="144"/>
        <v>35001.519999999997</v>
      </c>
      <c r="K257" s="299">
        <v>80</v>
      </c>
      <c r="L257" s="299">
        <v>217.08</v>
      </c>
      <c r="O257" s="299">
        <v>53.48</v>
      </c>
      <c r="P257" s="299">
        <v>159</v>
      </c>
      <c r="Q257" s="299">
        <v>0.63</v>
      </c>
      <c r="R257" s="299">
        <v>25.05</v>
      </c>
      <c r="S257" s="299">
        <v>0.03</v>
      </c>
    </row>
    <row r="258" spans="2:20" ht="12.75" customHeight="1" x14ac:dyDescent="0.25">
      <c r="F258" s="836"/>
    </row>
    <row r="259" spans="2:20" ht="12.75" customHeight="1" x14ac:dyDescent="0.25">
      <c r="F259" s="836"/>
    </row>
    <row r="260" spans="2:20" ht="12.75" customHeight="1" x14ac:dyDescent="0.25">
      <c r="F260" s="836"/>
    </row>
    <row r="261" spans="2:20" ht="12.75" customHeight="1" x14ac:dyDescent="0.25">
      <c r="F261" s="836"/>
    </row>
    <row r="262" spans="2:20" ht="12.75" customHeight="1" x14ac:dyDescent="0.25">
      <c r="F262" s="836"/>
    </row>
    <row r="263" spans="2:20" ht="12.75" customHeight="1" x14ac:dyDescent="0.25">
      <c r="F263" s="836"/>
    </row>
    <row r="264" spans="2:20" ht="12.75" customHeight="1" x14ac:dyDescent="0.25">
      <c r="F264" s="836"/>
    </row>
    <row r="265" spans="2:20" ht="12.75" customHeight="1" x14ac:dyDescent="0.25">
      <c r="F265" s="836"/>
    </row>
    <row r="266" spans="2:20" ht="12.75" customHeight="1" x14ac:dyDescent="0.25">
      <c r="B266" s="729"/>
      <c r="D266" s="782"/>
      <c r="E266" s="730"/>
      <c r="F266" s="836"/>
    </row>
    <row r="267" spans="2:20" ht="12.75" customHeight="1" x14ac:dyDescent="0.25">
      <c r="B267" s="729"/>
      <c r="D267" s="782"/>
      <c r="E267" s="730"/>
      <c r="F267" s="836"/>
    </row>
    <row r="268" spans="2:20" ht="12.75" customHeight="1" x14ac:dyDescent="0.25">
      <c r="B268" s="729"/>
      <c r="C268" s="537"/>
      <c r="D268" s="832"/>
      <c r="E268" s="873"/>
      <c r="F268" s="844"/>
      <c r="G268" s="455"/>
      <c r="H268" s="454"/>
      <c r="I268" s="457"/>
      <c r="J268" s="463"/>
      <c r="K268" s="455"/>
      <c r="L268" s="456"/>
      <c r="M268" s="455"/>
      <c r="N268" s="457"/>
      <c r="O268" s="457"/>
      <c r="P268" s="457"/>
      <c r="Q268" s="457"/>
      <c r="R268" s="457"/>
      <c r="S268" s="457"/>
      <c r="T268" s="451"/>
    </row>
    <row r="269" spans="2:20" ht="12.75" customHeight="1" x14ac:dyDescent="0.25">
      <c r="D269" s="527"/>
      <c r="F269" s="844"/>
      <c r="G269" s="455"/>
      <c r="H269" s="454"/>
      <c r="J269" s="456"/>
      <c r="K269" s="455"/>
      <c r="L269" s="303"/>
    </row>
    <row r="270" spans="2:20" ht="12.75" customHeight="1" x14ac:dyDescent="0.25">
      <c r="C270" s="537"/>
      <c r="D270" s="785"/>
      <c r="E270" s="459"/>
      <c r="F270" s="844"/>
      <c r="G270" s="455"/>
      <c r="H270" s="454"/>
      <c r="I270" s="455"/>
      <c r="J270" s="456"/>
      <c r="K270" s="455"/>
      <c r="L270" s="303"/>
      <c r="M270" s="455"/>
      <c r="N270" s="457"/>
      <c r="O270" s="457"/>
      <c r="P270" s="457"/>
      <c r="Q270" s="457"/>
      <c r="R270" s="457"/>
      <c r="S270" s="457"/>
      <c r="T270" s="451"/>
    </row>
    <row r="271" spans="2:20" ht="12.75" customHeight="1" x14ac:dyDescent="0.25">
      <c r="C271" s="537"/>
      <c r="D271" s="785"/>
      <c r="E271" s="459"/>
      <c r="F271" s="844"/>
      <c r="G271" s="455"/>
      <c r="H271" s="454"/>
      <c r="I271" s="455"/>
      <c r="J271" s="456"/>
      <c r="K271" s="455"/>
      <c r="L271" s="303"/>
      <c r="M271" s="455"/>
      <c r="N271" s="457"/>
      <c r="O271" s="457"/>
      <c r="P271" s="457"/>
      <c r="Q271" s="457"/>
      <c r="R271" s="457"/>
      <c r="S271" s="457"/>
      <c r="T271" s="451"/>
    </row>
    <row r="272" spans="2:20" ht="12.75" customHeight="1" x14ac:dyDescent="0.25">
      <c r="C272" s="537"/>
      <c r="D272" s="785"/>
      <c r="E272" s="459"/>
      <c r="F272" s="844"/>
      <c r="G272" s="455"/>
      <c r="H272" s="454"/>
      <c r="I272" s="455"/>
      <c r="J272" s="456"/>
      <c r="K272" s="455"/>
      <c r="L272" s="303"/>
      <c r="M272" s="455"/>
      <c r="N272" s="457"/>
      <c r="O272" s="457"/>
      <c r="P272" s="457"/>
      <c r="Q272" s="457"/>
      <c r="R272" s="457"/>
      <c r="S272" s="457"/>
      <c r="T272" s="451"/>
    </row>
    <row r="273" spans="2:22" ht="12.75" customHeight="1" x14ac:dyDescent="0.25">
      <c r="C273" s="537"/>
      <c r="D273" s="785"/>
      <c r="E273" s="459"/>
      <c r="F273" s="844"/>
      <c r="G273" s="455"/>
      <c r="H273" s="454"/>
      <c r="I273" s="455"/>
      <c r="J273" s="456"/>
      <c r="K273" s="455"/>
      <c r="L273" s="303"/>
      <c r="M273" s="455"/>
      <c r="N273" s="457"/>
      <c r="O273" s="457"/>
      <c r="P273" s="457"/>
      <c r="Q273" s="457"/>
      <c r="R273" s="457"/>
      <c r="S273" s="457"/>
      <c r="T273" s="451"/>
    </row>
    <row r="274" spans="2:22" ht="12.75" customHeight="1" x14ac:dyDescent="0.25">
      <c r="D274" s="785"/>
      <c r="E274" s="263"/>
      <c r="F274" s="844"/>
      <c r="G274" s="455"/>
      <c r="H274" s="454"/>
      <c r="I274" s="60"/>
      <c r="J274" s="299"/>
      <c r="K274" s="455"/>
      <c r="L274" s="303"/>
      <c r="M274" s="455"/>
    </row>
    <row r="275" spans="2:22" ht="12.75" customHeight="1" x14ac:dyDescent="0.25">
      <c r="F275" s="836"/>
    </row>
    <row r="276" spans="2:22" ht="12.75" customHeight="1" x14ac:dyDescent="0.25">
      <c r="F276" s="836"/>
    </row>
    <row r="277" spans="2:22" ht="12.75" customHeight="1" x14ac:dyDescent="0.25">
      <c r="F277" s="836"/>
    </row>
    <row r="278" spans="2:22" ht="12.75" customHeight="1" x14ac:dyDescent="0.25">
      <c r="F278" s="836"/>
    </row>
    <row r="279" spans="2:22" ht="12.75" customHeight="1" x14ac:dyDescent="0.25">
      <c r="F279" s="836"/>
    </row>
    <row r="280" spans="2:22" ht="13.2" x14ac:dyDescent="0.25">
      <c r="B280" s="325"/>
      <c r="C280" s="831"/>
      <c r="D280" s="778"/>
      <c r="E280" s="304"/>
      <c r="F280" s="836"/>
      <c r="G280" s="60"/>
      <c r="H280" s="2"/>
      <c r="I280" s="60"/>
      <c r="J280" s="303"/>
      <c r="K280" s="60"/>
      <c r="L280" s="303"/>
      <c r="M280" s="60"/>
      <c r="U280" s="247"/>
    </row>
    <row r="281" spans="2:22" ht="12.75" customHeight="1" x14ac:dyDescent="0.25">
      <c r="D281" s="785"/>
      <c r="F281" s="836"/>
      <c r="G281" s="455"/>
      <c r="H281" s="454"/>
      <c r="I281" s="257" t="s">
        <v>2121</v>
      </c>
      <c r="J281" s="257">
        <f>SUM(J58:J280)</f>
        <v>2564845.38</v>
      </c>
      <c r="K281" s="455"/>
      <c r="L281" s="303"/>
      <c r="M281" s="455"/>
    </row>
    <row r="282" spans="2:22" ht="12.75" customHeight="1" x14ac:dyDescent="0.25">
      <c r="B282" s="325"/>
      <c r="D282" s="23"/>
      <c r="F282" s="836"/>
      <c r="G282" s="60"/>
      <c r="H282" s="60"/>
      <c r="I282" s="257"/>
      <c r="J282" s="257"/>
      <c r="M282" s="60"/>
      <c r="V282" s="247"/>
    </row>
    <row r="283" spans="2:22" ht="12.75" customHeight="1" x14ac:dyDescent="0.25">
      <c r="B283" s="325"/>
      <c r="F283" s="836"/>
      <c r="I283" s="255"/>
      <c r="J283" s="255"/>
    </row>
    <row r="284" spans="2:22" ht="12.75" customHeight="1" x14ac:dyDescent="0.25">
      <c r="B284" s="900" t="s">
        <v>184</v>
      </c>
      <c r="C284" s="906" t="s">
        <v>4445</v>
      </c>
      <c r="D284" s="901" t="s">
        <v>2079</v>
      </c>
      <c r="E284" s="904" t="s">
        <v>186</v>
      </c>
      <c r="F284" s="902" t="s">
        <v>469</v>
      </c>
      <c r="G284" s="903" t="s">
        <v>664</v>
      </c>
      <c r="H284" s="903" t="s">
        <v>470</v>
      </c>
      <c r="I284" s="903" t="s">
        <v>1216</v>
      </c>
      <c r="J284" s="903" t="s">
        <v>3372</v>
      </c>
      <c r="K284" s="903" t="s">
        <v>471</v>
      </c>
      <c r="L284" s="905" t="s">
        <v>4585</v>
      </c>
      <c r="M284" s="903" t="s">
        <v>3368</v>
      </c>
      <c r="N284" s="905" t="s">
        <v>4582</v>
      </c>
      <c r="O284" s="905" t="s">
        <v>4583</v>
      </c>
      <c r="P284" s="905" t="s">
        <v>893</v>
      </c>
      <c r="Q284" s="905" t="s">
        <v>4584</v>
      </c>
      <c r="R284" s="905" t="s">
        <v>2247</v>
      </c>
      <c r="S284" s="903" t="s">
        <v>4455</v>
      </c>
    </row>
    <row r="285" spans="2:22" ht="12.75" customHeight="1" x14ac:dyDescent="0.25">
      <c r="B285" s="957" t="s">
        <v>4643</v>
      </c>
      <c r="C285" s="827">
        <v>1626669</v>
      </c>
      <c r="D285" s="955" t="s">
        <v>4639</v>
      </c>
      <c r="E285" s="956" t="s">
        <v>4644</v>
      </c>
      <c r="F285" s="836">
        <v>700</v>
      </c>
      <c r="G285" s="299">
        <v>5.5</v>
      </c>
      <c r="H285" s="299">
        <f t="shared" ref="H285:H292" si="147">F285*G285</f>
        <v>3850</v>
      </c>
      <c r="I285" s="299">
        <f t="shared" ref="I285:I286" si="148">SUM(K285:S285)</f>
        <v>0</v>
      </c>
      <c r="J285" s="299">
        <f>H285-I285</f>
        <v>3850</v>
      </c>
    </row>
    <row r="286" spans="2:22" ht="12.75" customHeight="1" x14ac:dyDescent="0.25">
      <c r="B286" s="957" t="s">
        <v>4643</v>
      </c>
      <c r="C286" s="827">
        <v>1626669</v>
      </c>
      <c r="D286" s="955" t="s">
        <v>4641</v>
      </c>
      <c r="E286" s="956" t="s">
        <v>4644</v>
      </c>
      <c r="F286" s="836">
        <v>500</v>
      </c>
      <c r="G286" s="299">
        <v>2.6</v>
      </c>
      <c r="H286" s="299">
        <f t="shared" si="147"/>
        <v>1300</v>
      </c>
      <c r="I286" s="299">
        <f t="shared" si="148"/>
        <v>0</v>
      </c>
      <c r="J286" s="299">
        <f t="shared" ref="J286" si="149">H286-I286</f>
        <v>1300</v>
      </c>
    </row>
    <row r="287" spans="2:22" ht="12.75" customHeight="1" x14ac:dyDescent="0.25">
      <c r="B287" s="957" t="s">
        <v>4643</v>
      </c>
      <c r="C287" s="827">
        <v>1626669</v>
      </c>
      <c r="D287" s="955" t="s">
        <v>4641</v>
      </c>
      <c r="E287" s="956" t="s">
        <v>4644</v>
      </c>
      <c r="F287" s="836">
        <v>500</v>
      </c>
      <c r="G287" s="299">
        <v>2.6</v>
      </c>
      <c r="H287" s="299">
        <f t="shared" si="147"/>
        <v>1300</v>
      </c>
      <c r="I287" s="299">
        <f t="shared" ref="I287:I292" si="150">SUM(K287:S287)</f>
        <v>103.22</v>
      </c>
      <c r="J287" s="299">
        <f t="shared" ref="J287:J292" si="151">H287-I287</f>
        <v>1196.78</v>
      </c>
      <c r="K287" s="299">
        <v>80</v>
      </c>
      <c r="L287" s="299">
        <v>6.49</v>
      </c>
      <c r="M287" s="299">
        <v>12.11</v>
      </c>
      <c r="N287" s="299">
        <v>0.43</v>
      </c>
      <c r="O287" s="299">
        <v>0.43</v>
      </c>
      <c r="P287" s="299">
        <v>3</v>
      </c>
      <c r="Q287" s="299">
        <v>0.02</v>
      </c>
      <c r="R287" s="299">
        <v>0.74</v>
      </c>
    </row>
    <row r="288" spans="2:22" ht="12.75" customHeight="1" x14ac:dyDescent="0.25">
      <c r="B288" s="957" t="s">
        <v>4649</v>
      </c>
      <c r="C288" s="536">
        <v>1740751</v>
      </c>
      <c r="D288" s="955" t="s">
        <v>4640</v>
      </c>
      <c r="E288" s="956" t="s">
        <v>4644</v>
      </c>
      <c r="F288" s="836">
        <v>500</v>
      </c>
      <c r="G288" s="299">
        <v>17.5</v>
      </c>
      <c r="H288" s="299">
        <f t="shared" si="147"/>
        <v>8750</v>
      </c>
      <c r="I288" s="299">
        <f t="shared" si="150"/>
        <v>32.869999999999997</v>
      </c>
      <c r="J288" s="299">
        <f t="shared" si="151"/>
        <v>8717.1299999999992</v>
      </c>
      <c r="K288" s="299">
        <v>20</v>
      </c>
      <c r="L288" s="299">
        <v>4.6399999999999997</v>
      </c>
      <c r="M288" s="299">
        <v>3.45</v>
      </c>
      <c r="N288" s="299">
        <v>0.12</v>
      </c>
      <c r="O288" s="299">
        <v>0.12</v>
      </c>
      <c r="P288" s="299">
        <v>4</v>
      </c>
      <c r="Q288" s="299">
        <v>0.01</v>
      </c>
      <c r="R288" s="299">
        <v>0.53</v>
      </c>
    </row>
    <row r="289" spans="2:20" ht="12.75" customHeight="1" x14ac:dyDescent="0.25">
      <c r="B289" s="957" t="s">
        <v>4652</v>
      </c>
      <c r="C289" s="536">
        <v>1798762</v>
      </c>
      <c r="D289" s="955" t="s">
        <v>4650</v>
      </c>
      <c r="E289" s="956" t="s">
        <v>4644</v>
      </c>
      <c r="F289" s="836">
        <v>40</v>
      </c>
      <c r="G289" s="299">
        <v>140</v>
      </c>
      <c r="H289" s="299">
        <f t="shared" si="147"/>
        <v>5600</v>
      </c>
      <c r="I289" s="299">
        <f t="shared" si="150"/>
        <v>0</v>
      </c>
      <c r="J289" s="299">
        <f t="shared" si="151"/>
        <v>5600</v>
      </c>
    </row>
    <row r="290" spans="2:20" ht="12.75" customHeight="1" x14ac:dyDescent="0.25">
      <c r="B290" s="957" t="s">
        <v>4653</v>
      </c>
      <c r="C290" s="536">
        <v>1855083</v>
      </c>
      <c r="D290" s="955" t="s">
        <v>4645</v>
      </c>
      <c r="E290" s="956" t="s">
        <v>4644</v>
      </c>
      <c r="F290" s="836">
        <v>500</v>
      </c>
      <c r="G290" s="299">
        <v>1.3</v>
      </c>
      <c r="H290" s="299">
        <f t="shared" si="147"/>
        <v>650</v>
      </c>
      <c r="I290" s="299">
        <f t="shared" si="150"/>
        <v>0</v>
      </c>
      <c r="J290" s="299">
        <f t="shared" si="151"/>
        <v>650</v>
      </c>
    </row>
    <row r="291" spans="2:20" ht="12.75" customHeight="1" x14ac:dyDescent="0.25">
      <c r="B291" s="957" t="s">
        <v>4653</v>
      </c>
      <c r="C291" s="536">
        <v>1855083</v>
      </c>
      <c r="D291" s="955" t="s">
        <v>4654</v>
      </c>
      <c r="E291" s="956" t="s">
        <v>4644</v>
      </c>
      <c r="F291" s="836">
        <v>12000</v>
      </c>
      <c r="G291" s="299">
        <v>1.1000000000000001</v>
      </c>
      <c r="H291" s="299">
        <f t="shared" si="147"/>
        <v>13200.000000000002</v>
      </c>
      <c r="I291" s="299">
        <f t="shared" si="150"/>
        <v>62.300000000000011</v>
      </c>
      <c r="J291" s="299">
        <f t="shared" si="151"/>
        <v>13137.700000000003</v>
      </c>
      <c r="K291" s="299">
        <v>40</v>
      </c>
      <c r="L291" s="299">
        <v>7.34</v>
      </c>
      <c r="M291" s="299">
        <v>6.63</v>
      </c>
      <c r="N291" s="299">
        <v>0.24</v>
      </c>
      <c r="O291" s="299">
        <v>0.24</v>
      </c>
      <c r="P291" s="299">
        <v>7</v>
      </c>
      <c r="Q291" s="299">
        <v>0.02</v>
      </c>
      <c r="R291" s="960">
        <v>0.83</v>
      </c>
    </row>
    <row r="292" spans="2:20" ht="12.75" customHeight="1" x14ac:dyDescent="0.25">
      <c r="B292" s="957" t="s">
        <v>4656</v>
      </c>
      <c r="C292" s="536">
        <v>1913882</v>
      </c>
      <c r="D292" s="955" t="s">
        <v>4655</v>
      </c>
      <c r="E292" s="956" t="s">
        <v>4644</v>
      </c>
      <c r="F292" s="836">
        <v>1200</v>
      </c>
      <c r="G292" s="299">
        <v>12</v>
      </c>
      <c r="H292" s="299">
        <f t="shared" si="147"/>
        <v>14400</v>
      </c>
      <c r="I292" s="299">
        <f t="shared" si="150"/>
        <v>0</v>
      </c>
      <c r="J292" s="299">
        <f t="shared" si="151"/>
        <v>14400</v>
      </c>
    </row>
    <row r="293" spans="2:20" ht="12.75" customHeight="1" x14ac:dyDescent="0.25">
      <c r="B293" s="957" t="s">
        <v>4664</v>
      </c>
      <c r="C293" s="536">
        <v>2029234</v>
      </c>
      <c r="D293" s="955" t="s">
        <v>4665</v>
      </c>
      <c r="E293" s="956" t="s">
        <v>4644</v>
      </c>
      <c r="F293" s="836">
        <v>12000</v>
      </c>
      <c r="G293" s="299">
        <v>1.2</v>
      </c>
      <c r="H293" s="299">
        <f t="shared" ref="H293:H314" si="152">F293*G293</f>
        <v>14400</v>
      </c>
      <c r="I293" s="299">
        <f t="shared" ref="I293" si="153">SUM(K293:S293)</f>
        <v>0</v>
      </c>
      <c r="J293" s="299">
        <f t="shared" ref="J293" si="154">H293-I293</f>
        <v>14400</v>
      </c>
    </row>
    <row r="294" spans="2:20" ht="12.75" customHeight="1" x14ac:dyDescent="0.25">
      <c r="B294" s="957" t="s">
        <v>4669</v>
      </c>
      <c r="C294" s="536">
        <v>2136855</v>
      </c>
      <c r="D294" s="955" t="s">
        <v>4667</v>
      </c>
      <c r="E294" s="956" t="s">
        <v>4644</v>
      </c>
      <c r="F294" s="836">
        <v>3084</v>
      </c>
      <c r="G294" s="299">
        <v>6</v>
      </c>
      <c r="H294" s="299">
        <f t="shared" si="152"/>
        <v>18504</v>
      </c>
      <c r="I294" s="299">
        <f>SUM(K294:S294)</f>
        <v>0</v>
      </c>
      <c r="J294" s="299">
        <f>H294-I294</f>
        <v>18504</v>
      </c>
    </row>
    <row r="295" spans="2:20" ht="12.75" customHeight="1" x14ac:dyDescent="0.25">
      <c r="B295" s="957" t="s">
        <v>4670</v>
      </c>
      <c r="C295" s="536">
        <v>2192448</v>
      </c>
      <c r="D295" s="955" t="s">
        <v>4668</v>
      </c>
      <c r="E295" s="956" t="s">
        <v>4644</v>
      </c>
      <c r="F295" s="836">
        <v>1500</v>
      </c>
      <c r="G295" s="299">
        <v>3.6</v>
      </c>
      <c r="H295" s="299">
        <f t="shared" si="152"/>
        <v>5400</v>
      </c>
      <c r="I295" s="299">
        <f>SUM(K295:S295)</f>
        <v>29.62</v>
      </c>
      <c r="J295" s="299">
        <f>H295-I295</f>
        <v>5370.38</v>
      </c>
      <c r="K295" s="299">
        <v>20</v>
      </c>
      <c r="L295" s="299">
        <v>2.86</v>
      </c>
      <c r="M295" s="299">
        <v>3.2</v>
      </c>
      <c r="N295" s="299">
        <v>0.11</v>
      </c>
      <c r="O295" s="299">
        <v>0.11</v>
      </c>
      <c r="P295" s="299">
        <v>3</v>
      </c>
      <c r="Q295" s="299">
        <v>0.01</v>
      </c>
      <c r="R295" s="299">
        <v>0.32</v>
      </c>
      <c r="S295" s="299">
        <v>0.01</v>
      </c>
    </row>
    <row r="296" spans="2:20" ht="12.75" customHeight="1" x14ac:dyDescent="0.25">
      <c r="B296" s="957" t="s">
        <v>4671</v>
      </c>
      <c r="C296" s="536">
        <v>2300785</v>
      </c>
      <c r="D296" s="955" t="s">
        <v>4673</v>
      </c>
      <c r="E296" s="956" t="s">
        <v>4644</v>
      </c>
      <c r="F296" s="836">
        <v>1500</v>
      </c>
      <c r="G296" s="299">
        <v>9.1999999999999993</v>
      </c>
      <c r="H296" s="299">
        <f t="shared" si="152"/>
        <v>13799.999999999998</v>
      </c>
      <c r="I296" s="299">
        <f t="shared" ref="I296:I298" si="155">SUM(K296:S296)</f>
        <v>165.58</v>
      </c>
      <c r="J296" s="299">
        <f t="shared" ref="J296:J298" si="156">H296-I296</f>
        <v>13634.419999999998</v>
      </c>
      <c r="K296" s="299">
        <v>100</v>
      </c>
      <c r="L296" s="299">
        <v>28.11</v>
      </c>
      <c r="M296" s="299">
        <v>17.940000000000001</v>
      </c>
      <c r="N296" s="299">
        <v>0.64</v>
      </c>
      <c r="O296" s="299">
        <v>0.64</v>
      </c>
      <c r="P296" s="299">
        <v>15</v>
      </c>
      <c r="Q296" s="299">
        <v>0.08</v>
      </c>
      <c r="R296" s="299">
        <v>3.18</v>
      </c>
      <c r="S296" s="299">
        <v>-0.01</v>
      </c>
    </row>
    <row r="297" spans="2:20" ht="12.75" customHeight="1" x14ac:dyDescent="0.25">
      <c r="B297" s="957" t="s">
        <v>4671</v>
      </c>
      <c r="C297" s="536">
        <v>2300785</v>
      </c>
      <c r="D297" s="955" t="s">
        <v>4658</v>
      </c>
      <c r="E297" s="956" t="s">
        <v>4644</v>
      </c>
      <c r="F297" s="836">
        <v>3200</v>
      </c>
      <c r="G297" s="299">
        <v>0.9</v>
      </c>
      <c r="H297" s="299">
        <f t="shared" si="152"/>
        <v>2880</v>
      </c>
      <c r="I297" s="299">
        <f t="shared" si="155"/>
        <v>0</v>
      </c>
      <c r="J297" s="299">
        <f t="shared" si="156"/>
        <v>2880</v>
      </c>
    </row>
    <row r="298" spans="2:20" ht="12.75" customHeight="1" x14ac:dyDescent="0.25">
      <c r="B298" s="957" t="s">
        <v>4671</v>
      </c>
      <c r="C298" s="536">
        <v>2300785</v>
      </c>
      <c r="D298" s="955" t="s">
        <v>4672</v>
      </c>
      <c r="E298" s="956" t="s">
        <v>4644</v>
      </c>
      <c r="F298" s="836">
        <v>7375</v>
      </c>
      <c r="G298" s="299">
        <v>1.7</v>
      </c>
      <c r="H298" s="299">
        <f t="shared" si="152"/>
        <v>12537.5</v>
      </c>
      <c r="I298" s="299">
        <f t="shared" si="155"/>
        <v>0</v>
      </c>
      <c r="J298" s="299">
        <f t="shared" si="156"/>
        <v>12537.5</v>
      </c>
    </row>
    <row r="299" spans="2:20" ht="12.75" customHeight="1" x14ac:dyDescent="0.25">
      <c r="B299" s="957" t="s">
        <v>4674</v>
      </c>
      <c r="C299" s="536">
        <v>2354908</v>
      </c>
      <c r="D299" s="955" t="s">
        <v>4675</v>
      </c>
      <c r="E299" s="956" t="s">
        <v>4644</v>
      </c>
      <c r="F299" s="836">
        <v>120</v>
      </c>
      <c r="G299" s="299">
        <v>59.8</v>
      </c>
      <c r="H299" s="299">
        <f t="shared" si="152"/>
        <v>7176</v>
      </c>
      <c r="I299" s="299">
        <f t="shared" ref="I299:I300" si="157">SUM(K299:S299)</f>
        <v>0</v>
      </c>
      <c r="J299" s="299">
        <f t="shared" ref="J299:J311" si="158">H299-I299</f>
        <v>7176</v>
      </c>
      <c r="T299" s="451"/>
    </row>
    <row r="300" spans="2:20" ht="12.75" customHeight="1" x14ac:dyDescent="0.25">
      <c r="B300" s="957" t="s">
        <v>4674</v>
      </c>
      <c r="C300" s="536">
        <v>2354908</v>
      </c>
      <c r="D300" s="955" t="s">
        <v>4676</v>
      </c>
      <c r="E300" s="956" t="s">
        <v>4644</v>
      </c>
      <c r="F300" s="836">
        <v>500</v>
      </c>
      <c r="G300" s="299">
        <v>18</v>
      </c>
      <c r="H300" s="299">
        <f t="shared" si="152"/>
        <v>9000</v>
      </c>
      <c r="I300" s="299">
        <f t="shared" si="157"/>
        <v>0</v>
      </c>
      <c r="J300" s="299">
        <f t="shared" si="158"/>
        <v>9000</v>
      </c>
    </row>
    <row r="301" spans="2:20" ht="12.75" customHeight="1" x14ac:dyDescent="0.25">
      <c r="B301" s="957" t="s">
        <v>4679</v>
      </c>
      <c r="C301" s="536">
        <v>2464007</v>
      </c>
      <c r="D301" s="955" t="s">
        <v>4681</v>
      </c>
      <c r="E301" s="956" t="s">
        <v>4644</v>
      </c>
      <c r="F301" s="836">
        <v>2000</v>
      </c>
      <c r="G301" s="299">
        <v>7.1</v>
      </c>
      <c r="H301" s="299">
        <f t="shared" si="152"/>
        <v>14200</v>
      </c>
      <c r="I301" s="299">
        <f>SUM(K301:S301)</f>
        <v>0</v>
      </c>
      <c r="J301" s="299">
        <f t="shared" si="158"/>
        <v>14200</v>
      </c>
    </row>
    <row r="302" spans="2:20" ht="12.75" customHeight="1" x14ac:dyDescent="0.25">
      <c r="B302" s="957" t="s">
        <v>4682</v>
      </c>
      <c r="C302" s="536">
        <v>2519175</v>
      </c>
      <c r="D302" s="955" t="s">
        <v>4685</v>
      </c>
      <c r="E302" s="956" t="s">
        <v>4644</v>
      </c>
      <c r="F302" s="836">
        <v>300</v>
      </c>
      <c r="G302" s="299">
        <v>36.5</v>
      </c>
      <c r="H302" s="299">
        <f t="shared" si="152"/>
        <v>10950</v>
      </c>
      <c r="I302" s="299">
        <f t="shared" ref="I302" si="159">SUM(K302:S302)</f>
        <v>0</v>
      </c>
      <c r="J302" s="299">
        <f t="shared" si="158"/>
        <v>10950</v>
      </c>
    </row>
    <row r="303" spans="2:20" ht="12.75" customHeight="1" x14ac:dyDescent="0.25">
      <c r="B303" s="957" t="s">
        <v>4682</v>
      </c>
      <c r="C303" s="536">
        <v>2519175</v>
      </c>
      <c r="D303" s="955" t="s">
        <v>4685</v>
      </c>
      <c r="E303" s="956" t="s">
        <v>4644</v>
      </c>
      <c r="F303" s="836">
        <v>150</v>
      </c>
      <c r="G303" s="299">
        <v>29.5</v>
      </c>
      <c r="H303" s="299">
        <f t="shared" si="152"/>
        <v>4425</v>
      </c>
      <c r="I303" s="299">
        <f t="shared" ref="I303:I307" si="160">SUM(K303:S303)</f>
        <v>0</v>
      </c>
      <c r="J303" s="299">
        <f t="shared" si="158"/>
        <v>4425</v>
      </c>
    </row>
    <row r="304" spans="2:20" ht="12.75" customHeight="1" x14ac:dyDescent="0.25">
      <c r="B304" s="957" t="s">
        <v>4682</v>
      </c>
      <c r="C304" s="536">
        <v>2519175</v>
      </c>
      <c r="D304" s="955" t="s">
        <v>4685</v>
      </c>
      <c r="E304" s="956" t="s">
        <v>4644</v>
      </c>
      <c r="F304" s="836">
        <v>150</v>
      </c>
      <c r="G304" s="299">
        <v>29.5</v>
      </c>
      <c r="H304" s="299">
        <f t="shared" si="152"/>
        <v>4425</v>
      </c>
      <c r="I304" s="299">
        <f t="shared" si="160"/>
        <v>0</v>
      </c>
      <c r="J304" s="299">
        <f t="shared" si="158"/>
        <v>4425</v>
      </c>
    </row>
    <row r="305" spans="2:23" ht="12.75" customHeight="1" x14ac:dyDescent="0.25">
      <c r="B305" s="957" t="s">
        <v>4682</v>
      </c>
      <c r="C305" s="536">
        <v>2519175</v>
      </c>
      <c r="D305" s="955" t="s">
        <v>4683</v>
      </c>
      <c r="E305" s="956" t="s">
        <v>4644</v>
      </c>
      <c r="F305" s="836">
        <v>500</v>
      </c>
      <c r="G305" s="299">
        <v>14.55</v>
      </c>
      <c r="H305" s="299">
        <f t="shared" si="152"/>
        <v>7275</v>
      </c>
      <c r="I305" s="299">
        <f t="shared" si="160"/>
        <v>0</v>
      </c>
      <c r="J305" s="299">
        <f t="shared" si="158"/>
        <v>7275</v>
      </c>
    </row>
    <row r="306" spans="2:23" ht="12.75" customHeight="1" x14ac:dyDescent="0.25">
      <c r="B306" s="957" t="s">
        <v>4682</v>
      </c>
      <c r="C306" s="536">
        <v>2519175</v>
      </c>
      <c r="D306" s="955" t="s">
        <v>4678</v>
      </c>
      <c r="E306" s="956" t="s">
        <v>4644</v>
      </c>
      <c r="F306" s="836">
        <v>700</v>
      </c>
      <c r="G306" s="299">
        <v>6.4</v>
      </c>
      <c r="H306" s="299">
        <f t="shared" si="152"/>
        <v>4480</v>
      </c>
      <c r="I306" s="299">
        <f t="shared" si="160"/>
        <v>0</v>
      </c>
      <c r="J306" s="299">
        <f t="shared" si="158"/>
        <v>4480</v>
      </c>
    </row>
    <row r="307" spans="2:23" ht="12.75" customHeight="1" x14ac:dyDescent="0.25">
      <c r="B307" s="957" t="s">
        <v>4682</v>
      </c>
      <c r="C307" s="536">
        <v>2519175</v>
      </c>
      <c r="D307" s="955" t="s">
        <v>4680</v>
      </c>
      <c r="E307" s="956" t="s">
        <v>4644</v>
      </c>
      <c r="F307" s="836">
        <v>400</v>
      </c>
      <c r="G307" s="299">
        <v>10.5</v>
      </c>
      <c r="H307" s="299">
        <f t="shared" si="152"/>
        <v>4200</v>
      </c>
      <c r="I307" s="299">
        <f t="shared" si="160"/>
        <v>0</v>
      </c>
      <c r="J307" s="299">
        <f t="shared" si="158"/>
        <v>4200</v>
      </c>
    </row>
    <row r="308" spans="2:23" s="299" customFormat="1" ht="12.75" customHeight="1" x14ac:dyDescent="0.25">
      <c r="B308" s="957" t="s">
        <v>4686</v>
      </c>
      <c r="C308" s="536">
        <v>2573041</v>
      </c>
      <c r="D308" s="955" t="s">
        <v>4678</v>
      </c>
      <c r="E308" s="956" t="s">
        <v>4644</v>
      </c>
      <c r="F308" s="836">
        <v>700</v>
      </c>
      <c r="G308" s="299">
        <v>4.7</v>
      </c>
      <c r="H308" s="299">
        <f t="shared" si="152"/>
        <v>3290</v>
      </c>
      <c r="I308" s="299">
        <f t="shared" ref="I308:I310" si="161">SUM(K308:S308)</f>
        <v>0</v>
      </c>
      <c r="J308" s="299">
        <f t="shared" si="158"/>
        <v>3290</v>
      </c>
      <c r="T308" s="224"/>
      <c r="U308" s="224"/>
      <c r="V308" s="224"/>
      <c r="W308" s="224"/>
    </row>
    <row r="309" spans="2:23" s="299" customFormat="1" ht="12.75" customHeight="1" x14ac:dyDescent="0.25">
      <c r="B309" s="957" t="s">
        <v>4686</v>
      </c>
      <c r="C309" s="536">
        <v>2573041</v>
      </c>
      <c r="D309" s="955" t="s">
        <v>4678</v>
      </c>
      <c r="E309" s="956" t="s">
        <v>4644</v>
      </c>
      <c r="F309" s="836">
        <v>700</v>
      </c>
      <c r="G309" s="299">
        <v>4.7</v>
      </c>
      <c r="H309" s="299">
        <f t="shared" si="152"/>
        <v>3290</v>
      </c>
      <c r="I309" s="299">
        <f t="shared" si="161"/>
        <v>0</v>
      </c>
      <c r="J309" s="299">
        <f t="shared" si="158"/>
        <v>3290</v>
      </c>
      <c r="T309" s="224"/>
      <c r="U309" s="224"/>
      <c r="V309" s="224"/>
      <c r="W309" s="224"/>
    </row>
    <row r="310" spans="2:23" s="299" customFormat="1" ht="12.75" customHeight="1" x14ac:dyDescent="0.25">
      <c r="B310" s="957" t="s">
        <v>4686</v>
      </c>
      <c r="C310" s="536">
        <v>2573041</v>
      </c>
      <c r="D310" s="955" t="s">
        <v>4680</v>
      </c>
      <c r="E310" s="956" t="s">
        <v>4644</v>
      </c>
      <c r="F310" s="836">
        <v>400</v>
      </c>
      <c r="G310" s="299">
        <v>10.9</v>
      </c>
      <c r="H310" s="299">
        <f t="shared" si="152"/>
        <v>4360</v>
      </c>
      <c r="I310" s="299">
        <f t="shared" si="161"/>
        <v>0</v>
      </c>
      <c r="J310" s="299">
        <f t="shared" si="158"/>
        <v>4360</v>
      </c>
      <c r="T310" s="224"/>
      <c r="U310" s="224"/>
      <c r="V310" s="224"/>
      <c r="W310" s="224"/>
    </row>
    <row r="311" spans="2:23" s="299" customFormat="1" ht="12.75" customHeight="1" x14ac:dyDescent="0.25">
      <c r="B311" s="957" t="s">
        <v>4688</v>
      </c>
      <c r="C311" s="536">
        <v>2627928</v>
      </c>
      <c r="D311" s="955" t="s">
        <v>4689</v>
      </c>
      <c r="E311" s="956" t="s">
        <v>4644</v>
      </c>
      <c r="F311" s="836">
        <v>120</v>
      </c>
      <c r="G311" s="299">
        <v>50</v>
      </c>
      <c r="H311" s="299">
        <f t="shared" si="152"/>
        <v>6000</v>
      </c>
      <c r="I311" s="299">
        <f>SUM(K311:S311)</f>
        <v>0</v>
      </c>
      <c r="J311" s="299">
        <f t="shared" si="158"/>
        <v>6000</v>
      </c>
      <c r="T311" s="224"/>
      <c r="U311" s="224"/>
      <c r="V311" s="224"/>
      <c r="W311" s="224"/>
    </row>
    <row r="312" spans="2:23" ht="12.75" customHeight="1" x14ac:dyDescent="0.25">
      <c r="B312" s="957" t="s">
        <v>4688</v>
      </c>
      <c r="C312" s="536">
        <v>2627928</v>
      </c>
      <c r="D312" s="955" t="s">
        <v>4700</v>
      </c>
      <c r="E312" s="956" t="s">
        <v>4644</v>
      </c>
      <c r="F312" s="836">
        <v>400</v>
      </c>
      <c r="G312" s="299">
        <v>10.65</v>
      </c>
      <c r="H312" s="299">
        <f t="shared" si="152"/>
        <v>4260</v>
      </c>
      <c r="I312" s="299">
        <f t="shared" ref="I312" si="162">SUM(K312:S312)</f>
        <v>0</v>
      </c>
      <c r="J312" s="299">
        <f t="shared" ref="J312" si="163">H312-I312</f>
        <v>4260</v>
      </c>
    </row>
    <row r="313" spans="2:23" s="299" customFormat="1" ht="12.75" customHeight="1" x14ac:dyDescent="0.25">
      <c r="B313" s="957" t="s">
        <v>4691</v>
      </c>
      <c r="C313" s="536">
        <v>2681930</v>
      </c>
      <c r="D313" s="955" t="s">
        <v>4692</v>
      </c>
      <c r="E313" s="956" t="s">
        <v>4644</v>
      </c>
      <c r="F313" s="836">
        <v>120</v>
      </c>
      <c r="G313" s="299">
        <v>121</v>
      </c>
      <c r="H313" s="299">
        <f t="shared" si="152"/>
        <v>14520</v>
      </c>
      <c r="I313" s="299">
        <f t="shared" ref="I313:I314" si="164">SUM(K313:S313)</f>
        <v>0</v>
      </c>
      <c r="J313" s="299">
        <f t="shared" ref="J313:J314" si="165">H313-I313</f>
        <v>14520</v>
      </c>
      <c r="T313" s="224"/>
      <c r="U313" s="224"/>
      <c r="V313" s="224"/>
      <c r="W313" s="224"/>
    </row>
    <row r="314" spans="2:23" s="299" customFormat="1" ht="12.75" customHeight="1" x14ac:dyDescent="0.25">
      <c r="B314" s="957" t="s">
        <v>4691</v>
      </c>
      <c r="C314" s="536">
        <v>2681930</v>
      </c>
      <c r="D314" s="955" t="s">
        <v>4690</v>
      </c>
      <c r="E314" s="956" t="s">
        <v>4644</v>
      </c>
      <c r="F314" s="836">
        <v>12000</v>
      </c>
      <c r="G314" s="299">
        <v>1.9</v>
      </c>
      <c r="H314" s="299">
        <f t="shared" si="152"/>
        <v>22800</v>
      </c>
      <c r="I314" s="299">
        <f t="shared" si="164"/>
        <v>0</v>
      </c>
      <c r="J314" s="299">
        <f t="shared" si="165"/>
        <v>22800</v>
      </c>
      <c r="T314" s="224"/>
      <c r="U314" s="224"/>
      <c r="V314" s="224"/>
      <c r="W314" s="224"/>
    </row>
    <row r="315" spans="2:23" ht="12.75" customHeight="1" x14ac:dyDescent="0.25">
      <c r="B315" s="957" t="s">
        <v>4696</v>
      </c>
      <c r="C315" s="536">
        <v>2739380</v>
      </c>
      <c r="D315" s="955" t="s">
        <v>4697</v>
      </c>
      <c r="E315" s="956" t="s">
        <v>4644</v>
      </c>
      <c r="F315" s="836">
        <v>500</v>
      </c>
      <c r="G315" s="299">
        <v>13.5</v>
      </c>
      <c r="H315" s="299">
        <f t="shared" ref="H315:H321" si="166">F315*G315</f>
        <v>6750</v>
      </c>
      <c r="I315" s="299">
        <f t="shared" ref="I315:I321" si="167">SUM(K315:S315)</f>
        <v>0</v>
      </c>
      <c r="J315" s="299">
        <f t="shared" ref="J315:J321" si="168">H315-I315</f>
        <v>6750</v>
      </c>
    </row>
    <row r="316" spans="2:23" ht="12.75" customHeight="1" x14ac:dyDescent="0.25">
      <c r="B316" s="957" t="s">
        <v>4696</v>
      </c>
      <c r="C316" s="536">
        <v>2739380</v>
      </c>
      <c r="D316" s="955" t="s">
        <v>4687</v>
      </c>
      <c r="E316" s="956" t="s">
        <v>4644</v>
      </c>
      <c r="F316" s="836">
        <v>120</v>
      </c>
      <c r="G316" s="299">
        <v>56.4</v>
      </c>
      <c r="H316" s="299">
        <f t="shared" si="166"/>
        <v>6768</v>
      </c>
      <c r="I316" s="299">
        <f t="shared" si="167"/>
        <v>0</v>
      </c>
      <c r="J316" s="299">
        <f t="shared" si="168"/>
        <v>6768</v>
      </c>
    </row>
    <row r="317" spans="2:23" ht="12.75" customHeight="1" x14ac:dyDescent="0.25">
      <c r="B317" s="957" t="s">
        <v>4696</v>
      </c>
      <c r="C317" s="536">
        <v>2739380</v>
      </c>
      <c r="D317" s="955" t="s">
        <v>4687</v>
      </c>
      <c r="E317" s="956" t="s">
        <v>4644</v>
      </c>
      <c r="F317" s="836">
        <v>40</v>
      </c>
      <c r="G317" s="299">
        <v>56.4</v>
      </c>
      <c r="H317" s="299">
        <f t="shared" si="166"/>
        <v>2256</v>
      </c>
      <c r="I317" s="299">
        <f t="shared" si="167"/>
        <v>0</v>
      </c>
      <c r="J317" s="299">
        <f t="shared" si="168"/>
        <v>2256</v>
      </c>
    </row>
    <row r="318" spans="2:23" ht="12.75" customHeight="1" x14ac:dyDescent="0.25">
      <c r="B318" s="957" t="s">
        <v>4696</v>
      </c>
      <c r="C318" s="536">
        <v>2739380</v>
      </c>
      <c r="D318" s="955" t="s">
        <v>4687</v>
      </c>
      <c r="E318" s="956" t="s">
        <v>4644</v>
      </c>
      <c r="F318" s="836">
        <v>80</v>
      </c>
      <c r="G318" s="299">
        <v>56.35</v>
      </c>
      <c r="H318" s="299">
        <f t="shared" si="166"/>
        <v>4508</v>
      </c>
      <c r="I318" s="299">
        <f t="shared" si="167"/>
        <v>0</v>
      </c>
      <c r="J318" s="299">
        <f t="shared" si="168"/>
        <v>4508</v>
      </c>
    </row>
    <row r="319" spans="2:23" ht="12.75" customHeight="1" x14ac:dyDescent="0.25">
      <c r="B319" s="957" t="s">
        <v>4696</v>
      </c>
      <c r="C319" s="536">
        <v>2739380</v>
      </c>
      <c r="D319" s="955" t="s">
        <v>4693</v>
      </c>
      <c r="E319" s="956" t="s">
        <v>4644</v>
      </c>
      <c r="F319" s="836">
        <v>3200</v>
      </c>
      <c r="G319" s="299">
        <v>1.5</v>
      </c>
      <c r="H319" s="299">
        <f t="shared" si="166"/>
        <v>4800</v>
      </c>
      <c r="I319" s="299">
        <f t="shared" si="167"/>
        <v>0</v>
      </c>
      <c r="J319" s="299">
        <f t="shared" si="168"/>
        <v>4800</v>
      </c>
    </row>
    <row r="320" spans="2:23" ht="12.75" customHeight="1" x14ac:dyDescent="0.25">
      <c r="B320" s="957" t="s">
        <v>4696</v>
      </c>
      <c r="C320" s="536">
        <v>2739380</v>
      </c>
      <c r="D320" s="956" t="s">
        <v>4698</v>
      </c>
      <c r="E320" s="956" t="s">
        <v>4644</v>
      </c>
      <c r="F320" s="836">
        <v>1500</v>
      </c>
      <c r="G320" s="249">
        <v>7</v>
      </c>
      <c r="H320" s="299">
        <f t="shared" si="166"/>
        <v>10500</v>
      </c>
      <c r="I320" s="299">
        <f t="shared" si="167"/>
        <v>0</v>
      </c>
      <c r="J320" s="299">
        <f t="shared" si="168"/>
        <v>10500</v>
      </c>
      <c r="K320" s="249"/>
      <c r="L320" s="249"/>
      <c r="M320" s="249"/>
      <c r="N320" s="249"/>
      <c r="O320" s="249"/>
      <c r="P320" s="249"/>
      <c r="Q320" s="249"/>
      <c r="R320" s="249"/>
      <c r="S320" s="249"/>
    </row>
    <row r="321" spans="1:19" ht="12.75" customHeight="1" x14ac:dyDescent="0.25">
      <c r="B321" s="957" t="s">
        <v>4696</v>
      </c>
      <c r="C321" s="536">
        <v>2739380</v>
      </c>
      <c r="D321" s="955" t="s">
        <v>4699</v>
      </c>
      <c r="E321" s="956" t="s">
        <v>4644</v>
      </c>
      <c r="F321" s="836">
        <v>350</v>
      </c>
      <c r="G321" s="299">
        <v>25</v>
      </c>
      <c r="H321" s="299">
        <f t="shared" si="166"/>
        <v>8750</v>
      </c>
      <c r="I321" s="299">
        <f t="shared" si="167"/>
        <v>0</v>
      </c>
      <c r="J321" s="299">
        <f t="shared" si="168"/>
        <v>8750</v>
      </c>
    </row>
    <row r="322" spans="1:19" ht="12.75" customHeight="1" x14ac:dyDescent="0.25">
      <c r="B322" s="957" t="s">
        <v>4705</v>
      </c>
      <c r="C322" s="536">
        <v>2795007</v>
      </c>
      <c r="D322" s="955" t="s">
        <v>4704</v>
      </c>
      <c r="E322" s="956" t="s">
        <v>4644</v>
      </c>
      <c r="F322" s="836">
        <v>2400</v>
      </c>
      <c r="G322" s="299">
        <v>1.2</v>
      </c>
      <c r="H322" s="299">
        <f>F322*G322</f>
        <v>2880</v>
      </c>
      <c r="I322" s="299">
        <f>SUM(K322:S322)</f>
        <v>0</v>
      </c>
      <c r="J322" s="299">
        <f>H322-I322</f>
        <v>2880</v>
      </c>
    </row>
    <row r="323" spans="1:19" ht="12.75" customHeight="1" x14ac:dyDescent="0.25">
      <c r="B323" s="957" t="s">
        <v>4705</v>
      </c>
      <c r="C323" s="536">
        <v>2795007</v>
      </c>
      <c r="D323" s="955" t="s">
        <v>4698</v>
      </c>
      <c r="E323" s="956" t="s">
        <v>4644</v>
      </c>
      <c r="F323" s="836">
        <v>1500</v>
      </c>
      <c r="G323" s="299">
        <v>7.4</v>
      </c>
      <c r="H323" s="299">
        <f>F323*G323</f>
        <v>11100</v>
      </c>
      <c r="I323" s="299">
        <f>SUM(K323:S323)</f>
        <v>0</v>
      </c>
      <c r="J323" s="299">
        <f t="shared" ref="J323:J328" si="169">H323-I323</f>
        <v>11100</v>
      </c>
    </row>
    <row r="324" spans="1:19" s="451" customFormat="1" ht="12.75" customHeight="1" x14ac:dyDescent="0.25">
      <c r="B324" s="993" t="s">
        <v>4706</v>
      </c>
      <c r="C324" s="537">
        <v>2849781</v>
      </c>
      <c r="D324" s="987" t="s">
        <v>4701</v>
      </c>
      <c r="E324" s="976" t="s">
        <v>4644</v>
      </c>
      <c r="F324" s="994">
        <v>2000</v>
      </c>
      <c r="G324" s="457">
        <v>3</v>
      </c>
      <c r="H324" s="457">
        <f>F324*G324</f>
        <v>6000</v>
      </c>
      <c r="I324" s="457">
        <f t="shared" ref="I324" si="170">SUM(K324:S324)</f>
        <v>0</v>
      </c>
      <c r="J324" s="457">
        <f t="shared" si="169"/>
        <v>6000</v>
      </c>
      <c r="K324" s="457"/>
      <c r="L324" s="457"/>
      <c r="M324" s="457"/>
      <c r="N324" s="457"/>
      <c r="O324" s="457"/>
      <c r="P324" s="457"/>
      <c r="Q324" s="457"/>
      <c r="R324" s="457"/>
      <c r="S324" s="457"/>
    </row>
    <row r="325" spans="1:19" s="451" customFormat="1" ht="12.75" customHeight="1" x14ac:dyDescent="0.25">
      <c r="B325" s="993" t="s">
        <v>4706</v>
      </c>
      <c r="C325" s="537">
        <v>2849781</v>
      </c>
      <c r="D325" s="987" t="s">
        <v>4702</v>
      </c>
      <c r="E325" s="976" t="s">
        <v>4644</v>
      </c>
      <c r="F325" s="994">
        <v>1200</v>
      </c>
      <c r="G325" s="457">
        <v>5.5</v>
      </c>
      <c r="H325" s="457">
        <f t="shared" ref="H325:H328" si="171">F325*G325</f>
        <v>6600</v>
      </c>
      <c r="I325" s="457">
        <f t="shared" ref="I325:I328" si="172">SUM(K325:S325)</f>
        <v>0</v>
      </c>
      <c r="J325" s="457">
        <f t="shared" si="169"/>
        <v>6600</v>
      </c>
      <c r="K325" s="457"/>
      <c r="L325" s="457"/>
      <c r="M325" s="457"/>
      <c r="N325" s="457"/>
      <c r="O325" s="457"/>
      <c r="P325" s="457"/>
      <c r="Q325" s="457"/>
      <c r="R325" s="457"/>
      <c r="S325" s="457"/>
    </row>
    <row r="326" spans="1:19" s="451" customFormat="1" ht="12.75" customHeight="1" x14ac:dyDescent="0.25">
      <c r="B326" s="993" t="s">
        <v>4706</v>
      </c>
      <c r="C326" s="537">
        <v>2849781</v>
      </c>
      <c r="D326" s="987" t="s">
        <v>4702</v>
      </c>
      <c r="E326" s="976" t="s">
        <v>4644</v>
      </c>
      <c r="F326" s="994">
        <v>600</v>
      </c>
      <c r="G326" s="457">
        <v>5.5</v>
      </c>
      <c r="H326" s="457">
        <f t="shared" si="171"/>
        <v>3300</v>
      </c>
      <c r="I326" s="457">
        <f t="shared" si="172"/>
        <v>0</v>
      </c>
      <c r="J326" s="457">
        <f t="shared" si="169"/>
        <v>3300</v>
      </c>
      <c r="K326" s="457"/>
      <c r="L326" s="457"/>
      <c r="M326" s="457"/>
      <c r="N326" s="457"/>
      <c r="O326" s="457"/>
      <c r="P326" s="457"/>
      <c r="Q326" s="457"/>
      <c r="R326" s="457"/>
      <c r="S326" s="457"/>
    </row>
    <row r="327" spans="1:19" s="451" customFormat="1" ht="12.75" customHeight="1" x14ac:dyDescent="0.25">
      <c r="B327" s="993" t="s">
        <v>4706</v>
      </c>
      <c r="C327" s="537">
        <v>2849781</v>
      </c>
      <c r="D327" s="987" t="s">
        <v>4707</v>
      </c>
      <c r="E327" s="976" t="s">
        <v>4644</v>
      </c>
      <c r="F327" s="994">
        <v>450</v>
      </c>
      <c r="G327" s="457">
        <v>27</v>
      </c>
      <c r="H327" s="457">
        <f t="shared" si="171"/>
        <v>12150</v>
      </c>
      <c r="I327" s="457">
        <f t="shared" si="172"/>
        <v>0</v>
      </c>
      <c r="J327" s="457">
        <f t="shared" si="169"/>
        <v>12150</v>
      </c>
      <c r="K327" s="457"/>
      <c r="L327" s="457"/>
      <c r="M327" s="457"/>
      <c r="N327" s="457"/>
      <c r="O327" s="457"/>
      <c r="P327" s="457"/>
      <c r="Q327" s="457"/>
      <c r="R327" s="457"/>
      <c r="S327" s="457"/>
    </row>
    <row r="328" spans="1:19" s="451" customFormat="1" ht="12.75" customHeight="1" x14ac:dyDescent="0.25">
      <c r="B328" s="993" t="s">
        <v>4706</v>
      </c>
      <c r="C328" s="537">
        <v>2849781</v>
      </c>
      <c r="D328" s="987" t="s">
        <v>4707</v>
      </c>
      <c r="E328" s="976" t="s">
        <v>4644</v>
      </c>
      <c r="F328" s="994">
        <v>75</v>
      </c>
      <c r="G328" s="457">
        <v>27</v>
      </c>
      <c r="H328" s="457">
        <f t="shared" si="171"/>
        <v>2025</v>
      </c>
      <c r="I328" s="457">
        <f t="shared" si="172"/>
        <v>0</v>
      </c>
      <c r="J328" s="457">
        <f t="shared" si="169"/>
        <v>2025</v>
      </c>
      <c r="K328" s="457"/>
      <c r="L328" s="457"/>
      <c r="M328" s="457"/>
      <c r="N328" s="457"/>
      <c r="O328" s="457"/>
      <c r="P328" s="457"/>
      <c r="Q328" s="457"/>
      <c r="R328" s="457"/>
      <c r="S328" s="457"/>
    </row>
    <row r="329" spans="1:19" ht="12.75" customHeight="1" x14ac:dyDescent="0.25">
      <c r="A329" s="247"/>
      <c r="B329" s="957" t="s">
        <v>4708</v>
      </c>
      <c r="C329" s="536">
        <v>2904034</v>
      </c>
      <c r="D329" s="955" t="s">
        <v>4709</v>
      </c>
      <c r="E329" s="956" t="s">
        <v>4644</v>
      </c>
      <c r="F329" s="836">
        <v>9000</v>
      </c>
      <c r="G329" s="299">
        <v>0.55000000000000004</v>
      </c>
      <c r="H329" s="299">
        <f t="shared" ref="H329:H359" si="173">F329*G329</f>
        <v>4950</v>
      </c>
      <c r="I329" s="299">
        <f t="shared" ref="I329:I332" si="174">SUM(K329:S329)</f>
        <v>0</v>
      </c>
      <c r="J329" s="299">
        <f t="shared" ref="J329:J332" si="175">H329-I329</f>
        <v>4950</v>
      </c>
    </row>
    <row r="330" spans="1:19" ht="12.75" customHeight="1" x14ac:dyDescent="0.25">
      <c r="B330" s="957" t="s">
        <v>4708</v>
      </c>
      <c r="C330" s="536">
        <v>2904034</v>
      </c>
      <c r="D330" s="955" t="s">
        <v>4709</v>
      </c>
      <c r="E330" s="956" t="s">
        <v>4644</v>
      </c>
      <c r="F330" s="836">
        <v>9000</v>
      </c>
      <c r="G330" s="299">
        <v>0.55000000000000004</v>
      </c>
      <c r="H330" s="299">
        <f t="shared" si="173"/>
        <v>4950</v>
      </c>
      <c r="I330" s="299">
        <f t="shared" si="174"/>
        <v>0</v>
      </c>
      <c r="J330" s="299">
        <f t="shared" si="175"/>
        <v>4950</v>
      </c>
    </row>
    <row r="331" spans="1:19" ht="12.75" customHeight="1" x14ac:dyDescent="0.25">
      <c r="B331" s="957" t="s">
        <v>4708</v>
      </c>
      <c r="C331" s="536">
        <v>2904034</v>
      </c>
      <c r="D331" s="955" t="s">
        <v>4709</v>
      </c>
      <c r="E331" s="956" t="s">
        <v>4644</v>
      </c>
      <c r="F331" s="836">
        <v>9000</v>
      </c>
      <c r="G331" s="299">
        <v>0.55000000000000004</v>
      </c>
      <c r="H331" s="299">
        <f t="shared" si="173"/>
        <v>4950</v>
      </c>
      <c r="I331" s="299">
        <f t="shared" si="174"/>
        <v>0</v>
      </c>
      <c r="J331" s="299">
        <f t="shared" si="175"/>
        <v>4950</v>
      </c>
    </row>
    <row r="332" spans="1:19" ht="12.75" customHeight="1" x14ac:dyDescent="0.25">
      <c r="B332" s="957" t="s">
        <v>4708</v>
      </c>
      <c r="C332" s="536">
        <v>2904034</v>
      </c>
      <c r="D332" s="955" t="s">
        <v>4709</v>
      </c>
      <c r="E332" s="956" t="s">
        <v>4644</v>
      </c>
      <c r="F332" s="836">
        <v>9000</v>
      </c>
      <c r="G332" s="299">
        <v>0.55000000000000004</v>
      </c>
      <c r="H332" s="299">
        <f t="shared" si="173"/>
        <v>4950</v>
      </c>
      <c r="I332" s="299">
        <f t="shared" si="174"/>
        <v>0</v>
      </c>
      <c r="J332" s="299">
        <f t="shared" si="175"/>
        <v>4950</v>
      </c>
    </row>
    <row r="333" spans="1:19" ht="12.75" customHeight="1" x14ac:dyDescent="0.25">
      <c r="B333" s="957" t="s">
        <v>4710</v>
      </c>
      <c r="C333" s="536">
        <v>2960954</v>
      </c>
      <c r="D333" s="955" t="s">
        <v>4711</v>
      </c>
      <c r="E333" s="956" t="s">
        <v>4644</v>
      </c>
      <c r="F333" s="836">
        <v>240</v>
      </c>
      <c r="G333" s="299">
        <v>88</v>
      </c>
      <c r="H333" s="299">
        <f t="shared" si="173"/>
        <v>21120</v>
      </c>
      <c r="I333" s="299">
        <f>SUM(K333:S333)</f>
        <v>0</v>
      </c>
      <c r="J333" s="299">
        <f>H333-I333</f>
        <v>21120</v>
      </c>
    </row>
    <row r="334" spans="1:19" ht="12.75" customHeight="1" x14ac:dyDescent="0.25">
      <c r="B334" s="957" t="s">
        <v>4710</v>
      </c>
      <c r="C334" s="536">
        <v>2960954</v>
      </c>
      <c r="D334" s="955" t="s">
        <v>4713</v>
      </c>
      <c r="E334" s="956" t="s">
        <v>4644</v>
      </c>
      <c r="F334" s="836">
        <v>6000</v>
      </c>
      <c r="G334" s="299">
        <v>1.95</v>
      </c>
      <c r="H334" s="299">
        <f t="shared" si="173"/>
        <v>11700</v>
      </c>
      <c r="I334" s="299">
        <f>SUM(K334:S334)</f>
        <v>0</v>
      </c>
      <c r="J334" s="299">
        <f t="shared" ref="J334:J336" si="176">H334-I334</f>
        <v>11700</v>
      </c>
    </row>
    <row r="335" spans="1:19" ht="12.75" customHeight="1" x14ac:dyDescent="0.25">
      <c r="B335" s="957" t="s">
        <v>4710</v>
      </c>
      <c r="C335" s="536">
        <v>2960954</v>
      </c>
      <c r="D335" s="955" t="s">
        <v>4713</v>
      </c>
      <c r="E335" s="956" t="s">
        <v>4644</v>
      </c>
      <c r="F335" s="836">
        <v>6000</v>
      </c>
      <c r="G335" s="299">
        <v>2.1</v>
      </c>
      <c r="H335" s="299">
        <f t="shared" si="173"/>
        <v>12600</v>
      </c>
      <c r="I335" s="299">
        <f>SUM(K335:S335)</f>
        <v>0</v>
      </c>
      <c r="J335" s="299">
        <f t="shared" ref="J335" si="177">H335-I335</f>
        <v>12600</v>
      </c>
    </row>
    <row r="336" spans="1:19" ht="12.75" customHeight="1" x14ac:dyDescent="0.25">
      <c r="B336" s="957" t="s">
        <v>4710</v>
      </c>
      <c r="C336" s="536">
        <v>2960954</v>
      </c>
      <c r="D336" s="955" t="s">
        <v>4695</v>
      </c>
      <c r="E336" s="956" t="s">
        <v>4644</v>
      </c>
      <c r="F336" s="836">
        <v>1400</v>
      </c>
      <c r="G336" s="299">
        <v>15.2</v>
      </c>
      <c r="H336" s="299">
        <f t="shared" si="173"/>
        <v>21280</v>
      </c>
      <c r="I336" s="299">
        <f>SUM(K336:S336)</f>
        <v>0</v>
      </c>
      <c r="J336" s="299">
        <f t="shared" si="176"/>
        <v>21280</v>
      </c>
    </row>
    <row r="337" spans="2:22" ht="12.75" customHeight="1" x14ac:dyDescent="0.25">
      <c r="B337" s="957" t="s">
        <v>4716</v>
      </c>
      <c r="C337" s="536">
        <v>3021042</v>
      </c>
      <c r="D337" s="962" t="s">
        <v>4712</v>
      </c>
      <c r="E337" s="977" t="s">
        <v>4644</v>
      </c>
      <c r="F337" s="844">
        <f>4*600</f>
        <v>2400</v>
      </c>
      <c r="G337" s="455">
        <v>10</v>
      </c>
      <c r="H337" s="454">
        <f t="shared" si="173"/>
        <v>24000</v>
      </c>
      <c r="I337" s="299">
        <f>SUM(K337:S337)</f>
        <v>0</v>
      </c>
      <c r="J337" s="299">
        <f>H337-I337</f>
        <v>24000</v>
      </c>
      <c r="K337" s="455"/>
      <c r="L337" s="303"/>
      <c r="M337" s="455"/>
      <c r="N337" s="457"/>
      <c r="O337" s="457"/>
      <c r="P337" s="457"/>
      <c r="Q337" s="457"/>
      <c r="R337" s="457"/>
      <c r="S337" s="457"/>
      <c r="T337" s="451"/>
    </row>
    <row r="338" spans="2:22" ht="12.75" customHeight="1" x14ac:dyDescent="0.25">
      <c r="B338" s="957" t="s">
        <v>4716</v>
      </c>
      <c r="C338" s="536">
        <v>3021042</v>
      </c>
      <c r="D338" s="955" t="s">
        <v>4717</v>
      </c>
      <c r="E338" s="976" t="s">
        <v>4644</v>
      </c>
      <c r="F338" s="844">
        <v>5000</v>
      </c>
      <c r="G338" s="455">
        <v>1.3</v>
      </c>
      <c r="H338" s="454">
        <f t="shared" si="173"/>
        <v>6500</v>
      </c>
      <c r="I338" s="299">
        <f t="shared" ref="I338:I339" si="178">SUM(K338:S338)</f>
        <v>0</v>
      </c>
      <c r="J338" s="299">
        <f t="shared" ref="J338:J339" si="179">H338-I338</f>
        <v>6500</v>
      </c>
      <c r="K338" s="455"/>
      <c r="L338" s="456"/>
      <c r="M338" s="455"/>
      <c r="N338" s="457"/>
      <c r="O338" s="457"/>
      <c r="P338" s="457"/>
      <c r="Q338" s="457"/>
      <c r="R338" s="457"/>
      <c r="S338" s="457"/>
      <c r="T338" s="451"/>
    </row>
    <row r="339" spans="2:22" ht="12.75" customHeight="1" x14ac:dyDescent="0.25">
      <c r="B339" s="957" t="s">
        <v>4716</v>
      </c>
      <c r="C339" s="536">
        <v>3021042</v>
      </c>
      <c r="D339" s="785" t="s">
        <v>4694</v>
      </c>
      <c r="E339" s="977" t="s">
        <v>4644</v>
      </c>
      <c r="F339" s="844">
        <v>3000</v>
      </c>
      <c r="G339" s="455">
        <v>5.5</v>
      </c>
      <c r="H339" s="454">
        <f t="shared" si="173"/>
        <v>16500</v>
      </c>
      <c r="I339" s="299">
        <f t="shared" si="178"/>
        <v>0</v>
      </c>
      <c r="J339" s="299">
        <f t="shared" si="179"/>
        <v>16500</v>
      </c>
      <c r="K339" s="455"/>
      <c r="L339" s="303"/>
      <c r="M339" s="455"/>
      <c r="N339" s="457"/>
      <c r="O339" s="457"/>
      <c r="P339" s="457"/>
      <c r="Q339" s="457"/>
      <c r="R339" s="457"/>
      <c r="S339" s="457"/>
      <c r="T339" s="451"/>
    </row>
    <row r="340" spans="2:22" ht="12.75" customHeight="1" x14ac:dyDescent="0.25">
      <c r="B340" s="957" t="s">
        <v>4718</v>
      </c>
      <c r="C340" s="536">
        <v>3139980</v>
      </c>
      <c r="D340" s="955" t="s">
        <v>4717</v>
      </c>
      <c r="E340" s="956" t="s">
        <v>4644</v>
      </c>
      <c r="F340" s="836">
        <v>2500</v>
      </c>
      <c r="G340" s="299">
        <v>0.5</v>
      </c>
      <c r="H340" s="299">
        <f t="shared" si="173"/>
        <v>1250</v>
      </c>
      <c r="I340" s="299">
        <f t="shared" ref="I340:I346" si="180">SUM(K340:S340)</f>
        <v>99.43</v>
      </c>
      <c r="J340" s="299">
        <f>H340-I340</f>
        <v>1150.57</v>
      </c>
      <c r="K340" s="299">
        <v>80</v>
      </c>
      <c r="L340" s="299">
        <v>4.29</v>
      </c>
      <c r="M340" s="299">
        <v>11.8</v>
      </c>
      <c r="N340" s="299">
        <v>0.42</v>
      </c>
      <c r="O340" s="299">
        <v>0.42</v>
      </c>
      <c r="P340" s="299">
        <v>2</v>
      </c>
      <c r="Q340" s="299">
        <v>0.01</v>
      </c>
      <c r="R340" s="299">
        <v>0.49</v>
      </c>
      <c r="V340" s="247"/>
    </row>
    <row r="341" spans="2:22" ht="12.75" customHeight="1" x14ac:dyDescent="0.25">
      <c r="B341" s="957" t="s">
        <v>4718</v>
      </c>
      <c r="C341" s="536">
        <v>3139980</v>
      </c>
      <c r="D341" s="955" t="s">
        <v>4717</v>
      </c>
      <c r="E341" s="956" t="s">
        <v>4644</v>
      </c>
      <c r="F341" s="836">
        <v>2500</v>
      </c>
      <c r="G341" s="299">
        <v>0.4</v>
      </c>
      <c r="H341" s="299">
        <f t="shared" si="173"/>
        <v>1000</v>
      </c>
      <c r="I341" s="299">
        <f t="shared" si="180"/>
        <v>0</v>
      </c>
      <c r="J341" s="299">
        <f t="shared" ref="J341:J343" si="181">H341-I341</f>
        <v>1000</v>
      </c>
    </row>
    <row r="342" spans="2:22" ht="12.75" customHeight="1" x14ac:dyDescent="0.25">
      <c r="B342" s="957" t="s">
        <v>4718</v>
      </c>
      <c r="C342" s="536">
        <v>3139980</v>
      </c>
      <c r="D342" s="955" t="s">
        <v>4717</v>
      </c>
      <c r="E342" s="956" t="s">
        <v>4644</v>
      </c>
      <c r="F342" s="836">
        <v>2500</v>
      </c>
      <c r="G342" s="299">
        <v>0.4</v>
      </c>
      <c r="H342" s="299">
        <f t="shared" si="173"/>
        <v>1000</v>
      </c>
      <c r="I342" s="299">
        <f t="shared" si="180"/>
        <v>0</v>
      </c>
      <c r="J342" s="299">
        <f t="shared" si="181"/>
        <v>1000</v>
      </c>
    </row>
    <row r="343" spans="2:22" ht="12.75" customHeight="1" x14ac:dyDescent="0.25">
      <c r="B343" s="957" t="s">
        <v>4718</v>
      </c>
      <c r="C343" s="536">
        <v>3139980</v>
      </c>
      <c r="D343" s="955" t="s">
        <v>4717</v>
      </c>
      <c r="E343" s="956" t="s">
        <v>4644</v>
      </c>
      <c r="F343" s="836">
        <v>2500</v>
      </c>
      <c r="G343" s="299">
        <v>0.35</v>
      </c>
      <c r="H343" s="299">
        <f t="shared" si="173"/>
        <v>875</v>
      </c>
      <c r="I343" s="299">
        <f t="shared" si="180"/>
        <v>0</v>
      </c>
      <c r="J343" s="299">
        <f t="shared" si="181"/>
        <v>875</v>
      </c>
    </row>
    <row r="344" spans="2:22" ht="12.75" customHeight="1" x14ac:dyDescent="0.25">
      <c r="B344" s="957" t="s">
        <v>4720</v>
      </c>
      <c r="C344" s="536">
        <v>3199644</v>
      </c>
      <c r="D344" s="955" t="s">
        <v>4722</v>
      </c>
      <c r="E344" s="956" t="s">
        <v>4644</v>
      </c>
      <c r="F344" s="836">
        <v>1000</v>
      </c>
      <c r="G344" s="299">
        <v>9.15</v>
      </c>
      <c r="H344" s="299">
        <f t="shared" si="173"/>
        <v>9150</v>
      </c>
      <c r="I344" s="299">
        <f t="shared" si="180"/>
        <v>0</v>
      </c>
      <c r="J344" s="299">
        <f>H344-I344</f>
        <v>9150</v>
      </c>
    </row>
    <row r="345" spans="2:22" ht="12.75" customHeight="1" x14ac:dyDescent="0.25">
      <c r="B345" s="957" t="s">
        <v>4720</v>
      </c>
      <c r="C345" s="536">
        <v>3199644</v>
      </c>
      <c r="D345" s="955" t="s">
        <v>4722</v>
      </c>
      <c r="E345" s="956" t="s">
        <v>4644</v>
      </c>
      <c r="F345" s="836">
        <v>500</v>
      </c>
      <c r="G345" s="299">
        <v>9.15</v>
      </c>
      <c r="H345" s="299">
        <f t="shared" si="173"/>
        <v>4575</v>
      </c>
      <c r="I345" s="299">
        <f t="shared" si="180"/>
        <v>0</v>
      </c>
      <c r="J345" s="299">
        <f t="shared" ref="J345:J352" si="182">H345-I345</f>
        <v>4575</v>
      </c>
    </row>
    <row r="346" spans="2:22" ht="12.75" customHeight="1" x14ac:dyDescent="0.25">
      <c r="B346" s="957" t="s">
        <v>4720</v>
      </c>
      <c r="C346" s="536">
        <v>3199644</v>
      </c>
      <c r="D346" s="955" t="s">
        <v>4721</v>
      </c>
      <c r="E346" s="956" t="s">
        <v>4644</v>
      </c>
      <c r="F346" s="836">
        <v>13200</v>
      </c>
      <c r="G346" s="299">
        <v>0.7</v>
      </c>
      <c r="H346" s="299">
        <f t="shared" si="173"/>
        <v>9240</v>
      </c>
      <c r="I346" s="299">
        <f t="shared" si="180"/>
        <v>0</v>
      </c>
      <c r="J346" s="299">
        <f t="shared" si="182"/>
        <v>9240</v>
      </c>
    </row>
    <row r="347" spans="2:22" ht="12.75" customHeight="1" x14ac:dyDescent="0.25">
      <c r="B347" s="957" t="s">
        <v>4723</v>
      </c>
      <c r="C347" s="536">
        <v>3319675</v>
      </c>
      <c r="D347" s="955" t="s">
        <v>4724</v>
      </c>
      <c r="E347" s="956" t="s">
        <v>4644</v>
      </c>
      <c r="F347" s="836">
        <v>40</v>
      </c>
      <c r="G347" s="299">
        <v>85</v>
      </c>
      <c r="H347" s="299">
        <f t="shared" si="173"/>
        <v>3400</v>
      </c>
      <c r="I347" s="299">
        <f t="shared" ref="I347:I348" si="183">SUM(K347:S347)</f>
        <v>0</v>
      </c>
      <c r="J347" s="299">
        <f t="shared" si="182"/>
        <v>3400</v>
      </c>
    </row>
    <row r="348" spans="2:22" ht="12.75" customHeight="1" x14ac:dyDescent="0.25">
      <c r="B348" s="957" t="s">
        <v>4723</v>
      </c>
      <c r="C348" s="536">
        <v>3319675</v>
      </c>
      <c r="D348" s="955" t="s">
        <v>4724</v>
      </c>
      <c r="E348" s="956" t="s">
        <v>4644</v>
      </c>
      <c r="F348" s="836">
        <v>80</v>
      </c>
      <c r="G348" s="299">
        <v>85</v>
      </c>
      <c r="H348" s="299">
        <f t="shared" si="173"/>
        <v>6800</v>
      </c>
      <c r="I348" s="299">
        <f t="shared" si="183"/>
        <v>0</v>
      </c>
      <c r="J348" s="299">
        <f t="shared" si="182"/>
        <v>6800</v>
      </c>
    </row>
    <row r="349" spans="2:22" ht="12.75" customHeight="1" x14ac:dyDescent="0.25">
      <c r="B349" s="957" t="s">
        <v>4725</v>
      </c>
      <c r="C349" s="536">
        <v>3377126</v>
      </c>
      <c r="D349" s="955" t="s">
        <v>4727</v>
      </c>
      <c r="E349" s="956" t="s">
        <v>4644</v>
      </c>
      <c r="F349" s="836">
        <v>40</v>
      </c>
      <c r="G349" s="299">
        <v>48.15</v>
      </c>
      <c r="H349" s="299">
        <f t="shared" si="173"/>
        <v>1926</v>
      </c>
      <c r="I349" s="299">
        <f t="shared" ref="I349:I354" si="184">SUM(K349:S349)</f>
        <v>0</v>
      </c>
      <c r="J349" s="299">
        <f t="shared" si="182"/>
        <v>1926</v>
      </c>
    </row>
    <row r="350" spans="2:22" ht="12.75" customHeight="1" x14ac:dyDescent="0.25">
      <c r="B350" s="957" t="s">
        <v>4725</v>
      </c>
      <c r="C350" s="536">
        <v>3377126</v>
      </c>
      <c r="D350" s="955" t="s">
        <v>4727</v>
      </c>
      <c r="E350" s="956" t="s">
        <v>4644</v>
      </c>
      <c r="F350" s="836">
        <v>40</v>
      </c>
      <c r="G350" s="299">
        <v>48.05</v>
      </c>
      <c r="H350" s="299">
        <f t="shared" si="173"/>
        <v>1922</v>
      </c>
      <c r="I350" s="299">
        <f t="shared" si="184"/>
        <v>0</v>
      </c>
      <c r="J350" s="299">
        <f t="shared" si="182"/>
        <v>1922</v>
      </c>
    </row>
    <row r="351" spans="2:22" ht="12.75" customHeight="1" x14ac:dyDescent="0.25">
      <c r="B351" s="957" t="s">
        <v>4725</v>
      </c>
      <c r="C351" s="536">
        <v>3377126</v>
      </c>
      <c r="D351" s="955" t="s">
        <v>4727</v>
      </c>
      <c r="E351" s="956" t="s">
        <v>4644</v>
      </c>
      <c r="F351" s="836">
        <v>40</v>
      </c>
      <c r="G351" s="299">
        <v>48</v>
      </c>
      <c r="H351" s="299">
        <f t="shared" si="173"/>
        <v>1920</v>
      </c>
      <c r="I351" s="299">
        <f t="shared" si="184"/>
        <v>0</v>
      </c>
      <c r="J351" s="299">
        <f t="shared" si="182"/>
        <v>1920</v>
      </c>
    </row>
    <row r="352" spans="2:22" ht="12.75" customHeight="1" x14ac:dyDescent="0.25">
      <c r="B352" s="957" t="s">
        <v>4725</v>
      </c>
      <c r="C352" s="536">
        <v>3377126</v>
      </c>
      <c r="D352" s="955" t="s">
        <v>4727</v>
      </c>
      <c r="E352" s="956" t="s">
        <v>4644</v>
      </c>
      <c r="F352" s="836">
        <v>40</v>
      </c>
      <c r="G352" s="299">
        <v>48</v>
      </c>
      <c r="H352" s="299">
        <f t="shared" si="173"/>
        <v>1920</v>
      </c>
      <c r="I352" s="299">
        <f t="shared" si="184"/>
        <v>0</v>
      </c>
      <c r="J352" s="299">
        <f t="shared" si="182"/>
        <v>1920</v>
      </c>
    </row>
    <row r="353" spans="2:12" ht="12.75" customHeight="1" x14ac:dyDescent="0.25">
      <c r="B353" s="957" t="s">
        <v>4725</v>
      </c>
      <c r="C353" s="536">
        <v>3377126</v>
      </c>
      <c r="D353" s="955" t="s">
        <v>4727</v>
      </c>
      <c r="E353" s="956" t="s">
        <v>4644</v>
      </c>
      <c r="F353" s="836">
        <v>80</v>
      </c>
      <c r="G353" s="299">
        <v>100</v>
      </c>
      <c r="H353" s="299">
        <f t="shared" si="173"/>
        <v>8000</v>
      </c>
      <c r="I353" s="299">
        <f t="shared" si="184"/>
        <v>0</v>
      </c>
      <c r="J353" s="299">
        <f>H353-I353</f>
        <v>8000</v>
      </c>
    </row>
    <row r="354" spans="2:12" ht="12.75" customHeight="1" x14ac:dyDescent="0.25">
      <c r="B354" s="957" t="s">
        <v>4725</v>
      </c>
      <c r="C354" s="536">
        <v>3377126</v>
      </c>
      <c r="D354" s="955" t="s">
        <v>4726</v>
      </c>
      <c r="E354" s="956" t="s">
        <v>4644</v>
      </c>
      <c r="F354" s="836">
        <v>160</v>
      </c>
      <c r="G354" s="299">
        <v>55</v>
      </c>
      <c r="H354" s="299">
        <f t="shared" si="173"/>
        <v>8800</v>
      </c>
      <c r="I354" s="299">
        <f t="shared" si="184"/>
        <v>0</v>
      </c>
      <c r="J354" s="299">
        <f>H354-I354</f>
        <v>8800</v>
      </c>
    </row>
    <row r="355" spans="2:12" ht="12.75" customHeight="1" x14ac:dyDescent="0.25">
      <c r="B355" s="957" t="s">
        <v>4728</v>
      </c>
      <c r="C355" s="536">
        <v>3436130</v>
      </c>
      <c r="D355" s="955" t="s">
        <v>4729</v>
      </c>
      <c r="E355" s="956" t="s">
        <v>4644</v>
      </c>
      <c r="F355" s="836">
        <v>2500</v>
      </c>
      <c r="G355" s="299">
        <v>3.95</v>
      </c>
      <c r="H355" s="299">
        <f t="shared" si="173"/>
        <v>9875</v>
      </c>
      <c r="I355" s="299">
        <f t="shared" ref="I355:I359" si="185">SUM(K355:S355)</f>
        <v>0</v>
      </c>
      <c r="J355" s="299">
        <f t="shared" ref="J355:J359" si="186">H355-I355</f>
        <v>9875</v>
      </c>
    </row>
    <row r="356" spans="2:12" ht="12.75" customHeight="1" x14ac:dyDescent="0.25">
      <c r="B356" s="957" t="s">
        <v>4728</v>
      </c>
      <c r="C356" s="536">
        <v>3436130</v>
      </c>
      <c r="D356" s="955" t="s">
        <v>4675</v>
      </c>
      <c r="E356" s="976" t="s">
        <v>4644</v>
      </c>
      <c r="F356" s="844">
        <v>80</v>
      </c>
      <c r="G356" s="455">
        <v>113</v>
      </c>
      <c r="H356" s="454">
        <f t="shared" si="173"/>
        <v>9040</v>
      </c>
      <c r="I356" s="299">
        <f t="shared" si="185"/>
        <v>0</v>
      </c>
      <c r="J356" s="299">
        <f t="shared" si="186"/>
        <v>9040</v>
      </c>
      <c r="K356" s="455"/>
      <c r="L356" s="303"/>
    </row>
    <row r="357" spans="2:12" ht="12.75" customHeight="1" x14ac:dyDescent="0.25">
      <c r="B357" s="957" t="s">
        <v>4728</v>
      </c>
      <c r="C357" s="536">
        <v>3436130</v>
      </c>
      <c r="D357" s="955" t="s">
        <v>4730</v>
      </c>
      <c r="E357" s="956" t="s">
        <v>4644</v>
      </c>
      <c r="F357" s="836">
        <v>120</v>
      </c>
      <c r="G357" s="299">
        <v>72</v>
      </c>
      <c r="H357" s="299">
        <f t="shared" si="173"/>
        <v>8640</v>
      </c>
      <c r="I357" s="299">
        <f t="shared" si="185"/>
        <v>0</v>
      </c>
      <c r="J357" s="299">
        <f t="shared" si="186"/>
        <v>8640</v>
      </c>
    </row>
    <row r="358" spans="2:12" ht="12.75" customHeight="1" x14ac:dyDescent="0.25">
      <c r="B358" s="957" t="s">
        <v>4728</v>
      </c>
      <c r="C358" s="536">
        <v>3436130</v>
      </c>
      <c r="D358" s="955" t="s">
        <v>4685</v>
      </c>
      <c r="E358" s="956" t="s">
        <v>4644</v>
      </c>
      <c r="F358" s="836">
        <v>150</v>
      </c>
      <c r="G358" s="299">
        <v>65</v>
      </c>
      <c r="H358" s="299">
        <f t="shared" si="173"/>
        <v>9750</v>
      </c>
      <c r="I358" s="299">
        <f t="shared" si="185"/>
        <v>0</v>
      </c>
      <c r="J358" s="299">
        <f t="shared" si="186"/>
        <v>9750</v>
      </c>
    </row>
    <row r="359" spans="2:12" ht="12.75" customHeight="1" x14ac:dyDescent="0.25">
      <c r="B359" s="957" t="s">
        <v>4728</v>
      </c>
      <c r="C359" s="536">
        <v>3436130</v>
      </c>
      <c r="D359" s="955" t="s">
        <v>4731</v>
      </c>
      <c r="E359" s="956" t="s">
        <v>4644</v>
      </c>
      <c r="F359" s="836">
        <v>150</v>
      </c>
      <c r="G359" s="299">
        <v>66.05</v>
      </c>
      <c r="H359" s="299">
        <f t="shared" si="173"/>
        <v>9907.5</v>
      </c>
      <c r="I359" s="299">
        <f t="shared" si="185"/>
        <v>0</v>
      </c>
      <c r="J359" s="299">
        <f t="shared" si="186"/>
        <v>9907.5</v>
      </c>
    </row>
    <row r="360" spans="2:12" ht="12.75" customHeight="1" x14ac:dyDescent="0.25">
      <c r="B360" s="957" t="s">
        <v>4736</v>
      </c>
      <c r="C360" s="536">
        <v>3496546</v>
      </c>
      <c r="D360" s="955" t="s">
        <v>4675</v>
      </c>
      <c r="E360" s="956" t="s">
        <v>4644</v>
      </c>
      <c r="F360" s="836">
        <v>120</v>
      </c>
      <c r="G360" s="299">
        <v>56.95</v>
      </c>
      <c r="H360" s="299">
        <f t="shared" ref="H360:H384" si="187">F360*G360</f>
        <v>6834</v>
      </c>
      <c r="I360" s="299">
        <f t="shared" ref="I360:I383" si="188">SUM(K360:S360)</f>
        <v>0</v>
      </c>
      <c r="J360" s="299">
        <f>H360-I360</f>
        <v>6834</v>
      </c>
    </row>
    <row r="361" spans="2:12" ht="12.75" customHeight="1" x14ac:dyDescent="0.25">
      <c r="B361" s="957" t="s">
        <v>4736</v>
      </c>
      <c r="C361" s="536">
        <v>3496546</v>
      </c>
      <c r="D361" s="955" t="s">
        <v>4733</v>
      </c>
      <c r="E361" s="956" t="s">
        <v>4644</v>
      </c>
      <c r="F361" s="836">
        <v>80</v>
      </c>
      <c r="G361" s="299">
        <v>46</v>
      </c>
      <c r="H361" s="299">
        <f t="shared" si="187"/>
        <v>3680</v>
      </c>
      <c r="I361" s="299">
        <f t="shared" si="188"/>
        <v>0</v>
      </c>
      <c r="J361" s="299">
        <f t="shared" ref="J361:J366" si="189">H361-I361</f>
        <v>3680</v>
      </c>
    </row>
    <row r="362" spans="2:12" ht="12.75" customHeight="1" x14ac:dyDescent="0.25">
      <c r="B362" s="957" t="s">
        <v>4736</v>
      </c>
      <c r="C362" s="536">
        <v>3496546</v>
      </c>
      <c r="D362" s="955" t="s">
        <v>4733</v>
      </c>
      <c r="E362" s="956" t="s">
        <v>4644</v>
      </c>
      <c r="F362" s="836">
        <v>40</v>
      </c>
      <c r="G362" s="299">
        <v>46</v>
      </c>
      <c r="H362" s="299">
        <f t="shared" si="187"/>
        <v>1840</v>
      </c>
      <c r="I362" s="299">
        <f t="shared" si="188"/>
        <v>0</v>
      </c>
      <c r="J362" s="299">
        <f t="shared" si="189"/>
        <v>1840</v>
      </c>
    </row>
    <row r="363" spans="2:12" ht="12.75" customHeight="1" x14ac:dyDescent="0.25">
      <c r="B363" s="957" t="s">
        <v>4736</v>
      </c>
      <c r="C363" s="536">
        <v>3496546</v>
      </c>
      <c r="D363" s="955" t="s">
        <v>4733</v>
      </c>
      <c r="E363" s="956" t="s">
        <v>4644</v>
      </c>
      <c r="F363" s="836">
        <v>40</v>
      </c>
      <c r="G363" s="299">
        <v>46</v>
      </c>
      <c r="H363" s="299">
        <f t="shared" si="187"/>
        <v>1840</v>
      </c>
      <c r="I363" s="299">
        <f t="shared" si="188"/>
        <v>0</v>
      </c>
      <c r="J363" s="299">
        <f t="shared" si="189"/>
        <v>1840</v>
      </c>
    </row>
    <row r="364" spans="2:12" ht="12.75" customHeight="1" x14ac:dyDescent="0.25">
      <c r="B364" s="957" t="s">
        <v>4736</v>
      </c>
      <c r="C364" s="536">
        <v>3496546</v>
      </c>
      <c r="D364" s="955" t="s">
        <v>4734</v>
      </c>
      <c r="E364" s="956" t="s">
        <v>4644</v>
      </c>
      <c r="F364" s="836">
        <v>2700</v>
      </c>
      <c r="G364" s="299">
        <v>2.2000000000000002</v>
      </c>
      <c r="H364" s="299">
        <f t="shared" si="187"/>
        <v>5940.0000000000009</v>
      </c>
      <c r="I364" s="299">
        <f t="shared" si="188"/>
        <v>0</v>
      </c>
      <c r="J364" s="299">
        <f t="shared" si="189"/>
        <v>5940.0000000000009</v>
      </c>
    </row>
    <row r="365" spans="2:12" ht="12.75" customHeight="1" x14ac:dyDescent="0.25">
      <c r="B365" s="957" t="s">
        <v>4736</v>
      </c>
      <c r="C365" s="536">
        <v>3496546</v>
      </c>
      <c r="D365" s="955" t="s">
        <v>4735</v>
      </c>
      <c r="E365" s="956" t="s">
        <v>4644</v>
      </c>
      <c r="F365" s="836">
        <v>1050</v>
      </c>
      <c r="G365" s="299">
        <v>8.1</v>
      </c>
      <c r="H365" s="299">
        <f t="shared" si="187"/>
        <v>8505</v>
      </c>
      <c r="I365" s="299">
        <f t="shared" si="188"/>
        <v>0</v>
      </c>
      <c r="J365" s="299">
        <f t="shared" si="189"/>
        <v>8505</v>
      </c>
    </row>
    <row r="366" spans="2:12" ht="12.75" customHeight="1" x14ac:dyDescent="0.25">
      <c r="B366" s="957" t="s">
        <v>4736</v>
      </c>
      <c r="C366" s="536">
        <v>3496546</v>
      </c>
      <c r="D366" s="955" t="s">
        <v>4732</v>
      </c>
      <c r="E366" s="956" t="s">
        <v>4644</v>
      </c>
      <c r="F366" s="836">
        <v>14000</v>
      </c>
      <c r="G366" s="299">
        <v>0.7</v>
      </c>
      <c r="H366" s="299">
        <f t="shared" si="187"/>
        <v>9800</v>
      </c>
      <c r="I366" s="299">
        <f t="shared" si="188"/>
        <v>0</v>
      </c>
      <c r="J366" s="299">
        <f t="shared" si="189"/>
        <v>9800</v>
      </c>
    </row>
    <row r="367" spans="2:12" ht="12.75" customHeight="1" x14ac:dyDescent="0.25">
      <c r="B367" s="957" t="s">
        <v>4737</v>
      </c>
      <c r="C367" s="536">
        <v>3560232</v>
      </c>
      <c r="D367" s="955" t="s">
        <v>4738</v>
      </c>
      <c r="E367" s="956" t="s">
        <v>4644</v>
      </c>
      <c r="F367" s="836">
        <v>40</v>
      </c>
      <c r="G367" s="299">
        <v>37</v>
      </c>
      <c r="H367" s="299">
        <f t="shared" si="187"/>
        <v>1480</v>
      </c>
      <c r="I367" s="299">
        <f t="shared" si="188"/>
        <v>0</v>
      </c>
      <c r="J367" s="299">
        <f>H367-I367</f>
        <v>1480</v>
      </c>
    </row>
    <row r="368" spans="2:12" ht="12.75" customHeight="1" x14ac:dyDescent="0.25">
      <c r="B368" s="957" t="s">
        <v>4737</v>
      </c>
      <c r="C368" s="536">
        <v>3560232</v>
      </c>
      <c r="D368" s="955" t="s">
        <v>4738</v>
      </c>
      <c r="E368" s="956" t="s">
        <v>4644</v>
      </c>
      <c r="F368" s="836">
        <v>40</v>
      </c>
      <c r="G368" s="299">
        <v>37</v>
      </c>
      <c r="H368" s="299">
        <f t="shared" si="187"/>
        <v>1480</v>
      </c>
      <c r="I368" s="299">
        <f t="shared" si="188"/>
        <v>0</v>
      </c>
      <c r="J368" s="299">
        <f t="shared" ref="J368:J379" si="190">H368-I368</f>
        <v>1480</v>
      </c>
    </row>
    <row r="369" spans="2:22" ht="12.75" customHeight="1" x14ac:dyDescent="0.25">
      <c r="B369" s="957" t="s">
        <v>4737</v>
      </c>
      <c r="C369" s="536">
        <v>3560232</v>
      </c>
      <c r="D369" s="955" t="s">
        <v>4738</v>
      </c>
      <c r="E369" s="956" t="s">
        <v>4644</v>
      </c>
      <c r="F369" s="836">
        <v>40</v>
      </c>
      <c r="G369" s="299">
        <v>37</v>
      </c>
      <c r="H369" s="299">
        <f t="shared" si="187"/>
        <v>1480</v>
      </c>
      <c r="I369" s="299">
        <f t="shared" si="188"/>
        <v>0</v>
      </c>
      <c r="J369" s="299">
        <f t="shared" si="190"/>
        <v>1480</v>
      </c>
    </row>
    <row r="370" spans="2:22" ht="12.75" customHeight="1" x14ac:dyDescent="0.25">
      <c r="B370" s="957" t="s">
        <v>4737</v>
      </c>
      <c r="C370" s="536">
        <v>3560232</v>
      </c>
      <c r="D370" s="955" t="s">
        <v>4738</v>
      </c>
      <c r="E370" s="956" t="s">
        <v>4644</v>
      </c>
      <c r="F370" s="836">
        <v>40</v>
      </c>
      <c r="G370" s="299">
        <v>37</v>
      </c>
      <c r="H370" s="299">
        <f t="shared" si="187"/>
        <v>1480</v>
      </c>
      <c r="I370" s="299">
        <f t="shared" si="188"/>
        <v>0</v>
      </c>
      <c r="J370" s="299">
        <f t="shared" si="190"/>
        <v>1480</v>
      </c>
    </row>
    <row r="371" spans="2:22" ht="12.75" customHeight="1" x14ac:dyDescent="0.25">
      <c r="B371" s="957" t="s">
        <v>4737</v>
      </c>
      <c r="C371" s="536">
        <v>3560232</v>
      </c>
      <c r="D371" s="955" t="s">
        <v>4738</v>
      </c>
      <c r="E371" s="956" t="s">
        <v>4644</v>
      </c>
      <c r="F371" s="836">
        <v>40</v>
      </c>
      <c r="G371" s="299">
        <v>37</v>
      </c>
      <c r="H371" s="299">
        <f t="shared" si="187"/>
        <v>1480</v>
      </c>
      <c r="I371" s="299">
        <f t="shared" si="188"/>
        <v>0</v>
      </c>
      <c r="J371" s="299">
        <f t="shared" si="190"/>
        <v>1480</v>
      </c>
    </row>
    <row r="372" spans="2:22" ht="12.75" customHeight="1" x14ac:dyDescent="0.25">
      <c r="B372" s="957" t="s">
        <v>4737</v>
      </c>
      <c r="C372" s="536">
        <v>3560232</v>
      </c>
      <c r="D372" s="955" t="s">
        <v>4734</v>
      </c>
      <c r="E372" s="956" t="s">
        <v>4644</v>
      </c>
      <c r="F372" s="836">
        <v>2700</v>
      </c>
      <c r="G372" s="299">
        <v>1.75</v>
      </c>
      <c r="H372" s="299">
        <f t="shared" si="187"/>
        <v>4725</v>
      </c>
      <c r="I372" s="299">
        <f t="shared" si="188"/>
        <v>0</v>
      </c>
      <c r="J372" s="299">
        <f t="shared" si="190"/>
        <v>4725</v>
      </c>
    </row>
    <row r="373" spans="2:22" ht="12.75" customHeight="1" x14ac:dyDescent="0.25">
      <c r="B373" s="957" t="s">
        <v>4737</v>
      </c>
      <c r="C373" s="536">
        <v>3560232</v>
      </c>
      <c r="D373" s="955" t="s">
        <v>4739</v>
      </c>
      <c r="E373" s="956" t="s">
        <v>4644</v>
      </c>
      <c r="F373" s="836">
        <v>500</v>
      </c>
      <c r="G373" s="299">
        <v>9.5</v>
      </c>
      <c r="H373" s="299">
        <f t="shared" si="187"/>
        <v>4750</v>
      </c>
      <c r="I373" s="299">
        <f t="shared" si="188"/>
        <v>0</v>
      </c>
      <c r="J373" s="299">
        <f t="shared" si="190"/>
        <v>4750</v>
      </c>
    </row>
    <row r="374" spans="2:22" ht="12.75" customHeight="1" x14ac:dyDescent="0.25">
      <c r="B374" s="957" t="s">
        <v>4737</v>
      </c>
      <c r="C374" s="536">
        <v>3560232</v>
      </c>
      <c r="D374" s="955" t="s">
        <v>4739</v>
      </c>
      <c r="E374" s="956" t="s">
        <v>4644</v>
      </c>
      <c r="F374" s="836">
        <v>500</v>
      </c>
      <c r="G374" s="299">
        <v>8.6</v>
      </c>
      <c r="H374" s="299">
        <f t="shared" si="187"/>
        <v>4300</v>
      </c>
      <c r="I374" s="299">
        <f t="shared" si="188"/>
        <v>0</v>
      </c>
      <c r="J374" s="299">
        <f t="shared" si="190"/>
        <v>4300</v>
      </c>
    </row>
    <row r="375" spans="2:22" ht="12.75" customHeight="1" x14ac:dyDescent="0.25">
      <c r="B375" s="957" t="s">
        <v>4740</v>
      </c>
      <c r="C375" s="536">
        <v>3623681</v>
      </c>
      <c r="D375" s="955" t="s">
        <v>4738</v>
      </c>
      <c r="E375" s="956" t="s">
        <v>4644</v>
      </c>
      <c r="F375" s="836">
        <v>40</v>
      </c>
      <c r="G375" s="299">
        <v>97.85</v>
      </c>
      <c r="H375" s="299">
        <f t="shared" si="187"/>
        <v>3914</v>
      </c>
      <c r="I375" s="299">
        <f t="shared" si="188"/>
        <v>0</v>
      </c>
      <c r="J375" s="299">
        <f t="shared" si="190"/>
        <v>3914</v>
      </c>
    </row>
    <row r="376" spans="2:22" ht="12.75" customHeight="1" x14ac:dyDescent="0.25">
      <c r="B376" s="957" t="s">
        <v>4740</v>
      </c>
      <c r="C376" s="536">
        <v>3623681</v>
      </c>
      <c r="D376" s="955" t="s">
        <v>4738</v>
      </c>
      <c r="E376" s="956" t="s">
        <v>4644</v>
      </c>
      <c r="F376" s="836">
        <v>40</v>
      </c>
      <c r="G376" s="299">
        <v>97.8</v>
      </c>
      <c r="H376" s="299">
        <f t="shared" si="187"/>
        <v>3912</v>
      </c>
      <c r="I376" s="299">
        <f t="shared" si="188"/>
        <v>0</v>
      </c>
      <c r="J376" s="299">
        <f t="shared" si="190"/>
        <v>3912</v>
      </c>
    </row>
    <row r="377" spans="2:22" ht="12.75" customHeight="1" x14ac:dyDescent="0.25">
      <c r="B377" s="957" t="s">
        <v>4740</v>
      </c>
      <c r="C377" s="536">
        <v>3623681</v>
      </c>
      <c r="D377" s="955" t="s">
        <v>4721</v>
      </c>
      <c r="E377" s="956" t="s">
        <v>4644</v>
      </c>
      <c r="F377" s="836">
        <v>13200</v>
      </c>
      <c r="G377" s="299">
        <v>0.6</v>
      </c>
      <c r="H377" s="299">
        <f t="shared" si="187"/>
        <v>7920</v>
      </c>
      <c r="I377" s="299">
        <f t="shared" si="188"/>
        <v>0</v>
      </c>
      <c r="J377" s="299">
        <f t="shared" si="190"/>
        <v>7920</v>
      </c>
    </row>
    <row r="378" spans="2:22" ht="12.75" customHeight="1" x14ac:dyDescent="0.25">
      <c r="B378" s="957" t="s">
        <v>4742</v>
      </c>
      <c r="C378" s="536">
        <v>3668740</v>
      </c>
      <c r="D378" s="955" t="s">
        <v>4743</v>
      </c>
      <c r="E378" s="956" t="s">
        <v>4644</v>
      </c>
      <c r="F378" s="836">
        <v>1200</v>
      </c>
      <c r="G378" s="299">
        <v>3.6</v>
      </c>
      <c r="H378" s="299">
        <f t="shared" si="187"/>
        <v>4320</v>
      </c>
      <c r="I378" s="299">
        <f t="shared" si="188"/>
        <v>0</v>
      </c>
      <c r="J378" s="299">
        <f t="shared" si="190"/>
        <v>4320</v>
      </c>
    </row>
    <row r="379" spans="2:22" ht="12.75" customHeight="1" x14ac:dyDescent="0.25">
      <c r="B379" s="957" t="s">
        <v>4744</v>
      </c>
      <c r="C379" s="536">
        <v>3704774</v>
      </c>
      <c r="D379" s="955" t="s">
        <v>4739</v>
      </c>
      <c r="E379" s="956" t="s">
        <v>4644</v>
      </c>
      <c r="F379" s="836">
        <v>500</v>
      </c>
      <c r="G379" s="299">
        <v>6.6</v>
      </c>
      <c r="H379" s="299">
        <f t="shared" si="187"/>
        <v>3300</v>
      </c>
      <c r="I379" s="299">
        <f t="shared" si="188"/>
        <v>0</v>
      </c>
      <c r="J379" s="299">
        <f t="shared" si="190"/>
        <v>3300</v>
      </c>
    </row>
    <row r="380" spans="2:22" ht="12.75" customHeight="1" x14ac:dyDescent="0.25">
      <c r="B380" s="957" t="s">
        <v>4746</v>
      </c>
      <c r="C380" s="536">
        <v>4114409</v>
      </c>
      <c r="D380" s="955" t="s">
        <v>4747</v>
      </c>
      <c r="E380" s="976" t="s">
        <v>4644</v>
      </c>
      <c r="F380" s="844">
        <v>800</v>
      </c>
      <c r="G380" s="455">
        <v>3.5</v>
      </c>
      <c r="H380" s="454">
        <f t="shared" si="187"/>
        <v>2800</v>
      </c>
      <c r="I380" s="299">
        <f t="shared" si="188"/>
        <v>0</v>
      </c>
      <c r="J380" s="299">
        <f>H380-I380</f>
        <v>2800</v>
      </c>
      <c r="K380" s="455"/>
      <c r="L380" s="456"/>
      <c r="M380" s="455"/>
      <c r="N380" s="457"/>
      <c r="O380" s="457"/>
      <c r="P380" s="457"/>
      <c r="Q380" s="457"/>
      <c r="R380" s="457"/>
      <c r="S380" s="457"/>
      <c r="T380" s="451"/>
    </row>
    <row r="381" spans="2:22" ht="12.75" customHeight="1" x14ac:dyDescent="0.25">
      <c r="B381" s="957" t="s">
        <v>4746</v>
      </c>
      <c r="C381" s="536">
        <v>4114409</v>
      </c>
      <c r="D381" s="962" t="s">
        <v>4745</v>
      </c>
      <c r="E381" s="956" t="s">
        <v>4644</v>
      </c>
      <c r="F381" s="844">
        <v>1000</v>
      </c>
      <c r="G381" s="455">
        <v>6</v>
      </c>
      <c r="H381" s="454">
        <f t="shared" si="187"/>
        <v>6000</v>
      </c>
      <c r="I381" s="299">
        <f t="shared" si="188"/>
        <v>0</v>
      </c>
      <c r="J381" s="299">
        <f>H381-I381</f>
        <v>6000</v>
      </c>
      <c r="K381" s="455"/>
      <c r="L381" s="303"/>
    </row>
    <row r="382" spans="2:22" ht="12.75" customHeight="1" x14ac:dyDescent="0.25">
      <c r="B382" s="957" t="s">
        <v>4748</v>
      </c>
      <c r="C382" s="536">
        <v>4180879</v>
      </c>
      <c r="D382" s="955" t="s">
        <v>4749</v>
      </c>
      <c r="E382" s="956" t="s">
        <v>4644</v>
      </c>
      <c r="F382" s="836">
        <v>500</v>
      </c>
      <c r="G382" s="299">
        <v>7</v>
      </c>
      <c r="H382" s="299">
        <f t="shared" si="187"/>
        <v>3500</v>
      </c>
      <c r="I382" s="299">
        <f t="shared" si="188"/>
        <v>0</v>
      </c>
      <c r="J382" s="299">
        <f>H382-I382</f>
        <v>3500</v>
      </c>
      <c r="V382" s="247"/>
    </row>
    <row r="383" spans="2:22" ht="12.75" customHeight="1" x14ac:dyDescent="0.25">
      <c r="B383" s="957" t="s">
        <v>4751</v>
      </c>
      <c r="C383" s="536">
        <v>4531396</v>
      </c>
      <c r="D383" s="955" t="s">
        <v>4752</v>
      </c>
      <c r="E383" s="956" t="s">
        <v>4644</v>
      </c>
      <c r="F383" s="836">
        <v>3750</v>
      </c>
      <c r="G383" s="299">
        <v>0.1</v>
      </c>
      <c r="H383" s="299">
        <f t="shared" si="187"/>
        <v>375</v>
      </c>
      <c r="I383" s="299">
        <f t="shared" si="188"/>
        <v>23.86</v>
      </c>
      <c r="J383" s="299">
        <f t="shared" ref="J383:J387" si="191">H383-I383</f>
        <v>351.14</v>
      </c>
      <c r="K383" s="299">
        <v>20</v>
      </c>
      <c r="L383" s="299">
        <v>0.2</v>
      </c>
      <c r="P383" s="299">
        <v>3.64</v>
      </c>
      <c r="Q383" s="299">
        <v>0</v>
      </c>
      <c r="R383" s="299">
        <v>0.02</v>
      </c>
    </row>
    <row r="384" spans="2:22" ht="12.75" customHeight="1" x14ac:dyDescent="0.25">
      <c r="B384" s="957" t="s">
        <v>4762</v>
      </c>
      <c r="C384" s="536">
        <v>13556299</v>
      </c>
      <c r="D384" s="955" t="s">
        <v>4757</v>
      </c>
      <c r="E384" s="956" t="s">
        <v>4644</v>
      </c>
      <c r="F384" s="836">
        <v>150</v>
      </c>
      <c r="G384" s="299">
        <v>58</v>
      </c>
      <c r="H384" s="299">
        <f t="shared" si="187"/>
        <v>8700</v>
      </c>
      <c r="I384" s="299">
        <f t="shared" ref="I384" si="192">SUM(K384:S384)</f>
        <v>33.57</v>
      </c>
      <c r="J384" s="299">
        <f t="shared" si="191"/>
        <v>8666.43</v>
      </c>
      <c r="K384" s="299">
        <v>20</v>
      </c>
      <c r="L384" s="299">
        <v>4.6100000000000003</v>
      </c>
      <c r="O384" s="299">
        <v>4.43</v>
      </c>
      <c r="P384" s="299">
        <v>4</v>
      </c>
      <c r="Q384" s="299">
        <v>0.01</v>
      </c>
      <c r="R384" s="299">
        <v>0.52</v>
      </c>
      <c r="V384" s="247"/>
    </row>
    <row r="385" spans="2:18" ht="12.75" customHeight="1" x14ac:dyDescent="0.25">
      <c r="B385" s="957" t="s">
        <v>4765</v>
      </c>
      <c r="C385" s="536">
        <v>14251342</v>
      </c>
      <c r="D385" s="955" t="s">
        <v>4756</v>
      </c>
      <c r="E385" s="956" t="s">
        <v>4644</v>
      </c>
      <c r="F385" s="836">
        <v>900</v>
      </c>
      <c r="G385" s="299">
        <v>14.9</v>
      </c>
      <c r="H385" s="299">
        <f t="shared" ref="H385:H390" si="193">F385*G385</f>
        <v>13410</v>
      </c>
      <c r="I385" s="299">
        <f t="shared" ref="I385:I388" si="194">SUM(K385:S385)</f>
        <v>0</v>
      </c>
      <c r="J385" s="299">
        <f t="shared" si="191"/>
        <v>13410</v>
      </c>
    </row>
    <row r="386" spans="2:18" ht="12.75" customHeight="1" x14ac:dyDescent="0.25">
      <c r="B386" s="957" t="s">
        <v>4779</v>
      </c>
      <c r="C386" s="536">
        <v>15846294</v>
      </c>
      <c r="D386" s="955" t="s">
        <v>4777</v>
      </c>
      <c r="E386" s="956" t="s">
        <v>4644</v>
      </c>
      <c r="F386" s="836">
        <v>1050</v>
      </c>
      <c r="G386" s="299">
        <v>8.15</v>
      </c>
      <c r="H386" s="299">
        <f t="shared" si="193"/>
        <v>8557.5</v>
      </c>
      <c r="I386" s="299">
        <f t="shared" si="194"/>
        <v>0</v>
      </c>
      <c r="J386" s="299">
        <f t="shared" si="191"/>
        <v>8557.5</v>
      </c>
    </row>
    <row r="387" spans="2:18" ht="12.75" customHeight="1" x14ac:dyDescent="0.25">
      <c r="B387" s="957" t="s">
        <v>4779</v>
      </c>
      <c r="C387" s="536">
        <v>15846294</v>
      </c>
      <c r="D387" s="955" t="s">
        <v>4766</v>
      </c>
      <c r="E387" s="956" t="s">
        <v>4644</v>
      </c>
      <c r="F387" s="836">
        <v>1500</v>
      </c>
      <c r="G387" s="299">
        <v>3.15</v>
      </c>
      <c r="H387" s="299">
        <f t="shared" si="193"/>
        <v>4725</v>
      </c>
      <c r="I387" s="299">
        <f t="shared" si="194"/>
        <v>0</v>
      </c>
      <c r="J387" s="299">
        <f t="shared" si="191"/>
        <v>4725</v>
      </c>
    </row>
    <row r="388" spans="2:18" ht="12.75" customHeight="1" x14ac:dyDescent="0.25">
      <c r="B388" s="957" t="s">
        <v>4784</v>
      </c>
      <c r="C388" s="536">
        <v>17064626</v>
      </c>
      <c r="D388" s="955" t="s">
        <v>4783</v>
      </c>
      <c r="E388" s="956" t="s">
        <v>4644</v>
      </c>
      <c r="F388" s="836">
        <v>150</v>
      </c>
      <c r="G388" s="299">
        <v>79.45</v>
      </c>
      <c r="H388" s="299">
        <f t="shared" si="193"/>
        <v>11917.5</v>
      </c>
      <c r="I388" s="299">
        <f t="shared" si="194"/>
        <v>0</v>
      </c>
      <c r="J388" s="299">
        <f>H388-I388</f>
        <v>11917.5</v>
      </c>
    </row>
    <row r="389" spans="2:18" ht="12.75" customHeight="1" x14ac:dyDescent="0.25">
      <c r="B389" s="957" t="s">
        <v>4785</v>
      </c>
      <c r="C389" s="536">
        <v>16628493</v>
      </c>
      <c r="D389" s="955" t="s">
        <v>4778</v>
      </c>
      <c r="E389" s="956" t="s">
        <v>4644</v>
      </c>
      <c r="F389" s="836">
        <v>750</v>
      </c>
      <c r="G389" s="299">
        <v>6.1</v>
      </c>
      <c r="H389" s="299">
        <f t="shared" si="193"/>
        <v>4575</v>
      </c>
      <c r="I389" s="299">
        <f t="shared" ref="I389" si="195">SUM(K389:S389)</f>
        <v>28.750000000000004</v>
      </c>
      <c r="J389" s="299">
        <f t="shared" ref="J389" si="196">H389-I389</f>
        <v>4546.25</v>
      </c>
      <c r="K389" s="299">
        <v>20</v>
      </c>
      <c r="L389" s="299">
        <v>2.42</v>
      </c>
      <c r="O389" s="299">
        <v>4.04</v>
      </c>
      <c r="P389" s="299">
        <v>2</v>
      </c>
      <c r="Q389" s="299">
        <v>0.01</v>
      </c>
      <c r="R389" s="299">
        <v>0.28000000000000003</v>
      </c>
    </row>
    <row r="390" spans="2:18" ht="12.75" customHeight="1" x14ac:dyDescent="0.25">
      <c r="B390" s="957" t="s">
        <v>4796</v>
      </c>
      <c r="C390" s="536">
        <v>18197100</v>
      </c>
      <c r="D390" s="955" t="s">
        <v>4783</v>
      </c>
      <c r="E390" s="956" t="s">
        <v>4644</v>
      </c>
      <c r="F390" s="836">
        <v>75</v>
      </c>
      <c r="G390" s="299">
        <v>365.35</v>
      </c>
      <c r="H390" s="299">
        <f t="shared" si="193"/>
        <v>27401.25</v>
      </c>
      <c r="I390" s="299">
        <f t="shared" ref="I390:I391" si="197">SUM(K390:S390)</f>
        <v>0</v>
      </c>
      <c r="J390" s="299">
        <f t="shared" ref="J390:J397" si="198">H390-I390</f>
        <v>27401.25</v>
      </c>
    </row>
    <row r="391" spans="2:18" ht="12.75" customHeight="1" x14ac:dyDescent="0.25">
      <c r="B391" s="957" t="s">
        <v>4797</v>
      </c>
      <c r="C391" s="536">
        <v>18376473</v>
      </c>
      <c r="D391" s="955" t="s">
        <v>4766</v>
      </c>
      <c r="E391" s="956" t="s">
        <v>4644</v>
      </c>
      <c r="F391" s="836">
        <v>1200</v>
      </c>
      <c r="G391" s="299">
        <v>12.5</v>
      </c>
      <c r="H391" s="299">
        <f t="shared" ref="H391:H400" si="199">F391*G391</f>
        <v>15000</v>
      </c>
      <c r="I391" s="299">
        <f t="shared" si="197"/>
        <v>78.64</v>
      </c>
      <c r="J391" s="299">
        <f t="shared" si="198"/>
        <v>14921.36</v>
      </c>
      <c r="K391" s="299">
        <v>40</v>
      </c>
      <c r="L391" s="299">
        <v>18.059999999999999</v>
      </c>
      <c r="O391" s="299">
        <v>10.45</v>
      </c>
      <c r="P391" s="299">
        <v>8</v>
      </c>
      <c r="Q391" s="299">
        <v>0.05</v>
      </c>
      <c r="R391" s="299">
        <v>2.08</v>
      </c>
    </row>
    <row r="392" spans="2:18" ht="12.75" customHeight="1" x14ac:dyDescent="0.25">
      <c r="B392" s="957" t="s">
        <v>4798</v>
      </c>
      <c r="C392" s="536">
        <v>18601329</v>
      </c>
      <c r="D392" s="955" t="s">
        <v>4783</v>
      </c>
      <c r="E392" s="956" t="s">
        <v>4644</v>
      </c>
      <c r="F392" s="836">
        <v>75</v>
      </c>
      <c r="G392" s="299">
        <v>233.9</v>
      </c>
      <c r="H392" s="299">
        <f t="shared" si="199"/>
        <v>17542.5</v>
      </c>
      <c r="I392" s="299">
        <f t="shared" ref="I392:I397" si="200">SUM(K392:S392)</f>
        <v>0</v>
      </c>
      <c r="J392" s="299">
        <f t="shared" si="198"/>
        <v>17542.5</v>
      </c>
    </row>
    <row r="393" spans="2:18" ht="12.75" customHeight="1" x14ac:dyDescent="0.25">
      <c r="B393" s="957" t="s">
        <v>4798</v>
      </c>
      <c r="C393" s="536">
        <v>18601329</v>
      </c>
      <c r="D393" s="955" t="s">
        <v>4783</v>
      </c>
      <c r="E393" s="956" t="s">
        <v>4644</v>
      </c>
      <c r="F393" s="836">
        <v>75</v>
      </c>
      <c r="G393" s="299">
        <v>233.85</v>
      </c>
      <c r="H393" s="299">
        <f t="shared" si="199"/>
        <v>17538.75</v>
      </c>
      <c r="I393" s="299">
        <f t="shared" si="200"/>
        <v>0</v>
      </c>
      <c r="J393" s="299">
        <f t="shared" si="198"/>
        <v>17538.75</v>
      </c>
    </row>
    <row r="394" spans="2:18" ht="12.75" customHeight="1" x14ac:dyDescent="0.25">
      <c r="B394" s="957" t="s">
        <v>4798</v>
      </c>
      <c r="C394" s="536">
        <v>18601329</v>
      </c>
      <c r="D394" s="955" t="s">
        <v>4783</v>
      </c>
      <c r="E394" s="956" t="s">
        <v>4644</v>
      </c>
      <c r="F394" s="836">
        <v>225</v>
      </c>
      <c r="G394" s="299">
        <v>233.8</v>
      </c>
      <c r="H394" s="299">
        <f t="shared" si="199"/>
        <v>52605</v>
      </c>
      <c r="I394" s="299">
        <f t="shared" si="200"/>
        <v>0</v>
      </c>
      <c r="J394" s="299">
        <f t="shared" si="198"/>
        <v>52605</v>
      </c>
    </row>
    <row r="395" spans="2:18" ht="12.75" customHeight="1" x14ac:dyDescent="0.25">
      <c r="B395" s="957" t="s">
        <v>4798</v>
      </c>
      <c r="C395" s="536">
        <v>18601329</v>
      </c>
      <c r="D395" s="955" t="s">
        <v>4783</v>
      </c>
      <c r="E395" s="956" t="s">
        <v>4644</v>
      </c>
      <c r="F395" s="836">
        <v>75</v>
      </c>
      <c r="G395" s="299">
        <v>233.5</v>
      </c>
      <c r="H395" s="299">
        <f t="shared" si="199"/>
        <v>17512.5</v>
      </c>
      <c r="I395" s="299">
        <f t="shared" si="200"/>
        <v>0</v>
      </c>
      <c r="J395" s="299">
        <f t="shared" si="198"/>
        <v>17512.5</v>
      </c>
    </row>
    <row r="396" spans="2:18" ht="12.75" customHeight="1" x14ac:dyDescent="0.25">
      <c r="B396" s="957" t="s">
        <v>4798</v>
      </c>
      <c r="C396" s="536">
        <v>18601329</v>
      </c>
      <c r="D396" s="955" t="s">
        <v>4783</v>
      </c>
      <c r="E396" s="956" t="s">
        <v>4644</v>
      </c>
      <c r="F396" s="836">
        <v>150</v>
      </c>
      <c r="G396" s="299">
        <v>233.5</v>
      </c>
      <c r="H396" s="299">
        <f t="shared" si="199"/>
        <v>35025</v>
      </c>
      <c r="I396" s="299">
        <f t="shared" si="200"/>
        <v>0</v>
      </c>
      <c r="J396" s="299">
        <f t="shared" si="198"/>
        <v>35025</v>
      </c>
    </row>
    <row r="397" spans="2:18" ht="12.75" customHeight="1" x14ac:dyDescent="0.25">
      <c r="B397" s="957" t="s">
        <v>4798</v>
      </c>
      <c r="C397" s="536">
        <v>18601329</v>
      </c>
      <c r="D397" s="955" t="s">
        <v>4783</v>
      </c>
      <c r="E397" s="956" t="s">
        <v>4644</v>
      </c>
      <c r="F397" s="836">
        <v>300</v>
      </c>
      <c r="G397" s="299">
        <v>233.2</v>
      </c>
      <c r="H397" s="299">
        <f t="shared" si="199"/>
        <v>69960</v>
      </c>
      <c r="I397" s="299">
        <f t="shared" si="200"/>
        <v>0</v>
      </c>
      <c r="J397" s="299">
        <f t="shared" si="198"/>
        <v>69960</v>
      </c>
    </row>
    <row r="398" spans="2:18" ht="12.75" customHeight="1" x14ac:dyDescent="0.25">
      <c r="B398" s="957" t="s">
        <v>4803</v>
      </c>
      <c r="C398" s="536">
        <v>18780226</v>
      </c>
      <c r="D398" s="955" t="s">
        <v>4799</v>
      </c>
      <c r="E398" s="956" t="s">
        <v>4644</v>
      </c>
      <c r="F398" s="836">
        <v>7500</v>
      </c>
      <c r="G398" s="299">
        <v>2.25</v>
      </c>
      <c r="H398" s="299">
        <f t="shared" si="199"/>
        <v>16875</v>
      </c>
      <c r="I398" s="299">
        <f t="shared" ref="I398:I416" si="201">SUM(K398:S398)</f>
        <v>0</v>
      </c>
      <c r="J398" s="299">
        <f t="shared" ref="J398:J416" si="202">H398-I398</f>
        <v>16875</v>
      </c>
    </row>
    <row r="399" spans="2:18" ht="12.75" customHeight="1" x14ac:dyDescent="0.25">
      <c r="B399" s="957" t="s">
        <v>4803</v>
      </c>
      <c r="C399" s="536">
        <v>18780226</v>
      </c>
      <c r="D399" s="955" t="s">
        <v>4799</v>
      </c>
      <c r="E399" s="956" t="s">
        <v>4644</v>
      </c>
      <c r="F399" s="836">
        <v>2475</v>
      </c>
      <c r="G399" s="299">
        <v>2.2000000000000002</v>
      </c>
      <c r="H399" s="299">
        <f t="shared" si="199"/>
        <v>5445</v>
      </c>
      <c r="I399" s="299">
        <f t="shared" si="201"/>
        <v>0</v>
      </c>
      <c r="J399" s="299">
        <f t="shared" si="202"/>
        <v>5445</v>
      </c>
    </row>
    <row r="400" spans="2:18" ht="12.75" customHeight="1" x14ac:dyDescent="0.25">
      <c r="B400" s="957" t="s">
        <v>4803</v>
      </c>
      <c r="C400" s="536">
        <v>18780226</v>
      </c>
      <c r="D400" s="955" t="s">
        <v>4799</v>
      </c>
      <c r="E400" s="956" t="s">
        <v>4644</v>
      </c>
      <c r="F400" s="836">
        <v>5100</v>
      </c>
      <c r="G400" s="299">
        <v>2</v>
      </c>
      <c r="H400" s="299">
        <f t="shared" si="199"/>
        <v>10200</v>
      </c>
      <c r="I400" s="299">
        <f t="shared" si="201"/>
        <v>0</v>
      </c>
      <c r="J400" s="299">
        <f t="shared" si="202"/>
        <v>10200</v>
      </c>
    </row>
    <row r="401" spans="2:20" ht="12.75" customHeight="1" x14ac:dyDescent="0.25">
      <c r="B401" s="957" t="s">
        <v>4807</v>
      </c>
      <c r="C401" s="536">
        <v>19017225</v>
      </c>
      <c r="D401" s="955" t="s">
        <v>4809</v>
      </c>
      <c r="E401" s="956" t="s">
        <v>4644</v>
      </c>
      <c r="F401" s="836">
        <v>2550</v>
      </c>
      <c r="G401" s="299">
        <v>3.8</v>
      </c>
      <c r="H401" s="299">
        <f t="shared" ref="H401:H408" si="203">F401*G401</f>
        <v>9690</v>
      </c>
      <c r="I401" s="299">
        <f t="shared" si="201"/>
        <v>0</v>
      </c>
      <c r="J401" s="299">
        <f t="shared" si="202"/>
        <v>9690</v>
      </c>
    </row>
    <row r="402" spans="2:20" ht="12.75" customHeight="1" x14ac:dyDescent="0.25">
      <c r="B402" s="957" t="s">
        <v>4815</v>
      </c>
      <c r="C402" s="536">
        <v>19685431</v>
      </c>
      <c r="D402" s="955" t="s">
        <v>4808</v>
      </c>
      <c r="E402" s="956" t="s">
        <v>4644</v>
      </c>
      <c r="F402" s="836">
        <v>300</v>
      </c>
      <c r="G402" s="299">
        <v>30.05</v>
      </c>
      <c r="H402" s="299">
        <f t="shared" si="203"/>
        <v>9015</v>
      </c>
      <c r="I402" s="299">
        <f t="shared" si="201"/>
        <v>0</v>
      </c>
      <c r="J402" s="299">
        <f t="shared" si="202"/>
        <v>9015</v>
      </c>
    </row>
    <row r="403" spans="2:20" ht="12.75" customHeight="1" x14ac:dyDescent="0.25">
      <c r="B403" s="957" t="s">
        <v>4815</v>
      </c>
      <c r="C403" s="536">
        <v>19685431</v>
      </c>
      <c r="D403" s="955" t="s">
        <v>4808</v>
      </c>
      <c r="E403" s="956" t="s">
        <v>4644</v>
      </c>
      <c r="F403" s="836">
        <v>1200</v>
      </c>
      <c r="G403" s="299">
        <v>30</v>
      </c>
      <c r="H403" s="299">
        <f t="shared" si="203"/>
        <v>36000</v>
      </c>
      <c r="I403" s="299">
        <f t="shared" si="201"/>
        <v>0</v>
      </c>
      <c r="J403" s="299">
        <f t="shared" si="202"/>
        <v>36000</v>
      </c>
    </row>
    <row r="404" spans="2:20" ht="12.75" customHeight="1" x14ac:dyDescent="0.25">
      <c r="B404" s="957" t="s">
        <v>4815</v>
      </c>
      <c r="C404" s="536">
        <v>19685431</v>
      </c>
      <c r="D404" s="955" t="s">
        <v>4816</v>
      </c>
      <c r="E404" s="956" t="s">
        <v>4644</v>
      </c>
      <c r="F404" s="836">
        <v>375</v>
      </c>
      <c r="G404" s="299">
        <v>107</v>
      </c>
      <c r="H404" s="299">
        <f t="shared" si="203"/>
        <v>40125</v>
      </c>
      <c r="I404" s="299">
        <f t="shared" si="201"/>
        <v>0</v>
      </c>
      <c r="J404" s="299">
        <f t="shared" si="202"/>
        <v>40125</v>
      </c>
    </row>
    <row r="405" spans="2:20" ht="12.75" customHeight="1" x14ac:dyDescent="0.25">
      <c r="B405" s="957" t="s">
        <v>4824</v>
      </c>
      <c r="C405" s="536">
        <v>20181911</v>
      </c>
      <c r="D405" s="955" t="s">
        <v>4808</v>
      </c>
      <c r="E405" s="956" t="s">
        <v>4644</v>
      </c>
      <c r="F405" s="836">
        <v>3000</v>
      </c>
      <c r="G405" s="299">
        <v>8.75</v>
      </c>
      <c r="H405" s="299">
        <f t="shared" si="203"/>
        <v>26250</v>
      </c>
      <c r="I405" s="299">
        <f t="shared" si="201"/>
        <v>0</v>
      </c>
      <c r="J405" s="299">
        <f t="shared" si="202"/>
        <v>26250</v>
      </c>
    </row>
    <row r="406" spans="2:20" ht="12.75" customHeight="1" x14ac:dyDescent="0.25">
      <c r="B406" s="957" t="s">
        <v>4831</v>
      </c>
      <c r="C406" s="536">
        <v>20352522</v>
      </c>
      <c r="D406" s="955" t="s">
        <v>4825</v>
      </c>
      <c r="E406" s="956" t="s">
        <v>4644</v>
      </c>
      <c r="F406" s="836">
        <v>3000</v>
      </c>
      <c r="G406" s="299">
        <v>8.9</v>
      </c>
      <c r="H406" s="299">
        <f t="shared" si="203"/>
        <v>26700</v>
      </c>
      <c r="I406" s="299">
        <f t="shared" si="201"/>
        <v>0</v>
      </c>
      <c r="J406" s="299">
        <f t="shared" si="202"/>
        <v>26700</v>
      </c>
    </row>
    <row r="407" spans="2:20" ht="12.75" customHeight="1" x14ac:dyDescent="0.25">
      <c r="B407" s="957" t="s">
        <v>4831</v>
      </c>
      <c r="C407" s="536">
        <v>20352522</v>
      </c>
      <c r="D407" s="955" t="s">
        <v>4825</v>
      </c>
      <c r="E407" s="956" t="s">
        <v>4644</v>
      </c>
      <c r="F407" s="836">
        <v>2325</v>
      </c>
      <c r="G407" s="299">
        <v>8.0500000000000007</v>
      </c>
      <c r="H407" s="299">
        <f t="shared" si="203"/>
        <v>18716.25</v>
      </c>
      <c r="I407" s="299">
        <f t="shared" si="201"/>
        <v>0</v>
      </c>
      <c r="J407" s="299">
        <f t="shared" si="202"/>
        <v>18716.25</v>
      </c>
    </row>
    <row r="408" spans="2:20" ht="12.75" customHeight="1" x14ac:dyDescent="0.25">
      <c r="B408" s="957" t="s">
        <v>4831</v>
      </c>
      <c r="C408" s="536">
        <v>20352522</v>
      </c>
      <c r="D408" s="955" t="s">
        <v>4825</v>
      </c>
      <c r="E408" s="956" t="s">
        <v>4644</v>
      </c>
      <c r="F408" s="836">
        <v>675</v>
      </c>
      <c r="G408" s="299">
        <v>8</v>
      </c>
      <c r="H408" s="299">
        <f t="shared" si="203"/>
        <v>5400</v>
      </c>
      <c r="I408" s="299">
        <f t="shared" si="201"/>
        <v>0</v>
      </c>
      <c r="J408" s="299">
        <f t="shared" si="202"/>
        <v>5400</v>
      </c>
    </row>
    <row r="409" spans="2:20" ht="12.75" customHeight="1" x14ac:dyDescent="0.25">
      <c r="B409" s="957" t="s">
        <v>4834</v>
      </c>
      <c r="C409" s="536">
        <v>20540803</v>
      </c>
      <c r="D409" s="955" t="s">
        <v>4809</v>
      </c>
      <c r="E409" s="956" t="s">
        <v>4644</v>
      </c>
      <c r="F409" s="836">
        <v>600</v>
      </c>
      <c r="G409" s="299">
        <v>42.8</v>
      </c>
      <c r="H409" s="299">
        <f t="shared" ref="H409:H420" si="204">F409*G409</f>
        <v>25680</v>
      </c>
      <c r="I409" s="299">
        <f t="shared" si="201"/>
        <v>0</v>
      </c>
      <c r="J409" s="299">
        <f t="shared" si="202"/>
        <v>25680</v>
      </c>
    </row>
    <row r="410" spans="2:20" ht="12.75" customHeight="1" x14ac:dyDescent="0.25">
      <c r="B410" s="957" t="s">
        <v>4834</v>
      </c>
      <c r="C410" s="536">
        <v>20540803</v>
      </c>
      <c r="D410" s="955" t="s">
        <v>4809</v>
      </c>
      <c r="E410" s="956" t="s">
        <v>4644</v>
      </c>
      <c r="F410" s="836">
        <v>375</v>
      </c>
      <c r="G410" s="299">
        <v>42.85</v>
      </c>
      <c r="H410" s="299">
        <f t="shared" si="204"/>
        <v>16068.75</v>
      </c>
      <c r="I410" s="299">
        <f t="shared" si="201"/>
        <v>0</v>
      </c>
      <c r="J410" s="299">
        <f t="shared" si="202"/>
        <v>16068.75</v>
      </c>
    </row>
    <row r="411" spans="2:20" ht="12.75" customHeight="1" x14ac:dyDescent="0.25">
      <c r="B411" s="957" t="s">
        <v>4834</v>
      </c>
      <c r="C411" s="536">
        <v>20540803</v>
      </c>
      <c r="D411" s="955" t="s">
        <v>4809</v>
      </c>
      <c r="E411" s="956" t="s">
        <v>4644</v>
      </c>
      <c r="F411" s="836">
        <v>1050</v>
      </c>
      <c r="G411" s="299">
        <v>42.7</v>
      </c>
      <c r="H411" s="299">
        <f t="shared" si="204"/>
        <v>44835</v>
      </c>
      <c r="I411" s="299">
        <f t="shared" si="201"/>
        <v>0</v>
      </c>
      <c r="J411" s="299">
        <f t="shared" si="202"/>
        <v>44835</v>
      </c>
    </row>
    <row r="412" spans="2:20" ht="12.75" customHeight="1" x14ac:dyDescent="0.25">
      <c r="B412" s="957" t="s">
        <v>4836</v>
      </c>
      <c r="C412" s="536">
        <v>20710586</v>
      </c>
      <c r="D412" s="955" t="s">
        <v>4825</v>
      </c>
      <c r="E412" s="956" t="s">
        <v>4644</v>
      </c>
      <c r="F412" s="836">
        <v>2100</v>
      </c>
      <c r="G412" s="299">
        <v>12.85</v>
      </c>
      <c r="H412" s="299">
        <f t="shared" si="204"/>
        <v>26985</v>
      </c>
      <c r="I412" s="299">
        <f t="shared" si="201"/>
        <v>0</v>
      </c>
      <c r="J412" s="299">
        <f t="shared" si="202"/>
        <v>26985</v>
      </c>
    </row>
    <row r="413" spans="2:20" ht="12.75" customHeight="1" x14ac:dyDescent="0.25">
      <c r="B413" s="957" t="s">
        <v>4836</v>
      </c>
      <c r="C413" s="536">
        <v>20710586</v>
      </c>
      <c r="D413" s="955" t="s">
        <v>4835</v>
      </c>
      <c r="E413" s="956" t="s">
        <v>4644</v>
      </c>
      <c r="F413" s="836">
        <v>1125</v>
      </c>
      <c r="G413" s="299">
        <v>27.5</v>
      </c>
      <c r="H413" s="299">
        <f t="shared" si="204"/>
        <v>30937.5</v>
      </c>
      <c r="I413" s="299">
        <f t="shared" si="201"/>
        <v>0</v>
      </c>
      <c r="J413" s="299">
        <f t="shared" si="202"/>
        <v>30937.5</v>
      </c>
    </row>
    <row r="414" spans="2:20" ht="12.75" customHeight="1" x14ac:dyDescent="0.25">
      <c r="B414" s="957" t="s">
        <v>4836</v>
      </c>
      <c r="C414" s="536">
        <v>20710586</v>
      </c>
      <c r="D414" s="955" t="s">
        <v>4825</v>
      </c>
      <c r="E414" s="956" t="s">
        <v>4644</v>
      </c>
      <c r="F414" s="836">
        <v>900</v>
      </c>
      <c r="G414" s="299">
        <v>29</v>
      </c>
      <c r="H414" s="299">
        <f t="shared" si="204"/>
        <v>26100</v>
      </c>
      <c r="I414" s="299">
        <f t="shared" si="201"/>
        <v>0</v>
      </c>
      <c r="J414" s="299">
        <f t="shared" si="202"/>
        <v>26100</v>
      </c>
    </row>
    <row r="415" spans="2:20" ht="12.75" customHeight="1" x14ac:dyDescent="0.25">
      <c r="B415" s="957" t="s">
        <v>4840</v>
      </c>
      <c r="C415" s="537">
        <v>20952385</v>
      </c>
      <c r="D415" s="978" t="s">
        <v>4825</v>
      </c>
      <c r="E415" s="977" t="s">
        <v>4644</v>
      </c>
      <c r="F415" s="844">
        <v>2100</v>
      </c>
      <c r="G415" s="455">
        <v>6.9</v>
      </c>
      <c r="H415" s="454">
        <f t="shared" si="204"/>
        <v>14490</v>
      </c>
      <c r="I415" s="299">
        <f t="shared" si="201"/>
        <v>0</v>
      </c>
      <c r="J415" s="299">
        <f t="shared" si="202"/>
        <v>14490</v>
      </c>
      <c r="K415" s="455"/>
      <c r="L415" s="303"/>
      <c r="M415" s="455"/>
      <c r="N415" s="457"/>
      <c r="O415" s="457"/>
      <c r="P415" s="457"/>
      <c r="Q415" s="457"/>
      <c r="R415" s="457"/>
      <c r="S415" s="457"/>
      <c r="T415" s="451"/>
    </row>
    <row r="416" spans="2:20" ht="12.75" customHeight="1" x14ac:dyDescent="0.25">
      <c r="B416" s="957" t="s">
        <v>4840</v>
      </c>
      <c r="C416" s="537">
        <v>20952385</v>
      </c>
      <c r="D416" s="978" t="s">
        <v>4835</v>
      </c>
      <c r="E416" s="977" t="s">
        <v>4644</v>
      </c>
      <c r="F416" s="844">
        <v>75</v>
      </c>
      <c r="G416" s="455">
        <v>11.1</v>
      </c>
      <c r="H416" s="454">
        <f t="shared" si="204"/>
        <v>832.5</v>
      </c>
      <c r="I416" s="299">
        <f t="shared" si="201"/>
        <v>0</v>
      </c>
      <c r="J416" s="299">
        <f t="shared" si="202"/>
        <v>832.5</v>
      </c>
      <c r="K416" s="455"/>
      <c r="L416" s="303"/>
      <c r="M416" s="455"/>
      <c r="N416" s="457"/>
      <c r="O416" s="457"/>
      <c r="P416" s="457"/>
      <c r="Q416" s="457"/>
      <c r="R416" s="457"/>
      <c r="S416" s="457"/>
      <c r="T416" s="451"/>
    </row>
    <row r="417" spans="1:20" ht="12.75" customHeight="1" x14ac:dyDescent="0.25">
      <c r="B417" s="957" t="s">
        <v>4840</v>
      </c>
      <c r="C417" s="537">
        <v>20952385</v>
      </c>
      <c r="D417" s="978" t="s">
        <v>4835</v>
      </c>
      <c r="E417" s="977" t="s">
        <v>4644</v>
      </c>
      <c r="F417" s="844">
        <v>4425</v>
      </c>
      <c r="G417" s="455">
        <v>11</v>
      </c>
      <c r="H417" s="454">
        <f t="shared" si="204"/>
        <v>48675</v>
      </c>
      <c r="I417" s="299">
        <f t="shared" ref="I417:I427" si="205">SUM(K417:S417)</f>
        <v>0</v>
      </c>
      <c r="J417" s="299">
        <f t="shared" ref="J417:J429" si="206">H417-I417</f>
        <v>48675</v>
      </c>
      <c r="K417" s="455"/>
      <c r="L417" s="303"/>
      <c r="M417" s="455"/>
      <c r="N417" s="457"/>
      <c r="O417" s="457"/>
      <c r="P417" s="457"/>
      <c r="Q417" s="457"/>
      <c r="R417" s="457"/>
      <c r="S417" s="457"/>
      <c r="T417" s="451"/>
    </row>
    <row r="418" spans="1:20" ht="12.75" customHeight="1" x14ac:dyDescent="0.25">
      <c r="B418" s="957" t="s">
        <v>4841</v>
      </c>
      <c r="C418" s="536">
        <v>21157808</v>
      </c>
      <c r="D418" s="955" t="s">
        <v>4809</v>
      </c>
      <c r="E418" s="956" t="s">
        <v>4644</v>
      </c>
      <c r="F418" s="836">
        <v>150</v>
      </c>
      <c r="G418" s="299">
        <v>14.05</v>
      </c>
      <c r="H418" s="454">
        <f t="shared" si="204"/>
        <v>2107.5</v>
      </c>
      <c r="I418" s="299">
        <f t="shared" si="205"/>
        <v>0</v>
      </c>
      <c r="J418" s="299">
        <f t="shared" si="206"/>
        <v>2107.5</v>
      </c>
    </row>
    <row r="419" spans="1:20" ht="12.75" customHeight="1" x14ac:dyDescent="0.25">
      <c r="B419" s="957" t="s">
        <v>4841</v>
      </c>
      <c r="C419" s="536">
        <v>21157808</v>
      </c>
      <c r="D419" s="955" t="s">
        <v>4809</v>
      </c>
      <c r="E419" s="956" t="s">
        <v>4644</v>
      </c>
      <c r="F419" s="836">
        <v>2850</v>
      </c>
      <c r="G419" s="299">
        <v>14</v>
      </c>
      <c r="H419" s="454">
        <f t="shared" si="204"/>
        <v>39900</v>
      </c>
      <c r="I419" s="299">
        <f t="shared" si="205"/>
        <v>0</v>
      </c>
      <c r="J419" s="299">
        <f t="shared" si="206"/>
        <v>39900</v>
      </c>
    </row>
    <row r="420" spans="1:20" ht="12.75" customHeight="1" x14ac:dyDescent="0.25">
      <c r="B420" s="957" t="s">
        <v>4841</v>
      </c>
      <c r="C420" s="536">
        <v>21157808</v>
      </c>
      <c r="D420" s="955" t="s">
        <v>4767</v>
      </c>
      <c r="E420" s="956" t="s">
        <v>4644</v>
      </c>
      <c r="F420" s="836">
        <v>750</v>
      </c>
      <c r="G420" s="299">
        <v>51</v>
      </c>
      <c r="H420" s="454">
        <f t="shared" si="204"/>
        <v>38250</v>
      </c>
      <c r="I420" s="299">
        <f t="shared" si="205"/>
        <v>0</v>
      </c>
      <c r="J420" s="299">
        <f t="shared" si="206"/>
        <v>38250</v>
      </c>
    </row>
    <row r="421" spans="1:20" ht="12.75" customHeight="1" x14ac:dyDescent="0.25">
      <c r="A421" s="247"/>
      <c r="B421" s="957" t="s">
        <v>4846</v>
      </c>
      <c r="C421" s="536">
        <v>21320908</v>
      </c>
      <c r="D421" s="955" t="s">
        <v>4757</v>
      </c>
      <c r="E421" s="956" t="s">
        <v>4644</v>
      </c>
      <c r="F421" s="836">
        <v>75</v>
      </c>
      <c r="G421" s="299">
        <v>63.7</v>
      </c>
      <c r="H421" s="454">
        <f t="shared" ref="H421:H424" si="207">F421*G421</f>
        <v>4777.5</v>
      </c>
      <c r="I421" s="299">
        <f t="shared" si="205"/>
        <v>0</v>
      </c>
      <c r="J421" s="299">
        <f t="shared" si="206"/>
        <v>4777.5</v>
      </c>
    </row>
    <row r="422" spans="1:20" ht="12.75" customHeight="1" x14ac:dyDescent="0.25">
      <c r="B422" s="957" t="s">
        <v>4846</v>
      </c>
      <c r="C422" s="536">
        <v>21320908</v>
      </c>
      <c r="D422" s="955" t="s">
        <v>4757</v>
      </c>
      <c r="E422" s="956" t="s">
        <v>4644</v>
      </c>
      <c r="F422" s="836">
        <v>1200</v>
      </c>
      <c r="G422" s="299">
        <v>63.65</v>
      </c>
      <c r="H422" s="454">
        <f t="shared" si="207"/>
        <v>76380</v>
      </c>
      <c r="I422" s="299">
        <f t="shared" si="205"/>
        <v>0</v>
      </c>
      <c r="J422" s="299">
        <f t="shared" si="206"/>
        <v>76380</v>
      </c>
    </row>
    <row r="423" spans="1:20" ht="12.75" customHeight="1" x14ac:dyDescent="0.25">
      <c r="B423" s="957" t="s">
        <v>4846</v>
      </c>
      <c r="C423" s="536">
        <v>21320908</v>
      </c>
      <c r="D423" s="955" t="s">
        <v>4757</v>
      </c>
      <c r="E423" s="956" t="s">
        <v>4644</v>
      </c>
      <c r="F423" s="836">
        <v>300</v>
      </c>
      <c r="G423" s="299">
        <v>63.6</v>
      </c>
      <c r="H423" s="454">
        <f t="shared" si="207"/>
        <v>19080</v>
      </c>
      <c r="I423" s="299">
        <f t="shared" si="205"/>
        <v>0</v>
      </c>
      <c r="J423" s="299">
        <f t="shared" si="206"/>
        <v>19080</v>
      </c>
    </row>
    <row r="424" spans="1:20" ht="12.75" customHeight="1" x14ac:dyDescent="0.25">
      <c r="B424" s="957" t="s">
        <v>4847</v>
      </c>
      <c r="C424" s="536">
        <v>21510791</v>
      </c>
      <c r="D424" s="955" t="s">
        <v>4809</v>
      </c>
      <c r="E424" s="956" t="s">
        <v>4644</v>
      </c>
      <c r="F424" s="836">
        <v>300</v>
      </c>
      <c r="G424" s="299">
        <v>70</v>
      </c>
      <c r="H424" s="454">
        <f t="shared" si="207"/>
        <v>21000</v>
      </c>
      <c r="I424" s="299">
        <f t="shared" si="205"/>
        <v>0</v>
      </c>
      <c r="J424" s="299">
        <f t="shared" si="206"/>
        <v>21000</v>
      </c>
    </row>
    <row r="425" spans="1:20" ht="12.75" customHeight="1" x14ac:dyDescent="0.25">
      <c r="B425" s="957" t="s">
        <v>4853</v>
      </c>
      <c r="C425" s="536">
        <v>21883922</v>
      </c>
      <c r="D425" s="955" t="s">
        <v>4809</v>
      </c>
      <c r="E425" s="956" t="s">
        <v>4644</v>
      </c>
      <c r="F425" s="836">
        <v>450</v>
      </c>
      <c r="G425" s="299">
        <v>43.6</v>
      </c>
      <c r="H425" s="299">
        <f>F425*G425</f>
        <v>19620</v>
      </c>
      <c r="I425" s="299">
        <f t="shared" si="205"/>
        <v>0</v>
      </c>
      <c r="J425" s="299">
        <f t="shared" si="206"/>
        <v>19620</v>
      </c>
    </row>
    <row r="426" spans="1:20" ht="12.75" customHeight="1" x14ac:dyDescent="0.25">
      <c r="B426" s="957" t="s">
        <v>4853</v>
      </c>
      <c r="C426" s="536">
        <v>21883922</v>
      </c>
      <c r="D426" s="955" t="s">
        <v>4809</v>
      </c>
      <c r="E426" s="956" t="s">
        <v>4644</v>
      </c>
      <c r="F426" s="836">
        <v>525</v>
      </c>
      <c r="G426" s="299">
        <v>43.55</v>
      </c>
      <c r="H426" s="299">
        <f>F426*G426</f>
        <v>22863.75</v>
      </c>
      <c r="I426" s="299">
        <f t="shared" si="205"/>
        <v>0</v>
      </c>
      <c r="J426" s="299">
        <f t="shared" si="206"/>
        <v>22863.75</v>
      </c>
    </row>
    <row r="427" spans="1:20" ht="12.75" customHeight="1" x14ac:dyDescent="0.25">
      <c r="B427" s="957" t="s">
        <v>4853</v>
      </c>
      <c r="C427" s="536">
        <v>21883922</v>
      </c>
      <c r="D427" s="955" t="s">
        <v>4809</v>
      </c>
      <c r="E427" s="956" t="s">
        <v>4644</v>
      </c>
      <c r="F427" s="836">
        <v>3075</v>
      </c>
      <c r="G427" s="299">
        <v>43.5</v>
      </c>
      <c r="H427" s="299">
        <f>F427*G427</f>
        <v>133762.5</v>
      </c>
      <c r="I427" s="299">
        <f t="shared" si="205"/>
        <v>0</v>
      </c>
      <c r="J427" s="299">
        <f t="shared" si="206"/>
        <v>133762.5</v>
      </c>
    </row>
    <row r="428" spans="1:20" ht="12.75" customHeight="1" x14ac:dyDescent="0.25">
      <c r="B428" s="957" t="s">
        <v>4854</v>
      </c>
      <c r="C428" s="536">
        <v>22013117</v>
      </c>
      <c r="D428" s="955" t="s">
        <v>4767</v>
      </c>
      <c r="E428" s="956" t="s">
        <v>4644</v>
      </c>
      <c r="F428" s="836">
        <v>1950</v>
      </c>
      <c r="G428" s="299">
        <v>108.35</v>
      </c>
      <c r="H428" s="299">
        <f>F428*G428</f>
        <v>211282.5</v>
      </c>
      <c r="I428" s="299">
        <f t="shared" ref="I428:I429" si="208">SUM(K428:S428)</f>
        <v>0</v>
      </c>
      <c r="J428" s="299">
        <f t="shared" si="206"/>
        <v>211282.5</v>
      </c>
    </row>
    <row r="429" spans="1:20" ht="12.75" customHeight="1" x14ac:dyDescent="0.25">
      <c r="B429" s="957" t="s">
        <v>4854</v>
      </c>
      <c r="C429" s="536">
        <v>22013117</v>
      </c>
      <c r="D429" s="955" t="s">
        <v>4757</v>
      </c>
      <c r="E429" s="956" t="s">
        <v>4644</v>
      </c>
      <c r="F429" s="836">
        <v>3000</v>
      </c>
      <c r="G429" s="299">
        <v>35.299999999999997</v>
      </c>
      <c r="H429" s="299">
        <f>F429*G429</f>
        <v>105899.99999999999</v>
      </c>
      <c r="I429" s="299">
        <f t="shared" si="208"/>
        <v>0</v>
      </c>
      <c r="J429" s="299">
        <f t="shared" si="206"/>
        <v>105899.99999999999</v>
      </c>
    </row>
    <row r="430" spans="1:20" ht="12.75" customHeight="1" x14ac:dyDescent="0.25">
      <c r="B430" s="729"/>
      <c r="D430" s="782"/>
      <c r="E430" s="730"/>
      <c r="F430" s="836"/>
      <c r="J430" s="299"/>
    </row>
    <row r="431" spans="1:20" ht="12.75" customHeight="1" x14ac:dyDescent="0.25">
      <c r="F431" s="836"/>
    </row>
    <row r="432" spans="1:20" ht="12.75" customHeight="1" x14ac:dyDescent="0.25">
      <c r="F432" s="836"/>
    </row>
    <row r="433" spans="2:20" ht="12.75" customHeight="1" x14ac:dyDescent="0.25">
      <c r="F433" s="836"/>
    </row>
    <row r="434" spans="2:20" ht="12.75" customHeight="1" x14ac:dyDescent="0.25">
      <c r="F434" s="836"/>
    </row>
    <row r="435" spans="2:20" ht="12.75" customHeight="1" x14ac:dyDescent="0.25">
      <c r="F435" s="836"/>
    </row>
    <row r="436" spans="2:20" ht="12.75" customHeight="1" x14ac:dyDescent="0.25">
      <c r="F436" s="836"/>
    </row>
    <row r="437" spans="2:20" ht="12.75" customHeight="1" x14ac:dyDescent="0.25">
      <c r="F437" s="836"/>
    </row>
    <row r="438" spans="2:20" ht="12.75" customHeight="1" x14ac:dyDescent="0.25">
      <c r="F438" s="836"/>
    </row>
    <row r="439" spans="2:20" ht="12.75" customHeight="1" x14ac:dyDescent="0.25">
      <c r="F439" s="836"/>
    </row>
    <row r="440" spans="2:20" ht="12.75" customHeight="1" x14ac:dyDescent="0.25">
      <c r="F440" s="836"/>
    </row>
    <row r="441" spans="2:20" ht="12.75" customHeight="1" x14ac:dyDescent="0.25">
      <c r="F441" s="836"/>
    </row>
    <row r="442" spans="2:20" ht="12.75" customHeight="1" x14ac:dyDescent="0.25">
      <c r="F442" s="836"/>
    </row>
    <row r="443" spans="2:20" ht="12.75" customHeight="1" x14ac:dyDescent="0.25">
      <c r="B443" s="729"/>
      <c r="D443" s="782"/>
      <c r="E443" s="730"/>
      <c r="F443" s="836"/>
    </row>
    <row r="444" spans="2:20" ht="12.75" customHeight="1" x14ac:dyDescent="0.25">
      <c r="B444" s="729"/>
      <c r="D444" s="782"/>
      <c r="E444" s="730"/>
      <c r="F444" s="836"/>
    </row>
    <row r="445" spans="2:20" ht="12.75" customHeight="1" x14ac:dyDescent="0.25">
      <c r="B445" s="729"/>
      <c r="C445" s="537"/>
      <c r="D445" s="832"/>
      <c r="E445" s="873"/>
      <c r="F445" s="844"/>
      <c r="G445" s="455"/>
      <c r="H445" s="454"/>
      <c r="I445" s="457"/>
      <c r="J445" s="463"/>
      <c r="K445" s="455"/>
      <c r="L445" s="456"/>
      <c r="M445" s="455"/>
      <c r="N445" s="457"/>
      <c r="O445" s="457"/>
      <c r="P445" s="457"/>
      <c r="Q445" s="457"/>
      <c r="R445" s="457"/>
      <c r="S445" s="457"/>
      <c r="T445" s="451"/>
    </row>
    <row r="446" spans="2:20" ht="12.75" customHeight="1" x14ac:dyDescent="0.25">
      <c r="D446" s="527"/>
      <c r="F446" s="844"/>
      <c r="G446" s="455"/>
      <c r="H446" s="454"/>
      <c r="J446" s="456"/>
      <c r="K446" s="455"/>
      <c r="L446" s="303"/>
    </row>
    <row r="447" spans="2:20" ht="12.75" customHeight="1" x14ac:dyDescent="0.25">
      <c r="C447" s="537"/>
      <c r="D447" s="785"/>
      <c r="E447" s="459"/>
      <c r="F447" s="844"/>
      <c r="G447" s="455"/>
      <c r="H447" s="454"/>
      <c r="I447" s="455"/>
      <c r="J447" s="456"/>
      <c r="K447" s="455"/>
      <c r="L447" s="303"/>
      <c r="M447" s="455"/>
      <c r="N447" s="457"/>
      <c r="O447" s="457"/>
      <c r="P447" s="457"/>
      <c r="Q447" s="457"/>
      <c r="R447" s="457"/>
      <c r="S447" s="457"/>
      <c r="T447" s="451"/>
    </row>
    <row r="448" spans="2:20" ht="12.75" customHeight="1" x14ac:dyDescent="0.25">
      <c r="C448" s="537"/>
      <c r="D448" s="785"/>
      <c r="E448" s="459"/>
      <c r="F448" s="844"/>
      <c r="G448" s="455"/>
      <c r="H448" s="454"/>
      <c r="I448" s="455"/>
      <c r="J448" s="456"/>
      <c r="K448" s="455"/>
      <c r="L448" s="303"/>
      <c r="M448" s="455"/>
      <c r="N448" s="457"/>
      <c r="O448" s="457"/>
      <c r="P448" s="457"/>
      <c r="Q448" s="457"/>
      <c r="R448" s="457"/>
      <c r="S448" s="457"/>
      <c r="T448" s="451"/>
    </row>
    <row r="449" spans="2:23" ht="12.75" customHeight="1" x14ac:dyDescent="0.25">
      <c r="C449" s="537"/>
      <c r="D449" s="785"/>
      <c r="E449" s="459"/>
      <c r="F449" s="844"/>
      <c r="G449" s="455"/>
      <c r="H449" s="454"/>
      <c r="I449" s="455"/>
      <c r="J449" s="456"/>
      <c r="K449" s="455"/>
      <c r="L449" s="303"/>
      <c r="M449" s="455"/>
      <c r="N449" s="457"/>
      <c r="O449" s="457"/>
      <c r="P449" s="457"/>
      <c r="Q449" s="457"/>
      <c r="R449" s="457"/>
      <c r="S449" s="457"/>
      <c r="T449" s="451"/>
    </row>
    <row r="450" spans="2:23" ht="12.75" customHeight="1" x14ac:dyDescent="0.25">
      <c r="C450" s="537"/>
      <c r="D450" s="785"/>
      <c r="E450" s="459"/>
      <c r="F450" s="844"/>
      <c r="G450" s="455"/>
      <c r="H450" s="454"/>
      <c r="I450" s="455"/>
      <c r="J450" s="456"/>
      <c r="K450" s="455"/>
      <c r="L450" s="303"/>
      <c r="M450" s="455"/>
      <c r="N450" s="457"/>
      <c r="O450" s="457"/>
      <c r="P450" s="457"/>
      <c r="Q450" s="457"/>
      <c r="R450" s="457"/>
      <c r="S450" s="457"/>
      <c r="T450" s="451"/>
    </row>
    <row r="451" spans="2:23" ht="12.75" customHeight="1" x14ac:dyDescent="0.25">
      <c r="D451" s="785"/>
      <c r="E451" s="263"/>
      <c r="F451" s="844"/>
      <c r="G451" s="455"/>
      <c r="H451" s="454"/>
      <c r="I451" s="60"/>
      <c r="J451" s="299"/>
      <c r="K451" s="455"/>
      <c r="L451" s="303"/>
      <c r="M451" s="455"/>
    </row>
    <row r="452" spans="2:23" ht="12.75" customHeight="1" x14ac:dyDescent="0.25">
      <c r="B452" s="325"/>
      <c r="C452" s="299"/>
      <c r="D452" s="778"/>
      <c r="F452" s="844"/>
      <c r="G452" s="455"/>
      <c r="H452" s="454"/>
      <c r="I452" s="257" t="s">
        <v>2127</v>
      </c>
      <c r="J452" s="257">
        <f>SUM(J285:J451)</f>
        <v>2105510.91</v>
      </c>
      <c r="K452" s="60"/>
      <c r="L452" s="303"/>
      <c r="M452" s="60"/>
      <c r="U452" s="874"/>
    </row>
    <row r="453" spans="2:23" ht="12.75" customHeight="1" x14ac:dyDescent="0.25">
      <c r="B453" s="325"/>
      <c r="D453" s="778"/>
      <c r="F453" s="255"/>
      <c r="G453" s="60"/>
      <c r="H453" s="2"/>
      <c r="I453" s="257"/>
      <c r="J453" s="257"/>
      <c r="K453" s="60"/>
      <c r="L453" s="303"/>
      <c r="M453" s="60"/>
    </row>
    <row r="454" spans="2:23" s="536" customFormat="1" ht="13.2" x14ac:dyDescent="0.25">
      <c r="B454" s="295"/>
      <c r="D454" s="711"/>
      <c r="E454" s="249"/>
      <c r="F454" s="299"/>
      <c r="G454" s="299"/>
      <c r="H454" s="299"/>
      <c r="I454" s="257" t="s">
        <v>2139</v>
      </c>
      <c r="J454" s="257">
        <f>J452-J281</f>
        <v>-459334.46999999974</v>
      </c>
      <c r="K454" s="299"/>
      <c r="L454" s="299"/>
      <c r="M454" s="299"/>
      <c r="N454" s="299"/>
      <c r="O454" s="299"/>
      <c r="P454" s="299"/>
      <c r="Q454" s="299"/>
      <c r="R454" s="299"/>
      <c r="S454" s="299"/>
      <c r="T454" s="224"/>
      <c r="U454" s="224"/>
      <c r="V454" s="224"/>
      <c r="W454" s="224"/>
    </row>
    <row r="455" spans="2:23" s="536" customFormat="1" ht="13.8" thickBot="1" x14ac:dyDescent="0.3">
      <c r="B455" s="295"/>
      <c r="D455" s="711"/>
      <c r="E455" s="249"/>
      <c r="F455" s="299"/>
      <c r="G455" s="299"/>
      <c r="H455" s="299"/>
      <c r="I455" s="257"/>
      <c r="J455" s="257"/>
      <c r="K455" s="299"/>
      <c r="L455" s="299"/>
      <c r="M455" s="299"/>
      <c r="N455" s="299"/>
      <c r="O455" s="299"/>
      <c r="P455" s="299"/>
      <c r="Q455" s="299"/>
      <c r="R455" s="299"/>
      <c r="S455" s="299"/>
      <c r="T455" s="224"/>
      <c r="U455" s="224"/>
      <c r="V455" s="224"/>
      <c r="W455" s="224"/>
    </row>
    <row r="456" spans="2:23" s="536" customFormat="1" ht="12.75" customHeight="1" thickBot="1" x14ac:dyDescent="0.3">
      <c r="B456" s="351" t="s">
        <v>2143</v>
      </c>
      <c r="C456" s="578"/>
      <c r="D456" s="784"/>
      <c r="E456" s="705"/>
      <c r="F456" s="825"/>
      <c r="H456" s="808"/>
      <c r="I456" s="299"/>
      <c r="J456" s="249"/>
      <c r="K456" s="568"/>
      <c r="L456" s="299"/>
      <c r="M456" s="299"/>
      <c r="N456" s="299"/>
      <c r="O456" s="299"/>
      <c r="P456" s="299"/>
      <c r="Q456" s="299"/>
      <c r="R456" s="299"/>
      <c r="S456" s="299"/>
      <c r="T456" s="224"/>
      <c r="U456" s="224"/>
      <c r="V456" s="224"/>
      <c r="W456" s="224"/>
    </row>
    <row r="457" spans="2:23" s="536" customFormat="1" ht="12.75" customHeight="1" x14ac:dyDescent="0.25">
      <c r="B457" s="358" t="s">
        <v>184</v>
      </c>
      <c r="C457" s="356" t="s">
        <v>193</v>
      </c>
      <c r="D457" s="786" t="s">
        <v>2079</v>
      </c>
      <c r="E457" s="706" t="s">
        <v>668</v>
      </c>
      <c r="F457" s="706" t="s">
        <v>667</v>
      </c>
      <c r="H457" s="299"/>
      <c r="I457" s="299"/>
      <c r="J457" s="249"/>
      <c r="K457" s="299"/>
      <c r="L457" s="299"/>
      <c r="M457" s="299"/>
      <c r="N457" s="299"/>
      <c r="O457" s="299"/>
      <c r="P457" s="299"/>
      <c r="Q457" s="299"/>
      <c r="R457" s="299"/>
      <c r="S457" s="299"/>
      <c r="T457" s="224"/>
      <c r="U457" s="224"/>
      <c r="V457" s="224"/>
      <c r="W457" s="224"/>
    </row>
    <row r="458" spans="2:23" s="536" customFormat="1" ht="13.2" x14ac:dyDescent="0.25">
      <c r="B458" s="729"/>
      <c r="C458" s="729"/>
      <c r="D458" s="711" t="s">
        <v>4586</v>
      </c>
      <c r="E458" s="299">
        <v>0</v>
      </c>
      <c r="F458" s="299">
        <f>'FY17-Equ-FNO-Zerodha'!G19</f>
        <v>489.82999999964522</v>
      </c>
      <c r="H458" s="299"/>
      <c r="I458" s="299"/>
      <c r="J458" s="249"/>
      <c r="K458" s="299"/>
      <c r="L458" s="299"/>
      <c r="M458" s="299"/>
      <c r="N458" s="299"/>
      <c r="O458" s="299"/>
      <c r="P458" s="299"/>
      <c r="Q458" s="299"/>
      <c r="R458" s="299"/>
      <c r="S458" s="299"/>
      <c r="T458" s="224"/>
      <c r="U458" s="224"/>
      <c r="V458" s="224"/>
      <c r="W458" s="224"/>
    </row>
    <row r="459" spans="2:23" s="536" customFormat="1" ht="39.6" x14ac:dyDescent="0.25">
      <c r="B459" s="978" t="s">
        <v>4637</v>
      </c>
      <c r="C459" s="978" t="s">
        <v>4438</v>
      </c>
      <c r="D459" s="980" t="s">
        <v>4636</v>
      </c>
      <c r="E459" s="981"/>
      <c r="F459" s="981">
        <v>20000</v>
      </c>
      <c r="G459" s="537"/>
      <c r="H459" s="299"/>
      <c r="I459" s="299"/>
      <c r="J459" s="249"/>
      <c r="K459" s="299"/>
      <c r="L459" s="299"/>
      <c r="M459" s="299"/>
      <c r="N459" s="299"/>
      <c r="O459" s="299"/>
      <c r="P459" s="299"/>
      <c r="Q459" s="299"/>
      <c r="R459" s="299"/>
      <c r="S459" s="299"/>
      <c r="T459" s="224"/>
      <c r="U459" s="224"/>
      <c r="V459" s="224"/>
      <c r="W459" s="224"/>
    </row>
    <row r="460" spans="2:23" s="536" customFormat="1" ht="26.4" x14ac:dyDescent="0.25">
      <c r="B460" s="991">
        <v>43083</v>
      </c>
      <c r="C460" s="992" t="s">
        <v>4753</v>
      </c>
      <c r="D460" s="987" t="s">
        <v>4754</v>
      </c>
      <c r="E460" s="987">
        <v>0</v>
      </c>
      <c r="F460" s="981">
        <v>25000</v>
      </c>
      <c r="G460" s="457"/>
      <c r="H460" s="299"/>
      <c r="I460" s="299"/>
      <c r="J460" s="249"/>
      <c r="K460" s="299"/>
      <c r="L460" s="299"/>
      <c r="M460" s="299"/>
      <c r="N460" s="299"/>
      <c r="O460" s="299"/>
      <c r="P460" s="299"/>
      <c r="Q460" s="299"/>
      <c r="R460" s="299"/>
      <c r="S460" s="299"/>
      <c r="T460" s="224"/>
      <c r="U460" s="224"/>
      <c r="V460" s="224"/>
      <c r="W460" s="224"/>
    </row>
    <row r="461" spans="2:23" s="536" customFormat="1" ht="26.4" x14ac:dyDescent="0.25">
      <c r="B461" s="991">
        <v>43087</v>
      </c>
      <c r="C461" s="992" t="s">
        <v>4753</v>
      </c>
      <c r="D461" s="987" t="s">
        <v>4758</v>
      </c>
      <c r="E461" s="987">
        <v>0</v>
      </c>
      <c r="F461" s="981">
        <v>8000</v>
      </c>
      <c r="G461" s="457"/>
      <c r="H461" s="299"/>
      <c r="I461" s="299"/>
      <c r="J461" s="249"/>
      <c r="K461" s="299"/>
      <c r="L461" s="299"/>
      <c r="M461" s="299"/>
      <c r="N461" s="299"/>
      <c r="O461" s="299"/>
      <c r="P461" s="299"/>
      <c r="Q461" s="299"/>
      <c r="R461" s="299"/>
      <c r="S461" s="299"/>
      <c r="T461" s="224"/>
      <c r="U461" s="224"/>
      <c r="V461" s="224"/>
      <c r="W461" s="224"/>
    </row>
    <row r="462" spans="2:23" s="536" customFormat="1" ht="26.4" x14ac:dyDescent="0.25">
      <c r="B462" s="991">
        <v>43090</v>
      </c>
      <c r="C462" s="992" t="s">
        <v>4753</v>
      </c>
      <c r="D462" s="987" t="s">
        <v>4764</v>
      </c>
      <c r="E462" s="987">
        <v>0</v>
      </c>
      <c r="F462" s="981">
        <v>2000</v>
      </c>
      <c r="G462" s="457"/>
      <c r="H462" s="299"/>
      <c r="I462" s="299"/>
      <c r="J462" s="249"/>
      <c r="K462" s="299"/>
      <c r="L462" s="299"/>
      <c r="M462" s="299"/>
      <c r="N462" s="299"/>
      <c r="O462" s="299"/>
      <c r="P462" s="299"/>
      <c r="Q462" s="299"/>
      <c r="R462" s="299"/>
      <c r="S462" s="299"/>
      <c r="T462" s="224"/>
      <c r="U462" s="224"/>
      <c r="V462" s="224"/>
      <c r="W462" s="224"/>
    </row>
    <row r="463" spans="2:23" s="326" customFormat="1" ht="26.4" x14ac:dyDescent="0.25">
      <c r="B463" s="982">
        <v>43097</v>
      </c>
      <c r="C463" s="983" t="s">
        <v>4753</v>
      </c>
      <c r="D463" s="983" t="s">
        <v>4771</v>
      </c>
      <c r="E463" s="983">
        <v>0</v>
      </c>
      <c r="F463" s="984">
        <v>9000</v>
      </c>
      <c r="G463" s="457"/>
      <c r="H463" s="249"/>
      <c r="I463" s="299"/>
      <c r="J463" s="249"/>
      <c r="K463" s="299"/>
      <c r="L463" s="299"/>
      <c r="M463" s="299"/>
      <c r="N463" s="299"/>
      <c r="O463" s="299"/>
      <c r="P463" s="299"/>
      <c r="Q463" s="299"/>
      <c r="R463" s="299"/>
      <c r="S463" s="299"/>
      <c r="T463" s="224"/>
      <c r="U463" s="224"/>
      <c r="V463" s="224"/>
      <c r="W463" s="224"/>
    </row>
    <row r="464" spans="2:23" ht="26.4" x14ac:dyDescent="0.25">
      <c r="B464" s="991">
        <v>43103</v>
      </c>
      <c r="C464" s="992" t="s">
        <v>4753</v>
      </c>
      <c r="D464" s="987" t="s">
        <v>4770</v>
      </c>
      <c r="E464" s="987">
        <v>0</v>
      </c>
      <c r="F464" s="989">
        <v>6000</v>
      </c>
      <c r="G464" s="451"/>
      <c r="H464" s="249"/>
    </row>
    <row r="465" spans="2:23" ht="26.4" x14ac:dyDescent="0.25">
      <c r="B465" s="991">
        <v>43110</v>
      </c>
      <c r="C465" s="992" t="s">
        <v>4753</v>
      </c>
      <c r="D465" s="987" t="s">
        <v>4769</v>
      </c>
      <c r="E465" s="987">
        <v>0</v>
      </c>
      <c r="F465" s="989">
        <v>15000</v>
      </c>
      <c r="G465" s="451"/>
      <c r="H465" s="249"/>
    </row>
    <row r="466" spans="2:23" s="326" customFormat="1" ht="26.4" x14ac:dyDescent="0.25">
      <c r="B466" s="982">
        <v>43112</v>
      </c>
      <c r="C466" s="983" t="s">
        <v>4753</v>
      </c>
      <c r="D466" s="983" t="s">
        <v>4775</v>
      </c>
      <c r="E466" s="983">
        <v>0</v>
      </c>
      <c r="F466" s="989">
        <v>5000</v>
      </c>
      <c r="G466" s="457"/>
      <c r="H466" s="249"/>
      <c r="I466" s="299"/>
      <c r="J466" s="249"/>
      <c r="K466" s="299"/>
      <c r="L466" s="299"/>
      <c r="M466" s="299"/>
      <c r="N466" s="299"/>
      <c r="O466" s="299"/>
      <c r="P466" s="299"/>
      <c r="Q466" s="299"/>
      <c r="R466" s="299"/>
      <c r="S466" s="299"/>
      <c r="T466" s="224"/>
      <c r="U466" s="224"/>
      <c r="V466" s="224"/>
      <c r="W466" s="224"/>
    </row>
    <row r="467" spans="2:23" s="536" customFormat="1" ht="26.4" x14ac:dyDescent="0.25">
      <c r="B467" s="982">
        <v>43115</v>
      </c>
      <c r="C467" s="983" t="s">
        <v>4753</v>
      </c>
      <c r="D467" s="983" t="s">
        <v>4774</v>
      </c>
      <c r="E467" s="983">
        <v>0</v>
      </c>
      <c r="F467" s="984">
        <v>25000</v>
      </c>
      <c r="G467" s="457"/>
      <c r="H467" s="299"/>
      <c r="I467" s="299"/>
      <c r="J467" s="249"/>
      <c r="K467" s="299"/>
      <c r="L467" s="299"/>
      <c r="M467" s="299"/>
      <c r="N467" s="299"/>
      <c r="O467" s="299"/>
      <c r="P467" s="299"/>
      <c r="Q467" s="299"/>
      <c r="R467" s="299"/>
      <c r="S467" s="299"/>
      <c r="T467" s="224"/>
      <c r="U467" s="224"/>
      <c r="V467" s="224"/>
      <c r="W467" s="224"/>
    </row>
    <row r="468" spans="2:23" ht="26.4" x14ac:dyDescent="0.25">
      <c r="B468" s="985">
        <v>43123</v>
      </c>
      <c r="C468" s="986" t="s">
        <v>4753</v>
      </c>
      <c r="D468" s="987" t="s">
        <v>4780</v>
      </c>
      <c r="E468" s="976">
        <v>0</v>
      </c>
      <c r="F468" s="457">
        <v>10000</v>
      </c>
      <c r="G468" s="451"/>
      <c r="H468" s="249"/>
    </row>
    <row r="469" spans="2:23" s="326" customFormat="1" ht="26.4" x14ac:dyDescent="0.25">
      <c r="B469" s="985">
        <v>43132</v>
      </c>
      <c r="C469" s="986" t="s">
        <v>4753</v>
      </c>
      <c r="D469" s="987" t="s">
        <v>4787</v>
      </c>
      <c r="E469" s="976">
        <v>0</v>
      </c>
      <c r="F469" s="865">
        <v>25000</v>
      </c>
      <c r="G469" s="457"/>
      <c r="H469" s="299"/>
      <c r="I469" s="299"/>
      <c r="J469" s="249"/>
      <c r="K469" s="299"/>
      <c r="L469" s="299"/>
      <c r="M469" s="299"/>
      <c r="N469" s="299"/>
      <c r="O469" s="299"/>
      <c r="P469" s="299"/>
      <c r="Q469" s="299"/>
      <c r="R469" s="299"/>
      <c r="S469" s="299"/>
      <c r="T469" s="224"/>
      <c r="U469" s="224"/>
      <c r="V469" s="224"/>
      <c r="W469" s="224"/>
    </row>
    <row r="470" spans="2:23" s="326" customFormat="1" ht="26.4" x14ac:dyDescent="0.25">
      <c r="B470" s="988">
        <v>43137</v>
      </c>
      <c r="C470" s="537" t="s">
        <v>4753</v>
      </c>
      <c r="D470" s="989" t="s">
        <v>4789</v>
      </c>
      <c r="E470" s="463">
        <v>0</v>
      </c>
      <c r="F470" s="457">
        <v>150000</v>
      </c>
      <c r="G470" s="457"/>
      <c r="H470" s="249"/>
      <c r="I470" s="299"/>
      <c r="J470" s="249"/>
      <c r="K470" s="299"/>
      <c r="L470" s="299"/>
      <c r="M470" s="299"/>
      <c r="N470" s="299"/>
      <c r="O470" s="299"/>
      <c r="P470" s="299"/>
      <c r="Q470" s="299"/>
      <c r="R470" s="299"/>
      <c r="S470" s="299"/>
      <c r="T470" s="224"/>
      <c r="U470" s="224"/>
      <c r="V470" s="224"/>
      <c r="W470" s="224"/>
    </row>
    <row r="471" spans="2:23" s="536" customFormat="1" ht="26.4" x14ac:dyDescent="0.25">
      <c r="B471" s="988">
        <v>43137</v>
      </c>
      <c r="C471" s="537" t="s">
        <v>4753</v>
      </c>
      <c r="D471" s="989" t="s">
        <v>4790</v>
      </c>
      <c r="E471" s="463">
        <v>0</v>
      </c>
      <c r="F471" s="457">
        <v>40000</v>
      </c>
      <c r="G471" s="457"/>
      <c r="H471" s="299"/>
      <c r="I471" s="299"/>
      <c r="J471" s="249"/>
      <c r="K471" s="299"/>
      <c r="L471" s="299"/>
      <c r="M471" s="299"/>
      <c r="N471" s="299"/>
      <c r="O471" s="299"/>
      <c r="P471" s="299"/>
      <c r="Q471" s="299"/>
      <c r="R471" s="299"/>
      <c r="S471" s="299"/>
      <c r="T471" s="224"/>
      <c r="U471" s="224"/>
      <c r="V471" s="224"/>
      <c r="W471" s="224"/>
    </row>
    <row r="472" spans="2:23" s="326" customFormat="1" ht="26.4" x14ac:dyDescent="0.25">
      <c r="B472" s="988">
        <v>43139</v>
      </c>
      <c r="C472" s="537" t="s">
        <v>4753</v>
      </c>
      <c r="D472" s="989" t="s">
        <v>4794</v>
      </c>
      <c r="E472" s="463">
        <v>0</v>
      </c>
      <c r="F472" s="457">
        <v>10000</v>
      </c>
      <c r="G472" s="457"/>
      <c r="H472" s="249"/>
      <c r="I472" s="299"/>
      <c r="J472" s="249"/>
      <c r="K472" s="299"/>
      <c r="L472" s="299"/>
      <c r="M472" s="299"/>
      <c r="N472" s="299"/>
      <c r="O472" s="299"/>
      <c r="P472" s="299"/>
      <c r="Q472" s="299"/>
      <c r="R472" s="299"/>
      <c r="S472" s="299"/>
      <c r="T472" s="224"/>
      <c r="U472" s="224"/>
      <c r="V472" s="224"/>
      <c r="W472" s="224"/>
    </row>
    <row r="473" spans="2:23" s="326" customFormat="1" ht="26.4" x14ac:dyDescent="0.25">
      <c r="B473" s="988">
        <v>43145</v>
      </c>
      <c r="C473" s="537" t="s">
        <v>4753</v>
      </c>
      <c r="D473" s="989" t="s">
        <v>4795</v>
      </c>
      <c r="E473" s="463">
        <v>0</v>
      </c>
      <c r="F473" s="457">
        <v>5000</v>
      </c>
      <c r="G473" s="457"/>
      <c r="H473" s="249"/>
      <c r="I473" s="299"/>
      <c r="J473" s="249"/>
      <c r="K473" s="299"/>
      <c r="L473" s="299"/>
      <c r="M473" s="299"/>
      <c r="N473" s="299"/>
      <c r="O473" s="299"/>
      <c r="P473" s="299"/>
      <c r="Q473" s="299"/>
      <c r="R473" s="299"/>
      <c r="S473" s="299"/>
      <c r="T473" s="224"/>
      <c r="U473" s="224"/>
      <c r="V473" s="224"/>
      <c r="W473" s="224"/>
    </row>
    <row r="474" spans="2:23" s="326" customFormat="1" ht="39.6" x14ac:dyDescent="0.25">
      <c r="B474" s="988">
        <v>43147</v>
      </c>
      <c r="C474" s="537" t="s">
        <v>4753</v>
      </c>
      <c r="D474" s="989" t="s">
        <v>4512</v>
      </c>
      <c r="E474" s="463">
        <v>10000</v>
      </c>
      <c r="F474" s="457">
        <v>0</v>
      </c>
      <c r="G474" s="457"/>
      <c r="H474" s="249"/>
      <c r="I474" s="299"/>
      <c r="J474" s="249"/>
      <c r="K474" s="249"/>
      <c r="L474" s="299"/>
      <c r="M474" s="299"/>
      <c r="N474" s="299"/>
      <c r="O474" s="299"/>
      <c r="P474" s="299"/>
      <c r="Q474" s="299"/>
      <c r="R474" s="299"/>
      <c r="S474" s="299"/>
      <c r="T474" s="224"/>
      <c r="U474" s="224"/>
      <c r="V474" s="224"/>
      <c r="W474" s="224"/>
    </row>
    <row r="475" spans="2:23" s="326" customFormat="1" ht="26.4" x14ac:dyDescent="0.25">
      <c r="B475" s="988">
        <v>43150</v>
      </c>
      <c r="C475" s="537" t="s">
        <v>4753</v>
      </c>
      <c r="D475" s="989" t="s">
        <v>4800</v>
      </c>
      <c r="E475" s="463">
        <v>0</v>
      </c>
      <c r="F475" s="457">
        <v>11000</v>
      </c>
      <c r="G475" s="457"/>
      <c r="H475" s="249"/>
      <c r="I475" s="299"/>
      <c r="J475" s="249"/>
      <c r="K475" s="299"/>
      <c r="L475" s="299"/>
      <c r="M475" s="299"/>
      <c r="N475" s="299"/>
      <c r="O475" s="299"/>
      <c r="P475" s="299"/>
      <c r="Q475" s="299"/>
      <c r="R475" s="299"/>
      <c r="S475" s="299"/>
      <c r="T475" s="224"/>
      <c r="U475" s="224"/>
      <c r="V475" s="224"/>
      <c r="W475" s="224"/>
    </row>
    <row r="476" spans="2:23" s="326" customFormat="1" ht="26.4" x14ac:dyDescent="0.25">
      <c r="B476" s="988">
        <v>43150</v>
      </c>
      <c r="C476" s="537" t="s">
        <v>4753</v>
      </c>
      <c r="D476" s="989" t="s">
        <v>4801</v>
      </c>
      <c r="E476" s="463">
        <v>0</v>
      </c>
      <c r="F476" s="457">
        <v>5000</v>
      </c>
      <c r="G476" s="457"/>
      <c r="H476" s="249"/>
      <c r="I476" s="299"/>
      <c r="J476" s="249"/>
      <c r="K476" s="299"/>
      <c r="L476" s="299"/>
      <c r="M476" s="299"/>
      <c r="N476" s="299"/>
      <c r="O476" s="299"/>
      <c r="P476" s="299"/>
      <c r="Q476" s="299"/>
      <c r="R476" s="299"/>
      <c r="S476" s="299"/>
      <c r="T476" s="224"/>
      <c r="U476" s="224"/>
      <c r="V476" s="224"/>
      <c r="W476" s="224"/>
    </row>
    <row r="477" spans="2:23" s="326" customFormat="1" ht="26.4" x14ac:dyDescent="0.25">
      <c r="B477" s="988">
        <v>43151</v>
      </c>
      <c r="C477" s="537" t="s">
        <v>4753</v>
      </c>
      <c r="D477" s="989" t="s">
        <v>4804</v>
      </c>
      <c r="E477" s="463">
        <v>0</v>
      </c>
      <c r="F477" s="457">
        <v>12000</v>
      </c>
      <c r="G477" s="988"/>
      <c r="H477" s="249"/>
      <c r="I477" s="299"/>
      <c r="J477" s="249"/>
      <c r="K477" s="299"/>
      <c r="L477" s="299"/>
      <c r="M477" s="299"/>
      <c r="N477" s="299"/>
      <c r="O477" s="299"/>
      <c r="P477" s="299"/>
      <c r="Q477" s="299"/>
      <c r="R477" s="299"/>
      <c r="S477" s="299"/>
      <c r="T477" s="224"/>
      <c r="U477" s="224"/>
      <c r="V477" s="224"/>
      <c r="W477" s="224"/>
    </row>
    <row r="478" spans="2:23" s="326" customFormat="1" ht="26.4" x14ac:dyDescent="0.25">
      <c r="B478" s="988">
        <v>43150</v>
      </c>
      <c r="C478" s="537" t="s">
        <v>4753</v>
      </c>
      <c r="D478" s="989" t="s">
        <v>4805</v>
      </c>
      <c r="E478" s="463">
        <v>0</v>
      </c>
      <c r="F478" s="457">
        <v>9000</v>
      </c>
      <c r="G478" s="988"/>
      <c r="H478" s="249"/>
      <c r="I478" s="299"/>
      <c r="J478" s="249"/>
      <c r="K478" s="249"/>
      <c r="L478" s="299"/>
      <c r="M478" s="299"/>
      <c r="N478" s="299"/>
      <c r="O478" s="299"/>
      <c r="P478" s="299"/>
      <c r="Q478" s="299"/>
      <c r="R478" s="299"/>
      <c r="S478" s="299"/>
      <c r="T478" s="224"/>
      <c r="U478" s="224"/>
      <c r="V478" s="224"/>
      <c r="W478" s="224"/>
    </row>
    <row r="479" spans="2:23" s="326" customFormat="1" ht="26.4" x14ac:dyDescent="0.25">
      <c r="B479" s="988">
        <v>43159</v>
      </c>
      <c r="C479" s="537" t="s">
        <v>4753</v>
      </c>
      <c r="D479" s="989" t="s">
        <v>4811</v>
      </c>
      <c r="E479" s="463">
        <v>0</v>
      </c>
      <c r="F479" s="457">
        <v>10000</v>
      </c>
      <c r="G479" s="457"/>
      <c r="H479" s="249"/>
      <c r="I479" s="299"/>
      <c r="J479" s="249"/>
      <c r="K479" s="249"/>
      <c r="L479" s="299"/>
      <c r="M479" s="299"/>
      <c r="N479" s="299"/>
      <c r="O479" s="299"/>
      <c r="P479" s="299"/>
      <c r="Q479" s="299"/>
      <c r="R479" s="299"/>
      <c r="S479" s="299"/>
      <c r="T479" s="224"/>
      <c r="U479" s="224"/>
      <c r="V479" s="224"/>
      <c r="W479" s="224"/>
    </row>
    <row r="480" spans="2:23" s="326" customFormat="1" ht="26.4" x14ac:dyDescent="0.25">
      <c r="B480" s="988">
        <v>43154</v>
      </c>
      <c r="C480" s="537" t="s">
        <v>4753</v>
      </c>
      <c r="D480" s="989" t="s">
        <v>4812</v>
      </c>
      <c r="E480" s="463">
        <v>0</v>
      </c>
      <c r="F480" s="457">
        <v>5000</v>
      </c>
      <c r="G480" s="457"/>
      <c r="H480" s="249"/>
      <c r="I480" s="299"/>
      <c r="J480" s="249"/>
      <c r="K480" s="249"/>
      <c r="L480" s="299"/>
      <c r="M480" s="299"/>
      <c r="N480" s="299"/>
      <c r="O480" s="299"/>
      <c r="P480" s="299"/>
      <c r="Q480" s="299"/>
      <c r="R480" s="299"/>
      <c r="S480" s="299"/>
      <c r="T480" s="224"/>
      <c r="U480" s="224"/>
      <c r="V480" s="224"/>
      <c r="W480" s="224"/>
    </row>
    <row r="481" spans="2:23" s="326" customFormat="1" ht="26.4" x14ac:dyDescent="0.25">
      <c r="B481" s="988">
        <v>43154</v>
      </c>
      <c r="C481" s="537" t="s">
        <v>4753</v>
      </c>
      <c r="D481" s="989" t="s">
        <v>4813</v>
      </c>
      <c r="E481" s="463">
        <v>0</v>
      </c>
      <c r="F481" s="457">
        <v>10000</v>
      </c>
      <c r="G481" s="457"/>
      <c r="H481" s="249"/>
      <c r="I481" s="299"/>
      <c r="J481" s="249"/>
      <c r="K481" s="299"/>
      <c r="L481" s="299"/>
      <c r="M481" s="299"/>
      <c r="N481" s="299"/>
      <c r="O481" s="299"/>
      <c r="P481" s="299"/>
      <c r="Q481" s="299"/>
      <c r="R481" s="299"/>
      <c r="S481" s="299"/>
      <c r="T481" s="224"/>
      <c r="U481" s="224"/>
      <c r="V481" s="224"/>
      <c r="W481" s="224"/>
    </row>
    <row r="482" spans="2:23" ht="26.4" x14ac:dyDescent="0.25">
      <c r="B482" s="988">
        <v>43152</v>
      </c>
      <c r="C482" s="537" t="s">
        <v>4753</v>
      </c>
      <c r="D482" s="989" t="s">
        <v>4814</v>
      </c>
      <c r="E482" s="463">
        <v>0</v>
      </c>
      <c r="F482" s="457">
        <v>18000</v>
      </c>
    </row>
    <row r="483" spans="2:23" ht="26.4" x14ac:dyDescent="0.25">
      <c r="B483" s="995">
        <v>43166</v>
      </c>
      <c r="C483" s="537" t="s">
        <v>4753</v>
      </c>
      <c r="D483" s="989" t="s">
        <v>4819</v>
      </c>
      <c r="E483" s="463">
        <v>0</v>
      </c>
      <c r="F483" s="457">
        <v>500</v>
      </c>
      <c r="G483" s="224"/>
    </row>
    <row r="484" spans="2:23" ht="26.4" x14ac:dyDescent="0.25">
      <c r="B484" s="995">
        <v>43164</v>
      </c>
      <c r="C484" s="537" t="s">
        <v>4753</v>
      </c>
      <c r="D484" s="989" t="s">
        <v>4820</v>
      </c>
      <c r="E484" s="463">
        <v>0</v>
      </c>
      <c r="F484" s="457">
        <v>14000</v>
      </c>
      <c r="G484" s="224"/>
    </row>
    <row r="485" spans="2:23" ht="26.4" x14ac:dyDescent="0.25">
      <c r="B485" s="995">
        <v>43164</v>
      </c>
      <c r="C485" s="537" t="s">
        <v>4753</v>
      </c>
      <c r="D485" s="989" t="s">
        <v>4821</v>
      </c>
      <c r="E485" s="463">
        <v>0</v>
      </c>
      <c r="F485" s="457">
        <v>1000</v>
      </c>
      <c r="G485" s="224"/>
    </row>
    <row r="486" spans="2:23" s="299" customFormat="1" ht="26.4" x14ac:dyDescent="0.25">
      <c r="B486" s="995">
        <v>43160</v>
      </c>
      <c r="C486" s="537" t="s">
        <v>4753</v>
      </c>
      <c r="D486" s="989" t="s">
        <v>4822</v>
      </c>
      <c r="E486" s="463">
        <v>0</v>
      </c>
      <c r="F486" s="457">
        <v>11000</v>
      </c>
      <c r="G486" s="224"/>
      <c r="J486" s="249"/>
      <c r="T486" s="224"/>
      <c r="U486" s="224"/>
      <c r="V486" s="224"/>
      <c r="W486" s="224"/>
    </row>
    <row r="487" spans="2:23" s="299" customFormat="1" ht="26.4" x14ac:dyDescent="0.25">
      <c r="B487" s="995">
        <v>43160</v>
      </c>
      <c r="C487" s="537" t="s">
        <v>4753</v>
      </c>
      <c r="D487" s="989" t="s">
        <v>4823</v>
      </c>
      <c r="E487" s="463">
        <v>0</v>
      </c>
      <c r="F487" s="457">
        <v>1000</v>
      </c>
      <c r="G487" s="224"/>
      <c r="J487" s="249"/>
      <c r="T487" s="224"/>
      <c r="U487" s="224"/>
      <c r="V487" s="224"/>
      <c r="W487" s="224"/>
    </row>
    <row r="488" spans="2:23" s="299" customFormat="1" ht="26.4" x14ac:dyDescent="0.25">
      <c r="B488" s="995">
        <v>43168</v>
      </c>
      <c r="C488" s="537" t="s">
        <v>4753</v>
      </c>
      <c r="D488" s="989" t="s">
        <v>4826</v>
      </c>
      <c r="E488" s="463">
        <v>0</v>
      </c>
      <c r="F488" s="457">
        <v>30000</v>
      </c>
      <c r="G488" s="224"/>
      <c r="J488" s="249"/>
      <c r="T488" s="224"/>
      <c r="U488" s="224"/>
      <c r="V488" s="224"/>
      <c r="W488" s="224"/>
    </row>
    <row r="489" spans="2:23" s="299" customFormat="1" ht="26.4" x14ac:dyDescent="0.25">
      <c r="B489" s="995">
        <v>43168</v>
      </c>
      <c r="C489" s="537" t="s">
        <v>4753</v>
      </c>
      <c r="D489" s="989" t="s">
        <v>4827</v>
      </c>
      <c r="E489" s="463">
        <v>0</v>
      </c>
      <c r="F489" s="457">
        <v>3000</v>
      </c>
      <c r="G489" s="224"/>
      <c r="J489" s="249"/>
      <c r="T489" s="224"/>
      <c r="U489" s="224"/>
      <c r="V489" s="224"/>
      <c r="W489" s="224"/>
    </row>
    <row r="490" spans="2:23" s="299" customFormat="1" ht="26.4" x14ac:dyDescent="0.25">
      <c r="B490" s="995">
        <v>43166</v>
      </c>
      <c r="C490" s="537" t="s">
        <v>4753</v>
      </c>
      <c r="D490" s="989" t="s">
        <v>4828</v>
      </c>
      <c r="E490" s="463">
        <v>0</v>
      </c>
      <c r="F490" s="457">
        <v>10000</v>
      </c>
      <c r="J490" s="249"/>
      <c r="T490" s="224"/>
      <c r="U490" s="224"/>
      <c r="V490" s="224"/>
      <c r="W490" s="224"/>
    </row>
    <row r="491" spans="2:23" s="299" customFormat="1" ht="26.4" x14ac:dyDescent="0.25">
      <c r="B491" s="995">
        <v>43166</v>
      </c>
      <c r="C491" s="537" t="s">
        <v>4753</v>
      </c>
      <c r="D491" s="989" t="s">
        <v>4829</v>
      </c>
      <c r="E491" s="463">
        <v>0</v>
      </c>
      <c r="F491" s="457">
        <v>3000</v>
      </c>
      <c r="J491" s="249"/>
      <c r="T491" s="224"/>
      <c r="U491" s="224"/>
      <c r="V491" s="224"/>
      <c r="W491" s="224"/>
    </row>
    <row r="492" spans="2:23" s="299" customFormat="1" ht="26.4" x14ac:dyDescent="0.25">
      <c r="B492" s="995">
        <v>43166</v>
      </c>
      <c r="C492" s="537" t="s">
        <v>4753</v>
      </c>
      <c r="D492" s="989" t="s">
        <v>4830</v>
      </c>
      <c r="E492" s="463">
        <v>0</v>
      </c>
      <c r="F492" s="457">
        <v>1500</v>
      </c>
      <c r="J492" s="249"/>
      <c r="T492" s="224"/>
      <c r="U492" s="224"/>
      <c r="V492" s="224"/>
      <c r="W492" s="224"/>
    </row>
    <row r="493" spans="2:23" s="299" customFormat="1" ht="26.4" x14ac:dyDescent="0.25">
      <c r="B493" s="995">
        <v>43171</v>
      </c>
      <c r="C493" s="537" t="s">
        <v>4753</v>
      </c>
      <c r="D493" s="989" t="s">
        <v>4832</v>
      </c>
      <c r="E493" s="463">
        <v>0</v>
      </c>
      <c r="F493" s="457">
        <v>20000</v>
      </c>
      <c r="J493" s="249"/>
      <c r="T493" s="224"/>
      <c r="U493" s="224"/>
      <c r="V493" s="224"/>
      <c r="W493" s="224"/>
    </row>
    <row r="494" spans="2:23" s="299" customFormat="1" ht="26.4" x14ac:dyDescent="0.25">
      <c r="B494" s="995">
        <v>43171</v>
      </c>
      <c r="C494" s="537" t="s">
        <v>4753</v>
      </c>
      <c r="D494" s="989" t="s">
        <v>4833</v>
      </c>
      <c r="E494" s="463">
        <v>0</v>
      </c>
      <c r="F494" s="457">
        <v>5000</v>
      </c>
      <c r="J494" s="249"/>
      <c r="T494" s="224"/>
      <c r="U494" s="224"/>
      <c r="V494" s="224"/>
      <c r="W494" s="224"/>
    </row>
    <row r="495" spans="2:23" s="299" customFormat="1" ht="26.4" x14ac:dyDescent="0.25">
      <c r="B495" s="995">
        <v>43178</v>
      </c>
      <c r="C495" s="537" t="s">
        <v>4753</v>
      </c>
      <c r="D495" s="989" t="s">
        <v>4837</v>
      </c>
      <c r="E495" s="463">
        <v>0</v>
      </c>
      <c r="F495" s="457">
        <v>25000</v>
      </c>
      <c r="J495" s="249"/>
      <c r="T495" s="224"/>
      <c r="U495" s="224"/>
      <c r="V495" s="224"/>
      <c r="W495" s="224"/>
    </row>
    <row r="496" spans="2:23" s="299" customFormat="1" ht="26.4" x14ac:dyDescent="0.25">
      <c r="B496" s="995">
        <v>43173</v>
      </c>
      <c r="C496" s="537" t="s">
        <v>4753</v>
      </c>
      <c r="D496" s="989" t="s">
        <v>4838</v>
      </c>
      <c r="E496" s="463">
        <v>0</v>
      </c>
      <c r="F496" s="457">
        <v>15000</v>
      </c>
      <c r="J496" s="249"/>
      <c r="T496" s="224"/>
      <c r="U496" s="224"/>
      <c r="V496" s="224"/>
      <c r="W496" s="224"/>
    </row>
    <row r="497" spans="2:23" s="299" customFormat="1" ht="26.4" x14ac:dyDescent="0.25">
      <c r="B497" s="995">
        <v>43173</v>
      </c>
      <c r="C497" s="537" t="s">
        <v>4753</v>
      </c>
      <c r="D497" s="989" t="s">
        <v>4839</v>
      </c>
      <c r="E497" s="463">
        <v>0</v>
      </c>
      <c r="F497" s="457">
        <v>5000</v>
      </c>
      <c r="J497" s="249"/>
      <c r="T497" s="224"/>
      <c r="U497" s="224"/>
      <c r="V497" s="224"/>
      <c r="W497" s="224"/>
    </row>
    <row r="498" spans="2:23" s="299" customFormat="1" ht="26.4" x14ac:dyDescent="0.25">
      <c r="B498" s="995">
        <v>43180</v>
      </c>
      <c r="C498" s="537" t="s">
        <v>4753</v>
      </c>
      <c r="D498" s="989" t="s">
        <v>4842</v>
      </c>
      <c r="E498" s="463">
        <v>0</v>
      </c>
      <c r="F498" s="457">
        <v>5000</v>
      </c>
      <c r="G498" s="995"/>
      <c r="J498" s="249"/>
      <c r="T498" s="224"/>
      <c r="U498" s="224"/>
      <c r="V498" s="224"/>
      <c r="W498" s="224"/>
    </row>
    <row r="499" spans="2:23" s="299" customFormat="1" ht="26.4" x14ac:dyDescent="0.25">
      <c r="B499" s="995">
        <v>43179</v>
      </c>
      <c r="C499" s="537" t="s">
        <v>4753</v>
      </c>
      <c r="D499" s="989" t="s">
        <v>4843</v>
      </c>
      <c r="E499" s="463">
        <v>0</v>
      </c>
      <c r="F499" s="457">
        <v>30000</v>
      </c>
      <c r="G499" s="995"/>
      <c r="J499" s="249"/>
      <c r="T499" s="224"/>
      <c r="U499" s="224"/>
      <c r="V499" s="224"/>
      <c r="W499" s="224"/>
    </row>
    <row r="500" spans="2:23" s="299" customFormat="1" ht="26.4" x14ac:dyDescent="0.25">
      <c r="B500" s="995">
        <v>43181</v>
      </c>
      <c r="C500" s="537" t="s">
        <v>4753</v>
      </c>
      <c r="D500" s="989" t="s">
        <v>4845</v>
      </c>
      <c r="E500" s="463">
        <v>0</v>
      </c>
      <c r="F500" s="457">
        <v>10000</v>
      </c>
      <c r="J500" s="249"/>
      <c r="T500" s="224"/>
      <c r="U500" s="224"/>
      <c r="V500" s="224"/>
      <c r="W500" s="224"/>
    </row>
    <row r="501" spans="2:23" s="299" customFormat="1" ht="26.4" x14ac:dyDescent="0.25">
      <c r="B501" s="995">
        <v>43185</v>
      </c>
      <c r="C501" s="537" t="s">
        <v>4753</v>
      </c>
      <c r="D501" s="989" t="s">
        <v>4848</v>
      </c>
      <c r="E501" s="463">
        <v>0</v>
      </c>
      <c r="F501" s="457">
        <v>2000</v>
      </c>
      <c r="G501" s="995"/>
      <c r="J501" s="249"/>
      <c r="T501" s="224"/>
      <c r="U501" s="224"/>
      <c r="V501" s="224"/>
      <c r="W501" s="224"/>
    </row>
    <row r="502" spans="2:23" s="299" customFormat="1" ht="26.4" x14ac:dyDescent="0.25">
      <c r="B502" s="995">
        <v>43182</v>
      </c>
      <c r="C502" s="537" t="s">
        <v>4753</v>
      </c>
      <c r="D502" s="989" t="s">
        <v>4849</v>
      </c>
      <c r="E502" s="463">
        <v>0</v>
      </c>
      <c r="F502" s="457">
        <v>30000</v>
      </c>
      <c r="G502" s="995"/>
      <c r="J502" s="249"/>
      <c r="T502" s="224"/>
      <c r="U502" s="224"/>
      <c r="V502" s="224"/>
      <c r="W502" s="224"/>
    </row>
    <row r="503" spans="2:23" s="299" customFormat="1" ht="26.4" x14ac:dyDescent="0.25">
      <c r="B503" s="995">
        <v>43182</v>
      </c>
      <c r="C503" s="537" t="s">
        <v>4753</v>
      </c>
      <c r="D503" s="989" t="s">
        <v>4850</v>
      </c>
      <c r="E503" s="463">
        <v>0</v>
      </c>
      <c r="F503" s="457">
        <v>30000</v>
      </c>
      <c r="G503" s="995"/>
      <c r="J503" s="249"/>
      <c r="T503" s="224"/>
      <c r="U503" s="224"/>
      <c r="V503" s="224"/>
      <c r="W503" s="224"/>
    </row>
    <row r="504" spans="2:23" s="299" customFormat="1" ht="12.75" customHeight="1" x14ac:dyDescent="0.25">
      <c r="B504" s="995">
        <v>43187</v>
      </c>
      <c r="C504" s="537" t="s">
        <v>4753</v>
      </c>
      <c r="D504" s="989" t="s">
        <v>4512</v>
      </c>
      <c r="E504" s="976">
        <v>117000</v>
      </c>
      <c r="F504" s="457"/>
      <c r="J504" s="249"/>
      <c r="T504" s="224"/>
      <c r="U504" s="224"/>
      <c r="V504" s="224"/>
      <c r="W504" s="224"/>
    </row>
    <row r="505" spans="2:23" s="299" customFormat="1" ht="12.75" customHeight="1" x14ac:dyDescent="0.25">
      <c r="B505" s="995"/>
      <c r="C505" s="537"/>
      <c r="D505" s="989"/>
      <c r="E505" s="463"/>
      <c r="F505" s="457"/>
      <c r="J505" s="249"/>
      <c r="T505" s="224"/>
      <c r="U505" s="224"/>
      <c r="V505" s="224"/>
      <c r="W505" s="224"/>
    </row>
    <row r="506" spans="2:23" s="299" customFormat="1" ht="12.75" customHeight="1" x14ac:dyDescent="0.25">
      <c r="B506" s="225"/>
      <c r="C506" s="295"/>
      <c r="D506" s="711"/>
      <c r="J506" s="249"/>
      <c r="T506" s="224"/>
      <c r="U506" s="224"/>
      <c r="V506" s="224"/>
      <c r="W506" s="224"/>
    </row>
    <row r="507" spans="2:23" s="299" customFormat="1" ht="12.75" customHeight="1" x14ac:dyDescent="0.25">
      <c r="B507" s="225"/>
      <c r="C507" s="295"/>
      <c r="D507" s="711"/>
      <c r="J507" s="249"/>
      <c r="T507" s="224"/>
      <c r="U507" s="224"/>
      <c r="V507" s="224"/>
      <c r="W507" s="224"/>
    </row>
    <row r="508" spans="2:23" s="299" customFormat="1" ht="12.75" customHeight="1" x14ac:dyDescent="0.25">
      <c r="B508" s="225"/>
      <c r="C508" s="295"/>
      <c r="D508" s="711"/>
      <c r="J508" s="249"/>
      <c r="T508" s="224"/>
      <c r="U508" s="224"/>
      <c r="V508" s="224"/>
      <c r="W508" s="224"/>
    </row>
    <row r="509" spans="2:23" s="299" customFormat="1" ht="12.75" customHeight="1" x14ac:dyDescent="0.25">
      <c r="B509" s="225"/>
      <c r="C509" s="295"/>
      <c r="D509" s="711"/>
      <c r="J509" s="249"/>
      <c r="T509" s="224"/>
      <c r="U509" s="224"/>
      <c r="V509" s="224"/>
      <c r="W509" s="224"/>
    </row>
    <row r="510" spans="2:23" s="299" customFormat="1" ht="12.75" customHeight="1" x14ac:dyDescent="0.25">
      <c r="B510" s="225"/>
      <c r="C510" s="295"/>
      <c r="D510" s="711"/>
      <c r="J510" s="249"/>
      <c r="T510" s="224"/>
      <c r="U510" s="224"/>
      <c r="V510" s="224"/>
      <c r="W510" s="224"/>
    </row>
    <row r="511" spans="2:23" s="299" customFormat="1" ht="12.75" customHeight="1" x14ac:dyDescent="0.25">
      <c r="B511" s="225"/>
      <c r="C511" s="295"/>
      <c r="D511" s="711"/>
      <c r="J511" s="249"/>
      <c r="T511" s="224"/>
      <c r="U511" s="224"/>
      <c r="V511" s="224"/>
      <c r="W511" s="224"/>
    </row>
    <row r="512" spans="2:23" s="299" customFormat="1" ht="12.75" customHeight="1" x14ac:dyDescent="0.25">
      <c r="B512" s="225"/>
      <c r="C512" s="295"/>
      <c r="D512" s="711"/>
      <c r="J512" s="249"/>
      <c r="T512" s="224"/>
      <c r="U512" s="224"/>
      <c r="V512" s="224"/>
      <c r="W512" s="224"/>
    </row>
    <row r="513" spans="2:23" s="299" customFormat="1" ht="12.75" customHeight="1" x14ac:dyDescent="0.25">
      <c r="B513" s="225"/>
      <c r="C513" s="295"/>
      <c r="D513" s="711"/>
      <c r="J513" s="249"/>
      <c r="T513" s="224"/>
      <c r="U513" s="224"/>
      <c r="V513" s="224"/>
      <c r="W513" s="224"/>
    </row>
    <row r="514" spans="2:23" s="299" customFormat="1" ht="12.75" customHeight="1" x14ac:dyDescent="0.25">
      <c r="B514" s="225"/>
      <c r="C514" s="295"/>
      <c r="D514" s="711"/>
      <c r="J514" s="249"/>
      <c r="T514" s="224"/>
      <c r="U514" s="224"/>
      <c r="V514" s="224"/>
      <c r="W514" s="224"/>
    </row>
    <row r="515" spans="2:23" s="299" customFormat="1" ht="12.75" customHeight="1" x14ac:dyDescent="0.25">
      <c r="B515" s="225"/>
      <c r="C515" s="295"/>
      <c r="D515" s="711"/>
      <c r="J515" s="249"/>
      <c r="T515" s="224"/>
      <c r="U515" s="224"/>
      <c r="V515" s="224"/>
      <c r="W515" s="224"/>
    </row>
    <row r="516" spans="2:23" s="299" customFormat="1" ht="12.75" customHeight="1" x14ac:dyDescent="0.25">
      <c r="B516" s="225"/>
      <c r="C516" s="295"/>
      <c r="D516" s="711"/>
      <c r="J516" s="249"/>
      <c r="T516" s="224"/>
      <c r="U516" s="224"/>
      <c r="V516" s="224"/>
      <c r="W516" s="224"/>
    </row>
    <row r="517" spans="2:23" s="299" customFormat="1" ht="12.75" customHeight="1" x14ac:dyDescent="0.25">
      <c r="B517" s="225"/>
      <c r="C517" s="295"/>
      <c r="D517" s="711"/>
      <c r="J517" s="249"/>
      <c r="T517" s="224"/>
      <c r="U517" s="224"/>
      <c r="V517" s="224"/>
      <c r="W517" s="224"/>
    </row>
    <row r="518" spans="2:23" s="299" customFormat="1" ht="12.75" customHeight="1" x14ac:dyDescent="0.25">
      <c r="B518" s="225"/>
      <c r="C518" s="295"/>
      <c r="D518" s="711"/>
      <c r="J518" s="249"/>
      <c r="T518" s="224"/>
      <c r="U518" s="224"/>
      <c r="V518" s="224"/>
      <c r="W518" s="224"/>
    </row>
    <row r="519" spans="2:23" s="299" customFormat="1" ht="12.75" customHeight="1" x14ac:dyDescent="0.25">
      <c r="B519" s="225"/>
      <c r="C519" s="295"/>
      <c r="D519" s="711"/>
      <c r="J519" s="249"/>
      <c r="T519" s="224"/>
      <c r="U519" s="224"/>
      <c r="V519" s="224"/>
      <c r="W519" s="224"/>
    </row>
    <row r="520" spans="2:23" s="299" customFormat="1" ht="12.75" customHeight="1" x14ac:dyDescent="0.25">
      <c r="B520" s="225"/>
      <c r="C520" s="295"/>
      <c r="D520" s="711"/>
      <c r="J520" s="249"/>
      <c r="T520" s="224"/>
      <c r="U520" s="224"/>
      <c r="V520" s="224"/>
      <c r="W520" s="224"/>
    </row>
    <row r="521" spans="2:23" s="299" customFormat="1" ht="12.75" customHeight="1" x14ac:dyDescent="0.25">
      <c r="B521" s="225"/>
      <c r="C521" s="295"/>
      <c r="D521" s="711"/>
      <c r="J521" s="249"/>
      <c r="T521" s="224"/>
      <c r="U521" s="224"/>
      <c r="V521" s="224"/>
      <c r="W521" s="224"/>
    </row>
    <row r="522" spans="2:23" ht="13.2" x14ac:dyDescent="0.25">
      <c r="B522" s="988"/>
      <c r="C522" s="537"/>
      <c r="D522" s="989"/>
      <c r="E522" s="463"/>
      <c r="F522" s="457"/>
      <c r="H522" s="249"/>
    </row>
    <row r="523" spans="2:23" ht="12.75" customHeight="1" x14ac:dyDescent="0.25">
      <c r="B523" s="711"/>
      <c r="D523" s="299"/>
    </row>
    <row r="524" spans="2:23" ht="12.75" customHeight="1" x14ac:dyDescent="0.25">
      <c r="B524" s="711"/>
      <c r="D524" s="299"/>
    </row>
    <row r="528" spans="2:23" ht="12.75" customHeight="1" x14ac:dyDescent="0.25">
      <c r="D528" s="48"/>
    </row>
    <row r="529" spans="2:23" ht="12.75" customHeight="1" x14ac:dyDescent="0.25">
      <c r="D529" s="787"/>
      <c r="E529" s="362">
        <f>SUM(E458:E528)</f>
        <v>127000</v>
      </c>
      <c r="F529" s="362">
        <f>SUM(F458:F528)</f>
        <v>687489.82999999961</v>
      </c>
      <c r="G529" s="255"/>
      <c r="H529" s="224"/>
      <c r="M529" s="255"/>
      <c r="N529" s="255"/>
    </row>
    <row r="530" spans="2:23" ht="13.8" thickBot="1" x14ac:dyDescent="0.3">
      <c r="D530" s="787"/>
      <c r="E530" s="255"/>
      <c r="F530" s="255"/>
      <c r="G530" s="243"/>
      <c r="H530" s="224"/>
    </row>
    <row r="531" spans="2:23" ht="13.8" thickBot="1" x14ac:dyDescent="0.3">
      <c r="B531" s="325"/>
      <c r="D531" s="787"/>
      <c r="E531" s="299"/>
      <c r="F531" s="255" t="s">
        <v>2141</v>
      </c>
      <c r="G531" s="892">
        <f>F529-E529</f>
        <v>560489.82999999961</v>
      </c>
      <c r="H531" s="224"/>
    </row>
    <row r="532" spans="2:23" ht="13.2" x14ac:dyDescent="0.25">
      <c r="B532" s="325"/>
      <c r="D532" s="787"/>
      <c r="F532" s="255"/>
      <c r="G532" s="255"/>
      <c r="H532" s="255"/>
      <c r="K532" s="255"/>
      <c r="L532" s="243"/>
    </row>
    <row r="533" spans="2:23" ht="13.2" x14ac:dyDescent="0.25">
      <c r="B533" s="325"/>
      <c r="D533" s="787"/>
      <c r="F533" s="255"/>
      <c r="G533" s="255"/>
      <c r="H533" s="255"/>
      <c r="K533" s="255"/>
      <c r="L533" s="243"/>
    </row>
    <row r="534" spans="2:23" ht="12.75" customHeight="1" thickBot="1" x14ac:dyDescent="0.3">
      <c r="B534" s="325"/>
      <c r="D534" s="788"/>
      <c r="F534" s="255"/>
      <c r="H534" s="249"/>
      <c r="L534" s="246"/>
    </row>
    <row r="535" spans="2:23" ht="12.75" customHeight="1" thickBot="1" x14ac:dyDescent="0.3">
      <c r="B535" s="351" t="s">
        <v>4442</v>
      </c>
      <c r="C535" s="578"/>
      <c r="D535" s="784"/>
      <c r="E535" s="705"/>
      <c r="F535" s="826"/>
      <c r="G535" s="224"/>
      <c r="H535" s="810"/>
      <c r="K535" s="568"/>
    </row>
    <row r="536" spans="2:23" ht="12.75" customHeight="1" x14ac:dyDescent="0.25">
      <c r="B536" s="358" t="s">
        <v>184</v>
      </c>
      <c r="C536" s="356" t="s">
        <v>193</v>
      </c>
      <c r="D536" s="786" t="s">
        <v>2079</v>
      </c>
      <c r="E536" s="706" t="s">
        <v>668</v>
      </c>
      <c r="F536" s="706" t="s">
        <v>667</v>
      </c>
      <c r="G536" s="224"/>
      <c r="H536" s="809"/>
    </row>
    <row r="537" spans="2:23" ht="13.2" x14ac:dyDescent="0.25">
      <c r="B537" s="729"/>
      <c r="C537" s="729"/>
      <c r="E537" s="299"/>
      <c r="G537" s="224"/>
      <c r="H537" s="729"/>
      <c r="K537" s="246"/>
      <c r="L537" s="246"/>
    </row>
    <row r="538" spans="2:23" s="536" customFormat="1" ht="13.2" x14ac:dyDescent="0.25">
      <c r="B538" s="295"/>
      <c r="C538" s="295"/>
      <c r="D538" s="942"/>
      <c r="E538" s="48"/>
      <c r="F538" s="299"/>
      <c r="G538" s="299"/>
      <c r="H538" s="299"/>
      <c r="I538" s="299"/>
      <c r="J538" s="249"/>
      <c r="K538" s="299"/>
      <c r="L538" s="299"/>
      <c r="M538" s="299"/>
      <c r="N538" s="299"/>
      <c r="O538" s="299"/>
      <c r="P538" s="299"/>
      <c r="Q538" s="299"/>
      <c r="R538" s="299"/>
      <c r="S538" s="299"/>
      <c r="T538" s="224"/>
      <c r="U538" s="224"/>
      <c r="V538" s="224"/>
      <c r="W538" s="224"/>
    </row>
    <row r="539" spans="2:23" s="536" customFormat="1" ht="13.2" x14ac:dyDescent="0.25">
      <c r="B539" s="711"/>
      <c r="D539" s="845"/>
      <c r="E539" s="249"/>
      <c r="F539" s="299"/>
      <c r="G539" s="299"/>
      <c r="H539" s="299"/>
      <c r="I539" s="299"/>
      <c r="J539" s="249"/>
      <c r="K539" s="299"/>
      <c r="L539" s="299"/>
      <c r="M539" s="299"/>
      <c r="N539" s="299"/>
      <c r="O539" s="299"/>
      <c r="P539" s="299"/>
      <c r="Q539" s="299"/>
      <c r="R539" s="299"/>
      <c r="S539" s="299"/>
      <c r="T539" s="224"/>
      <c r="U539" s="224"/>
      <c r="V539" s="224"/>
      <c r="W539" s="224"/>
    </row>
    <row r="540" spans="2:23" s="326" customFormat="1" ht="13.2" x14ac:dyDescent="0.25">
      <c r="B540" s="922"/>
      <c r="C540" s="536"/>
      <c r="D540" s="845"/>
      <c r="E540" s="249"/>
      <c r="F540" s="299"/>
      <c r="G540" s="299"/>
      <c r="H540" s="249"/>
      <c r="I540" s="299"/>
      <c r="J540" s="249"/>
      <c r="K540" s="299"/>
      <c r="L540" s="299"/>
      <c r="M540" s="299"/>
      <c r="N540" s="299"/>
      <c r="O540" s="299"/>
      <c r="P540" s="299"/>
      <c r="Q540" s="299"/>
      <c r="R540" s="299"/>
      <c r="S540" s="299"/>
      <c r="T540" s="224"/>
      <c r="U540" s="224"/>
      <c r="V540" s="224"/>
      <c r="W540" s="224"/>
    </row>
    <row r="541" spans="2:23" s="536" customFormat="1" ht="13.2" x14ac:dyDescent="0.25">
      <c r="B541" s="922"/>
      <c r="D541" s="528"/>
      <c r="E541" s="249"/>
      <c r="F541" s="299"/>
      <c r="G541" s="299"/>
      <c r="H541" s="299"/>
      <c r="I541" s="299"/>
      <c r="J541" s="249"/>
      <c r="K541" s="299"/>
      <c r="L541" s="299"/>
      <c r="M541" s="299"/>
      <c r="N541" s="299"/>
      <c r="O541" s="299"/>
      <c r="P541" s="299"/>
      <c r="Q541" s="299"/>
      <c r="R541" s="299"/>
      <c r="S541" s="299"/>
      <c r="T541" s="224"/>
      <c r="U541" s="224"/>
      <c r="V541" s="224"/>
      <c r="W541" s="224"/>
    </row>
    <row r="542" spans="2:23" s="536" customFormat="1" ht="13.2" x14ac:dyDescent="0.25">
      <c r="B542" s="922"/>
      <c r="D542" s="528"/>
      <c r="E542" s="249"/>
      <c r="F542" s="299"/>
      <c r="G542" s="299"/>
      <c r="H542" s="299"/>
      <c r="I542" s="299"/>
      <c r="J542" s="249"/>
      <c r="K542" s="299"/>
      <c r="L542" s="299"/>
      <c r="M542" s="299"/>
      <c r="N542" s="299"/>
      <c r="O542" s="299"/>
      <c r="P542" s="299"/>
      <c r="Q542" s="299"/>
      <c r="R542" s="299"/>
      <c r="S542" s="299"/>
      <c r="T542" s="224"/>
      <c r="U542" s="224"/>
      <c r="V542" s="224"/>
      <c r="W542" s="224"/>
    </row>
    <row r="543" spans="2:23" ht="12.75" customHeight="1" x14ac:dyDescent="0.25">
      <c r="B543" s="957"/>
      <c r="C543" s="711"/>
      <c r="D543" s="942"/>
      <c r="E543" s="528"/>
      <c r="G543" s="224"/>
      <c r="H543" s="729"/>
      <c r="K543" s="246"/>
      <c r="L543" s="246"/>
    </row>
    <row r="544" spans="2:23" ht="13.2" x14ac:dyDescent="0.25">
      <c r="B544" s="922"/>
      <c r="G544" s="224"/>
      <c r="H544" s="249"/>
    </row>
    <row r="545" spans="2:19" ht="12.75" customHeight="1" x14ac:dyDescent="0.25">
      <c r="B545" s="922"/>
      <c r="E545" s="299"/>
      <c r="G545" s="224"/>
      <c r="H545" s="729"/>
    </row>
    <row r="546" spans="2:19" ht="12.75" customHeight="1" x14ac:dyDescent="0.25">
      <c r="B546" s="729"/>
      <c r="E546" s="299"/>
      <c r="G546" s="224"/>
      <c r="H546" s="729"/>
      <c r="J546" s="309"/>
      <c r="L546" s="60"/>
    </row>
    <row r="547" spans="2:19" ht="12.75" customHeight="1" x14ac:dyDescent="0.25">
      <c r="B547" s="729"/>
      <c r="E547" s="299"/>
      <c r="G547" s="224"/>
      <c r="H547" s="729"/>
      <c r="J547" s="309"/>
      <c r="L547" s="60"/>
    </row>
    <row r="548" spans="2:19" s="1" customFormat="1" ht="13.2" x14ac:dyDescent="0.25">
      <c r="B548" s="729"/>
      <c r="C548" s="320"/>
      <c r="D548" s="711"/>
      <c r="E548" s="299"/>
      <c r="F548" s="299"/>
      <c r="H548" s="729"/>
      <c r="I548" s="60"/>
      <c r="J548" s="2"/>
      <c r="K548" s="60"/>
      <c r="L548" s="60"/>
      <c r="M548" s="60"/>
      <c r="N548" s="60"/>
      <c r="O548" s="60"/>
      <c r="P548" s="60"/>
      <c r="Q548" s="60"/>
      <c r="R548" s="60"/>
      <c r="S548" s="60"/>
    </row>
    <row r="549" spans="2:19" ht="30" customHeight="1" x14ac:dyDescent="0.25">
      <c r="B549" s="729"/>
      <c r="E549" s="299"/>
      <c r="G549" s="224"/>
      <c r="H549" s="729"/>
      <c r="K549" s="528"/>
    </row>
    <row r="550" spans="2:19" ht="13.2" x14ac:dyDescent="0.25">
      <c r="B550" s="729"/>
      <c r="E550" s="299"/>
      <c r="G550" s="224"/>
      <c r="H550" s="729"/>
    </row>
    <row r="551" spans="2:19" ht="13.2" x14ac:dyDescent="0.25">
      <c r="B551" s="729"/>
      <c r="E551" s="299"/>
      <c r="G551" s="224"/>
      <c r="H551" s="729"/>
    </row>
    <row r="552" spans="2:19" ht="13.2" x14ac:dyDescent="0.25">
      <c r="B552" s="729"/>
      <c r="E552" s="299"/>
      <c r="G552" s="224"/>
      <c r="H552" s="729"/>
    </row>
    <row r="553" spans="2:19" ht="12.75" customHeight="1" x14ac:dyDescent="0.25">
      <c r="B553" s="729"/>
      <c r="E553" s="299"/>
      <c r="G553" s="224"/>
      <c r="H553" s="729"/>
    </row>
    <row r="554" spans="2:19" ht="13.2" x14ac:dyDescent="0.25">
      <c r="B554" s="729"/>
      <c r="E554" s="299"/>
      <c r="G554" s="224"/>
      <c r="H554" s="729"/>
      <c r="J554" s="309"/>
      <c r="L554" s="60"/>
    </row>
    <row r="555" spans="2:19" ht="13.2" x14ac:dyDescent="0.25">
      <c r="B555" s="729"/>
      <c r="E555" s="299"/>
      <c r="G555" s="224"/>
      <c r="H555" s="729"/>
      <c r="J555" s="309"/>
      <c r="L555" s="60"/>
    </row>
    <row r="556" spans="2:19" ht="13.2" x14ac:dyDescent="0.25">
      <c r="B556" s="729"/>
      <c r="E556" s="299"/>
      <c r="G556" s="224"/>
      <c r="H556" s="729"/>
    </row>
    <row r="557" spans="2:19" ht="12.75" customHeight="1" x14ac:dyDescent="0.25">
      <c r="B557" s="729"/>
      <c r="E557" s="299"/>
      <c r="G557" s="224"/>
      <c r="H557" s="729"/>
    </row>
    <row r="558" spans="2:19" ht="13.2" x14ac:dyDescent="0.25">
      <c r="B558" s="729"/>
      <c r="E558" s="299"/>
      <c r="G558" s="224"/>
      <c r="H558" s="729"/>
      <c r="L558" s="255"/>
    </row>
    <row r="559" spans="2:19" ht="13.2" x14ac:dyDescent="0.25">
      <c r="B559" s="729"/>
      <c r="E559" s="299"/>
      <c r="G559" s="224"/>
      <c r="H559" s="729"/>
      <c r="L559" s="255"/>
    </row>
    <row r="560" spans="2:19" ht="12.75" customHeight="1" x14ac:dyDescent="0.25">
      <c r="B560" s="729"/>
      <c r="E560" s="299"/>
      <c r="G560" s="224"/>
      <c r="H560" s="729"/>
      <c r="L560" s="255"/>
    </row>
    <row r="561" spans="2:23" ht="12.75" customHeight="1" x14ac:dyDescent="0.25">
      <c r="B561" s="729"/>
      <c r="E561" s="299"/>
      <c r="G561" s="224"/>
      <c r="H561" s="729"/>
      <c r="L561" s="255"/>
    </row>
    <row r="562" spans="2:23" ht="12.75" customHeight="1" x14ac:dyDescent="0.25">
      <c r="B562" s="729"/>
      <c r="E562" s="299"/>
      <c r="G562" s="224"/>
      <c r="H562" s="729"/>
      <c r="L562" s="255"/>
    </row>
    <row r="563" spans="2:23" ht="12.75" customHeight="1" x14ac:dyDescent="0.25">
      <c r="B563" s="729"/>
      <c r="E563" s="299"/>
      <c r="G563" s="224"/>
      <c r="H563" s="729"/>
      <c r="L563" s="255"/>
    </row>
    <row r="564" spans="2:23" ht="12.75" customHeight="1" thickBot="1" x14ac:dyDescent="0.3">
      <c r="B564" s="729"/>
      <c r="E564" s="299"/>
      <c r="G564" s="224"/>
      <c r="H564" s="729"/>
    </row>
    <row r="565" spans="2:23" s="1" customFormat="1" ht="13.8" thickBot="1" x14ac:dyDescent="0.3">
      <c r="B565" s="16"/>
      <c r="C565" s="320"/>
      <c r="D565" s="2" t="s">
        <v>536</v>
      </c>
      <c r="E565" s="682">
        <f>SUM(E537:E564)</f>
        <v>0</v>
      </c>
      <c r="F565" s="60"/>
      <c r="H565" s="2"/>
      <c r="I565" s="60"/>
      <c r="J565" s="2"/>
      <c r="K565" s="60"/>
      <c r="L565" s="60"/>
      <c r="M565" s="60"/>
      <c r="N565" s="60"/>
      <c r="O565" s="60"/>
      <c r="P565" s="60"/>
      <c r="Q565" s="60"/>
      <c r="R565" s="60"/>
      <c r="S565" s="60"/>
    </row>
    <row r="566" spans="2:23" s="1" customFormat="1" ht="13.2" x14ac:dyDescent="0.25">
      <c r="B566" s="16"/>
      <c r="C566" s="320"/>
      <c r="D566" s="31"/>
      <c r="E566" s="60"/>
      <c r="F566" s="60"/>
      <c r="H566" s="60"/>
      <c r="I566" s="60"/>
      <c r="J566" s="2"/>
      <c r="K566" s="60"/>
      <c r="L566" s="60"/>
      <c r="M566" s="60"/>
      <c r="N566" s="60"/>
      <c r="O566" s="60"/>
      <c r="P566" s="60"/>
      <c r="Q566" s="60"/>
      <c r="R566" s="60"/>
      <c r="S566" s="60"/>
    </row>
    <row r="567" spans="2:23" ht="12.75" customHeight="1" x14ac:dyDescent="0.25">
      <c r="E567" s="299"/>
      <c r="G567" s="224"/>
    </row>
    <row r="568" spans="2:23" ht="12.75" customHeight="1" thickBot="1" x14ac:dyDescent="0.3">
      <c r="E568" s="299"/>
      <c r="G568" s="224"/>
    </row>
    <row r="569" spans="2:23" ht="12.75" customHeight="1" thickBot="1" x14ac:dyDescent="0.3">
      <c r="B569" s="351" t="s">
        <v>344</v>
      </c>
      <c r="C569" s="413"/>
      <c r="D569" s="789"/>
      <c r="E569" s="680"/>
      <c r="F569" s="812"/>
      <c r="G569" s="224"/>
      <c r="H569" s="809"/>
      <c r="K569" s="809"/>
      <c r="L569" s="809"/>
    </row>
    <row r="570" spans="2:23" ht="12.75" customHeight="1" x14ac:dyDescent="0.25">
      <c r="B570" s="358" t="s">
        <v>184</v>
      </c>
      <c r="C570" s="356" t="s">
        <v>193</v>
      </c>
      <c r="D570" s="786" t="s">
        <v>2079</v>
      </c>
      <c r="E570" s="706" t="s">
        <v>668</v>
      </c>
      <c r="F570" s="706" t="s">
        <v>667</v>
      </c>
      <c r="G570" s="224"/>
      <c r="H570" s="888"/>
      <c r="K570" s="893"/>
      <c r="L570" s="809"/>
    </row>
    <row r="571" spans="2:23" ht="13.2" x14ac:dyDescent="0.25">
      <c r="B571" s="387">
        <v>43130</v>
      </c>
      <c r="C571" s="295" t="s">
        <v>4781</v>
      </c>
      <c r="D571" s="48" t="s">
        <v>4782</v>
      </c>
      <c r="E571" s="299">
        <v>23.6</v>
      </c>
      <c r="F571" s="809"/>
      <c r="G571" s="224"/>
      <c r="H571" s="888"/>
      <c r="K571" s="809"/>
      <c r="L571" s="809"/>
    </row>
    <row r="572" spans="2:23" ht="13.2" x14ac:dyDescent="0.25">
      <c r="B572" s="387"/>
      <c r="C572" s="295"/>
      <c r="D572" s="48"/>
      <c r="E572" s="299"/>
      <c r="F572" s="809"/>
      <c r="G572" s="224"/>
      <c r="H572" s="888"/>
      <c r="K572" s="809"/>
      <c r="L572" s="814"/>
    </row>
    <row r="573" spans="2:23" ht="13.2" x14ac:dyDescent="0.25">
      <c r="B573" s="387"/>
      <c r="C573" s="295"/>
      <c r="D573" s="48"/>
      <c r="E573" s="299"/>
      <c r="F573" s="809"/>
      <c r="G573" s="224"/>
      <c r="H573" s="888"/>
      <c r="K573" s="809"/>
      <c r="L573" s="809"/>
      <c r="M573" s="255"/>
    </row>
    <row r="574" spans="2:23" s="299" customFormat="1" ht="13.2" x14ac:dyDescent="0.25">
      <c r="B574" s="387"/>
      <c r="C574" s="295"/>
      <c r="D574" s="53"/>
      <c r="G574" s="224"/>
      <c r="H574" s="249"/>
      <c r="J574" s="249"/>
      <c r="T574" s="224"/>
      <c r="U574" s="224"/>
      <c r="V574" s="224"/>
      <c r="W574" s="224"/>
    </row>
    <row r="575" spans="2:23" s="299" customFormat="1" ht="13.2" x14ac:dyDescent="0.25">
      <c r="B575" s="387"/>
      <c r="C575" s="295"/>
      <c r="D575" s="53"/>
      <c r="G575" s="224"/>
      <c r="H575" s="249"/>
      <c r="J575" s="249"/>
      <c r="T575" s="224"/>
      <c r="U575" s="224"/>
      <c r="V575" s="224"/>
      <c r="W575" s="224"/>
    </row>
    <row r="576" spans="2:23" s="299" customFormat="1" ht="13.2" x14ac:dyDescent="0.25">
      <c r="B576" s="387"/>
      <c r="C576" s="295"/>
      <c r="D576" s="53"/>
      <c r="G576" s="224"/>
      <c r="H576" s="249"/>
      <c r="J576" s="249"/>
      <c r="T576" s="224"/>
      <c r="U576" s="224"/>
      <c r="V576" s="224"/>
      <c r="W576" s="224"/>
    </row>
    <row r="577" spans="2:23" s="299" customFormat="1" ht="13.2" x14ac:dyDescent="0.25">
      <c r="B577" s="387"/>
      <c r="C577" s="295"/>
      <c r="D577" s="53"/>
      <c r="G577" s="224"/>
      <c r="H577" s="249"/>
      <c r="J577" s="249"/>
      <c r="T577" s="224"/>
      <c r="U577" s="224"/>
      <c r="V577" s="224"/>
      <c r="W577" s="224"/>
    </row>
    <row r="578" spans="2:23" s="299" customFormat="1" ht="12.75" customHeight="1" x14ac:dyDescent="0.25">
      <c r="B578" s="387"/>
      <c r="C578" s="295"/>
      <c r="D578" s="48"/>
      <c r="G578" s="224"/>
      <c r="H578" s="249"/>
      <c r="J578" s="249"/>
      <c r="T578" s="224"/>
      <c r="U578" s="224"/>
      <c r="V578" s="224"/>
      <c r="W578" s="224"/>
    </row>
    <row r="579" spans="2:23" s="299" customFormat="1" ht="12.75" customHeight="1" x14ac:dyDescent="0.25">
      <c r="B579" s="387"/>
      <c r="C579" s="295"/>
      <c r="D579" s="48"/>
      <c r="G579" s="224"/>
      <c r="H579" s="249"/>
      <c r="J579" s="249"/>
      <c r="N579" s="68"/>
      <c r="T579" s="224"/>
      <c r="U579" s="224"/>
      <c r="V579" s="224"/>
      <c r="W579" s="224"/>
    </row>
    <row r="580" spans="2:23" s="299" customFormat="1" ht="12.75" customHeight="1" x14ac:dyDescent="0.25">
      <c r="B580" s="387"/>
      <c r="C580" s="295"/>
      <c r="D580" s="48"/>
      <c r="G580" s="224"/>
      <c r="H580" s="249"/>
      <c r="J580" s="249"/>
      <c r="N580" s="68"/>
      <c r="T580" s="224"/>
      <c r="U580" s="224"/>
      <c r="V580" s="224"/>
      <c r="W580" s="224"/>
    </row>
    <row r="581" spans="2:23" s="299" customFormat="1" ht="12.75" customHeight="1" x14ac:dyDescent="0.25">
      <c r="B581" s="387"/>
      <c r="C581" s="295"/>
      <c r="D581" s="48"/>
      <c r="G581" s="224"/>
      <c r="H581" s="249"/>
      <c r="J581" s="249"/>
      <c r="N581" s="68"/>
      <c r="T581" s="224"/>
      <c r="U581" s="224"/>
      <c r="V581" s="224"/>
      <c r="W581" s="224"/>
    </row>
    <row r="582" spans="2:23" s="299" customFormat="1" ht="12.75" customHeight="1" x14ac:dyDescent="0.25">
      <c r="B582" s="387"/>
      <c r="C582" s="295"/>
      <c r="D582" s="23"/>
      <c r="F582" s="60"/>
      <c r="G582" s="224"/>
      <c r="H582" s="249"/>
      <c r="J582" s="249"/>
      <c r="T582" s="224"/>
      <c r="U582" s="224"/>
      <c r="V582" s="224"/>
      <c r="W582" s="224"/>
    </row>
    <row r="583" spans="2:23" s="299" customFormat="1" ht="12.75" customHeight="1" x14ac:dyDescent="0.25">
      <c r="B583" s="387"/>
      <c r="C583" s="295"/>
      <c r="D583" s="23"/>
      <c r="F583" s="60"/>
      <c r="G583" s="224"/>
      <c r="H583" s="249"/>
      <c r="J583" s="249"/>
      <c r="T583" s="224"/>
      <c r="U583" s="224"/>
      <c r="V583" s="224"/>
      <c r="W583" s="224"/>
    </row>
    <row r="584" spans="2:23" s="299" customFormat="1" ht="12.75" customHeight="1" x14ac:dyDescent="0.25">
      <c r="B584" s="387"/>
      <c r="C584" s="295"/>
      <c r="D584" s="711"/>
      <c r="G584" s="224"/>
      <c r="H584" s="249"/>
      <c r="J584" s="249"/>
      <c r="T584" s="224"/>
      <c r="U584" s="224"/>
      <c r="V584" s="224"/>
      <c r="W584" s="224"/>
    </row>
    <row r="585" spans="2:23" s="299" customFormat="1" ht="12.75" customHeight="1" x14ac:dyDescent="0.25">
      <c r="B585" s="387"/>
      <c r="C585" s="295"/>
      <c r="D585" s="711"/>
      <c r="G585" s="224"/>
      <c r="H585" s="249"/>
      <c r="J585" s="249"/>
      <c r="T585" s="224"/>
      <c r="U585" s="224"/>
      <c r="V585" s="224"/>
      <c r="W585" s="224"/>
    </row>
    <row r="586" spans="2:23" s="299" customFormat="1" ht="12.75" customHeight="1" x14ac:dyDescent="0.25">
      <c r="B586" s="387"/>
      <c r="C586" s="295"/>
      <c r="D586" s="711"/>
      <c r="G586" s="224"/>
      <c r="H586" s="249"/>
      <c r="J586" s="249"/>
      <c r="T586" s="224"/>
      <c r="U586" s="224"/>
      <c r="V586" s="224"/>
      <c r="W586" s="224"/>
    </row>
    <row r="587" spans="2:23" s="299" customFormat="1" ht="12.75" customHeight="1" x14ac:dyDescent="0.25">
      <c r="B587" s="387"/>
      <c r="C587" s="295"/>
      <c r="D587" s="711"/>
      <c r="G587" s="224"/>
      <c r="H587" s="249"/>
      <c r="J587" s="249"/>
      <c r="T587" s="224"/>
      <c r="U587" s="224"/>
      <c r="V587" s="224"/>
      <c r="W587" s="224"/>
    </row>
    <row r="588" spans="2:23" s="299" customFormat="1" ht="12.75" customHeight="1" x14ac:dyDescent="0.25">
      <c r="B588" s="387"/>
      <c r="C588" s="295"/>
      <c r="D588" s="711"/>
      <c r="G588" s="224"/>
      <c r="H588" s="249"/>
      <c r="J588" s="249"/>
      <c r="T588" s="224"/>
      <c r="U588" s="224"/>
      <c r="V588" s="224"/>
      <c r="W588" s="224"/>
    </row>
    <row r="589" spans="2:23" s="299" customFormat="1" ht="12.75" customHeight="1" x14ac:dyDescent="0.25">
      <c r="B589" s="387"/>
      <c r="C589" s="295"/>
      <c r="D589" s="711"/>
      <c r="G589" s="224"/>
      <c r="H589" s="249"/>
      <c r="J589" s="249"/>
      <c r="T589" s="224"/>
      <c r="U589" s="224"/>
      <c r="V589" s="224"/>
      <c r="W589" s="224"/>
    </row>
    <row r="590" spans="2:23" s="299" customFormat="1" ht="12.75" customHeight="1" x14ac:dyDescent="0.25">
      <c r="B590" s="387"/>
      <c r="C590" s="295"/>
      <c r="D590" s="711"/>
      <c r="G590" s="224"/>
      <c r="H590" s="249"/>
      <c r="J590" s="249"/>
      <c r="T590" s="224"/>
      <c r="U590" s="224"/>
      <c r="V590" s="224"/>
      <c r="W590" s="224"/>
    </row>
    <row r="591" spans="2:23" s="299" customFormat="1" ht="12.75" customHeight="1" x14ac:dyDescent="0.25">
      <c r="B591" s="387"/>
      <c r="C591" s="295"/>
      <c r="D591" s="711"/>
      <c r="G591" s="224"/>
      <c r="H591" s="249"/>
      <c r="J591" s="249"/>
      <c r="T591" s="224"/>
      <c r="U591" s="224"/>
      <c r="V591" s="224"/>
      <c r="W591" s="224"/>
    </row>
    <row r="592" spans="2:23" s="299" customFormat="1" ht="12.75" customHeight="1" x14ac:dyDescent="0.25">
      <c r="B592" s="387"/>
      <c r="C592" s="295"/>
      <c r="D592" s="711"/>
      <c r="G592" s="224"/>
      <c r="H592" s="249"/>
      <c r="J592" s="249"/>
      <c r="T592" s="224"/>
      <c r="U592" s="224"/>
      <c r="V592" s="224"/>
      <c r="W592" s="224"/>
    </row>
    <row r="593" spans="2:23" s="299" customFormat="1" ht="12.75" customHeight="1" x14ac:dyDescent="0.25">
      <c r="B593" s="387"/>
      <c r="C593" s="295"/>
      <c r="D593" s="711"/>
      <c r="G593" s="224"/>
      <c r="H593" s="249"/>
      <c r="J593" s="249"/>
      <c r="T593" s="224"/>
      <c r="U593" s="224"/>
      <c r="V593" s="224"/>
      <c r="W593" s="224"/>
    </row>
    <row r="594" spans="2:23" s="299" customFormat="1" ht="12.75" customHeight="1" x14ac:dyDescent="0.25">
      <c r="B594" s="387"/>
      <c r="C594" s="295"/>
      <c r="D594" s="711"/>
      <c r="G594" s="224"/>
      <c r="H594" s="249"/>
      <c r="J594" s="249"/>
      <c r="T594" s="224"/>
      <c r="U594" s="224"/>
      <c r="V594" s="224"/>
      <c r="W594" s="224"/>
    </row>
    <row r="595" spans="2:23" s="299" customFormat="1" ht="12.75" customHeight="1" thickBot="1" x14ac:dyDescent="0.3">
      <c r="B595" s="385"/>
      <c r="C595" s="16"/>
      <c r="D595" s="23"/>
      <c r="E595" s="60"/>
      <c r="F595" s="60"/>
      <c r="G595" s="224"/>
      <c r="H595" s="249"/>
      <c r="J595" s="249"/>
      <c r="T595" s="224"/>
      <c r="U595" s="224"/>
      <c r="V595" s="224"/>
      <c r="W595" s="224"/>
    </row>
    <row r="596" spans="2:23" s="299" customFormat="1" ht="12.75" customHeight="1" thickBot="1" x14ac:dyDescent="0.3">
      <c r="B596" s="225"/>
      <c r="C596" s="295"/>
      <c r="D596" s="2" t="s">
        <v>946</v>
      </c>
      <c r="E596" s="423">
        <f>SUM(E571:E595)</f>
        <v>23.6</v>
      </c>
      <c r="G596" s="224"/>
      <c r="H596" s="249"/>
      <c r="J596" s="249"/>
      <c r="T596" s="224"/>
      <c r="U596" s="224"/>
      <c r="V596" s="224"/>
      <c r="W596" s="224"/>
    </row>
    <row r="597" spans="2:23" s="299" customFormat="1" ht="12.75" customHeight="1" x14ac:dyDescent="0.25">
      <c r="B597" s="225"/>
      <c r="C597" s="295"/>
      <c r="D597" s="711"/>
      <c r="F597" s="60"/>
      <c r="G597" s="224"/>
      <c r="J597" s="249"/>
      <c r="T597" s="224"/>
      <c r="U597" s="224"/>
      <c r="V597" s="224"/>
      <c r="W597" s="224"/>
    </row>
    <row r="598" spans="2:23" s="299" customFormat="1" ht="12.75" customHeight="1" x14ac:dyDescent="0.25">
      <c r="B598" s="225"/>
      <c r="C598" s="295"/>
      <c r="D598" s="711"/>
      <c r="G598" s="224"/>
      <c r="H598" s="249"/>
      <c r="J598" s="249"/>
      <c r="T598" s="224"/>
      <c r="U598" s="224"/>
      <c r="V598" s="224"/>
      <c r="W598" s="224"/>
    </row>
    <row r="599" spans="2:23" s="299" customFormat="1" ht="12.75" customHeight="1" x14ac:dyDescent="0.25">
      <c r="B599" s="225"/>
      <c r="C599" s="295"/>
      <c r="D599" s="711"/>
      <c r="G599" s="224"/>
      <c r="H599" s="249"/>
      <c r="J599" s="249"/>
      <c r="T599" s="224"/>
      <c r="U599" s="224"/>
      <c r="V599" s="224"/>
      <c r="W599" s="224"/>
    </row>
    <row r="600" spans="2:23" s="299" customFormat="1" ht="12.75" customHeight="1" thickBot="1" x14ac:dyDescent="0.3">
      <c r="B600" s="225"/>
      <c r="C600" s="295"/>
      <c r="D600" s="711"/>
      <c r="G600" s="224"/>
      <c r="H600" s="249"/>
      <c r="J600" s="249"/>
      <c r="T600" s="224"/>
      <c r="U600" s="224"/>
      <c r="V600" s="224"/>
      <c r="W600" s="224"/>
    </row>
    <row r="601" spans="2:23" s="299" customFormat="1" ht="12.75" customHeight="1" thickBot="1" x14ac:dyDescent="0.3">
      <c r="B601" s="351" t="s">
        <v>895</v>
      </c>
      <c r="C601" s="413"/>
      <c r="D601" s="789"/>
      <c r="E601" s="680"/>
      <c r="F601" s="812"/>
      <c r="G601" s="224"/>
      <c r="H601" s="809"/>
      <c r="J601" s="249"/>
      <c r="K601" s="809"/>
      <c r="L601" s="809"/>
      <c r="T601" s="224"/>
      <c r="U601" s="224"/>
      <c r="V601" s="224"/>
      <c r="W601" s="224"/>
    </row>
    <row r="602" spans="2:23" s="299" customFormat="1" ht="12.75" customHeight="1" x14ac:dyDescent="0.25">
      <c r="B602" s="358" t="s">
        <v>184</v>
      </c>
      <c r="C602" s="356" t="s">
        <v>193</v>
      </c>
      <c r="D602" s="786" t="s">
        <v>2079</v>
      </c>
      <c r="E602" s="706" t="s">
        <v>668</v>
      </c>
      <c r="F602" s="706" t="s">
        <v>667</v>
      </c>
      <c r="G602" s="224"/>
      <c r="H602" s="888"/>
      <c r="J602" s="249"/>
      <c r="K602" s="893"/>
      <c r="L602" s="809"/>
      <c r="T602" s="224"/>
      <c r="U602" s="224"/>
      <c r="V602" s="224"/>
      <c r="W602" s="224"/>
    </row>
    <row r="603" spans="2:23" s="299" customFormat="1" ht="26.4" x14ac:dyDescent="0.25">
      <c r="B603" s="957" t="s">
        <v>4635</v>
      </c>
      <c r="C603" s="957" t="s">
        <v>4438</v>
      </c>
      <c r="D603" s="959" t="s">
        <v>4638</v>
      </c>
      <c r="E603" s="255">
        <v>10.35</v>
      </c>
      <c r="G603" s="224"/>
      <c r="H603" s="809"/>
      <c r="J603" s="249"/>
      <c r="K603" s="809"/>
      <c r="L603" s="809"/>
      <c r="T603" s="224"/>
      <c r="U603" s="224"/>
      <c r="V603" s="224"/>
      <c r="W603" s="224"/>
    </row>
    <row r="604" spans="2:23" s="299" customFormat="1" ht="26.4" x14ac:dyDescent="0.25">
      <c r="B604" s="979">
        <v>43083</v>
      </c>
      <c r="C604" s="961" t="s">
        <v>4753</v>
      </c>
      <c r="D604" s="955" t="s">
        <v>4441</v>
      </c>
      <c r="E604" s="956">
        <v>10.62</v>
      </c>
      <c r="G604" s="224"/>
      <c r="H604" s="809"/>
      <c r="J604" s="249"/>
      <c r="K604" s="809"/>
      <c r="L604" s="809"/>
      <c r="T604" s="224"/>
      <c r="U604" s="224"/>
      <c r="V604" s="224"/>
      <c r="W604" s="224"/>
    </row>
    <row r="605" spans="2:23" s="299" customFormat="1" ht="26.4" x14ac:dyDescent="0.25">
      <c r="B605" s="979">
        <v>43087</v>
      </c>
      <c r="C605" s="961" t="s">
        <v>4753</v>
      </c>
      <c r="D605" s="955" t="s">
        <v>4441</v>
      </c>
      <c r="E605" s="956">
        <v>10.62</v>
      </c>
      <c r="G605" s="224"/>
      <c r="J605" s="249"/>
      <c r="L605" s="255"/>
      <c r="T605" s="224"/>
      <c r="U605" s="224"/>
      <c r="V605" s="224"/>
      <c r="W605" s="224"/>
    </row>
    <row r="606" spans="2:23" ht="26.4" x14ac:dyDescent="0.25">
      <c r="B606" s="979">
        <v>43090</v>
      </c>
      <c r="C606" s="961" t="s">
        <v>4753</v>
      </c>
      <c r="D606" s="955" t="s">
        <v>4441</v>
      </c>
      <c r="E606" s="956">
        <v>10.62</v>
      </c>
      <c r="G606" s="224"/>
    </row>
    <row r="607" spans="2:23" ht="26.4" x14ac:dyDescent="0.25">
      <c r="B607" s="979">
        <v>43097</v>
      </c>
      <c r="C607" s="961" t="s">
        <v>4753</v>
      </c>
      <c r="D607" s="955" t="s">
        <v>4441</v>
      </c>
      <c r="E607" s="956">
        <v>10.62</v>
      </c>
      <c r="G607" s="224"/>
    </row>
    <row r="608" spans="2:23" ht="26.4" x14ac:dyDescent="0.25">
      <c r="B608" s="979">
        <v>43103</v>
      </c>
      <c r="C608" s="961" t="s">
        <v>4753</v>
      </c>
      <c r="D608" s="955" t="s">
        <v>4441</v>
      </c>
      <c r="E608" s="956">
        <v>10.62</v>
      </c>
      <c r="G608" s="224"/>
      <c r="H608" s="249"/>
    </row>
    <row r="609" spans="2:23" ht="26.4" x14ac:dyDescent="0.25">
      <c r="B609" s="979">
        <v>43110</v>
      </c>
      <c r="C609" s="961" t="s">
        <v>4753</v>
      </c>
      <c r="D609" s="955" t="s">
        <v>4441</v>
      </c>
      <c r="E609" s="956">
        <v>10.62</v>
      </c>
      <c r="G609" s="224"/>
    </row>
    <row r="610" spans="2:23" s="326" customFormat="1" ht="26.4" x14ac:dyDescent="0.25">
      <c r="B610" s="979">
        <v>43112</v>
      </c>
      <c r="C610" s="961" t="s">
        <v>4753</v>
      </c>
      <c r="D610" s="955" t="s">
        <v>4441</v>
      </c>
      <c r="E610" s="956">
        <v>10.62</v>
      </c>
      <c r="F610" s="299"/>
      <c r="H610" s="249"/>
      <c r="I610" s="299"/>
      <c r="J610" s="249"/>
      <c r="K610" s="299"/>
      <c r="L610" s="299"/>
      <c r="M610" s="299"/>
      <c r="N610" s="299"/>
      <c r="O610" s="299"/>
      <c r="P610" s="299"/>
      <c r="Q610" s="299"/>
      <c r="R610" s="299"/>
      <c r="S610" s="299"/>
      <c r="T610" s="224"/>
      <c r="U610" s="224"/>
      <c r="V610" s="224"/>
      <c r="W610" s="224"/>
    </row>
    <row r="611" spans="2:23" ht="26.4" x14ac:dyDescent="0.25">
      <c r="B611" s="979">
        <v>43115</v>
      </c>
      <c r="C611" s="961" t="s">
        <v>4753</v>
      </c>
      <c r="D611" s="955" t="s">
        <v>4441</v>
      </c>
      <c r="E611" s="956">
        <v>10.62</v>
      </c>
      <c r="G611" s="224"/>
      <c r="H611" s="249"/>
    </row>
    <row r="612" spans="2:23" ht="26.4" x14ac:dyDescent="0.25">
      <c r="B612" s="985">
        <v>43123</v>
      </c>
      <c r="C612" s="986" t="s">
        <v>4753</v>
      </c>
      <c r="D612" s="987" t="s">
        <v>4441</v>
      </c>
      <c r="E612" s="976">
        <v>10.62</v>
      </c>
      <c r="F612" s="457"/>
      <c r="G612" s="451"/>
      <c r="H612" s="249"/>
    </row>
    <row r="613" spans="2:23" ht="26.4" x14ac:dyDescent="0.25">
      <c r="B613" s="985">
        <v>43132</v>
      </c>
      <c r="C613" s="986" t="s">
        <v>4753</v>
      </c>
      <c r="D613" s="987" t="s">
        <v>4441</v>
      </c>
      <c r="E613" s="976">
        <v>10.62</v>
      </c>
      <c r="F613" s="457"/>
      <c r="G613" s="457"/>
      <c r="H613" s="249"/>
    </row>
    <row r="614" spans="2:23" s="326" customFormat="1" ht="26.4" x14ac:dyDescent="0.25">
      <c r="B614" s="985">
        <v>43137</v>
      </c>
      <c r="C614" s="986" t="s">
        <v>4753</v>
      </c>
      <c r="D614" s="987" t="s">
        <v>4441</v>
      </c>
      <c r="E614" s="976">
        <v>10.62</v>
      </c>
      <c r="F614" s="457"/>
      <c r="G614" s="457"/>
      <c r="H614" s="249"/>
      <c r="I614" s="299"/>
      <c r="J614" s="249"/>
      <c r="K614" s="299"/>
      <c r="L614" s="299"/>
      <c r="M614" s="299"/>
      <c r="N614" s="299"/>
      <c r="O614" s="299"/>
      <c r="P614" s="299"/>
      <c r="Q614" s="299"/>
      <c r="R614" s="299"/>
      <c r="S614" s="299"/>
      <c r="T614" s="224"/>
      <c r="U614" s="224"/>
      <c r="V614" s="224"/>
      <c r="W614" s="224"/>
    </row>
    <row r="615" spans="2:23" s="326" customFormat="1" ht="26.4" x14ac:dyDescent="0.25">
      <c r="B615" s="985">
        <v>43137</v>
      </c>
      <c r="C615" s="986" t="s">
        <v>4753</v>
      </c>
      <c r="D615" s="987" t="s">
        <v>4441</v>
      </c>
      <c r="E615" s="976">
        <v>10.62</v>
      </c>
      <c r="F615" s="457"/>
      <c r="G615" s="457"/>
      <c r="H615" s="299"/>
      <c r="I615" s="299"/>
      <c r="J615" s="249"/>
      <c r="K615" s="299"/>
      <c r="L615" s="299"/>
      <c r="M615" s="299"/>
      <c r="N615" s="299"/>
      <c r="O615" s="299"/>
      <c r="P615" s="299"/>
      <c r="Q615" s="299"/>
      <c r="R615" s="299"/>
      <c r="S615" s="299"/>
      <c r="T615" s="224"/>
      <c r="U615" s="224"/>
      <c r="V615" s="224"/>
      <c r="W615" s="224"/>
    </row>
    <row r="616" spans="2:23" s="326" customFormat="1" ht="26.4" x14ac:dyDescent="0.25">
      <c r="B616" s="985">
        <v>43139</v>
      </c>
      <c r="C616" s="986" t="s">
        <v>4753</v>
      </c>
      <c r="D616" s="987" t="s">
        <v>4441</v>
      </c>
      <c r="E616" s="976">
        <v>10.62</v>
      </c>
      <c r="F616" s="457"/>
      <c r="H616" s="249"/>
      <c r="I616" s="299"/>
      <c r="J616" s="249"/>
      <c r="K616" s="299"/>
      <c r="L616" s="299"/>
      <c r="M616" s="299"/>
      <c r="N616" s="299"/>
      <c r="O616" s="299"/>
      <c r="P616" s="299"/>
      <c r="Q616" s="299"/>
      <c r="R616" s="299"/>
      <c r="S616" s="299"/>
      <c r="T616" s="224"/>
      <c r="U616" s="224"/>
      <c r="V616" s="224"/>
      <c r="W616" s="224"/>
    </row>
    <row r="617" spans="2:23" s="326" customFormat="1" ht="26.4" x14ac:dyDescent="0.25">
      <c r="B617" s="988">
        <v>43145</v>
      </c>
      <c r="C617" s="537" t="s">
        <v>4753</v>
      </c>
      <c r="D617" s="989" t="s">
        <v>4441</v>
      </c>
      <c r="E617" s="463">
        <v>10.62</v>
      </c>
      <c r="F617" s="457"/>
      <c r="G617" s="457"/>
      <c r="H617" s="249"/>
      <c r="I617" s="299"/>
      <c r="J617" s="249"/>
      <c r="K617" s="249"/>
      <c r="L617" s="299"/>
      <c r="M617" s="299"/>
      <c r="N617" s="299"/>
      <c r="O617" s="299"/>
      <c r="P617" s="299"/>
      <c r="Q617" s="299"/>
      <c r="R617" s="299"/>
      <c r="S617" s="299"/>
      <c r="T617" s="224"/>
      <c r="U617" s="224"/>
      <c r="V617" s="224"/>
      <c r="W617" s="224"/>
    </row>
    <row r="618" spans="2:23" s="326" customFormat="1" ht="26.4" x14ac:dyDescent="0.25">
      <c r="B618" s="988">
        <v>43150</v>
      </c>
      <c r="C618" s="537" t="s">
        <v>4753</v>
      </c>
      <c r="D618" s="989" t="s">
        <v>4441</v>
      </c>
      <c r="E618" s="463">
        <v>10.62</v>
      </c>
      <c r="F618" s="457"/>
      <c r="G618" s="457"/>
      <c r="H618" s="249"/>
      <c r="I618" s="299"/>
      <c r="J618" s="249"/>
      <c r="K618" s="249"/>
      <c r="L618" s="299"/>
      <c r="M618" s="299"/>
      <c r="N618" s="299"/>
      <c r="O618" s="299"/>
      <c r="P618" s="299"/>
      <c r="Q618" s="299"/>
      <c r="R618" s="299"/>
      <c r="S618" s="299"/>
      <c r="T618" s="224"/>
      <c r="U618" s="224"/>
      <c r="V618" s="224"/>
      <c r="W618" s="224"/>
    </row>
    <row r="619" spans="2:23" s="326" customFormat="1" ht="26.4" x14ac:dyDescent="0.25">
      <c r="B619" s="988">
        <v>43150</v>
      </c>
      <c r="C619" s="537" t="s">
        <v>4753</v>
      </c>
      <c r="D619" s="989" t="s">
        <v>4441</v>
      </c>
      <c r="E619" s="463">
        <v>10.62</v>
      </c>
      <c r="F619" s="457"/>
      <c r="G619" s="457"/>
      <c r="H619" s="249"/>
      <c r="I619" s="299"/>
      <c r="J619" s="249"/>
      <c r="K619" s="249"/>
      <c r="L619" s="299"/>
      <c r="M619" s="299"/>
      <c r="N619" s="299"/>
      <c r="O619" s="299"/>
      <c r="P619" s="299"/>
      <c r="Q619" s="299"/>
      <c r="R619" s="299"/>
      <c r="S619" s="299"/>
      <c r="T619" s="224"/>
      <c r="U619" s="224"/>
      <c r="V619" s="224"/>
      <c r="W619" s="224"/>
    </row>
    <row r="620" spans="2:23" s="326" customFormat="1" ht="26.4" x14ac:dyDescent="0.25">
      <c r="B620" s="988">
        <v>43150</v>
      </c>
      <c r="C620" s="537" t="s">
        <v>4753</v>
      </c>
      <c r="D620" s="989" t="s">
        <v>4441</v>
      </c>
      <c r="E620" s="463">
        <v>10.62</v>
      </c>
      <c r="F620" s="457"/>
      <c r="G620" s="457"/>
      <c r="H620" s="249"/>
      <c r="I620" s="299"/>
      <c r="J620" s="249"/>
      <c r="K620" s="249"/>
      <c r="L620" s="299"/>
      <c r="M620" s="299"/>
      <c r="N620" s="299"/>
      <c r="O620" s="299"/>
      <c r="P620" s="299"/>
      <c r="Q620" s="299"/>
      <c r="R620" s="299"/>
      <c r="S620" s="299"/>
      <c r="T620" s="224"/>
      <c r="U620" s="224"/>
      <c r="V620" s="224"/>
      <c r="W620" s="224"/>
    </row>
    <row r="621" spans="2:23" s="326" customFormat="1" ht="26.4" x14ac:dyDescent="0.25">
      <c r="B621" s="988">
        <v>43151</v>
      </c>
      <c r="C621" s="537" t="s">
        <v>4753</v>
      </c>
      <c r="D621" s="989" t="s">
        <v>4441</v>
      </c>
      <c r="E621" s="463">
        <v>10.62</v>
      </c>
      <c r="F621" s="457"/>
      <c r="G621" s="988"/>
      <c r="H621" s="249"/>
      <c r="I621" s="299"/>
      <c r="J621" s="249"/>
      <c r="K621" s="249"/>
      <c r="L621" s="299"/>
      <c r="M621" s="299"/>
      <c r="N621" s="299"/>
      <c r="O621" s="299"/>
      <c r="P621" s="299"/>
      <c r="Q621" s="299"/>
      <c r="R621" s="299"/>
      <c r="S621" s="299"/>
      <c r="T621" s="224"/>
      <c r="U621" s="224"/>
      <c r="V621" s="224"/>
      <c r="W621" s="224"/>
    </row>
    <row r="622" spans="2:23" s="326" customFormat="1" ht="26.4" x14ac:dyDescent="0.25">
      <c r="B622" s="988">
        <v>43154</v>
      </c>
      <c r="C622" s="537" t="s">
        <v>4753</v>
      </c>
      <c r="D622" s="989" t="s">
        <v>4441</v>
      </c>
      <c r="E622" s="463">
        <v>10.62</v>
      </c>
      <c r="F622" s="457"/>
      <c r="G622" s="457"/>
      <c r="H622" s="299"/>
      <c r="I622" s="299"/>
      <c r="J622" s="249"/>
      <c r="K622" s="299"/>
      <c r="L622" s="299"/>
      <c r="M622" s="299"/>
      <c r="N622" s="299"/>
      <c r="O622" s="299"/>
      <c r="P622" s="299"/>
      <c r="Q622" s="299"/>
      <c r="R622" s="299"/>
      <c r="S622" s="299"/>
      <c r="T622" s="224"/>
      <c r="U622" s="224"/>
      <c r="V622" s="224"/>
      <c r="W622" s="224"/>
    </row>
    <row r="623" spans="2:23" ht="26.4" x14ac:dyDescent="0.25">
      <c r="B623" s="988">
        <v>43154</v>
      </c>
      <c r="C623" s="537" t="s">
        <v>4753</v>
      </c>
      <c r="D623" s="989" t="s">
        <v>4441</v>
      </c>
      <c r="E623" s="463">
        <v>10.62</v>
      </c>
      <c r="F623" s="457"/>
      <c r="H623" s="249"/>
    </row>
    <row r="624" spans="2:23" ht="26.4" x14ac:dyDescent="0.25">
      <c r="B624" s="988">
        <v>43152</v>
      </c>
      <c r="C624" s="537" t="s">
        <v>4753</v>
      </c>
      <c r="D624" s="989" t="s">
        <v>4441</v>
      </c>
      <c r="E624" s="463">
        <v>10.62</v>
      </c>
      <c r="F624" s="457"/>
      <c r="H624" s="249"/>
    </row>
    <row r="625" spans="2:23" s="326" customFormat="1" ht="26.4" x14ac:dyDescent="0.25">
      <c r="B625" s="988">
        <v>43159</v>
      </c>
      <c r="C625" s="537" t="s">
        <v>4753</v>
      </c>
      <c r="D625" s="989" t="s">
        <v>4441</v>
      </c>
      <c r="E625" s="463">
        <v>10.62</v>
      </c>
      <c r="F625" s="457"/>
      <c r="G625" s="988"/>
      <c r="H625" s="249"/>
      <c r="I625" s="299"/>
      <c r="J625" s="249"/>
      <c r="K625" s="249"/>
      <c r="L625" s="299"/>
      <c r="M625" s="299"/>
      <c r="N625" s="299"/>
      <c r="O625" s="299"/>
      <c r="P625" s="299"/>
      <c r="Q625" s="299"/>
      <c r="R625" s="299"/>
      <c r="S625" s="299"/>
      <c r="T625" s="224"/>
      <c r="U625" s="224"/>
      <c r="V625" s="224"/>
      <c r="W625" s="224"/>
    </row>
    <row r="626" spans="2:23" s="326" customFormat="1" ht="26.4" x14ac:dyDescent="0.25">
      <c r="B626" s="988">
        <v>43166</v>
      </c>
      <c r="C626" s="537" t="s">
        <v>4753</v>
      </c>
      <c r="D626" s="989" t="s">
        <v>4441</v>
      </c>
      <c r="E626" s="463">
        <v>10.62</v>
      </c>
      <c r="F626" s="457"/>
      <c r="H626" s="249"/>
      <c r="I626" s="299"/>
      <c r="J626" s="249"/>
      <c r="K626" s="249"/>
      <c r="L626" s="299"/>
      <c r="M626" s="299"/>
      <c r="N626" s="299"/>
      <c r="O626" s="299"/>
      <c r="P626" s="299"/>
      <c r="Q626" s="299"/>
      <c r="R626" s="299"/>
      <c r="S626" s="299"/>
      <c r="T626" s="224"/>
      <c r="U626" s="224"/>
      <c r="V626" s="224"/>
      <c r="W626" s="224"/>
    </row>
    <row r="627" spans="2:23" s="326" customFormat="1" ht="26.4" x14ac:dyDescent="0.25">
      <c r="B627" s="988">
        <v>43166</v>
      </c>
      <c r="C627" s="537" t="s">
        <v>4753</v>
      </c>
      <c r="D627" s="989" t="s">
        <v>4441</v>
      </c>
      <c r="E627" s="463">
        <v>10.62</v>
      </c>
      <c r="F627" s="457"/>
      <c r="H627" s="249"/>
      <c r="I627" s="299"/>
      <c r="J627" s="249"/>
      <c r="K627" s="249"/>
      <c r="L627" s="299"/>
      <c r="M627" s="299"/>
      <c r="N627" s="299"/>
      <c r="O627" s="299"/>
      <c r="P627" s="299"/>
      <c r="Q627" s="299"/>
      <c r="R627" s="299"/>
      <c r="S627" s="299"/>
      <c r="T627" s="224"/>
      <c r="U627" s="224"/>
      <c r="V627" s="224"/>
      <c r="W627" s="224"/>
    </row>
    <row r="628" spans="2:23" ht="26.4" x14ac:dyDescent="0.25">
      <c r="B628" s="988">
        <v>43166</v>
      </c>
      <c r="C628" s="996" t="s">
        <v>4753</v>
      </c>
      <c r="D628" s="989" t="s">
        <v>4441</v>
      </c>
      <c r="E628" s="990">
        <v>10.62</v>
      </c>
      <c r="F628" s="457"/>
      <c r="G628" s="224"/>
    </row>
    <row r="629" spans="2:23" ht="26.4" x14ac:dyDescent="0.25">
      <c r="B629" s="988">
        <v>43166</v>
      </c>
      <c r="C629" s="996" t="s">
        <v>4753</v>
      </c>
      <c r="D629" s="989" t="s">
        <v>4441</v>
      </c>
      <c r="E629" s="990">
        <v>10.62</v>
      </c>
      <c r="F629" s="457"/>
      <c r="G629" s="224"/>
    </row>
    <row r="630" spans="2:23" s="299" customFormat="1" ht="26.4" x14ac:dyDescent="0.25">
      <c r="B630" s="988">
        <v>43164</v>
      </c>
      <c r="C630" s="996" t="s">
        <v>4753</v>
      </c>
      <c r="D630" s="989" t="s">
        <v>4441</v>
      </c>
      <c r="E630" s="990">
        <v>10.62</v>
      </c>
      <c r="F630" s="457"/>
      <c r="G630" s="224"/>
      <c r="J630" s="249"/>
      <c r="T630" s="224"/>
      <c r="U630" s="224"/>
      <c r="V630" s="224"/>
      <c r="W630" s="224"/>
    </row>
    <row r="631" spans="2:23" s="299" customFormat="1" ht="26.4" x14ac:dyDescent="0.25">
      <c r="B631" s="988">
        <v>43164</v>
      </c>
      <c r="C631" s="996" t="s">
        <v>4753</v>
      </c>
      <c r="D631" s="989" t="s">
        <v>4441</v>
      </c>
      <c r="E631" s="990">
        <v>10.62</v>
      </c>
      <c r="F631" s="457"/>
      <c r="G631" s="224"/>
      <c r="J631" s="249"/>
      <c r="T631" s="224"/>
      <c r="U631" s="224"/>
      <c r="V631" s="224"/>
      <c r="W631" s="224"/>
    </row>
    <row r="632" spans="2:23" s="299" customFormat="1" ht="26.4" x14ac:dyDescent="0.25">
      <c r="B632" s="988">
        <v>43160</v>
      </c>
      <c r="C632" s="996" t="s">
        <v>4753</v>
      </c>
      <c r="D632" s="989" t="s">
        <v>4441</v>
      </c>
      <c r="E632" s="990">
        <v>10.62</v>
      </c>
      <c r="F632" s="457"/>
      <c r="G632" s="224"/>
      <c r="J632" s="249"/>
      <c r="T632" s="224"/>
      <c r="U632" s="224"/>
      <c r="V632" s="224"/>
      <c r="W632" s="224"/>
    </row>
    <row r="633" spans="2:23" s="299" customFormat="1" ht="26.4" x14ac:dyDescent="0.25">
      <c r="B633" s="988">
        <v>43160</v>
      </c>
      <c r="C633" s="996" t="s">
        <v>4753</v>
      </c>
      <c r="D633" s="989" t="s">
        <v>4441</v>
      </c>
      <c r="E633" s="990">
        <v>10.62</v>
      </c>
      <c r="F633" s="457"/>
      <c r="G633" s="224"/>
      <c r="J633" s="249"/>
      <c r="T633" s="224"/>
      <c r="U633" s="224"/>
      <c r="V633" s="224"/>
      <c r="W633" s="224"/>
    </row>
    <row r="634" spans="2:23" s="299" customFormat="1" ht="26.4" x14ac:dyDescent="0.25">
      <c r="B634" s="995">
        <v>43168</v>
      </c>
      <c r="C634" s="537" t="s">
        <v>4753</v>
      </c>
      <c r="D634" s="989" t="s">
        <v>4441</v>
      </c>
      <c r="E634" s="463">
        <v>10.62</v>
      </c>
      <c r="F634" s="457"/>
      <c r="J634" s="249"/>
      <c r="T634" s="224"/>
      <c r="U634" s="224"/>
      <c r="V634" s="224"/>
      <c r="W634" s="224"/>
    </row>
    <row r="635" spans="2:23" s="299" customFormat="1" ht="26.4" x14ac:dyDescent="0.25">
      <c r="B635" s="995">
        <v>43168</v>
      </c>
      <c r="C635" s="537" t="s">
        <v>4753</v>
      </c>
      <c r="D635" s="989" t="s">
        <v>4441</v>
      </c>
      <c r="E635" s="463">
        <v>10.62</v>
      </c>
      <c r="F635" s="457"/>
      <c r="G635" s="224"/>
      <c r="J635" s="249"/>
      <c r="T635" s="224"/>
      <c r="U635" s="224"/>
      <c r="V635" s="224"/>
      <c r="W635" s="224"/>
    </row>
    <row r="636" spans="2:23" s="299" customFormat="1" ht="26.4" x14ac:dyDescent="0.25">
      <c r="B636" s="995">
        <v>43171</v>
      </c>
      <c r="C636" s="537" t="s">
        <v>4753</v>
      </c>
      <c r="D636" s="989" t="s">
        <v>4441</v>
      </c>
      <c r="E636" s="463">
        <v>10.62</v>
      </c>
      <c r="F636" s="457"/>
      <c r="J636" s="249"/>
      <c r="T636" s="224"/>
      <c r="U636" s="224"/>
      <c r="V636" s="224"/>
      <c r="W636" s="224"/>
    </row>
    <row r="637" spans="2:23" s="299" customFormat="1" ht="26.4" x14ac:dyDescent="0.25">
      <c r="B637" s="995">
        <v>43171</v>
      </c>
      <c r="C637" s="537" t="s">
        <v>4753</v>
      </c>
      <c r="D637" s="989" t="s">
        <v>4441</v>
      </c>
      <c r="E637" s="463">
        <v>10.62</v>
      </c>
      <c r="F637" s="457"/>
      <c r="J637" s="249"/>
      <c r="T637" s="224"/>
      <c r="U637" s="224"/>
      <c r="V637" s="224"/>
      <c r="W637" s="224"/>
    </row>
    <row r="638" spans="2:23" s="299" customFormat="1" ht="26.4" x14ac:dyDescent="0.25">
      <c r="B638" s="995">
        <v>43178</v>
      </c>
      <c r="C638" s="537" t="s">
        <v>4753</v>
      </c>
      <c r="D638" s="989" t="s">
        <v>4441</v>
      </c>
      <c r="E638" s="463">
        <v>10.62</v>
      </c>
      <c r="F638" s="457"/>
      <c r="J638" s="249"/>
      <c r="T638" s="224"/>
      <c r="U638" s="224"/>
      <c r="V638" s="224"/>
      <c r="W638" s="224"/>
    </row>
    <row r="639" spans="2:23" s="299" customFormat="1" ht="26.4" x14ac:dyDescent="0.25">
      <c r="B639" s="995">
        <v>43173</v>
      </c>
      <c r="C639" s="537" t="s">
        <v>4753</v>
      </c>
      <c r="D639" s="989" t="s">
        <v>4441</v>
      </c>
      <c r="E639" s="463">
        <v>10.62</v>
      </c>
      <c r="F639" s="457"/>
      <c r="J639" s="249"/>
      <c r="T639" s="224"/>
      <c r="U639" s="224"/>
      <c r="V639" s="224"/>
      <c r="W639" s="224"/>
    </row>
    <row r="640" spans="2:23" s="299" customFormat="1" ht="26.4" x14ac:dyDescent="0.25">
      <c r="B640" s="995">
        <v>43173</v>
      </c>
      <c r="C640" s="537" t="s">
        <v>4753</v>
      </c>
      <c r="D640" s="989" t="s">
        <v>4441</v>
      </c>
      <c r="E640" s="463">
        <v>10.62</v>
      </c>
      <c r="F640" s="457"/>
      <c r="J640" s="249"/>
      <c r="T640" s="224"/>
      <c r="U640" s="224"/>
      <c r="V640" s="224"/>
      <c r="W640" s="224"/>
    </row>
    <row r="641" spans="2:23" s="299" customFormat="1" ht="26.4" x14ac:dyDescent="0.25">
      <c r="B641" s="995">
        <v>43179</v>
      </c>
      <c r="C641" s="537" t="s">
        <v>4753</v>
      </c>
      <c r="D641" s="989" t="s">
        <v>4441</v>
      </c>
      <c r="E641" s="463">
        <v>10.62</v>
      </c>
      <c r="F641" s="457"/>
      <c r="G641" s="995"/>
      <c r="J641" s="249"/>
      <c r="T641" s="224"/>
      <c r="U641" s="224"/>
      <c r="V641" s="224"/>
      <c r="W641" s="224"/>
    </row>
    <row r="642" spans="2:23" s="299" customFormat="1" ht="26.4" x14ac:dyDescent="0.25">
      <c r="B642" s="995">
        <v>43180</v>
      </c>
      <c r="C642" s="537" t="s">
        <v>4753</v>
      </c>
      <c r="D642" s="989" t="s">
        <v>4441</v>
      </c>
      <c r="E642" s="463">
        <v>10.62</v>
      </c>
      <c r="F642" s="457"/>
      <c r="G642" s="995"/>
      <c r="J642" s="249"/>
      <c r="T642" s="224"/>
      <c r="U642" s="224"/>
      <c r="V642" s="224"/>
      <c r="W642" s="224"/>
    </row>
    <row r="643" spans="2:23" s="299" customFormat="1" ht="26.4" x14ac:dyDescent="0.25">
      <c r="B643" s="995">
        <v>43181</v>
      </c>
      <c r="C643" s="537" t="s">
        <v>4753</v>
      </c>
      <c r="D643" s="989" t="s">
        <v>4441</v>
      </c>
      <c r="E643" s="463">
        <v>10.62</v>
      </c>
      <c r="F643" s="457"/>
      <c r="G643" s="995"/>
      <c r="J643" s="249"/>
      <c r="T643" s="224"/>
      <c r="U643" s="224"/>
      <c r="V643" s="224"/>
      <c r="W643" s="224"/>
    </row>
    <row r="644" spans="2:23" s="299" customFormat="1" ht="26.4" x14ac:dyDescent="0.25">
      <c r="B644" s="995">
        <v>43185</v>
      </c>
      <c r="C644" s="537" t="s">
        <v>4753</v>
      </c>
      <c r="D644" s="989" t="s">
        <v>4441</v>
      </c>
      <c r="E644" s="463">
        <v>10.62</v>
      </c>
      <c r="F644" s="457"/>
      <c r="G644" s="995"/>
      <c r="J644" s="249"/>
      <c r="T644" s="224"/>
      <c r="U644" s="224"/>
      <c r="V644" s="224"/>
      <c r="W644" s="224"/>
    </row>
    <row r="645" spans="2:23" s="299" customFormat="1" ht="26.4" x14ac:dyDescent="0.25">
      <c r="B645" s="995">
        <v>43182</v>
      </c>
      <c r="C645" s="537" t="s">
        <v>4753</v>
      </c>
      <c r="D645" s="989" t="s">
        <v>4441</v>
      </c>
      <c r="E645" s="463">
        <v>10.62</v>
      </c>
      <c r="F645" s="457"/>
      <c r="G645" s="995"/>
      <c r="J645" s="249"/>
      <c r="T645" s="224"/>
      <c r="U645" s="224"/>
      <c r="V645" s="224"/>
      <c r="W645" s="224"/>
    </row>
    <row r="646" spans="2:23" s="299" customFormat="1" ht="26.4" x14ac:dyDescent="0.25">
      <c r="B646" s="995">
        <v>43182</v>
      </c>
      <c r="C646" s="537" t="s">
        <v>4753</v>
      </c>
      <c r="D646" s="989" t="s">
        <v>4441</v>
      </c>
      <c r="E646" s="463">
        <v>10.62</v>
      </c>
      <c r="F646" s="457"/>
      <c r="G646" s="995"/>
      <c r="J646" s="249"/>
      <c r="T646" s="224"/>
      <c r="U646" s="224"/>
      <c r="V646" s="224"/>
      <c r="W646" s="224"/>
    </row>
    <row r="647" spans="2:23" s="299" customFormat="1" ht="12.75" customHeight="1" x14ac:dyDescent="0.25">
      <c r="B647" s="988"/>
      <c r="C647" s="537"/>
      <c r="D647" s="989"/>
      <c r="E647" s="463"/>
      <c r="F647" s="457"/>
      <c r="G647" s="224"/>
      <c r="J647" s="249"/>
      <c r="T647" s="224"/>
      <c r="U647" s="224"/>
      <c r="V647" s="224"/>
      <c r="W647" s="224"/>
    </row>
    <row r="648" spans="2:23" s="299" customFormat="1" ht="12.75" customHeight="1" x14ac:dyDescent="0.25">
      <c r="B648" s="225"/>
      <c r="C648" s="295"/>
      <c r="D648" s="711"/>
      <c r="G648" s="224"/>
      <c r="J648" s="249"/>
      <c r="T648" s="224"/>
      <c r="U648" s="224"/>
      <c r="V648" s="224"/>
      <c r="W648" s="224"/>
    </row>
    <row r="649" spans="2:23" s="299" customFormat="1" ht="12.75" customHeight="1" x14ac:dyDescent="0.25">
      <c r="B649" s="225"/>
      <c r="C649" s="295"/>
      <c r="D649" s="711"/>
      <c r="G649" s="224"/>
      <c r="J649" s="249"/>
      <c r="T649" s="224"/>
      <c r="U649" s="224"/>
      <c r="V649" s="224"/>
      <c r="W649" s="224"/>
    </row>
    <row r="650" spans="2:23" s="299" customFormat="1" ht="12.75" customHeight="1" thickBot="1" x14ac:dyDescent="0.3">
      <c r="B650" s="225"/>
      <c r="C650" s="295"/>
      <c r="D650" s="711"/>
      <c r="G650" s="224"/>
      <c r="J650" s="249"/>
      <c r="T650" s="224"/>
      <c r="U650" s="224"/>
      <c r="V650" s="224"/>
      <c r="W650" s="224"/>
    </row>
    <row r="651" spans="2:23" s="299" customFormat="1" ht="12.75" customHeight="1" thickBot="1" x14ac:dyDescent="0.3">
      <c r="B651" s="387"/>
      <c r="C651" s="295"/>
      <c r="D651" s="2" t="s">
        <v>1040</v>
      </c>
      <c r="E651" s="423">
        <f>SUM(E603:E650)</f>
        <v>467.01000000000016</v>
      </c>
      <c r="G651" s="224"/>
      <c r="H651" s="249"/>
      <c r="J651" s="249"/>
      <c r="T651" s="224"/>
      <c r="U651" s="224"/>
      <c r="V651" s="224"/>
      <c r="W651" s="224"/>
    </row>
    <row r="652" spans="2:23" s="299" customFormat="1" ht="12.75" customHeight="1" x14ac:dyDescent="0.25">
      <c r="B652" s="387"/>
      <c r="C652" s="295"/>
      <c r="D652" s="23"/>
      <c r="F652" s="60"/>
      <c r="G652" s="224"/>
      <c r="H652" s="3"/>
      <c r="J652" s="249"/>
      <c r="T652" s="224"/>
      <c r="U652" s="224"/>
      <c r="V652" s="224"/>
      <c r="W652" s="224"/>
    </row>
    <row r="653" spans="2:23" s="299" customFormat="1" ht="12.75" customHeight="1" x14ac:dyDescent="0.25">
      <c r="B653" s="387"/>
      <c r="C653" s="295"/>
      <c r="D653" s="711"/>
      <c r="F653" s="60"/>
      <c r="G653" s="224"/>
      <c r="H653" s="3"/>
      <c r="J653" s="249"/>
      <c r="T653" s="224"/>
      <c r="U653" s="224"/>
      <c r="V653" s="224"/>
      <c r="W653" s="224"/>
    </row>
    <row r="654" spans="2:23" s="299" customFormat="1" ht="12.75" customHeight="1" x14ac:dyDescent="0.25">
      <c r="B654" s="387"/>
      <c r="C654" s="295"/>
      <c r="D654" s="711"/>
      <c r="G654" s="224"/>
      <c r="J654" s="249"/>
      <c r="T654" s="224"/>
      <c r="U654" s="224"/>
      <c r="V654" s="224"/>
      <c r="W654" s="224"/>
    </row>
    <row r="655" spans="2:23" s="299" customFormat="1" ht="12.75" customHeight="1" x14ac:dyDescent="0.25">
      <c r="B655" s="225"/>
      <c r="C655" s="295"/>
      <c r="D655" s="711"/>
      <c r="G655" s="224"/>
      <c r="J655" s="249"/>
      <c r="T655" s="224"/>
      <c r="U655" s="224"/>
      <c r="V655" s="224"/>
      <c r="W655" s="224"/>
    </row>
    <row r="656" spans="2:23" s="299" customFormat="1" ht="12.75" customHeight="1" x14ac:dyDescent="0.25">
      <c r="B656" s="225"/>
      <c r="C656" s="295"/>
      <c r="D656" s="711"/>
      <c r="G656" s="224"/>
      <c r="J656" s="249"/>
      <c r="T656" s="224"/>
      <c r="U656" s="224"/>
      <c r="V656" s="224"/>
      <c r="W656" s="224"/>
    </row>
    <row r="657" spans="2:23" s="299" customFormat="1" ht="12.75" customHeight="1" x14ac:dyDescent="0.25">
      <c r="B657" s="225"/>
      <c r="C657" s="295"/>
      <c r="D657" s="711"/>
      <c r="G657" s="224"/>
      <c r="J657" s="249"/>
      <c r="T657" s="224"/>
      <c r="U657" s="224"/>
      <c r="V657" s="224"/>
      <c r="W657" s="224"/>
    </row>
    <row r="658" spans="2:23" s="299" customFormat="1" ht="12.75" customHeight="1" x14ac:dyDescent="0.25">
      <c r="B658" s="225"/>
      <c r="C658" s="295"/>
      <c r="D658" s="711"/>
      <c r="J658" s="249"/>
      <c r="T658" s="224"/>
      <c r="U658" s="224"/>
      <c r="V658" s="224"/>
      <c r="W658" s="224"/>
    </row>
    <row r="659" spans="2:23" s="299" customFormat="1" ht="12.75" customHeight="1" x14ac:dyDescent="0.25">
      <c r="B659" s="225"/>
      <c r="C659" s="295"/>
      <c r="D659" s="711"/>
      <c r="J659" s="249"/>
      <c r="T659" s="224"/>
      <c r="U659" s="224"/>
      <c r="V659" s="224"/>
      <c r="W659" s="224"/>
    </row>
    <row r="660" spans="2:23" s="299" customFormat="1" ht="12.75" customHeight="1" x14ac:dyDescent="0.25">
      <c r="B660" s="225"/>
      <c r="C660" s="295"/>
      <c r="D660" s="711"/>
      <c r="J660" s="249"/>
      <c r="T660" s="224"/>
      <c r="U660" s="224"/>
      <c r="V660" s="224"/>
      <c r="W660" s="224"/>
    </row>
    <row r="661" spans="2:23" s="299" customFormat="1" ht="12.75" customHeight="1" x14ac:dyDescent="0.25">
      <c r="B661" s="225"/>
      <c r="C661" s="295"/>
      <c r="D661" s="711"/>
      <c r="J661" s="249"/>
      <c r="T661" s="224"/>
      <c r="U661" s="224"/>
      <c r="V661" s="224"/>
      <c r="W661" s="224"/>
    </row>
    <row r="662" spans="2:23" s="299" customFormat="1" ht="12.75" customHeight="1" x14ac:dyDescent="0.25">
      <c r="B662" s="225"/>
      <c r="C662" s="295"/>
      <c r="D662" s="711"/>
      <c r="J662" s="249"/>
      <c r="T662" s="224"/>
      <c r="U662" s="224"/>
      <c r="V662" s="224"/>
      <c r="W662" s="224"/>
    </row>
    <row r="663" spans="2:23" s="299" customFormat="1" ht="12.75" customHeight="1" x14ac:dyDescent="0.25">
      <c r="B663" s="225"/>
      <c r="C663" s="295"/>
      <c r="D663" s="711"/>
      <c r="J663" s="249"/>
      <c r="T663" s="224"/>
      <c r="U663" s="224"/>
      <c r="V663" s="224"/>
      <c r="W663" s="224"/>
    </row>
    <row r="664" spans="2:23" s="299" customFormat="1" ht="12.75" customHeight="1" x14ac:dyDescent="0.25">
      <c r="B664" s="225"/>
      <c r="C664" s="295"/>
      <c r="D664" s="711"/>
      <c r="J664" s="249"/>
      <c r="T664" s="224"/>
      <c r="U664" s="224"/>
      <c r="V664" s="224"/>
      <c r="W664" s="224"/>
    </row>
    <row r="665" spans="2:23" s="299" customFormat="1" ht="12.75" customHeight="1" x14ac:dyDescent="0.25">
      <c r="B665" s="225"/>
      <c r="C665" s="295"/>
      <c r="D665" s="711"/>
      <c r="J665" s="249"/>
      <c r="T665" s="224"/>
      <c r="U665" s="224"/>
      <c r="V665" s="224"/>
      <c r="W665" s="224"/>
    </row>
    <row r="666" spans="2:23" s="299" customFormat="1" ht="12.75" customHeight="1" x14ac:dyDescent="0.25">
      <c r="B666" s="225"/>
      <c r="C666" s="295"/>
      <c r="D666" s="711"/>
      <c r="J666" s="249"/>
      <c r="T666" s="224"/>
      <c r="U666" s="224"/>
      <c r="V666" s="224"/>
      <c r="W666" s="224"/>
    </row>
    <row r="667" spans="2:23" s="299" customFormat="1" ht="12.75" customHeight="1" x14ac:dyDescent="0.25">
      <c r="B667" s="225"/>
      <c r="C667" s="295"/>
      <c r="D667" s="711"/>
      <c r="J667" s="249"/>
      <c r="T667" s="224"/>
      <c r="U667" s="224"/>
      <c r="V667" s="224"/>
      <c r="W667" s="224"/>
    </row>
    <row r="668" spans="2:23" s="299" customFormat="1" ht="12.75" customHeight="1" x14ac:dyDescent="0.25">
      <c r="B668" s="225"/>
      <c r="C668" s="295"/>
      <c r="D668" s="711"/>
      <c r="J668" s="249"/>
      <c r="T668" s="224"/>
      <c r="U668" s="224"/>
      <c r="V668" s="224"/>
      <c r="W668" s="224"/>
    </row>
    <row r="669" spans="2:23" s="299" customFormat="1" ht="12.75" customHeight="1" x14ac:dyDescent="0.25">
      <c r="B669" s="225"/>
      <c r="C669" s="295"/>
      <c r="D669" s="711"/>
      <c r="J669" s="249"/>
      <c r="T669" s="224"/>
      <c r="U669" s="224"/>
      <c r="V669" s="224"/>
      <c r="W669" s="224"/>
    </row>
    <row r="670" spans="2:23" s="299" customFormat="1" ht="12.75" customHeight="1" x14ac:dyDescent="0.25">
      <c r="B670" s="225"/>
      <c r="C670" s="295"/>
      <c r="D670" s="711"/>
      <c r="J670" s="249"/>
      <c r="T670" s="224"/>
      <c r="U670" s="224"/>
      <c r="V670" s="224"/>
      <c r="W670" s="224"/>
    </row>
    <row r="671" spans="2:23" s="299" customFormat="1" ht="12.75" customHeight="1" x14ac:dyDescent="0.25">
      <c r="B671" s="225"/>
      <c r="C671" s="295"/>
      <c r="D671" s="711"/>
      <c r="J671" s="249"/>
      <c r="T671" s="224"/>
      <c r="U671" s="224"/>
      <c r="V671" s="224"/>
      <c r="W671" s="224"/>
    </row>
    <row r="672" spans="2:23" s="299" customFormat="1" ht="12.75" customHeight="1" x14ac:dyDescent="0.25">
      <c r="B672" s="225"/>
      <c r="C672" s="295"/>
      <c r="D672" s="711"/>
      <c r="J672" s="249"/>
      <c r="T672" s="224"/>
      <c r="U672" s="224"/>
      <c r="V672" s="224"/>
      <c r="W672" s="224"/>
    </row>
    <row r="673" spans="2:23" s="299" customFormat="1" ht="12.75" customHeight="1" x14ac:dyDescent="0.25">
      <c r="B673" s="225"/>
      <c r="C673" s="295"/>
      <c r="D673" s="711"/>
      <c r="J673" s="249"/>
      <c r="T673" s="224"/>
      <c r="U673" s="224"/>
      <c r="V673" s="224"/>
      <c r="W673" s="224"/>
    </row>
    <row r="674" spans="2:23" s="299" customFormat="1" ht="12.75" customHeight="1" x14ac:dyDescent="0.25">
      <c r="B674" s="225"/>
      <c r="C674" s="295"/>
      <c r="D674" s="711"/>
      <c r="J674" s="249"/>
      <c r="T674" s="224"/>
      <c r="U674" s="224"/>
      <c r="V674" s="224"/>
      <c r="W674" s="224"/>
    </row>
    <row r="675" spans="2:23" s="299" customFormat="1" ht="12.75" customHeight="1" x14ac:dyDescent="0.25">
      <c r="B675" s="225"/>
      <c r="C675" s="295"/>
      <c r="D675" s="711"/>
      <c r="J675" s="249"/>
      <c r="T675" s="224"/>
      <c r="U675" s="224"/>
      <c r="V675" s="224"/>
      <c r="W675" s="224"/>
    </row>
    <row r="676" spans="2:23" s="299" customFormat="1" ht="12.75" customHeight="1" x14ac:dyDescent="0.25">
      <c r="B676" s="225"/>
      <c r="C676" s="295"/>
      <c r="D676" s="711"/>
      <c r="J676" s="249"/>
      <c r="T676" s="224"/>
      <c r="U676" s="224"/>
      <c r="V676" s="224"/>
      <c r="W676" s="224"/>
    </row>
    <row r="677" spans="2:23" s="299" customFormat="1" ht="12.75" customHeight="1" x14ac:dyDescent="0.25">
      <c r="B677" s="225"/>
      <c r="C677" s="295"/>
      <c r="D677" s="711"/>
      <c r="J677" s="249"/>
      <c r="T677" s="224"/>
      <c r="U677" s="224"/>
      <c r="V677" s="224"/>
      <c r="W677" s="224"/>
    </row>
    <row r="678" spans="2:23" s="299" customFormat="1" ht="12.75" customHeight="1" x14ac:dyDescent="0.25">
      <c r="B678" s="225"/>
      <c r="C678" s="295"/>
      <c r="D678" s="711"/>
      <c r="J678" s="249"/>
      <c r="T678" s="224"/>
      <c r="U678" s="224"/>
      <c r="V678" s="224"/>
      <c r="W678" s="224"/>
    </row>
    <row r="679" spans="2:23" s="299" customFormat="1" ht="12.75" customHeight="1" x14ac:dyDescent="0.25">
      <c r="B679" s="225"/>
      <c r="C679" s="295"/>
      <c r="D679" s="711"/>
      <c r="J679" s="249"/>
      <c r="T679" s="224"/>
      <c r="U679" s="224"/>
      <c r="V679" s="224"/>
      <c r="W679" s="224"/>
    </row>
    <row r="680" spans="2:23" s="299" customFormat="1" ht="12.75" customHeight="1" x14ac:dyDescent="0.25">
      <c r="B680" s="225"/>
      <c r="C680" s="295"/>
      <c r="D680" s="711"/>
      <c r="J680" s="249"/>
      <c r="T680" s="224"/>
      <c r="U680" s="224"/>
      <c r="V680" s="224"/>
      <c r="W680" s="224"/>
    </row>
    <row r="681" spans="2:23" s="299" customFormat="1" ht="12.75" customHeight="1" x14ac:dyDescent="0.25">
      <c r="B681" s="225"/>
      <c r="C681" s="295"/>
      <c r="D681" s="711"/>
      <c r="J681" s="249"/>
      <c r="T681" s="224"/>
      <c r="U681" s="224"/>
      <c r="V681" s="224"/>
      <c r="W681" s="224"/>
    </row>
    <row r="682" spans="2:23" s="299" customFormat="1" ht="12.75" customHeight="1" x14ac:dyDescent="0.25">
      <c r="B682" s="225"/>
      <c r="C682" s="295"/>
      <c r="D682" s="711"/>
      <c r="J682" s="249"/>
      <c r="T682" s="224"/>
      <c r="U682" s="224"/>
      <c r="V682" s="224"/>
      <c r="W682" s="224"/>
    </row>
    <row r="683" spans="2:23" s="299" customFormat="1" ht="12.75" customHeight="1" x14ac:dyDescent="0.25">
      <c r="B683" s="225"/>
      <c r="C683" s="295"/>
      <c r="D683" s="711"/>
      <c r="J683" s="249"/>
      <c r="T683" s="224"/>
      <c r="U683" s="224"/>
      <c r="V683" s="224"/>
      <c r="W683" s="224"/>
    </row>
    <row r="684" spans="2:23" s="299" customFormat="1" ht="12.75" customHeight="1" x14ac:dyDescent="0.25">
      <c r="B684" s="225"/>
      <c r="C684" s="295"/>
      <c r="D684" s="711"/>
      <c r="J684" s="249"/>
      <c r="T684" s="224"/>
      <c r="U684" s="224"/>
      <c r="V684" s="224"/>
      <c r="W684" s="224"/>
    </row>
    <row r="685" spans="2:23" s="299" customFormat="1" ht="12.75" customHeight="1" x14ac:dyDescent="0.25">
      <c r="B685" s="225"/>
      <c r="C685" s="295"/>
      <c r="D685" s="711"/>
      <c r="J685" s="249"/>
      <c r="T685" s="224"/>
      <c r="U685" s="224"/>
      <c r="V685" s="224"/>
      <c r="W685" s="224"/>
    </row>
    <row r="686" spans="2:23" s="299" customFormat="1" ht="12.75" customHeight="1" x14ac:dyDescent="0.25">
      <c r="B686" s="225"/>
      <c r="C686" s="295"/>
      <c r="D686" s="711"/>
      <c r="J686" s="249"/>
      <c r="T686" s="224"/>
      <c r="U686" s="224"/>
      <c r="V686" s="224"/>
      <c r="W686" s="224"/>
    </row>
    <row r="687" spans="2:23" s="299" customFormat="1" ht="12.75" customHeight="1" x14ac:dyDescent="0.25">
      <c r="B687" s="225"/>
      <c r="C687" s="295"/>
      <c r="D687" s="711"/>
      <c r="J687" s="249"/>
      <c r="T687" s="224"/>
      <c r="U687" s="224"/>
      <c r="V687" s="224"/>
      <c r="W687" s="224"/>
    </row>
    <row r="688" spans="2:23" s="299" customFormat="1" ht="12.75" customHeight="1" x14ac:dyDescent="0.25">
      <c r="B688" s="225"/>
      <c r="C688" s="295"/>
      <c r="D688" s="711"/>
      <c r="J688" s="249"/>
      <c r="T688" s="224"/>
      <c r="U688" s="224"/>
      <c r="V688" s="224"/>
      <c r="W688" s="224"/>
    </row>
    <row r="689" spans="2:23" s="299" customFormat="1" ht="12.75" customHeight="1" x14ac:dyDescent="0.25">
      <c r="B689" s="225"/>
      <c r="C689" s="295"/>
      <c r="D689" s="711"/>
      <c r="J689" s="249"/>
      <c r="T689" s="224"/>
      <c r="U689" s="224"/>
      <c r="V689" s="224"/>
      <c r="W689" s="224"/>
    </row>
    <row r="690" spans="2:23" s="299" customFormat="1" ht="12.75" customHeight="1" x14ac:dyDescent="0.25">
      <c r="B690" s="225"/>
      <c r="C690" s="295"/>
      <c r="D690" s="711"/>
      <c r="J690" s="249"/>
      <c r="T690" s="224"/>
      <c r="U690" s="224"/>
      <c r="V690" s="224"/>
      <c r="W690" s="224"/>
    </row>
    <row r="691" spans="2:23" s="299" customFormat="1" ht="12.75" customHeight="1" x14ac:dyDescent="0.25">
      <c r="B691" s="225"/>
      <c r="C691" s="295"/>
      <c r="D691" s="711"/>
      <c r="J691" s="249"/>
      <c r="T691" s="224"/>
      <c r="U691" s="224"/>
      <c r="V691" s="224"/>
      <c r="W691" s="224"/>
    </row>
    <row r="692" spans="2:23" s="299" customFormat="1" ht="12.75" customHeight="1" x14ac:dyDescent="0.25">
      <c r="B692" s="225"/>
      <c r="C692" s="295"/>
      <c r="D692" s="711"/>
      <c r="J692" s="249"/>
      <c r="T692" s="224"/>
      <c r="U692" s="224"/>
      <c r="V692" s="224"/>
      <c r="W692" s="224"/>
    </row>
    <row r="693" spans="2:23" s="299" customFormat="1" ht="12.75" customHeight="1" x14ac:dyDescent="0.25">
      <c r="B693" s="225"/>
      <c r="C693" s="295"/>
      <c r="D693" s="711"/>
      <c r="J693" s="249"/>
      <c r="T693" s="224"/>
      <c r="U693" s="224"/>
      <c r="V693" s="224"/>
      <c r="W693" s="224"/>
    </row>
    <row r="694" spans="2:23" s="299" customFormat="1" ht="12.75" customHeight="1" x14ac:dyDescent="0.25">
      <c r="B694" s="225"/>
      <c r="C694" s="295"/>
      <c r="D694" s="711"/>
      <c r="J694" s="249"/>
      <c r="T694" s="224"/>
      <c r="U694" s="224"/>
      <c r="V694" s="224"/>
      <c r="W694" s="224"/>
    </row>
    <row r="695" spans="2:23" s="299" customFormat="1" ht="12.75" customHeight="1" x14ac:dyDescent="0.25">
      <c r="B695" s="225"/>
      <c r="C695" s="295"/>
      <c r="D695" s="711"/>
      <c r="J695" s="249"/>
      <c r="T695" s="224"/>
      <c r="U695" s="224"/>
      <c r="V695" s="224"/>
      <c r="W695" s="224"/>
    </row>
    <row r="696" spans="2:23" s="299" customFormat="1" ht="12.75" customHeight="1" x14ac:dyDescent="0.25">
      <c r="B696" s="225"/>
      <c r="C696" s="295"/>
      <c r="D696" s="711"/>
      <c r="J696" s="249"/>
      <c r="T696" s="224"/>
      <c r="U696" s="224"/>
      <c r="V696" s="224"/>
      <c r="W696" s="224"/>
    </row>
    <row r="697" spans="2:23" s="299" customFormat="1" ht="12.75" customHeight="1" x14ac:dyDescent="0.25">
      <c r="B697" s="225"/>
      <c r="C697" s="295"/>
      <c r="D697" s="711"/>
      <c r="J697" s="249"/>
      <c r="T697" s="224"/>
      <c r="U697" s="224"/>
      <c r="V697" s="224"/>
      <c r="W697" s="224"/>
    </row>
    <row r="698" spans="2:23" s="299" customFormat="1" ht="12.75" customHeight="1" x14ac:dyDescent="0.25">
      <c r="B698" s="225"/>
      <c r="C698" s="295"/>
      <c r="D698" s="711"/>
      <c r="J698" s="249"/>
      <c r="T698" s="224"/>
      <c r="U698" s="224"/>
      <c r="V698" s="224"/>
      <c r="W698" s="224"/>
    </row>
    <row r="699" spans="2:23" s="299" customFormat="1" ht="12.75" customHeight="1" x14ac:dyDescent="0.25">
      <c r="B699" s="225"/>
      <c r="C699" s="295"/>
      <c r="D699" s="711"/>
      <c r="J699" s="249"/>
      <c r="T699" s="224"/>
      <c r="U699" s="224"/>
      <c r="V699" s="224"/>
      <c r="W699" s="224"/>
    </row>
    <row r="700" spans="2:23" s="299" customFormat="1" ht="12.75" customHeight="1" x14ac:dyDescent="0.25">
      <c r="B700" s="225"/>
      <c r="C700" s="295"/>
      <c r="D700" s="711"/>
      <c r="J700" s="249"/>
      <c r="T700" s="224"/>
      <c r="U700" s="224"/>
      <c r="V700" s="224"/>
      <c r="W700" s="224"/>
    </row>
    <row r="701" spans="2:23" s="299" customFormat="1" ht="12.75" customHeight="1" x14ac:dyDescent="0.25">
      <c r="B701" s="225"/>
      <c r="C701" s="295"/>
      <c r="D701" s="711"/>
      <c r="J701" s="249"/>
      <c r="T701" s="224"/>
      <c r="U701" s="224"/>
      <c r="V701" s="224"/>
      <c r="W701" s="224"/>
    </row>
    <row r="702" spans="2:23" s="299" customFormat="1" ht="12.75" customHeight="1" x14ac:dyDescent="0.25">
      <c r="B702" s="225"/>
      <c r="C702" s="295"/>
      <c r="D702" s="711"/>
      <c r="J702" s="249"/>
      <c r="T702" s="224"/>
      <c r="U702" s="224"/>
      <c r="V702" s="224"/>
      <c r="W702" s="224"/>
    </row>
    <row r="703" spans="2:23" s="299" customFormat="1" ht="12.75" customHeight="1" x14ac:dyDescent="0.25">
      <c r="B703" s="225"/>
      <c r="C703" s="295"/>
      <c r="D703" s="711"/>
      <c r="J703" s="249"/>
      <c r="T703" s="224"/>
      <c r="U703" s="224"/>
      <c r="V703" s="224"/>
      <c r="W703" s="224"/>
    </row>
    <row r="704" spans="2:23" s="299" customFormat="1" ht="12.75" customHeight="1" x14ac:dyDescent="0.25">
      <c r="B704" s="225"/>
      <c r="C704" s="295"/>
      <c r="D704" s="711"/>
      <c r="J704" s="249"/>
      <c r="T704" s="224"/>
      <c r="U704" s="224"/>
      <c r="V704" s="224"/>
      <c r="W704" s="224"/>
    </row>
    <row r="705" spans="2:23" s="299" customFormat="1" ht="12.75" customHeight="1" x14ac:dyDescent="0.25">
      <c r="B705" s="225"/>
      <c r="C705" s="295"/>
      <c r="D705" s="711"/>
      <c r="J705" s="249"/>
      <c r="T705" s="224"/>
      <c r="U705" s="224"/>
      <c r="V705" s="224"/>
      <c r="W705" s="224"/>
    </row>
    <row r="706" spans="2:23" s="299" customFormat="1" ht="12.75" customHeight="1" x14ac:dyDescent="0.25">
      <c r="B706" s="295"/>
      <c r="C706" s="536"/>
      <c r="D706" s="711"/>
      <c r="J706" s="249"/>
      <c r="T706" s="224"/>
      <c r="U706" s="224"/>
      <c r="V706" s="224"/>
      <c r="W706" s="224"/>
    </row>
    <row r="707" spans="2:23" s="299" customFormat="1" ht="12.75" customHeight="1" x14ac:dyDescent="0.25">
      <c r="B707" s="295"/>
      <c r="C707" s="536"/>
      <c r="D707" s="711"/>
      <c r="J707" s="249"/>
      <c r="T707" s="224"/>
      <c r="U707" s="224"/>
      <c r="V707" s="224"/>
      <c r="W707" s="224"/>
    </row>
    <row r="708" spans="2:23" s="299" customFormat="1" ht="12.75" customHeight="1" x14ac:dyDescent="0.25">
      <c r="B708" s="295"/>
      <c r="C708" s="536"/>
      <c r="D708" s="711"/>
      <c r="J708" s="249"/>
      <c r="T708" s="224"/>
      <c r="U708" s="224"/>
      <c r="V708" s="224"/>
      <c r="W708" s="224"/>
    </row>
    <row r="709" spans="2:23" s="299" customFormat="1" ht="12.75" customHeight="1" x14ac:dyDescent="0.25">
      <c r="B709" s="295"/>
      <c r="C709" s="536"/>
      <c r="D709" s="711"/>
      <c r="J709" s="249"/>
      <c r="T709" s="224"/>
      <c r="U709" s="224"/>
      <c r="V709" s="224"/>
      <c r="W709" s="224"/>
    </row>
    <row r="710" spans="2:23" s="299" customFormat="1" ht="12.75" customHeight="1" x14ac:dyDescent="0.25">
      <c r="B710" s="295"/>
      <c r="C710" s="536"/>
      <c r="D710" s="711"/>
      <c r="J710" s="249"/>
      <c r="T710" s="224"/>
      <c r="U710" s="224"/>
      <c r="V710" s="224"/>
      <c r="W710" s="224"/>
    </row>
    <row r="711" spans="2:23" s="299" customFormat="1" ht="12.75" customHeight="1" x14ac:dyDescent="0.25">
      <c r="B711" s="295"/>
      <c r="C711" s="536"/>
      <c r="D711" s="711"/>
      <c r="J711" s="249"/>
      <c r="T711" s="224"/>
      <c r="U711" s="224"/>
      <c r="V711" s="224"/>
      <c r="W711" s="224"/>
    </row>
    <row r="712" spans="2:23" s="299" customFormat="1" ht="12.75" customHeight="1" x14ac:dyDescent="0.25">
      <c r="B712" s="295"/>
      <c r="C712" s="536"/>
      <c r="D712" s="711"/>
      <c r="J712" s="249"/>
      <c r="T712" s="224"/>
      <c r="U712" s="224"/>
      <c r="V712" s="224"/>
      <c r="W712" s="224"/>
    </row>
    <row r="713" spans="2:23" s="299" customFormat="1" ht="12.75" customHeight="1" x14ac:dyDescent="0.25">
      <c r="B713" s="295"/>
      <c r="C713" s="536"/>
      <c r="D713" s="711"/>
      <c r="J713" s="249"/>
      <c r="T713" s="224"/>
      <c r="U713" s="224"/>
      <c r="V713" s="224"/>
      <c r="W713" s="224"/>
    </row>
    <row r="714" spans="2:23" s="299" customFormat="1" ht="12.75" customHeight="1" x14ac:dyDescent="0.25">
      <c r="B714" s="295"/>
      <c r="C714" s="536"/>
      <c r="D714" s="711"/>
      <c r="J714" s="249"/>
      <c r="T714" s="224"/>
      <c r="U714" s="224"/>
      <c r="V714" s="224"/>
      <c r="W714" s="224"/>
    </row>
    <row r="715" spans="2:23" s="299" customFormat="1" ht="12.75" customHeight="1" x14ac:dyDescent="0.25">
      <c r="B715" s="295"/>
      <c r="C715" s="536"/>
      <c r="D715" s="711"/>
      <c r="J715" s="249"/>
      <c r="T715" s="224"/>
      <c r="U715" s="224"/>
      <c r="V715" s="224"/>
      <c r="W715" s="224"/>
    </row>
    <row r="716" spans="2:23" s="299" customFormat="1" ht="12.75" customHeight="1" x14ac:dyDescent="0.25">
      <c r="B716" s="295"/>
      <c r="C716" s="536"/>
      <c r="D716" s="711"/>
      <c r="J716" s="249"/>
      <c r="T716" s="224"/>
      <c r="U716" s="224"/>
      <c r="V716" s="224"/>
      <c r="W716" s="224"/>
    </row>
    <row r="717" spans="2:23" s="299" customFormat="1" ht="12.75" customHeight="1" x14ac:dyDescent="0.25">
      <c r="B717" s="295"/>
      <c r="C717" s="536"/>
      <c r="D717" s="711"/>
      <c r="J717" s="249"/>
      <c r="T717" s="224"/>
      <c r="U717" s="224"/>
      <c r="V717" s="224"/>
      <c r="W717" s="224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79"/>
  <sheetViews>
    <sheetView zoomScaleNormal="100" workbookViewId="0">
      <selection activeCell="A10" sqref="A10:XFD10"/>
    </sheetView>
  </sheetViews>
  <sheetFormatPr defaultColWidth="9.21875" defaultRowHeight="12.75" customHeight="1" x14ac:dyDescent="0.25"/>
  <cols>
    <col min="1" max="1" width="8.21875" style="224" customWidth="1"/>
    <col min="2" max="2" width="12.77734375" style="295" customWidth="1"/>
    <col min="3" max="3" width="12.77734375" style="536" customWidth="1"/>
    <col min="4" max="4" width="43.44140625" style="711" bestFit="1" customWidth="1"/>
    <col min="5" max="5" width="12.77734375" style="249" customWidth="1"/>
    <col min="6" max="9" width="12.77734375" style="299" customWidth="1"/>
    <col min="10" max="10" width="12.77734375" style="249" customWidth="1"/>
    <col min="11" max="19" width="12.77734375" style="299" customWidth="1"/>
    <col min="20" max="20" width="8.5546875" style="224" bestFit="1" customWidth="1"/>
    <col min="21" max="21" width="10.21875" style="224" bestFit="1" customWidth="1"/>
    <col min="22" max="16384" width="9.21875" style="224"/>
  </cols>
  <sheetData>
    <row r="1" spans="2:22" ht="13.2" x14ac:dyDescent="0.25">
      <c r="B1" s="752" t="s">
        <v>4576</v>
      </c>
      <c r="D1" s="776"/>
      <c r="F1" s="257"/>
      <c r="G1" s="257"/>
      <c r="H1" s="539"/>
      <c r="I1" s="257"/>
      <c r="J1" s="539"/>
      <c r="K1" s="257"/>
      <c r="L1" s="257"/>
      <c r="M1" s="257"/>
      <c r="N1" s="257"/>
      <c r="O1" s="257"/>
      <c r="P1" s="257"/>
      <c r="Q1" s="257"/>
      <c r="R1" s="257"/>
      <c r="S1" s="257"/>
    </row>
    <row r="2" spans="2:22" ht="13.2" x14ac:dyDescent="0.25">
      <c r="B2" s="752" t="s">
        <v>4601</v>
      </c>
      <c r="H2" s="249"/>
    </row>
    <row r="3" spans="2:22" ht="13.2" x14ac:dyDescent="0.25">
      <c r="B3" s="753" t="s">
        <v>4578</v>
      </c>
      <c r="D3" s="777"/>
      <c r="F3" s="568"/>
      <c r="G3" s="568"/>
      <c r="H3" s="540"/>
      <c r="I3" s="568"/>
      <c r="J3" s="540"/>
      <c r="K3" s="568"/>
      <c r="L3" s="568"/>
      <c r="M3" s="568"/>
      <c r="N3" s="568"/>
      <c r="O3" s="568"/>
      <c r="P3" s="568"/>
      <c r="Q3" s="568"/>
      <c r="R3" s="568"/>
      <c r="S3" s="568"/>
    </row>
    <row r="4" spans="2:22" ht="12.75" customHeight="1" x14ac:dyDescent="0.25">
      <c r="B4" s="753" t="s">
        <v>4579</v>
      </c>
      <c r="D4" s="778"/>
      <c r="F4" s="255"/>
      <c r="G4" s="60"/>
      <c r="H4" s="2"/>
      <c r="I4" s="255"/>
      <c r="J4" s="255"/>
      <c r="K4" s="60"/>
      <c r="L4" s="303"/>
      <c r="M4" s="60"/>
      <c r="V4" s="247"/>
    </row>
    <row r="5" spans="2:22" ht="12.75" customHeight="1" x14ac:dyDescent="0.25">
      <c r="B5" s="325"/>
      <c r="D5" s="778"/>
      <c r="F5" s="255"/>
      <c r="G5" s="60"/>
      <c r="H5" s="2"/>
      <c r="K5" s="60"/>
      <c r="L5" s="303"/>
      <c r="M5" s="60"/>
    </row>
    <row r="6" spans="2:22" ht="12.75" customHeight="1" x14ac:dyDescent="0.25">
      <c r="M6" s="60"/>
      <c r="O6" s="60"/>
      <c r="P6" s="60"/>
      <c r="Q6" s="60"/>
      <c r="R6" s="60"/>
    </row>
    <row r="7" spans="2:22" ht="12.75" customHeight="1" x14ac:dyDescent="0.25">
      <c r="H7" s="249"/>
      <c r="L7" s="249"/>
      <c r="M7" s="60"/>
      <c r="O7" s="60"/>
      <c r="P7" s="60"/>
      <c r="Q7" s="60"/>
      <c r="R7" s="60"/>
    </row>
    <row r="8" spans="2:22" ht="12.75" customHeight="1" x14ac:dyDescent="0.25">
      <c r="E8" s="281"/>
      <c r="F8" s="281" t="s">
        <v>538</v>
      </c>
      <c r="G8" s="281" t="s">
        <v>537</v>
      </c>
      <c r="I8" s="249"/>
      <c r="J8" s="60"/>
    </row>
    <row r="9" spans="2:22" ht="12.75" customHeight="1" x14ac:dyDescent="0.25">
      <c r="E9" s="281" t="s">
        <v>1046</v>
      </c>
      <c r="F9" s="281">
        <f>J247</f>
        <v>-17306.129999999983</v>
      </c>
      <c r="G9" s="281">
        <f>J115</f>
        <v>0</v>
      </c>
      <c r="I9" s="249"/>
      <c r="J9" s="60"/>
    </row>
    <row r="10" spans="2:22" ht="12.75" customHeight="1" x14ac:dyDescent="0.25">
      <c r="E10" s="281" t="s">
        <v>1140</v>
      </c>
      <c r="F10" s="281">
        <f>E328+E359+E413</f>
        <v>93.149999999999991</v>
      </c>
      <c r="G10" s="943">
        <v>0</v>
      </c>
      <c r="I10" s="249"/>
      <c r="J10" s="60"/>
    </row>
    <row r="11" spans="2:22" ht="12.75" customHeight="1" x14ac:dyDescent="0.25">
      <c r="E11" s="281" t="s">
        <v>1262</v>
      </c>
      <c r="F11" s="428">
        <f>F9-F10</f>
        <v>-17399.279999999984</v>
      </c>
      <c r="G11" s="428">
        <f>G9-G10</f>
        <v>0</v>
      </c>
      <c r="I11" s="249"/>
      <c r="J11" s="60"/>
    </row>
    <row r="12" spans="2:22" ht="12.75" customHeight="1" x14ac:dyDescent="0.25">
      <c r="E12" s="299"/>
      <c r="F12" s="255"/>
      <c r="G12" s="255"/>
      <c r="I12" s="249"/>
      <c r="J12" s="60"/>
    </row>
    <row r="13" spans="2:22" ht="20.100000000000001" customHeight="1" x14ac:dyDescent="0.25">
      <c r="E13" s="299"/>
      <c r="F13" s="257"/>
      <c r="G13" s="257"/>
      <c r="I13" s="249"/>
      <c r="J13" s="60"/>
    </row>
    <row r="14" spans="2:22" ht="12.75" customHeight="1" x14ac:dyDescent="0.25">
      <c r="E14" s="255"/>
      <c r="F14" s="762" t="s">
        <v>4448</v>
      </c>
      <c r="G14" s="364">
        <f>G11+F11</f>
        <v>-17399.279999999984</v>
      </c>
      <c r="H14" s="255"/>
      <c r="I14" s="263"/>
      <c r="J14" s="60"/>
    </row>
    <row r="15" spans="2:22" ht="12.75" customHeight="1" x14ac:dyDescent="0.25">
      <c r="E15" s="255"/>
      <c r="F15" s="920" t="s">
        <v>1263</v>
      </c>
      <c r="G15" s="255">
        <v>-0.04</v>
      </c>
      <c r="H15" s="255"/>
      <c r="I15" s="263"/>
      <c r="J15" s="60"/>
    </row>
    <row r="16" spans="2:22" ht="12.75" customHeight="1" x14ac:dyDescent="0.25">
      <c r="E16" s="255"/>
      <c r="F16" s="255" t="s">
        <v>2141</v>
      </c>
      <c r="G16" s="383">
        <f>G294</f>
        <v>17889.14999999963</v>
      </c>
      <c r="H16" s="255"/>
      <c r="I16" s="263"/>
      <c r="J16" s="299"/>
    </row>
    <row r="17" spans="4:21" ht="12.75" customHeight="1" x14ac:dyDescent="0.25">
      <c r="E17" s="255"/>
      <c r="F17" s="255"/>
      <c r="G17" s="255"/>
      <c r="H17" s="255"/>
      <c r="I17" s="263"/>
      <c r="J17" s="299"/>
    </row>
    <row r="18" spans="4:21" ht="12.75" customHeight="1" thickBot="1" x14ac:dyDescent="0.3">
      <c r="E18" s="255"/>
      <c r="F18" s="290"/>
      <c r="G18" s="290" t="s">
        <v>539</v>
      </c>
      <c r="H18" s="255"/>
      <c r="I18" s="263"/>
      <c r="J18" s="299"/>
    </row>
    <row r="19" spans="4:21" ht="12.75" customHeight="1" thickBot="1" x14ac:dyDescent="0.3">
      <c r="E19" s="255"/>
      <c r="F19" s="255" t="s">
        <v>1568</v>
      </c>
      <c r="G19" s="384">
        <f>SUM(G14:G18)</f>
        <v>489.82999999964522</v>
      </c>
      <c r="H19" s="255"/>
      <c r="J19" s="956" t="s">
        <v>4633</v>
      </c>
      <c r="T19" s="259"/>
    </row>
    <row r="20" spans="4:21" ht="12.75" customHeight="1" x14ac:dyDescent="0.25">
      <c r="E20" s="299"/>
      <c r="F20" s="257"/>
      <c r="G20" s="257"/>
      <c r="I20" s="249"/>
      <c r="J20" s="299"/>
    </row>
    <row r="21" spans="4:21" ht="12.75" customHeight="1" x14ac:dyDescent="0.25">
      <c r="E21" s="299"/>
      <c r="I21" s="249"/>
      <c r="J21" s="299"/>
      <c r="U21" s="247"/>
    </row>
    <row r="22" spans="4:21" ht="12.75" customHeight="1" x14ac:dyDescent="0.25">
      <c r="E22" s="299"/>
      <c r="F22" s="255" t="s">
        <v>458</v>
      </c>
      <c r="G22" s="958" t="s">
        <v>4634</v>
      </c>
      <c r="H22" s="255"/>
      <c r="I22" s="337"/>
      <c r="J22" s="299"/>
    </row>
    <row r="23" spans="4:21" ht="12.75" customHeight="1" x14ac:dyDescent="0.25">
      <c r="E23" s="299"/>
      <c r="G23" s="249"/>
      <c r="I23" s="249"/>
      <c r="J23" s="299"/>
    </row>
    <row r="24" spans="4:21" ht="12.75" customHeight="1" x14ac:dyDescent="0.25">
      <c r="E24" s="299"/>
      <c r="F24" s="257"/>
      <c r="G24" s="884"/>
      <c r="I24" s="249"/>
      <c r="J24" s="299"/>
      <c r="T24" s="247"/>
      <c r="U24" s="247"/>
    </row>
    <row r="25" spans="4:21" ht="12.75" customHeight="1" x14ac:dyDescent="0.25">
      <c r="E25" s="697"/>
      <c r="F25" s="908" t="s">
        <v>4590</v>
      </c>
      <c r="G25" s="885">
        <f>'FY16-Equ-FNO-Zerodha'!G29</f>
        <v>-120610.85000000037</v>
      </c>
      <c r="I25" s="249"/>
      <c r="J25" s="299"/>
      <c r="U25" s="247"/>
    </row>
    <row r="26" spans="4:21" ht="12.75" customHeight="1" x14ac:dyDescent="0.25">
      <c r="E26" s="698"/>
      <c r="F26" s="362" t="s">
        <v>1503</v>
      </c>
      <c r="G26" s="433">
        <f>G16-G25</f>
        <v>138500</v>
      </c>
      <c r="H26" s="698"/>
      <c r="I26" s="870" t="s">
        <v>73</v>
      </c>
      <c r="J26" s="433">
        <f>G16</f>
        <v>17889.14999999963</v>
      </c>
      <c r="U26" s="254"/>
    </row>
    <row r="27" spans="4:21" ht="13.2" x14ac:dyDescent="0.25">
      <c r="E27" s="699"/>
      <c r="F27" s="364" t="s">
        <v>4109</v>
      </c>
      <c r="G27" s="371"/>
      <c r="H27" s="699"/>
      <c r="I27" s="869" t="s">
        <v>4110</v>
      </c>
      <c r="J27" s="371"/>
    </row>
    <row r="28" spans="4:21" ht="13.2" x14ac:dyDescent="0.25">
      <c r="E28" s="699"/>
      <c r="F28" s="364"/>
      <c r="G28" s="371"/>
      <c r="H28" s="818"/>
      <c r="I28" s="886"/>
      <c r="J28" s="371"/>
      <c r="U28" s="247"/>
    </row>
    <row r="29" spans="4:21" ht="13.2" x14ac:dyDescent="0.25">
      <c r="E29" s="382"/>
      <c r="F29" s="380" t="s">
        <v>948</v>
      </c>
      <c r="G29" s="434">
        <f>G27+G19-G26</f>
        <v>-138010.17000000036</v>
      </c>
      <c r="H29" s="697"/>
      <c r="I29" s="887" t="s">
        <v>383</v>
      </c>
      <c r="J29" s="434">
        <f>J27+G19-J26</f>
        <v>-17399.319999999985</v>
      </c>
      <c r="U29" s="247"/>
    </row>
    <row r="30" spans="4:21" ht="12.75" customHeight="1" x14ac:dyDescent="0.25">
      <c r="H30" s="249"/>
      <c r="L30" s="249"/>
    </row>
    <row r="31" spans="4:21" ht="12.75" customHeight="1" x14ac:dyDescent="0.25">
      <c r="D31" s="816"/>
      <c r="F31" s="809"/>
      <c r="G31" s="809"/>
      <c r="H31" s="888"/>
      <c r="K31" s="809"/>
      <c r="L31" s="888"/>
      <c r="M31" s="809"/>
      <c r="N31" s="809"/>
    </row>
    <row r="32" spans="4:21" ht="12.75" customHeight="1" x14ac:dyDescent="0.25">
      <c r="D32" s="816"/>
      <c r="F32" s="809"/>
      <c r="G32" s="809"/>
      <c r="H32" s="888"/>
      <c r="K32" s="809"/>
      <c r="L32" s="888"/>
      <c r="M32" s="809"/>
      <c r="N32" s="809"/>
      <c r="T32" s="259"/>
    </row>
    <row r="33" spans="2:21" ht="12.75" customHeight="1" x14ac:dyDescent="0.25">
      <c r="D33" s="816"/>
      <c r="F33" s="809"/>
      <c r="G33" s="814"/>
      <c r="H33" s="889"/>
      <c r="K33" s="814"/>
      <c r="L33" s="889"/>
      <c r="M33" s="809"/>
      <c r="N33" s="809"/>
    </row>
    <row r="34" spans="2:21" ht="12.75" customHeight="1" x14ac:dyDescent="0.25">
      <c r="D34" s="816"/>
      <c r="F34" s="809"/>
      <c r="G34" s="809"/>
      <c r="H34" s="809"/>
      <c r="K34" s="809"/>
      <c r="L34" s="809"/>
      <c r="M34" s="809"/>
      <c r="N34" s="809"/>
    </row>
    <row r="35" spans="2:21" ht="12.75" customHeight="1" x14ac:dyDescent="0.25">
      <c r="D35" s="816"/>
      <c r="F35" s="809"/>
      <c r="G35" s="809"/>
      <c r="H35" s="809"/>
      <c r="K35" s="809"/>
      <c r="L35" s="809"/>
      <c r="M35" s="809"/>
      <c r="N35" s="809"/>
    </row>
    <row r="36" spans="2:21" ht="12.75" customHeight="1" x14ac:dyDescent="0.25">
      <c r="D36" s="816"/>
      <c r="F36" s="809"/>
      <c r="G36" s="809"/>
      <c r="H36" s="809"/>
      <c r="K36" s="809"/>
      <c r="L36" s="809"/>
      <c r="M36" s="809"/>
      <c r="N36" s="809"/>
    </row>
    <row r="37" spans="2:21" ht="13.8" thickBot="1" x14ac:dyDescent="0.3">
      <c r="B37" s="575"/>
      <c r="D37" s="777"/>
      <c r="F37" s="568"/>
      <c r="G37" s="568"/>
      <c r="H37" s="540"/>
      <c r="I37" s="568"/>
      <c r="J37" s="540"/>
      <c r="K37" s="568"/>
      <c r="L37" s="568"/>
      <c r="M37" s="568"/>
      <c r="N37" s="568"/>
      <c r="O37" s="568"/>
      <c r="P37" s="568"/>
      <c r="Q37" s="568"/>
      <c r="R37" s="568"/>
      <c r="S37" s="568"/>
    </row>
    <row r="38" spans="2:21" ht="13.8" thickBot="1" x14ac:dyDescent="0.3">
      <c r="B38" s="576" t="s">
        <v>1255</v>
      </c>
      <c r="C38" s="918"/>
      <c r="D38" s="780"/>
      <c r="E38" s="541"/>
      <c r="F38" s="704"/>
      <c r="G38" s="704"/>
      <c r="H38" s="541"/>
      <c r="I38" s="704"/>
      <c r="J38" s="541"/>
      <c r="K38" s="704"/>
      <c r="L38" s="704"/>
      <c r="M38" s="704"/>
      <c r="N38" s="704"/>
      <c r="O38" s="704"/>
      <c r="P38" s="704"/>
      <c r="Q38" s="704"/>
      <c r="R38" s="704"/>
      <c r="S38" s="919"/>
    </row>
    <row r="39" spans="2:21" s="231" customFormat="1" ht="13.8" thickBot="1" x14ac:dyDescent="0.3">
      <c r="B39" s="911" t="s">
        <v>184</v>
      </c>
      <c r="C39" s="912" t="s">
        <v>4445</v>
      </c>
      <c r="D39" s="913" t="s">
        <v>2079</v>
      </c>
      <c r="E39" s="914" t="s">
        <v>186</v>
      </c>
      <c r="F39" s="915" t="s">
        <v>469</v>
      </c>
      <c r="G39" s="916" t="s">
        <v>664</v>
      </c>
      <c r="H39" s="916" t="s">
        <v>470</v>
      </c>
      <c r="I39" s="916" t="s">
        <v>1216</v>
      </c>
      <c r="J39" s="916" t="s">
        <v>3372</v>
      </c>
      <c r="K39" s="916" t="s">
        <v>471</v>
      </c>
      <c r="L39" s="917" t="s">
        <v>4585</v>
      </c>
      <c r="M39" s="916" t="s">
        <v>3368</v>
      </c>
      <c r="N39" s="917" t="s">
        <v>4582</v>
      </c>
      <c r="O39" s="917" t="s">
        <v>4583</v>
      </c>
      <c r="P39" s="917" t="s">
        <v>893</v>
      </c>
      <c r="Q39" s="917" t="s">
        <v>4584</v>
      </c>
      <c r="R39" s="917" t="s">
        <v>2247</v>
      </c>
      <c r="S39" s="916" t="s">
        <v>4455</v>
      </c>
    </row>
    <row r="40" spans="2:21" s="231" customFormat="1" ht="13.2" x14ac:dyDescent="0.25">
      <c r="B40" s="729"/>
      <c r="C40" s="827"/>
      <c r="D40" s="782"/>
      <c r="E40" s="730"/>
      <c r="F40" s="836"/>
      <c r="G40" s="299"/>
      <c r="H40" s="299"/>
      <c r="I40" s="299"/>
      <c r="J40" s="299"/>
      <c r="K40" s="299"/>
      <c r="L40" s="299"/>
      <c r="M40" s="299"/>
      <c r="N40" s="299"/>
      <c r="O40" s="299"/>
      <c r="P40" s="299"/>
      <c r="Q40" s="299"/>
      <c r="R40" s="299"/>
      <c r="S40" s="299"/>
      <c r="U40" s="91"/>
    </row>
    <row r="41" spans="2:21" s="231" customFormat="1" ht="13.2" x14ac:dyDescent="0.25">
      <c r="B41" s="729"/>
      <c r="C41" s="827"/>
      <c r="D41" s="782"/>
      <c r="E41" s="730"/>
      <c r="F41" s="836"/>
      <c r="G41" s="299"/>
      <c r="H41" s="299"/>
      <c r="I41" s="299"/>
      <c r="J41" s="299"/>
      <c r="K41" s="299"/>
      <c r="L41" s="299"/>
      <c r="M41" s="299"/>
      <c r="N41" s="299"/>
      <c r="O41" s="299"/>
      <c r="P41" s="299"/>
      <c r="Q41" s="299"/>
      <c r="R41" s="299"/>
      <c r="S41" s="299"/>
      <c r="T41" s="91"/>
      <c r="U41" s="91"/>
    </row>
    <row r="42" spans="2:21" s="231" customFormat="1" ht="13.2" x14ac:dyDescent="0.25">
      <c r="B42" s="729"/>
      <c r="C42" s="827"/>
      <c r="D42" s="782"/>
      <c r="E42" s="730"/>
      <c r="F42" s="836"/>
      <c r="G42" s="299"/>
      <c r="H42" s="299"/>
      <c r="I42" s="299"/>
      <c r="J42" s="299"/>
      <c r="K42" s="299"/>
      <c r="L42" s="299"/>
      <c r="M42" s="299"/>
      <c r="N42" s="299"/>
      <c r="O42" s="299"/>
      <c r="P42" s="299"/>
      <c r="Q42" s="299"/>
      <c r="R42" s="299"/>
      <c r="S42" s="299"/>
    </row>
    <row r="43" spans="2:21" s="231" customFormat="1" ht="13.2" x14ac:dyDescent="0.25">
      <c r="B43" s="477"/>
      <c r="C43" s="829"/>
      <c r="D43" s="29"/>
      <c r="E43" s="730"/>
      <c r="F43" s="837"/>
      <c r="G43" s="60"/>
      <c r="H43" s="299"/>
      <c r="I43" s="299"/>
      <c r="J43" s="299"/>
      <c r="K43" s="299"/>
      <c r="L43" s="299"/>
      <c r="M43" s="299"/>
      <c r="N43" s="299"/>
      <c r="O43" s="299"/>
      <c r="P43" s="299"/>
      <c r="Q43" s="299"/>
      <c r="R43" s="299"/>
      <c r="S43" s="299"/>
      <c r="T43" s="91"/>
      <c r="U43" s="91"/>
    </row>
    <row r="44" spans="2:21" ht="12.75" customHeight="1" x14ac:dyDescent="0.25">
      <c r="B44" s="477"/>
      <c r="C44" s="827"/>
      <c r="D44" s="782"/>
      <c r="E44" s="730"/>
      <c r="F44" s="836"/>
      <c r="J44" s="299"/>
    </row>
    <row r="45" spans="2:21" ht="12.75" customHeight="1" x14ac:dyDescent="0.25">
      <c r="B45" s="729"/>
      <c r="C45" s="827"/>
      <c r="D45" s="782"/>
      <c r="F45" s="836"/>
      <c r="I45" s="249"/>
      <c r="J45" s="299"/>
    </row>
    <row r="46" spans="2:21" ht="12.75" customHeight="1" x14ac:dyDescent="0.25">
      <c r="B46" s="729"/>
      <c r="C46" s="827"/>
      <c r="D46" s="782"/>
      <c r="F46" s="836"/>
      <c r="I46" s="249"/>
      <c r="J46" s="299"/>
    </row>
    <row r="47" spans="2:21" ht="12.75" customHeight="1" x14ac:dyDescent="0.25">
      <c r="B47" s="729"/>
      <c r="C47" s="827"/>
      <c r="D47" s="782"/>
      <c r="F47" s="836"/>
      <c r="I47" s="249"/>
      <c r="J47" s="299"/>
    </row>
    <row r="48" spans="2:21" ht="12.75" customHeight="1" x14ac:dyDescent="0.25">
      <c r="B48" s="729"/>
      <c r="C48" s="827"/>
      <c r="D48" s="782"/>
      <c r="F48" s="836"/>
      <c r="I48" s="249"/>
      <c r="J48" s="299"/>
    </row>
    <row r="49" spans="2:10" ht="12.75" customHeight="1" x14ac:dyDescent="0.25">
      <c r="B49" s="729"/>
      <c r="C49" s="827"/>
      <c r="D49" s="782"/>
      <c r="F49" s="836"/>
      <c r="I49" s="249"/>
      <c r="J49" s="299"/>
    </row>
    <row r="50" spans="2:10" ht="12.75" customHeight="1" x14ac:dyDescent="0.25">
      <c r="F50" s="836"/>
      <c r="I50" s="249"/>
      <c r="J50" s="299"/>
    </row>
    <row r="51" spans="2:10" ht="12.75" customHeight="1" x14ac:dyDescent="0.25">
      <c r="F51" s="836"/>
      <c r="I51" s="249"/>
      <c r="J51" s="299"/>
    </row>
    <row r="52" spans="2:10" ht="12.75" customHeight="1" x14ac:dyDescent="0.25">
      <c r="F52" s="836"/>
      <c r="I52" s="249"/>
      <c r="J52" s="299"/>
    </row>
    <row r="53" spans="2:10" ht="12.75" customHeight="1" x14ac:dyDescent="0.25">
      <c r="F53" s="836"/>
      <c r="I53" s="249"/>
      <c r="J53" s="299"/>
    </row>
    <row r="54" spans="2:10" ht="12.75" customHeight="1" x14ac:dyDescent="0.25">
      <c r="F54" s="836"/>
      <c r="I54" s="249"/>
      <c r="J54" s="299"/>
    </row>
    <row r="55" spans="2:10" ht="12.75" customHeight="1" x14ac:dyDescent="0.25">
      <c r="F55" s="836"/>
      <c r="I55" s="249"/>
      <c r="J55" s="299"/>
    </row>
    <row r="56" spans="2:10" ht="12.75" customHeight="1" x14ac:dyDescent="0.25">
      <c r="F56" s="836"/>
      <c r="I56" s="249"/>
      <c r="J56" s="299"/>
    </row>
    <row r="57" spans="2:10" ht="12.75" customHeight="1" x14ac:dyDescent="0.25">
      <c r="F57" s="836"/>
      <c r="I57" s="249"/>
      <c r="J57" s="299"/>
    </row>
    <row r="58" spans="2:10" ht="12.75" customHeight="1" x14ac:dyDescent="0.25">
      <c r="F58" s="836"/>
      <c r="I58" s="249"/>
      <c r="J58" s="299"/>
    </row>
    <row r="59" spans="2:10" ht="12.75" customHeight="1" x14ac:dyDescent="0.25">
      <c r="F59" s="836"/>
      <c r="I59" s="249"/>
      <c r="J59" s="299"/>
    </row>
    <row r="60" spans="2:10" ht="12.75" customHeight="1" x14ac:dyDescent="0.25">
      <c r="F60" s="836"/>
      <c r="I60" s="249"/>
      <c r="J60" s="299"/>
    </row>
    <row r="61" spans="2:10" ht="12.75" customHeight="1" x14ac:dyDescent="0.25">
      <c r="F61" s="836"/>
      <c r="I61" s="249"/>
      <c r="J61" s="299"/>
    </row>
    <row r="62" spans="2:10" ht="12.75" customHeight="1" x14ac:dyDescent="0.25">
      <c r="F62" s="836"/>
      <c r="I62" s="249"/>
      <c r="J62" s="299"/>
    </row>
    <row r="63" spans="2:10" ht="12.75" customHeight="1" x14ac:dyDescent="0.25">
      <c r="F63" s="836"/>
      <c r="I63" s="249"/>
      <c r="J63" s="299"/>
    </row>
    <row r="64" spans="2:10" ht="12.75" customHeight="1" x14ac:dyDescent="0.25">
      <c r="F64" s="836"/>
      <c r="I64" s="249"/>
      <c r="J64" s="299"/>
    </row>
    <row r="65" spans="2:19" ht="12.75" customHeight="1" x14ac:dyDescent="0.25">
      <c r="F65" s="836"/>
      <c r="I65" s="249"/>
      <c r="J65" s="299"/>
    </row>
    <row r="66" spans="2:19" ht="12.75" customHeight="1" x14ac:dyDescent="0.25">
      <c r="F66" s="836"/>
      <c r="I66" s="249"/>
      <c r="J66" s="299"/>
    </row>
    <row r="67" spans="2:19" ht="12.75" customHeight="1" x14ac:dyDescent="0.25">
      <c r="F67" s="836"/>
      <c r="I67" s="249"/>
      <c r="J67" s="299"/>
    </row>
    <row r="68" spans="2:19" ht="12.75" customHeight="1" x14ac:dyDescent="0.25">
      <c r="F68" s="836"/>
      <c r="I68" s="249"/>
      <c r="J68" s="299"/>
    </row>
    <row r="69" spans="2:19" ht="12.75" customHeight="1" x14ac:dyDescent="0.25">
      <c r="F69" s="836"/>
      <c r="I69" s="249"/>
      <c r="J69" s="299"/>
    </row>
    <row r="70" spans="2:19" ht="12.75" customHeight="1" x14ac:dyDescent="0.25">
      <c r="F70" s="836"/>
      <c r="I70" s="249"/>
      <c r="J70" s="299"/>
    </row>
    <row r="71" spans="2:19" ht="12.75" customHeight="1" x14ac:dyDescent="0.25">
      <c r="F71" s="836"/>
      <c r="I71" s="249"/>
      <c r="J71" s="299"/>
    </row>
    <row r="72" spans="2:19" ht="12.75" customHeight="1" x14ac:dyDescent="0.25">
      <c r="F72" s="836"/>
      <c r="I72" s="249"/>
      <c r="J72" s="299"/>
    </row>
    <row r="73" spans="2:19" ht="12.75" customHeight="1" x14ac:dyDescent="0.25">
      <c r="F73" s="836"/>
      <c r="I73" s="249"/>
      <c r="J73" s="299"/>
    </row>
    <row r="74" spans="2:19" ht="12.75" customHeight="1" x14ac:dyDescent="0.25">
      <c r="F74" s="836"/>
      <c r="I74" s="249"/>
      <c r="J74" s="299"/>
    </row>
    <row r="75" spans="2:19" ht="12.75" customHeight="1" x14ac:dyDescent="0.25">
      <c r="F75" s="836"/>
      <c r="I75" s="249"/>
      <c r="J75" s="299"/>
    </row>
    <row r="76" spans="2:19" ht="12.75" customHeight="1" x14ac:dyDescent="0.25">
      <c r="F76" s="836"/>
      <c r="I76" s="249"/>
      <c r="J76" s="299"/>
    </row>
    <row r="77" spans="2:19" ht="12.75" customHeight="1" x14ac:dyDescent="0.25">
      <c r="B77" s="477"/>
      <c r="D77" s="783"/>
      <c r="F77" s="838"/>
      <c r="G77" s="246"/>
      <c r="H77" s="246"/>
      <c r="I77" s="257" t="s">
        <v>2121</v>
      </c>
      <c r="J77" s="257">
        <f>SUM(J40:J76)</f>
        <v>0</v>
      </c>
      <c r="K77" s="246"/>
      <c r="L77" s="246"/>
      <c r="M77" s="243"/>
      <c r="N77" s="243"/>
    </row>
    <row r="78" spans="2:19" ht="12.75" customHeight="1" x14ac:dyDescent="0.25">
      <c r="B78" s="350"/>
      <c r="D78" s="783"/>
      <c r="F78" s="838"/>
      <c r="G78" s="246"/>
      <c r="H78" s="246"/>
      <c r="I78" s="246"/>
      <c r="J78" s="890"/>
      <c r="K78" s="246"/>
      <c r="L78" s="246"/>
      <c r="M78" s="246"/>
      <c r="N78" s="246"/>
      <c r="O78" s="246"/>
      <c r="P78" s="246"/>
      <c r="Q78" s="246"/>
      <c r="R78" s="246"/>
      <c r="S78" s="246"/>
    </row>
    <row r="79" spans="2:19" ht="12.75" customHeight="1" thickBot="1" x14ac:dyDescent="0.3">
      <c r="B79" s="350"/>
      <c r="D79" s="783"/>
      <c r="F79" s="838"/>
      <c r="G79" s="246"/>
      <c r="H79" s="246"/>
      <c r="I79" s="246"/>
      <c r="J79" s="890"/>
      <c r="K79" s="246"/>
      <c r="L79" s="246"/>
      <c r="M79" s="246"/>
      <c r="N79" s="246"/>
      <c r="O79" s="246"/>
      <c r="P79" s="246"/>
      <c r="Q79" s="246"/>
      <c r="R79" s="246"/>
      <c r="S79" s="246"/>
    </row>
    <row r="80" spans="2:19" ht="12.75" customHeight="1" thickBot="1" x14ac:dyDescent="0.3">
      <c r="B80" s="911" t="s">
        <v>184</v>
      </c>
      <c r="C80" s="912" t="s">
        <v>4445</v>
      </c>
      <c r="D80" s="913" t="s">
        <v>2079</v>
      </c>
      <c r="E80" s="914" t="s">
        <v>186</v>
      </c>
      <c r="F80" s="915" t="s">
        <v>469</v>
      </c>
      <c r="G80" s="916" t="s">
        <v>664</v>
      </c>
      <c r="H80" s="916" t="s">
        <v>470</v>
      </c>
      <c r="I80" s="916" t="s">
        <v>1216</v>
      </c>
      <c r="J80" s="916" t="s">
        <v>3372</v>
      </c>
      <c r="K80" s="916" t="s">
        <v>471</v>
      </c>
      <c r="L80" s="917" t="s">
        <v>4585</v>
      </c>
      <c r="M80" s="916" t="s">
        <v>3368</v>
      </c>
      <c r="N80" s="917" t="s">
        <v>4582</v>
      </c>
      <c r="O80" s="917" t="s">
        <v>4583</v>
      </c>
      <c r="P80" s="917" t="s">
        <v>893</v>
      </c>
      <c r="Q80" s="917" t="s">
        <v>4584</v>
      </c>
      <c r="R80" s="917" t="s">
        <v>2247</v>
      </c>
      <c r="S80" s="916" t="s">
        <v>4455</v>
      </c>
    </row>
    <row r="81" spans="2:21" s="231" customFormat="1" ht="13.2" x14ac:dyDescent="0.25">
      <c r="B81" s="477"/>
      <c r="C81" s="829"/>
      <c r="D81" s="29"/>
      <c r="E81" s="891"/>
      <c r="F81" s="837"/>
      <c r="G81" s="60"/>
      <c r="H81" s="299"/>
      <c r="I81" s="299"/>
      <c r="J81" s="299"/>
      <c r="K81" s="299"/>
      <c r="L81" s="299"/>
      <c r="M81" s="299"/>
      <c r="N81" s="299"/>
      <c r="O81" s="299"/>
      <c r="P81" s="299"/>
      <c r="Q81" s="299"/>
      <c r="R81" s="299"/>
      <c r="S81" s="299"/>
      <c r="U81" s="91"/>
    </row>
    <row r="82" spans="2:21" s="231" customFormat="1" ht="13.2" x14ac:dyDescent="0.25">
      <c r="B82" s="477"/>
      <c r="C82" s="829"/>
      <c r="D82" s="29"/>
      <c r="E82" s="730"/>
      <c r="F82" s="837"/>
      <c r="G82" s="60"/>
      <c r="H82" s="299"/>
      <c r="I82" s="299"/>
      <c r="J82" s="299"/>
      <c r="K82" s="299"/>
      <c r="L82" s="299"/>
      <c r="M82" s="299"/>
      <c r="N82" s="299"/>
      <c r="O82" s="299"/>
      <c r="P82" s="299"/>
      <c r="Q82" s="299"/>
      <c r="R82" s="299"/>
      <c r="S82" s="299"/>
    </row>
    <row r="83" spans="2:21" ht="12.75" customHeight="1" x14ac:dyDescent="0.25">
      <c r="B83" s="729"/>
      <c r="C83" s="829"/>
      <c r="D83" s="782"/>
      <c r="E83" s="730"/>
      <c r="F83" s="836"/>
      <c r="J83" s="299"/>
    </row>
    <row r="84" spans="2:21" s="231" customFormat="1" ht="13.2" x14ac:dyDescent="0.25">
      <c r="B84" s="477"/>
      <c r="C84" s="829"/>
      <c r="D84" s="29"/>
      <c r="E84" s="730"/>
      <c r="F84" s="837"/>
      <c r="G84" s="60"/>
      <c r="H84" s="299"/>
      <c r="I84" s="249"/>
      <c r="J84" s="299"/>
      <c r="K84" s="299"/>
      <c r="L84" s="299"/>
      <c r="M84" s="299"/>
      <c r="N84" s="299"/>
      <c r="O84" s="299"/>
      <c r="P84" s="299"/>
      <c r="Q84" s="299"/>
      <c r="R84" s="299"/>
      <c r="S84" s="299"/>
    </row>
    <row r="85" spans="2:21" s="231" customFormat="1" ht="13.2" x14ac:dyDescent="0.25">
      <c r="B85" s="477"/>
      <c r="C85" s="320"/>
      <c r="D85" s="29"/>
      <c r="E85" s="730"/>
      <c r="F85" s="837"/>
      <c r="G85" s="60"/>
      <c r="H85" s="60"/>
      <c r="I85" s="249"/>
      <c r="J85" s="299"/>
      <c r="K85" s="299"/>
      <c r="L85" s="299"/>
      <c r="M85" s="299"/>
      <c r="N85" s="299"/>
      <c r="O85" s="299"/>
      <c r="P85" s="299"/>
      <c r="Q85" s="299"/>
      <c r="R85" s="299"/>
      <c r="S85" s="299"/>
    </row>
    <row r="86" spans="2:21" ht="12.75" customHeight="1" x14ac:dyDescent="0.25">
      <c r="E86" s="730"/>
      <c r="F86" s="836"/>
      <c r="I86" s="60"/>
      <c r="J86" s="299"/>
    </row>
    <row r="87" spans="2:21" ht="12.75" customHeight="1" x14ac:dyDescent="0.25">
      <c r="F87" s="836"/>
      <c r="I87" s="60"/>
      <c r="J87" s="531"/>
    </row>
    <row r="88" spans="2:21" ht="12.75" customHeight="1" x14ac:dyDescent="0.25">
      <c r="F88" s="836"/>
      <c r="I88" s="60"/>
      <c r="J88" s="531"/>
    </row>
    <row r="89" spans="2:21" ht="12.75" customHeight="1" x14ac:dyDescent="0.25">
      <c r="F89" s="836"/>
      <c r="I89" s="60"/>
      <c r="J89" s="531"/>
    </row>
    <row r="90" spans="2:21" ht="12.75" customHeight="1" x14ac:dyDescent="0.25">
      <c r="F90" s="836"/>
      <c r="I90" s="60"/>
      <c r="J90" s="531"/>
    </row>
    <row r="91" spans="2:21" ht="12.75" customHeight="1" x14ac:dyDescent="0.25">
      <c r="F91" s="836"/>
      <c r="I91" s="60"/>
      <c r="J91" s="531"/>
    </row>
    <row r="92" spans="2:21" ht="12.75" customHeight="1" x14ac:dyDescent="0.25">
      <c r="F92" s="836"/>
      <c r="I92" s="60"/>
      <c r="J92" s="531"/>
    </row>
    <row r="93" spans="2:21" ht="12.75" customHeight="1" x14ac:dyDescent="0.25">
      <c r="F93" s="836"/>
      <c r="I93" s="60"/>
      <c r="J93" s="531"/>
    </row>
    <row r="94" spans="2:21" ht="12.75" customHeight="1" x14ac:dyDescent="0.25">
      <c r="F94" s="836"/>
      <c r="I94" s="60"/>
      <c r="J94" s="531"/>
    </row>
    <row r="95" spans="2:21" ht="12.75" customHeight="1" x14ac:dyDescent="0.25">
      <c r="F95" s="836"/>
      <c r="I95" s="60"/>
      <c r="J95" s="531"/>
    </row>
    <row r="96" spans="2:21" ht="12.75" customHeight="1" x14ac:dyDescent="0.25">
      <c r="F96" s="836"/>
      <c r="I96" s="60"/>
      <c r="J96" s="531"/>
    </row>
    <row r="97" spans="2:22" ht="12.75" customHeight="1" x14ac:dyDescent="0.25">
      <c r="F97" s="836"/>
      <c r="I97" s="60"/>
      <c r="J97" s="531"/>
    </row>
    <row r="98" spans="2:22" ht="12.75" customHeight="1" x14ac:dyDescent="0.25">
      <c r="F98" s="836"/>
      <c r="I98" s="60"/>
      <c r="J98" s="531"/>
    </row>
    <row r="99" spans="2:22" ht="12.75" customHeight="1" x14ac:dyDescent="0.25">
      <c r="F99" s="836"/>
      <c r="I99" s="60"/>
      <c r="J99" s="531"/>
    </row>
    <row r="100" spans="2:22" ht="12.75" customHeight="1" x14ac:dyDescent="0.25">
      <c r="F100" s="836"/>
      <c r="I100" s="60"/>
      <c r="J100" s="531"/>
    </row>
    <row r="101" spans="2:22" ht="12.75" customHeight="1" x14ac:dyDescent="0.25">
      <c r="F101" s="836"/>
      <c r="I101" s="60"/>
      <c r="J101" s="531"/>
    </row>
    <row r="102" spans="2:22" ht="12.75" customHeight="1" x14ac:dyDescent="0.25">
      <c r="F102" s="836"/>
      <c r="I102" s="60"/>
      <c r="J102" s="531"/>
    </row>
    <row r="103" spans="2:22" ht="12.75" customHeight="1" x14ac:dyDescent="0.25">
      <c r="F103" s="836"/>
      <c r="I103" s="60"/>
      <c r="J103" s="531"/>
    </row>
    <row r="104" spans="2:22" s="231" customFormat="1" ht="13.2" x14ac:dyDescent="0.25">
      <c r="B104" s="298"/>
      <c r="C104" s="320"/>
      <c r="D104" s="712"/>
      <c r="E104" s="2"/>
      <c r="F104" s="837"/>
      <c r="G104" s="60"/>
      <c r="H104" s="60"/>
      <c r="I104" s="60"/>
      <c r="J104" s="531"/>
      <c r="K104" s="60"/>
      <c r="L104" s="60"/>
      <c r="M104" s="60"/>
      <c r="N104" s="60"/>
      <c r="O104" s="60"/>
      <c r="P104" s="60"/>
      <c r="Q104" s="60"/>
      <c r="R104" s="60"/>
      <c r="S104" s="299"/>
      <c r="U104" s="91"/>
    </row>
    <row r="105" spans="2:22" s="231" customFormat="1" ht="13.2" x14ac:dyDescent="0.25">
      <c r="B105" s="298"/>
      <c r="C105" s="320"/>
      <c r="D105" s="712"/>
      <c r="E105" s="249"/>
      <c r="F105" s="837"/>
      <c r="G105" s="60"/>
      <c r="H105" s="60"/>
      <c r="I105" s="60"/>
      <c r="J105" s="531"/>
      <c r="K105" s="60"/>
      <c r="L105" s="60"/>
      <c r="M105" s="60"/>
      <c r="N105" s="60"/>
      <c r="O105" s="60"/>
      <c r="P105" s="60"/>
      <c r="Q105" s="60"/>
      <c r="R105" s="60"/>
      <c r="S105" s="299"/>
    </row>
    <row r="106" spans="2:22" s="231" customFormat="1" ht="13.2" x14ac:dyDescent="0.25">
      <c r="B106" s="298"/>
      <c r="C106" s="320"/>
      <c r="D106" s="712"/>
      <c r="E106" s="249"/>
      <c r="F106" s="837"/>
      <c r="G106" s="60"/>
      <c r="H106" s="60"/>
      <c r="I106" s="60"/>
      <c r="J106" s="531"/>
      <c r="K106" s="60"/>
      <c r="L106" s="60"/>
      <c r="M106" s="60"/>
      <c r="N106" s="60"/>
      <c r="O106" s="60"/>
      <c r="P106" s="60"/>
      <c r="Q106" s="60"/>
      <c r="R106" s="60"/>
      <c r="S106" s="299"/>
    </row>
    <row r="107" spans="2:22" s="231" customFormat="1" ht="13.2" x14ac:dyDescent="0.25">
      <c r="B107" s="298"/>
      <c r="C107" s="830"/>
      <c r="D107" s="712"/>
      <c r="E107" s="2"/>
      <c r="F107" s="837"/>
      <c r="G107" s="60"/>
      <c r="H107" s="60"/>
      <c r="I107" s="60"/>
      <c r="J107" s="531"/>
      <c r="K107" s="60"/>
      <c r="L107" s="60"/>
      <c r="M107" s="60"/>
      <c r="N107" s="60"/>
      <c r="O107" s="60"/>
      <c r="P107" s="60"/>
      <c r="Q107" s="60"/>
      <c r="R107" s="60"/>
      <c r="S107" s="299"/>
      <c r="U107" s="91"/>
      <c r="V107" s="235"/>
    </row>
    <row r="108" spans="2:22" s="231" customFormat="1" ht="13.2" x14ac:dyDescent="0.25">
      <c r="B108" s="298"/>
      <c r="C108" s="830"/>
      <c r="D108" s="712"/>
      <c r="E108" s="2"/>
      <c r="F108" s="837"/>
      <c r="G108" s="60"/>
      <c r="H108" s="60"/>
      <c r="I108" s="60"/>
      <c r="J108" s="531"/>
      <c r="K108" s="60"/>
      <c r="L108" s="60"/>
      <c r="M108" s="60"/>
      <c r="N108" s="60"/>
      <c r="O108" s="60"/>
      <c r="P108" s="60"/>
      <c r="Q108" s="60"/>
      <c r="R108" s="60"/>
      <c r="S108" s="299"/>
      <c r="U108" s="91"/>
    </row>
    <row r="109" spans="2:22" s="231" customFormat="1" ht="13.2" x14ac:dyDescent="0.25">
      <c r="B109" s="298"/>
      <c r="C109" s="830"/>
      <c r="D109" s="712"/>
      <c r="E109" s="249"/>
      <c r="F109" s="837"/>
      <c r="G109" s="60"/>
      <c r="H109" s="60"/>
      <c r="I109" s="60"/>
      <c r="J109" s="531"/>
      <c r="K109" s="60"/>
      <c r="L109" s="60"/>
      <c r="M109" s="60"/>
      <c r="N109" s="60"/>
      <c r="O109" s="60"/>
      <c r="P109" s="60"/>
      <c r="Q109" s="60"/>
      <c r="R109" s="60"/>
      <c r="S109" s="299"/>
    </row>
    <row r="110" spans="2:22" s="231" customFormat="1" ht="13.2" x14ac:dyDescent="0.25">
      <c r="B110" s="298"/>
      <c r="C110" s="830"/>
      <c r="D110" s="712"/>
      <c r="E110" s="249"/>
      <c r="F110" s="837"/>
      <c r="G110" s="60"/>
      <c r="H110" s="60"/>
      <c r="I110" s="60"/>
      <c r="J110" s="531"/>
      <c r="K110" s="60"/>
      <c r="L110" s="60"/>
      <c r="M110" s="60"/>
      <c r="N110" s="60"/>
      <c r="O110" s="60"/>
      <c r="P110" s="60"/>
      <c r="Q110" s="60"/>
      <c r="R110" s="60"/>
      <c r="S110" s="299"/>
    </row>
    <row r="111" spans="2:22" ht="12.75" customHeight="1" x14ac:dyDescent="0.25">
      <c r="B111" s="298"/>
      <c r="C111" s="830"/>
      <c r="F111" s="836"/>
      <c r="I111" s="60"/>
      <c r="J111" s="531"/>
    </row>
    <row r="112" spans="2:22" ht="12.75" customHeight="1" x14ac:dyDescent="0.25">
      <c r="F112" s="836"/>
      <c r="I112" s="60"/>
      <c r="J112" s="531"/>
    </row>
    <row r="113" spans="2:19" ht="12.75" customHeight="1" x14ac:dyDescent="0.25">
      <c r="B113" s="16"/>
      <c r="D113" s="31"/>
      <c r="F113" s="837"/>
      <c r="G113" s="60"/>
      <c r="H113" s="60"/>
      <c r="I113" s="257" t="s">
        <v>2127</v>
      </c>
      <c r="J113" s="257">
        <f>SUM(J81:J112)</f>
        <v>0</v>
      </c>
      <c r="K113" s="60"/>
      <c r="L113" s="60"/>
      <c r="N113" s="257"/>
    </row>
    <row r="114" spans="2:19" ht="12.75" customHeight="1" x14ac:dyDescent="0.25">
      <c r="B114" s="16"/>
      <c r="D114" s="31"/>
      <c r="F114" s="837"/>
      <c r="G114" s="60"/>
      <c r="H114" s="60"/>
      <c r="I114" s="708"/>
      <c r="J114" s="299"/>
      <c r="K114" s="60"/>
      <c r="L114" s="60"/>
      <c r="N114" s="255"/>
      <c r="O114" s="255"/>
      <c r="P114" s="255"/>
      <c r="Q114" s="255"/>
      <c r="R114" s="255"/>
      <c r="S114" s="255"/>
    </row>
    <row r="115" spans="2:19" ht="12.75" customHeight="1" x14ac:dyDescent="0.25">
      <c r="B115" s="16"/>
      <c r="D115" s="23"/>
      <c r="F115" s="837"/>
      <c r="G115" s="60"/>
      <c r="H115" s="60"/>
      <c r="I115" s="257" t="s">
        <v>2128</v>
      </c>
      <c r="J115" s="257">
        <f>J113-J77</f>
        <v>0</v>
      </c>
      <c r="K115" s="60"/>
      <c r="L115" s="60"/>
      <c r="N115" s="257"/>
    </row>
    <row r="116" spans="2:19" ht="12.75" customHeight="1" x14ac:dyDescent="0.25">
      <c r="B116" s="16"/>
      <c r="D116" s="31"/>
      <c r="F116" s="837"/>
      <c r="G116" s="60"/>
      <c r="H116" s="60"/>
      <c r="K116" s="60"/>
      <c r="L116" s="60"/>
      <c r="M116" s="60"/>
    </row>
    <row r="117" spans="2:19" ht="12.75" customHeight="1" x14ac:dyDescent="0.25">
      <c r="F117" s="836"/>
    </row>
    <row r="118" spans="2:19" ht="12.75" customHeight="1" thickBot="1" x14ac:dyDescent="0.3">
      <c r="F118" s="836"/>
      <c r="O118" s="243"/>
      <c r="P118" s="243"/>
      <c r="Q118" s="243"/>
      <c r="R118" s="243"/>
      <c r="S118" s="243"/>
    </row>
    <row r="119" spans="2:19" ht="12.75" customHeight="1" thickBot="1" x14ac:dyDescent="0.3">
      <c r="B119" s="894" t="s">
        <v>1256</v>
      </c>
      <c r="C119" s="909"/>
      <c r="D119" s="895"/>
      <c r="E119" s="899"/>
      <c r="F119" s="896"/>
      <c r="G119" s="897"/>
      <c r="H119" s="898"/>
      <c r="I119" s="897"/>
      <c r="J119" s="898"/>
      <c r="K119" s="897"/>
      <c r="L119" s="897"/>
      <c r="M119" s="897"/>
      <c r="N119" s="897"/>
      <c r="O119" s="897"/>
      <c r="P119" s="897"/>
      <c r="Q119" s="897"/>
      <c r="R119" s="897"/>
      <c r="S119" s="910"/>
    </row>
    <row r="120" spans="2:19" ht="12.75" customHeight="1" thickBot="1" x14ac:dyDescent="0.3">
      <c r="B120" s="911" t="s">
        <v>184</v>
      </c>
      <c r="C120" s="912" t="s">
        <v>4445</v>
      </c>
      <c r="D120" s="913" t="s">
        <v>2079</v>
      </c>
      <c r="E120" s="914" t="s">
        <v>186</v>
      </c>
      <c r="F120" s="915" t="s">
        <v>469</v>
      </c>
      <c r="G120" s="916" t="s">
        <v>664</v>
      </c>
      <c r="H120" s="916" t="s">
        <v>470</v>
      </c>
      <c r="I120" s="916" t="s">
        <v>1216</v>
      </c>
      <c r="J120" s="916" t="s">
        <v>3372</v>
      </c>
      <c r="K120" s="916" t="s">
        <v>471</v>
      </c>
      <c r="L120" s="917" t="s">
        <v>4585</v>
      </c>
      <c r="M120" s="916" t="s">
        <v>3368</v>
      </c>
      <c r="N120" s="917" t="s">
        <v>4582</v>
      </c>
      <c r="O120" s="917" t="s">
        <v>4583</v>
      </c>
      <c r="P120" s="917" t="s">
        <v>893</v>
      </c>
      <c r="Q120" s="917" t="s">
        <v>4584</v>
      </c>
      <c r="R120" s="917" t="s">
        <v>2247</v>
      </c>
      <c r="S120" s="916" t="s">
        <v>4455</v>
      </c>
    </row>
    <row r="121" spans="2:19" ht="12.75" customHeight="1" x14ac:dyDescent="0.25">
      <c r="B121" s="883" t="s">
        <v>4581</v>
      </c>
      <c r="C121" s="827">
        <v>3157458</v>
      </c>
      <c r="D121" s="815" t="s">
        <v>4580</v>
      </c>
      <c r="E121" s="882" t="s">
        <v>197</v>
      </c>
      <c r="F121" s="836">
        <v>120</v>
      </c>
      <c r="G121" s="299">
        <v>17</v>
      </c>
      <c r="H121" s="299">
        <f>F121*G121</f>
        <v>2040</v>
      </c>
      <c r="I121" s="299">
        <f>SUM(K121:S121)</f>
        <v>120.67999999999999</v>
      </c>
      <c r="J121" s="299">
        <f>H121+I121</f>
        <v>2160.6799999999998</v>
      </c>
      <c r="K121" s="299">
        <v>100</v>
      </c>
      <c r="L121" s="299">
        <v>3.69</v>
      </c>
      <c r="M121" s="299">
        <v>14.52</v>
      </c>
      <c r="N121" s="299">
        <v>0.52</v>
      </c>
      <c r="O121" s="299">
        <v>0.52</v>
      </c>
      <c r="P121" s="299">
        <v>1</v>
      </c>
      <c r="Q121" s="299">
        <v>0.01</v>
      </c>
      <c r="R121" s="299">
        <v>0.42</v>
      </c>
    </row>
    <row r="122" spans="2:19" ht="12.75" customHeight="1" x14ac:dyDescent="0.25">
      <c r="B122" s="883" t="s">
        <v>4581</v>
      </c>
      <c r="C122" s="827">
        <v>3157458</v>
      </c>
      <c r="D122" s="907" t="s">
        <v>4589</v>
      </c>
      <c r="E122" s="882" t="s">
        <v>197</v>
      </c>
      <c r="F122" s="836">
        <v>40</v>
      </c>
      <c r="G122" s="299">
        <v>14.7</v>
      </c>
      <c r="H122" s="299">
        <f t="shared" ref="H122:H153" si="0">F122*G122</f>
        <v>588</v>
      </c>
      <c r="I122" s="299">
        <f>SUM(L122:S122)</f>
        <v>0</v>
      </c>
      <c r="J122" s="299">
        <f>H122+I122</f>
        <v>588</v>
      </c>
    </row>
    <row r="123" spans="2:19" ht="12.75" customHeight="1" x14ac:dyDescent="0.25">
      <c r="B123" s="883" t="s">
        <v>4581</v>
      </c>
      <c r="C123" s="827">
        <v>3157458</v>
      </c>
      <c r="D123" s="907" t="s">
        <v>4589</v>
      </c>
      <c r="E123" s="882" t="s">
        <v>197</v>
      </c>
      <c r="F123" s="836">
        <v>40</v>
      </c>
      <c r="G123" s="299">
        <v>14.7</v>
      </c>
      <c r="H123" s="299">
        <f t="shared" si="0"/>
        <v>588</v>
      </c>
      <c r="I123" s="299">
        <f>SUM(L123:S123)</f>
        <v>0</v>
      </c>
      <c r="J123" s="299">
        <f>H123+I123</f>
        <v>588</v>
      </c>
    </row>
    <row r="124" spans="2:19" ht="12.75" customHeight="1" x14ac:dyDescent="0.25">
      <c r="B124" s="883" t="s">
        <v>4581</v>
      </c>
      <c r="C124" s="827">
        <v>3157458</v>
      </c>
      <c r="D124" s="782" t="s">
        <v>4589</v>
      </c>
      <c r="E124" s="882" t="s">
        <v>197</v>
      </c>
      <c r="F124" s="836">
        <v>40</v>
      </c>
      <c r="G124" s="299">
        <v>14.7</v>
      </c>
      <c r="H124" s="299">
        <f t="shared" si="0"/>
        <v>588</v>
      </c>
      <c r="I124" s="299">
        <f>SUM(L124:S124)</f>
        <v>0</v>
      </c>
      <c r="J124" s="299">
        <f>H124+I124</f>
        <v>588</v>
      </c>
    </row>
    <row r="125" spans="2:19" ht="12.75" customHeight="1" x14ac:dyDescent="0.25">
      <c r="B125" s="883" t="s">
        <v>4581</v>
      </c>
      <c r="C125" s="827">
        <v>3157458</v>
      </c>
      <c r="D125" s="782" t="s">
        <v>4580</v>
      </c>
      <c r="E125" s="882" t="s">
        <v>197</v>
      </c>
      <c r="F125" s="836">
        <v>80</v>
      </c>
      <c r="G125" s="299">
        <v>14</v>
      </c>
      <c r="H125" s="299">
        <f t="shared" si="0"/>
        <v>1120</v>
      </c>
      <c r="I125" s="299">
        <f>SUM(L125:S125)</f>
        <v>0</v>
      </c>
      <c r="J125" s="299">
        <f>H125+I125</f>
        <v>1120</v>
      </c>
    </row>
    <row r="126" spans="2:19" ht="12.75" customHeight="1" x14ac:dyDescent="0.25">
      <c r="B126" s="883" t="s">
        <v>4592</v>
      </c>
      <c r="C126" s="536">
        <v>3190330</v>
      </c>
      <c r="D126" s="907" t="s">
        <v>4580</v>
      </c>
      <c r="E126" s="882" t="s">
        <v>197</v>
      </c>
      <c r="F126" s="836">
        <v>120</v>
      </c>
      <c r="G126" s="299">
        <v>14</v>
      </c>
      <c r="H126" s="299">
        <f t="shared" si="0"/>
        <v>1680</v>
      </c>
      <c r="I126" s="299">
        <f>SUM(K126:S126)</f>
        <v>70.56</v>
      </c>
      <c r="J126" s="299">
        <f t="shared" ref="J126" si="1">H126+I126</f>
        <v>1750.56</v>
      </c>
      <c r="K126" s="299">
        <v>60</v>
      </c>
      <c r="L126" s="299">
        <v>1.24</v>
      </c>
      <c r="M126" s="299">
        <v>8.57</v>
      </c>
      <c r="N126" s="299">
        <v>0.31</v>
      </c>
      <c r="O126" s="299">
        <v>0.31</v>
      </c>
      <c r="Q126" s="299">
        <v>0</v>
      </c>
      <c r="R126" s="299">
        <v>0.14000000000000001</v>
      </c>
      <c r="S126" s="299">
        <v>-0.01</v>
      </c>
    </row>
    <row r="127" spans="2:19" ht="12.75" customHeight="1" x14ac:dyDescent="0.25">
      <c r="B127" s="883" t="s">
        <v>4592</v>
      </c>
      <c r="C127" s="536">
        <v>3190330</v>
      </c>
      <c r="D127" s="907" t="s">
        <v>4580</v>
      </c>
      <c r="E127" s="882" t="s">
        <v>197</v>
      </c>
      <c r="F127" s="836">
        <v>40</v>
      </c>
      <c r="G127" s="299">
        <v>14</v>
      </c>
      <c r="H127" s="299">
        <f t="shared" si="0"/>
        <v>560</v>
      </c>
      <c r="I127" s="299">
        <f t="shared" ref="I127:I132" si="2">SUM(K127:S127)</f>
        <v>0</v>
      </c>
      <c r="J127" s="299">
        <f t="shared" ref="J127:J132" si="3">H127+I127</f>
        <v>560</v>
      </c>
    </row>
    <row r="128" spans="2:19" ht="12.75" customHeight="1" x14ac:dyDescent="0.25">
      <c r="B128" s="883" t="s">
        <v>4592</v>
      </c>
      <c r="C128" s="536">
        <v>3190330</v>
      </c>
      <c r="D128" s="907" t="s">
        <v>4589</v>
      </c>
      <c r="E128" s="882" t="s">
        <v>197</v>
      </c>
      <c r="F128" s="836">
        <v>120</v>
      </c>
      <c r="G128" s="299">
        <v>0</v>
      </c>
      <c r="H128" s="299">
        <f t="shared" si="0"/>
        <v>0</v>
      </c>
      <c r="I128" s="299">
        <f t="shared" si="2"/>
        <v>0</v>
      </c>
      <c r="J128" s="299">
        <f t="shared" si="3"/>
        <v>0</v>
      </c>
    </row>
    <row r="129" spans="2:19" ht="12.75" customHeight="1" x14ac:dyDescent="0.25">
      <c r="B129" s="883" t="s">
        <v>4598</v>
      </c>
      <c r="C129" s="536">
        <v>3272034</v>
      </c>
      <c r="D129" s="907" t="s">
        <v>4596</v>
      </c>
      <c r="E129" s="882" t="s">
        <v>197</v>
      </c>
      <c r="F129" s="836">
        <v>40</v>
      </c>
      <c r="G129" s="299">
        <v>37.5</v>
      </c>
      <c r="H129" s="299">
        <f t="shared" si="0"/>
        <v>1500</v>
      </c>
      <c r="I129" s="299">
        <f t="shared" si="2"/>
        <v>50.349999999999994</v>
      </c>
      <c r="J129" s="299">
        <f t="shared" si="3"/>
        <v>1550.35</v>
      </c>
      <c r="K129" s="299">
        <v>40</v>
      </c>
      <c r="L129" s="299">
        <v>3.43</v>
      </c>
      <c r="M129" s="299">
        <v>6.08</v>
      </c>
      <c r="N129" s="299">
        <v>0.22</v>
      </c>
      <c r="O129" s="299">
        <v>0.22</v>
      </c>
      <c r="Q129" s="299">
        <v>0.01</v>
      </c>
      <c r="R129" s="299">
        <v>0.39</v>
      </c>
    </row>
    <row r="130" spans="2:19" ht="12.75" customHeight="1" x14ac:dyDescent="0.25">
      <c r="B130" s="883" t="s">
        <v>4598</v>
      </c>
      <c r="C130" s="536">
        <v>3272034</v>
      </c>
      <c r="D130" s="907" t="s">
        <v>4596</v>
      </c>
      <c r="E130" s="882" t="s">
        <v>197</v>
      </c>
      <c r="F130" s="836">
        <v>40</v>
      </c>
      <c r="G130" s="299">
        <v>38.35</v>
      </c>
      <c r="H130" s="299">
        <f t="shared" si="0"/>
        <v>1534</v>
      </c>
      <c r="I130" s="299">
        <f t="shared" si="2"/>
        <v>0</v>
      </c>
      <c r="J130" s="299">
        <f t="shared" si="3"/>
        <v>1534</v>
      </c>
    </row>
    <row r="131" spans="2:19" ht="12.75" customHeight="1" x14ac:dyDescent="0.25">
      <c r="B131" s="883" t="s">
        <v>4598</v>
      </c>
      <c r="C131" s="536">
        <v>3272034</v>
      </c>
      <c r="D131" s="907" t="s">
        <v>4597</v>
      </c>
      <c r="E131" s="882" t="s">
        <v>197</v>
      </c>
      <c r="F131" s="836">
        <v>40</v>
      </c>
      <c r="G131" s="299">
        <v>42.85</v>
      </c>
      <c r="H131" s="299">
        <f t="shared" si="0"/>
        <v>1714</v>
      </c>
      <c r="I131" s="299">
        <f t="shared" si="2"/>
        <v>0</v>
      </c>
      <c r="J131" s="299">
        <f t="shared" si="3"/>
        <v>1714</v>
      </c>
    </row>
    <row r="132" spans="2:19" ht="12.75" customHeight="1" x14ac:dyDescent="0.25">
      <c r="B132" s="883" t="s">
        <v>4598</v>
      </c>
      <c r="C132" s="536">
        <v>3272034</v>
      </c>
      <c r="D132" s="907" t="s">
        <v>4597</v>
      </c>
      <c r="E132" s="882" t="s">
        <v>197</v>
      </c>
      <c r="F132" s="836">
        <v>40</v>
      </c>
      <c r="G132" s="299">
        <v>42.9</v>
      </c>
      <c r="H132" s="299">
        <f t="shared" si="0"/>
        <v>1716</v>
      </c>
      <c r="I132" s="299">
        <f t="shared" si="2"/>
        <v>0</v>
      </c>
      <c r="J132" s="299">
        <f t="shared" si="3"/>
        <v>1716</v>
      </c>
    </row>
    <row r="133" spans="2:19" ht="12.75" customHeight="1" x14ac:dyDescent="0.25">
      <c r="B133" s="923" t="s">
        <v>4612</v>
      </c>
      <c r="C133" s="536">
        <v>3468001</v>
      </c>
      <c r="D133" s="924" t="s">
        <v>4603</v>
      </c>
      <c r="E133" s="925" t="s">
        <v>197</v>
      </c>
      <c r="F133" s="836">
        <v>40</v>
      </c>
      <c r="G133" s="299">
        <v>8.9</v>
      </c>
      <c r="H133" s="299">
        <f t="shared" ref="H133:H136" si="4">F133*G133</f>
        <v>356</v>
      </c>
      <c r="I133" s="299">
        <f t="shared" ref="I133:I136" si="5">SUM(K133:S133)</f>
        <v>0</v>
      </c>
      <c r="J133" s="299">
        <f t="shared" ref="J133:J136" si="6">H133+I133</f>
        <v>356</v>
      </c>
    </row>
    <row r="134" spans="2:19" ht="12.75" customHeight="1" x14ac:dyDescent="0.25">
      <c r="B134" s="923" t="s">
        <v>4612</v>
      </c>
      <c r="C134" s="536">
        <v>3468001</v>
      </c>
      <c r="D134" s="924" t="s">
        <v>4603</v>
      </c>
      <c r="E134" s="925" t="s">
        <v>197</v>
      </c>
      <c r="F134" s="836">
        <v>280</v>
      </c>
      <c r="G134" s="299">
        <v>8.9</v>
      </c>
      <c r="H134" s="299">
        <f t="shared" si="4"/>
        <v>2492</v>
      </c>
      <c r="I134" s="299">
        <f t="shared" si="5"/>
        <v>0</v>
      </c>
      <c r="J134" s="299">
        <f t="shared" si="6"/>
        <v>2492</v>
      </c>
    </row>
    <row r="135" spans="2:19" ht="12.75" customHeight="1" x14ac:dyDescent="0.25">
      <c r="B135" s="923" t="s">
        <v>4612</v>
      </c>
      <c r="C135" s="536">
        <v>3468001</v>
      </c>
      <c r="D135" s="924" t="s">
        <v>4604</v>
      </c>
      <c r="E135" s="925" t="s">
        <v>197</v>
      </c>
      <c r="F135" s="836">
        <v>120</v>
      </c>
      <c r="G135" s="299">
        <v>15.2</v>
      </c>
      <c r="H135" s="299">
        <f t="shared" si="4"/>
        <v>1824</v>
      </c>
      <c r="I135" s="299">
        <f t="shared" si="5"/>
        <v>0</v>
      </c>
      <c r="J135" s="299">
        <f t="shared" si="6"/>
        <v>1824</v>
      </c>
    </row>
    <row r="136" spans="2:19" ht="12.75" customHeight="1" x14ac:dyDescent="0.25">
      <c r="B136" s="923" t="s">
        <v>4612</v>
      </c>
      <c r="C136" s="536">
        <v>3468001</v>
      </c>
      <c r="D136" s="924" t="s">
        <v>4604</v>
      </c>
      <c r="E136" s="925" t="s">
        <v>197</v>
      </c>
      <c r="F136" s="836">
        <v>80</v>
      </c>
      <c r="G136" s="299">
        <v>15.25</v>
      </c>
      <c r="H136" s="299">
        <f t="shared" si="4"/>
        <v>1220</v>
      </c>
      <c r="I136" s="299">
        <f t="shared" si="5"/>
        <v>49.959999999999994</v>
      </c>
      <c r="J136" s="299">
        <f t="shared" si="6"/>
        <v>1269.96</v>
      </c>
      <c r="K136" s="299">
        <v>40</v>
      </c>
      <c r="L136" s="299">
        <v>3.12</v>
      </c>
      <c r="M136" s="299">
        <v>6.04</v>
      </c>
      <c r="N136" s="299">
        <v>0.22</v>
      </c>
      <c r="O136" s="299">
        <v>0.22</v>
      </c>
      <c r="Q136" s="299">
        <v>0.01</v>
      </c>
      <c r="R136" s="299">
        <v>0.35</v>
      </c>
    </row>
    <row r="137" spans="2:19" ht="12.75" customHeight="1" x14ac:dyDescent="0.25">
      <c r="B137" s="883" t="s">
        <v>4605</v>
      </c>
      <c r="C137" s="536">
        <v>3581346</v>
      </c>
      <c r="D137" s="907" t="s">
        <v>4606</v>
      </c>
      <c r="E137" s="882" t="s">
        <v>197</v>
      </c>
      <c r="F137" s="836">
        <v>75</v>
      </c>
      <c r="G137" s="299">
        <v>35.799999999999997</v>
      </c>
      <c r="H137" s="299">
        <f>F137*G137</f>
        <v>2685</v>
      </c>
      <c r="I137" s="299">
        <f t="shared" ref="I137:I140" si="7">SUM(K137:S137)</f>
        <v>0</v>
      </c>
      <c r="J137" s="299">
        <f t="shared" ref="J137:J142" si="8">H137+I137</f>
        <v>2685</v>
      </c>
    </row>
    <row r="138" spans="2:19" ht="12.75" customHeight="1" x14ac:dyDescent="0.25">
      <c r="B138" s="883" t="s">
        <v>4605</v>
      </c>
      <c r="C138" s="536">
        <v>3581346</v>
      </c>
      <c r="D138" s="907" t="s">
        <v>4606</v>
      </c>
      <c r="E138" s="882" t="s">
        <v>197</v>
      </c>
      <c r="F138" s="836">
        <v>75</v>
      </c>
      <c r="G138" s="299">
        <v>35.799999999999997</v>
      </c>
      <c r="H138" s="299">
        <f>F138*G138</f>
        <v>2685</v>
      </c>
      <c r="I138" s="299">
        <f t="shared" si="7"/>
        <v>0</v>
      </c>
      <c r="J138" s="299">
        <f t="shared" si="8"/>
        <v>2685</v>
      </c>
    </row>
    <row r="139" spans="2:19" ht="12.75" customHeight="1" x14ac:dyDescent="0.25">
      <c r="B139" s="883" t="s">
        <v>4605</v>
      </c>
      <c r="C139" s="536">
        <v>3581346</v>
      </c>
      <c r="D139" s="907" t="s">
        <v>4607</v>
      </c>
      <c r="E139" s="882" t="s">
        <v>197</v>
      </c>
      <c r="F139" s="836">
        <v>150</v>
      </c>
      <c r="G139" s="299">
        <v>22.6</v>
      </c>
      <c r="H139" s="299">
        <f>F139*G139</f>
        <v>3390</v>
      </c>
      <c r="I139" s="299">
        <f t="shared" si="7"/>
        <v>0</v>
      </c>
      <c r="J139" s="299">
        <f t="shared" si="8"/>
        <v>3390</v>
      </c>
    </row>
    <row r="140" spans="2:19" ht="12.75" customHeight="1" x14ac:dyDescent="0.25">
      <c r="B140" s="883" t="s">
        <v>4605</v>
      </c>
      <c r="C140" s="536">
        <v>3581346</v>
      </c>
      <c r="D140" s="907" t="s">
        <v>4607</v>
      </c>
      <c r="E140" s="882" t="s">
        <v>197</v>
      </c>
      <c r="F140" s="836">
        <v>75</v>
      </c>
      <c r="G140" s="299">
        <v>22.45</v>
      </c>
      <c r="H140" s="299">
        <f t="shared" si="0"/>
        <v>1683.75</v>
      </c>
      <c r="I140" s="299">
        <f t="shared" si="7"/>
        <v>76.009999999999991</v>
      </c>
      <c r="J140" s="299">
        <f t="shared" si="8"/>
        <v>1759.76</v>
      </c>
      <c r="K140" s="299">
        <v>60</v>
      </c>
      <c r="L140" s="299">
        <v>5.54</v>
      </c>
      <c r="M140" s="299">
        <v>9.18</v>
      </c>
      <c r="N140" s="299">
        <v>0.33</v>
      </c>
      <c r="O140" s="299">
        <v>0.33</v>
      </c>
      <c r="Q140" s="299">
        <v>0.02</v>
      </c>
      <c r="R140" s="299">
        <v>0.63</v>
      </c>
      <c r="S140" s="299">
        <v>-0.02</v>
      </c>
    </row>
    <row r="141" spans="2:19" ht="12.75" customHeight="1" x14ac:dyDescent="0.25">
      <c r="B141" s="883" t="s">
        <v>4611</v>
      </c>
      <c r="C141" s="536">
        <v>3614090</v>
      </c>
      <c r="D141" s="907" t="s">
        <v>4607</v>
      </c>
      <c r="E141" s="882" t="s">
        <v>197</v>
      </c>
      <c r="F141" s="836">
        <v>75</v>
      </c>
      <c r="G141" s="299">
        <v>25.7</v>
      </c>
      <c r="H141" s="299">
        <f t="shared" si="0"/>
        <v>1927.5</v>
      </c>
      <c r="I141" s="299">
        <f t="shared" ref="I141:I142" si="9">SUM(K141:S141)</f>
        <v>0</v>
      </c>
      <c r="J141" s="299">
        <f t="shared" si="8"/>
        <v>1927.5</v>
      </c>
    </row>
    <row r="142" spans="2:19" ht="12.75" customHeight="1" x14ac:dyDescent="0.25">
      <c r="B142" s="883" t="s">
        <v>4611</v>
      </c>
      <c r="C142" s="536">
        <v>3614090</v>
      </c>
      <c r="D142" s="907" t="s">
        <v>4607</v>
      </c>
      <c r="E142" s="882" t="s">
        <v>197</v>
      </c>
      <c r="F142" s="836">
        <v>75</v>
      </c>
      <c r="G142" s="299">
        <v>25.7</v>
      </c>
      <c r="H142" s="299">
        <f t="shared" si="0"/>
        <v>1927.5</v>
      </c>
      <c r="I142" s="299">
        <f t="shared" si="9"/>
        <v>25.59</v>
      </c>
      <c r="J142" s="299">
        <f t="shared" si="8"/>
        <v>1953.09</v>
      </c>
      <c r="K142" s="299">
        <v>20</v>
      </c>
      <c r="L142" s="299">
        <v>2.04</v>
      </c>
      <c r="M142" s="299">
        <v>3.09</v>
      </c>
      <c r="N142" s="299">
        <v>0.11</v>
      </c>
      <c r="O142" s="299">
        <v>0.11</v>
      </c>
      <c r="Q142" s="299">
        <v>0.01</v>
      </c>
      <c r="R142" s="299">
        <v>0.23</v>
      </c>
    </row>
    <row r="143" spans="2:19" ht="12.75" customHeight="1" x14ac:dyDescent="0.25">
      <c r="B143" s="926" t="s">
        <v>4591</v>
      </c>
      <c r="C143" s="536">
        <v>3652760</v>
      </c>
      <c r="D143" s="927" t="s">
        <v>4613</v>
      </c>
      <c r="E143" s="928" t="s">
        <v>197</v>
      </c>
      <c r="F143" s="836">
        <v>75</v>
      </c>
      <c r="G143" s="299">
        <v>32.5</v>
      </c>
      <c r="H143" s="299">
        <f t="shared" si="0"/>
        <v>2437.5</v>
      </c>
      <c r="I143" s="299">
        <f t="shared" ref="I143:I145" si="10">SUM(K143:S143)</f>
        <v>0</v>
      </c>
      <c r="J143" s="299">
        <f t="shared" ref="J143:J145" si="11">H143+I143</f>
        <v>2437.5</v>
      </c>
    </row>
    <row r="144" spans="2:19" ht="12.75" customHeight="1" x14ac:dyDescent="0.25">
      <c r="B144" s="926" t="s">
        <v>4591</v>
      </c>
      <c r="C144" s="536">
        <v>3652760</v>
      </c>
      <c r="D144" s="927" t="s">
        <v>4613</v>
      </c>
      <c r="E144" s="928" t="s">
        <v>197</v>
      </c>
      <c r="F144" s="836">
        <v>75</v>
      </c>
      <c r="G144" s="299">
        <v>38.5</v>
      </c>
      <c r="H144" s="299">
        <f t="shared" si="0"/>
        <v>2887.5</v>
      </c>
      <c r="I144" s="299">
        <f t="shared" si="10"/>
        <v>0</v>
      </c>
      <c r="J144" s="299">
        <f t="shared" si="11"/>
        <v>2887.5</v>
      </c>
    </row>
    <row r="145" spans="2:19" ht="12.75" customHeight="1" x14ac:dyDescent="0.25">
      <c r="B145" s="926" t="s">
        <v>4591</v>
      </c>
      <c r="C145" s="536">
        <v>3652760</v>
      </c>
      <c r="D145" s="927" t="s">
        <v>4606</v>
      </c>
      <c r="E145" s="928" t="s">
        <v>197</v>
      </c>
      <c r="F145" s="836">
        <v>150</v>
      </c>
      <c r="G145" s="299">
        <v>37.9</v>
      </c>
      <c r="H145" s="299">
        <f t="shared" si="0"/>
        <v>5685</v>
      </c>
      <c r="I145" s="299">
        <f t="shared" si="10"/>
        <v>129.34</v>
      </c>
      <c r="J145" s="299">
        <f t="shared" si="11"/>
        <v>5814.34</v>
      </c>
      <c r="K145" s="299">
        <v>100</v>
      </c>
      <c r="L145" s="299">
        <v>8.9499999999999993</v>
      </c>
      <c r="M145" s="299">
        <v>15.25</v>
      </c>
      <c r="N145" s="299">
        <v>0.55000000000000004</v>
      </c>
      <c r="O145" s="299">
        <v>0.55000000000000004</v>
      </c>
      <c r="P145" s="299">
        <v>3</v>
      </c>
      <c r="Q145" s="299">
        <v>0.04</v>
      </c>
      <c r="R145" s="299">
        <v>1.01</v>
      </c>
      <c r="S145" s="299">
        <v>-0.01</v>
      </c>
    </row>
    <row r="146" spans="2:19" ht="12.75" customHeight="1" x14ac:dyDescent="0.25">
      <c r="B146" s="957" t="s">
        <v>4623</v>
      </c>
      <c r="C146" s="536">
        <v>3889686</v>
      </c>
      <c r="D146" s="955" t="s">
        <v>4613</v>
      </c>
      <c r="E146" s="956" t="s">
        <v>197</v>
      </c>
      <c r="F146" s="836">
        <v>225</v>
      </c>
      <c r="G146" s="299">
        <v>46.5</v>
      </c>
      <c r="H146" s="299">
        <f t="shared" si="0"/>
        <v>10462.5</v>
      </c>
      <c r="I146" s="299">
        <f t="shared" ref="I146:I147" si="12">SUM(K146:S146)</f>
        <v>0</v>
      </c>
      <c r="J146" s="299">
        <f t="shared" ref="J146:J147" si="13">H146+I146</f>
        <v>10462.5</v>
      </c>
    </row>
    <row r="147" spans="2:19" ht="12.75" customHeight="1" x14ac:dyDescent="0.25">
      <c r="B147" s="957" t="s">
        <v>4623</v>
      </c>
      <c r="C147" s="536">
        <v>3889686</v>
      </c>
      <c r="D147" s="955" t="s">
        <v>4613</v>
      </c>
      <c r="E147" s="956" t="s">
        <v>197</v>
      </c>
      <c r="F147" s="836">
        <v>75</v>
      </c>
      <c r="G147" s="299">
        <v>46.5</v>
      </c>
      <c r="H147" s="299">
        <f t="shared" si="0"/>
        <v>3487.5</v>
      </c>
      <c r="I147" s="299">
        <f t="shared" si="12"/>
        <v>32.370000000000005</v>
      </c>
      <c r="J147" s="299">
        <f t="shared" si="13"/>
        <v>3519.87</v>
      </c>
      <c r="K147" s="299">
        <v>20</v>
      </c>
      <c r="L147" s="299">
        <v>7.39</v>
      </c>
      <c r="M147" s="299">
        <v>3.84</v>
      </c>
      <c r="N147" s="299">
        <v>0.14000000000000001</v>
      </c>
      <c r="O147" s="299">
        <v>0.14000000000000001</v>
      </c>
      <c r="Q147" s="299">
        <v>0.03</v>
      </c>
      <c r="R147" s="299">
        <v>0.84</v>
      </c>
      <c r="S147" s="299">
        <v>-0.01</v>
      </c>
    </row>
    <row r="148" spans="2:19" ht="12.75" customHeight="1" x14ac:dyDescent="0.25">
      <c r="B148" s="957" t="s">
        <v>4627</v>
      </c>
      <c r="C148" s="536">
        <v>4267268</v>
      </c>
      <c r="D148" s="955" t="s">
        <v>4625</v>
      </c>
      <c r="E148" s="956" t="s">
        <v>197</v>
      </c>
      <c r="F148" s="836">
        <v>80</v>
      </c>
      <c r="G148" s="299">
        <v>51.05</v>
      </c>
      <c r="H148" s="299">
        <f t="shared" si="0"/>
        <v>4084</v>
      </c>
      <c r="I148" s="299">
        <f t="shared" ref="I148:I153" si="14">SUM(K148:S148)</f>
        <v>0</v>
      </c>
      <c r="J148" s="299">
        <f t="shared" ref="J148:J152" si="15">H148+I148</f>
        <v>4084</v>
      </c>
    </row>
    <row r="149" spans="2:19" ht="12.75" customHeight="1" x14ac:dyDescent="0.25">
      <c r="B149" s="957" t="s">
        <v>4627</v>
      </c>
      <c r="C149" s="536">
        <v>4267268</v>
      </c>
      <c r="D149" s="955" t="s">
        <v>4625</v>
      </c>
      <c r="E149" s="956" t="s">
        <v>197</v>
      </c>
      <c r="F149" s="836">
        <v>40</v>
      </c>
      <c r="G149" s="299">
        <v>53.95</v>
      </c>
      <c r="H149" s="299">
        <f t="shared" si="0"/>
        <v>2158</v>
      </c>
      <c r="I149" s="299">
        <f t="shared" si="14"/>
        <v>0</v>
      </c>
      <c r="J149" s="299">
        <f t="shared" si="15"/>
        <v>2158</v>
      </c>
    </row>
    <row r="150" spans="2:19" ht="12.75" customHeight="1" x14ac:dyDescent="0.25">
      <c r="B150" s="957" t="s">
        <v>4627</v>
      </c>
      <c r="C150" s="536">
        <v>4267268</v>
      </c>
      <c r="D150" s="955" t="s">
        <v>4626</v>
      </c>
      <c r="E150" s="956" t="s">
        <v>197</v>
      </c>
      <c r="F150" s="836">
        <v>40</v>
      </c>
      <c r="G150" s="299">
        <v>54</v>
      </c>
      <c r="H150" s="299">
        <f t="shared" si="0"/>
        <v>2160</v>
      </c>
      <c r="I150" s="299">
        <f t="shared" si="14"/>
        <v>0</v>
      </c>
      <c r="J150" s="299">
        <f t="shared" si="15"/>
        <v>2160</v>
      </c>
    </row>
    <row r="151" spans="2:19" ht="12.75" customHeight="1" x14ac:dyDescent="0.25">
      <c r="B151" s="957" t="s">
        <v>4627</v>
      </c>
      <c r="C151" s="536">
        <v>4267268</v>
      </c>
      <c r="D151" s="955" t="s">
        <v>4626</v>
      </c>
      <c r="E151" s="956" t="s">
        <v>197</v>
      </c>
      <c r="F151" s="836">
        <v>40</v>
      </c>
      <c r="G151" s="299">
        <v>53.85</v>
      </c>
      <c r="H151" s="299">
        <f t="shared" si="0"/>
        <v>2154</v>
      </c>
      <c r="I151" s="299">
        <f t="shared" si="14"/>
        <v>0</v>
      </c>
      <c r="J151" s="299">
        <f t="shared" si="15"/>
        <v>2154</v>
      </c>
    </row>
    <row r="152" spans="2:19" ht="12.75" customHeight="1" x14ac:dyDescent="0.25">
      <c r="B152" s="957" t="s">
        <v>4627</v>
      </c>
      <c r="C152" s="536">
        <v>4267268</v>
      </c>
      <c r="D152" s="955" t="s">
        <v>4625</v>
      </c>
      <c r="E152" s="956" t="s">
        <v>197</v>
      </c>
      <c r="F152" s="836">
        <v>40</v>
      </c>
      <c r="G152" s="299">
        <v>64.2</v>
      </c>
      <c r="H152" s="299">
        <f t="shared" si="0"/>
        <v>2568</v>
      </c>
      <c r="I152" s="299">
        <f t="shared" si="14"/>
        <v>0</v>
      </c>
      <c r="J152" s="299">
        <f t="shared" si="15"/>
        <v>2568</v>
      </c>
    </row>
    <row r="153" spans="2:19" ht="12.75" customHeight="1" x14ac:dyDescent="0.25">
      <c r="B153" s="957" t="s">
        <v>4627</v>
      </c>
      <c r="C153" s="536">
        <v>4267268</v>
      </c>
      <c r="D153" s="955" t="s">
        <v>4625</v>
      </c>
      <c r="E153" s="956" t="s">
        <v>197</v>
      </c>
      <c r="F153" s="836">
        <v>80</v>
      </c>
      <c r="G153" s="299">
        <v>68.599999999999994</v>
      </c>
      <c r="H153" s="299">
        <f t="shared" si="0"/>
        <v>5488</v>
      </c>
      <c r="I153" s="299">
        <f t="shared" si="14"/>
        <v>127.5</v>
      </c>
      <c r="J153" s="299">
        <f>H153+I153</f>
        <v>5615.5</v>
      </c>
      <c r="K153" s="299">
        <v>100</v>
      </c>
      <c r="L153" s="299">
        <v>9.8699999999999992</v>
      </c>
      <c r="M153" s="299">
        <v>15.38</v>
      </c>
      <c r="N153" s="299">
        <v>0.55000000000000004</v>
      </c>
      <c r="O153" s="299">
        <v>0.55000000000000004</v>
      </c>
      <c r="Q153" s="299">
        <v>0.04</v>
      </c>
      <c r="R153" s="299">
        <v>1.1200000000000001</v>
      </c>
      <c r="S153" s="299">
        <v>-0.01</v>
      </c>
    </row>
    <row r="154" spans="2:19" ht="12.75" customHeight="1" x14ac:dyDescent="0.25">
      <c r="B154" s="729"/>
      <c r="D154" s="782"/>
      <c r="E154" s="730"/>
      <c r="F154" s="836"/>
      <c r="J154" s="299"/>
    </row>
    <row r="155" spans="2:19" ht="12.75" customHeight="1" x14ac:dyDescent="0.25">
      <c r="B155" s="729"/>
      <c r="D155" s="782"/>
      <c r="E155" s="730"/>
      <c r="F155" s="836"/>
      <c r="J155" s="299"/>
    </row>
    <row r="156" spans="2:19" ht="12.75" customHeight="1" x14ac:dyDescent="0.25">
      <c r="B156" s="729"/>
      <c r="D156" s="782"/>
      <c r="E156" s="730"/>
      <c r="F156" s="836"/>
      <c r="J156" s="299"/>
    </row>
    <row r="157" spans="2:19" ht="12.75" customHeight="1" x14ac:dyDescent="0.25">
      <c r="B157" s="729"/>
      <c r="D157" s="782"/>
      <c r="E157" s="730"/>
      <c r="F157" s="836"/>
      <c r="J157" s="299"/>
    </row>
    <row r="158" spans="2:19" ht="12.75" customHeight="1" x14ac:dyDescent="0.25">
      <c r="F158" s="836"/>
    </row>
    <row r="159" spans="2:19" ht="12.75" customHeight="1" x14ac:dyDescent="0.25">
      <c r="F159" s="836"/>
    </row>
    <row r="160" spans="2:19" ht="12.75" customHeight="1" x14ac:dyDescent="0.25">
      <c r="F160" s="836"/>
    </row>
    <row r="161" spans="6:6" ht="12.75" customHeight="1" x14ac:dyDescent="0.25">
      <c r="F161" s="836"/>
    </row>
    <row r="162" spans="6:6" ht="12.75" customHeight="1" x14ac:dyDescent="0.25">
      <c r="F162" s="836"/>
    </row>
    <row r="163" spans="6:6" ht="12.75" customHeight="1" x14ac:dyDescent="0.25">
      <c r="F163" s="836"/>
    </row>
    <row r="164" spans="6:6" ht="12.75" customHeight="1" x14ac:dyDescent="0.25">
      <c r="F164" s="836"/>
    </row>
    <row r="165" spans="6:6" ht="12.75" customHeight="1" x14ac:dyDescent="0.25">
      <c r="F165" s="836"/>
    </row>
    <row r="166" spans="6:6" ht="12.75" customHeight="1" x14ac:dyDescent="0.25">
      <c r="F166" s="836"/>
    </row>
    <row r="167" spans="6:6" ht="12.75" customHeight="1" x14ac:dyDescent="0.25">
      <c r="F167" s="836"/>
    </row>
    <row r="168" spans="6:6" ht="12.75" customHeight="1" x14ac:dyDescent="0.25">
      <c r="F168" s="836"/>
    </row>
    <row r="169" spans="6:6" ht="12.75" customHeight="1" x14ac:dyDescent="0.25">
      <c r="F169" s="836"/>
    </row>
    <row r="170" spans="6:6" ht="12.75" customHeight="1" x14ac:dyDescent="0.25">
      <c r="F170" s="836"/>
    </row>
    <row r="171" spans="6:6" ht="12.75" customHeight="1" x14ac:dyDescent="0.25">
      <c r="F171" s="836"/>
    </row>
    <row r="172" spans="6:6" ht="12.75" customHeight="1" x14ac:dyDescent="0.25">
      <c r="F172" s="836"/>
    </row>
    <row r="173" spans="6:6" ht="12.75" customHeight="1" x14ac:dyDescent="0.25">
      <c r="F173" s="836"/>
    </row>
    <row r="174" spans="6:6" ht="12.75" customHeight="1" x14ac:dyDescent="0.25">
      <c r="F174" s="836"/>
    </row>
    <row r="175" spans="6:6" ht="12.75" customHeight="1" x14ac:dyDescent="0.25">
      <c r="F175" s="836"/>
    </row>
    <row r="176" spans="6:6" ht="12.75" customHeight="1" x14ac:dyDescent="0.25">
      <c r="F176" s="836"/>
    </row>
    <row r="177" spans="2:20" ht="12.75" customHeight="1" x14ac:dyDescent="0.25">
      <c r="F177" s="836"/>
    </row>
    <row r="178" spans="2:20" ht="12.75" customHeight="1" x14ac:dyDescent="0.25">
      <c r="F178" s="836"/>
    </row>
    <row r="179" spans="2:20" ht="12.75" customHeight="1" x14ac:dyDescent="0.25">
      <c r="F179" s="836"/>
    </row>
    <row r="180" spans="2:20" ht="12.75" customHeight="1" x14ac:dyDescent="0.25">
      <c r="F180" s="836"/>
    </row>
    <row r="181" spans="2:20" ht="12.75" customHeight="1" x14ac:dyDescent="0.25">
      <c r="F181" s="836"/>
    </row>
    <row r="182" spans="2:20" ht="12.75" customHeight="1" x14ac:dyDescent="0.25">
      <c r="F182" s="836"/>
    </row>
    <row r="183" spans="2:20" ht="12.75" customHeight="1" x14ac:dyDescent="0.25">
      <c r="F183" s="836"/>
    </row>
    <row r="184" spans="2:20" ht="12.75" customHeight="1" x14ac:dyDescent="0.25">
      <c r="B184" s="249"/>
      <c r="C184" s="249"/>
      <c r="D184" s="249"/>
      <c r="F184" s="836"/>
      <c r="G184" s="249"/>
      <c r="H184" s="249"/>
      <c r="I184" s="249"/>
      <c r="K184" s="249"/>
      <c r="L184" s="249"/>
      <c r="M184" s="249"/>
      <c r="N184" s="249"/>
      <c r="O184" s="249"/>
      <c r="P184" s="249"/>
      <c r="Q184" s="249"/>
      <c r="R184" s="249"/>
      <c r="S184" s="249"/>
    </row>
    <row r="185" spans="2:20" ht="12.75" customHeight="1" x14ac:dyDescent="0.25">
      <c r="B185" s="249"/>
      <c r="C185" s="249"/>
      <c r="D185" s="249"/>
      <c r="F185" s="836"/>
      <c r="G185" s="249"/>
      <c r="H185" s="249"/>
      <c r="I185" s="249"/>
      <c r="K185" s="249"/>
      <c r="L185" s="249"/>
      <c r="M185" s="249"/>
      <c r="N185" s="249"/>
      <c r="O185" s="249"/>
      <c r="P185" s="249"/>
      <c r="Q185" s="249"/>
      <c r="R185" s="249"/>
      <c r="S185" s="249"/>
    </row>
    <row r="186" spans="2:20" ht="12.75" customHeight="1" x14ac:dyDescent="0.25">
      <c r="F186" s="836"/>
    </row>
    <row r="187" spans="2:20" ht="12.75" customHeight="1" x14ac:dyDescent="0.25">
      <c r="F187" s="836"/>
    </row>
    <row r="188" spans="2:20" ht="12.75" customHeight="1" x14ac:dyDescent="0.25">
      <c r="F188" s="836"/>
    </row>
    <row r="189" spans="2:20" ht="12.75" customHeight="1" x14ac:dyDescent="0.25">
      <c r="F189" s="836"/>
    </row>
    <row r="190" spans="2:20" ht="12.75" customHeight="1" x14ac:dyDescent="0.25">
      <c r="B190" s="452"/>
      <c r="C190" s="537"/>
      <c r="D190" s="785"/>
      <c r="E190" s="463"/>
      <c r="F190" s="836"/>
      <c r="G190" s="455"/>
      <c r="H190" s="454"/>
      <c r="I190" s="455"/>
      <c r="J190" s="456"/>
      <c r="K190" s="455"/>
      <c r="L190" s="456"/>
      <c r="M190" s="455"/>
      <c r="N190" s="457"/>
      <c r="O190" s="457"/>
      <c r="P190" s="457"/>
      <c r="Q190" s="457"/>
      <c r="R190" s="457"/>
      <c r="S190" s="457"/>
      <c r="T190" s="451"/>
    </row>
    <row r="191" spans="2:20" ht="12.75" customHeight="1" x14ac:dyDescent="0.25">
      <c r="B191" s="452"/>
      <c r="C191" s="537"/>
      <c r="D191" s="785"/>
      <c r="E191" s="463"/>
      <c r="F191" s="836"/>
      <c r="G191" s="455"/>
      <c r="H191" s="454"/>
      <c r="I191" s="457"/>
      <c r="J191" s="463"/>
      <c r="K191" s="455"/>
      <c r="L191" s="456"/>
      <c r="M191" s="455"/>
      <c r="N191" s="457"/>
      <c r="O191" s="457"/>
      <c r="P191" s="457"/>
      <c r="Q191" s="457"/>
      <c r="R191" s="457"/>
      <c r="S191" s="457"/>
      <c r="T191" s="451"/>
    </row>
    <row r="192" spans="2:20" ht="12.75" customHeight="1" x14ac:dyDescent="0.25">
      <c r="B192" s="325"/>
      <c r="D192" s="778"/>
      <c r="F192" s="836"/>
      <c r="G192" s="60"/>
      <c r="H192" s="2"/>
      <c r="K192" s="60"/>
      <c r="L192" s="303"/>
      <c r="M192" s="60"/>
    </row>
    <row r="193" spans="2:22" ht="13.2" x14ac:dyDescent="0.25">
      <c r="B193" s="325"/>
      <c r="C193" s="831"/>
      <c r="D193" s="778"/>
      <c r="E193" s="304"/>
      <c r="F193" s="836"/>
      <c r="G193" s="60"/>
      <c r="H193" s="2"/>
      <c r="I193" s="60"/>
      <c r="J193" s="303"/>
      <c r="K193" s="60"/>
      <c r="L193" s="303"/>
      <c r="M193" s="60"/>
      <c r="U193" s="247"/>
    </row>
    <row r="194" spans="2:22" ht="12.75" customHeight="1" x14ac:dyDescent="0.25">
      <c r="D194" s="785"/>
      <c r="F194" s="836"/>
      <c r="G194" s="455"/>
      <c r="H194" s="454"/>
      <c r="I194" s="257" t="s">
        <v>2121</v>
      </c>
      <c r="J194" s="257">
        <f>SUM(J121:J193)</f>
        <v>78073.109999999986</v>
      </c>
      <c r="K194" s="455"/>
      <c r="L194" s="303"/>
      <c r="M194" s="455"/>
    </row>
    <row r="195" spans="2:22" ht="12.75" customHeight="1" x14ac:dyDescent="0.25">
      <c r="B195" s="325"/>
      <c r="D195" s="23"/>
      <c r="F195" s="836"/>
      <c r="G195" s="60"/>
      <c r="H195" s="60"/>
      <c r="I195" s="257"/>
      <c r="J195" s="257"/>
      <c r="M195" s="60"/>
      <c r="V195" s="247"/>
    </row>
    <row r="196" spans="2:22" ht="12.75" customHeight="1" x14ac:dyDescent="0.25">
      <c r="B196" s="325"/>
      <c r="F196" s="836"/>
      <c r="I196" s="255"/>
      <c r="J196" s="255"/>
    </row>
    <row r="197" spans="2:22" ht="12.75" customHeight="1" x14ac:dyDescent="0.25">
      <c r="B197" s="900" t="s">
        <v>184</v>
      </c>
      <c r="C197" s="906" t="s">
        <v>4445</v>
      </c>
      <c r="D197" s="901" t="s">
        <v>2079</v>
      </c>
      <c r="E197" s="904" t="s">
        <v>186</v>
      </c>
      <c r="F197" s="902" t="s">
        <v>469</v>
      </c>
      <c r="G197" s="903" t="s">
        <v>664</v>
      </c>
      <c r="H197" s="903" t="s">
        <v>470</v>
      </c>
      <c r="I197" s="903" t="s">
        <v>1216</v>
      </c>
      <c r="J197" s="903" t="s">
        <v>3372</v>
      </c>
      <c r="K197" s="903" t="s">
        <v>471</v>
      </c>
      <c r="L197" s="905" t="s">
        <v>4585</v>
      </c>
      <c r="M197" s="903" t="s">
        <v>3368</v>
      </c>
      <c r="N197" s="905" t="s">
        <v>4582</v>
      </c>
      <c r="O197" s="905" t="s">
        <v>4583</v>
      </c>
      <c r="P197" s="905" t="s">
        <v>893</v>
      </c>
      <c r="Q197" s="905" t="s">
        <v>4584</v>
      </c>
      <c r="R197" s="905" t="s">
        <v>2247</v>
      </c>
      <c r="S197" s="903" t="s">
        <v>4455</v>
      </c>
    </row>
    <row r="198" spans="2:22" ht="12.75" customHeight="1" x14ac:dyDescent="0.25">
      <c r="B198" s="883" t="s">
        <v>4581</v>
      </c>
      <c r="C198" s="536">
        <v>3157458</v>
      </c>
      <c r="D198" s="782" t="s">
        <v>4580</v>
      </c>
      <c r="E198" s="882" t="s">
        <v>369</v>
      </c>
      <c r="F198" s="836">
        <v>80</v>
      </c>
      <c r="G198" s="299">
        <v>15</v>
      </c>
      <c r="H198" s="299">
        <f t="shared" ref="H198:H204" si="16">F198*G198</f>
        <v>1200</v>
      </c>
      <c r="I198" s="299">
        <f>SUM(K198:S198)</f>
        <v>0</v>
      </c>
      <c r="J198" s="299">
        <f>H198-I198</f>
        <v>1200</v>
      </c>
    </row>
    <row r="199" spans="2:22" ht="12.75" customHeight="1" x14ac:dyDescent="0.25">
      <c r="B199" s="883" t="s">
        <v>4581</v>
      </c>
      <c r="C199" s="827">
        <v>3157458</v>
      </c>
      <c r="D199" s="907" t="s">
        <v>4580</v>
      </c>
      <c r="E199" s="882" t="s">
        <v>369</v>
      </c>
      <c r="F199" s="836">
        <v>120</v>
      </c>
      <c r="G199" s="299">
        <v>7</v>
      </c>
      <c r="H199" s="299">
        <f t="shared" si="16"/>
        <v>840</v>
      </c>
      <c r="I199" s="299">
        <f t="shared" ref="I199:I200" si="17">SUM(K199:S199)</f>
        <v>0</v>
      </c>
      <c r="J199" s="299">
        <f t="shared" ref="J199:J203" si="18">H199-I199</f>
        <v>840</v>
      </c>
    </row>
    <row r="200" spans="2:22" ht="12.75" customHeight="1" x14ac:dyDescent="0.25">
      <c r="B200" s="883" t="s">
        <v>4592</v>
      </c>
      <c r="C200" s="536">
        <v>3190330</v>
      </c>
      <c r="D200" s="907" t="s">
        <v>4580</v>
      </c>
      <c r="E200" s="882" t="s">
        <v>369</v>
      </c>
      <c r="F200" s="836">
        <v>160</v>
      </c>
      <c r="G200" s="299">
        <v>0</v>
      </c>
      <c r="H200" s="299">
        <f t="shared" si="16"/>
        <v>0</v>
      </c>
      <c r="I200" s="299">
        <f t="shared" si="17"/>
        <v>0</v>
      </c>
      <c r="J200" s="299">
        <f t="shared" si="18"/>
        <v>0</v>
      </c>
    </row>
    <row r="201" spans="2:22" ht="12.75" customHeight="1" x14ac:dyDescent="0.25">
      <c r="B201" s="883" t="s">
        <v>4592</v>
      </c>
      <c r="C201" s="536">
        <v>3190330</v>
      </c>
      <c r="D201" s="907" t="s">
        <v>4589</v>
      </c>
      <c r="E201" s="882" t="s">
        <v>369</v>
      </c>
      <c r="F201" s="836">
        <v>120</v>
      </c>
      <c r="G201" s="299">
        <v>0.75</v>
      </c>
      <c r="H201" s="299">
        <f t="shared" si="16"/>
        <v>90</v>
      </c>
      <c r="I201" s="299">
        <f>SUM(K201:S201)</f>
        <v>0</v>
      </c>
      <c r="J201" s="299">
        <f t="shared" si="18"/>
        <v>90</v>
      </c>
    </row>
    <row r="202" spans="2:22" ht="12.75" customHeight="1" x14ac:dyDescent="0.25">
      <c r="B202" s="883" t="s">
        <v>4599</v>
      </c>
      <c r="C202" s="536">
        <v>3337442</v>
      </c>
      <c r="D202" s="907" t="s">
        <v>4597</v>
      </c>
      <c r="E202" s="882" t="s">
        <v>369</v>
      </c>
      <c r="F202" s="836">
        <v>80</v>
      </c>
      <c r="G202" s="299">
        <v>102.8</v>
      </c>
      <c r="H202" s="299">
        <f t="shared" si="16"/>
        <v>8224</v>
      </c>
      <c r="I202" s="299">
        <f>SUM(K202:S202)</f>
        <v>55.61</v>
      </c>
      <c r="J202" s="299">
        <f t="shared" si="18"/>
        <v>8168.39</v>
      </c>
      <c r="K202" s="299">
        <v>40</v>
      </c>
      <c r="L202" s="299">
        <v>4.43</v>
      </c>
      <c r="M202" s="299">
        <v>6.22</v>
      </c>
      <c r="N202" s="299">
        <v>0.22</v>
      </c>
      <c r="O202" s="299">
        <v>0.22</v>
      </c>
      <c r="P202" s="299">
        <v>4</v>
      </c>
      <c r="Q202" s="299">
        <v>0.02</v>
      </c>
      <c r="R202" s="299">
        <v>0.5</v>
      </c>
    </row>
    <row r="203" spans="2:22" ht="12.75" customHeight="1" x14ac:dyDescent="0.25">
      <c r="B203" s="883" t="s">
        <v>4599</v>
      </c>
      <c r="C203" s="536">
        <v>3337442</v>
      </c>
      <c r="D203" s="907" t="s">
        <v>4596</v>
      </c>
      <c r="E203" s="882" t="s">
        <v>369</v>
      </c>
      <c r="F203" s="836">
        <v>80</v>
      </c>
      <c r="G203" s="299">
        <v>1.8</v>
      </c>
      <c r="H203" s="299">
        <f t="shared" si="16"/>
        <v>144</v>
      </c>
      <c r="I203" s="299">
        <f t="shared" ref="I203" si="19">SUM(K203:S203)</f>
        <v>0</v>
      </c>
      <c r="J203" s="299">
        <f t="shared" si="18"/>
        <v>144</v>
      </c>
    </row>
    <row r="204" spans="2:22" ht="12.75" customHeight="1" x14ac:dyDescent="0.25">
      <c r="B204" s="883" t="s">
        <v>4602</v>
      </c>
      <c r="C204" s="536">
        <v>3521775</v>
      </c>
      <c r="D204" s="921" t="s">
        <v>4603</v>
      </c>
      <c r="E204" s="882" t="s">
        <v>369</v>
      </c>
      <c r="F204" s="836">
        <v>320</v>
      </c>
      <c r="G204" s="299">
        <v>0</v>
      </c>
      <c r="H204" s="299">
        <f t="shared" si="16"/>
        <v>0</v>
      </c>
      <c r="I204" s="299">
        <f t="shared" ref="I204:I205" si="20">SUM(K204:S204)</f>
        <v>0</v>
      </c>
      <c r="J204" s="299">
        <f t="shared" ref="J204:J205" si="21">H204-I204</f>
        <v>0</v>
      </c>
      <c r="T204" s="451"/>
    </row>
    <row r="205" spans="2:22" ht="12.75" customHeight="1" x14ac:dyDescent="0.25">
      <c r="B205" s="926" t="s">
        <v>4591</v>
      </c>
      <c r="C205" s="536">
        <v>3652760</v>
      </c>
      <c r="D205" s="927" t="s">
        <v>4607</v>
      </c>
      <c r="E205" s="928" t="s">
        <v>369</v>
      </c>
      <c r="F205" s="836">
        <v>75</v>
      </c>
      <c r="G205" s="299">
        <v>10.1</v>
      </c>
      <c r="H205" s="299">
        <f t="shared" ref="H205:H212" si="22">F205*G205</f>
        <v>757.5</v>
      </c>
      <c r="I205" s="299">
        <f t="shared" si="20"/>
        <v>0</v>
      </c>
      <c r="J205" s="299">
        <f t="shared" si="21"/>
        <v>757.5</v>
      </c>
    </row>
    <row r="206" spans="2:22" ht="12.75" customHeight="1" x14ac:dyDescent="0.25">
      <c r="B206" s="926" t="s">
        <v>4591</v>
      </c>
      <c r="C206" s="536">
        <v>3652760</v>
      </c>
      <c r="D206" s="927" t="s">
        <v>4607</v>
      </c>
      <c r="E206" s="928" t="s">
        <v>369</v>
      </c>
      <c r="F206" s="836">
        <v>75</v>
      </c>
      <c r="G206" s="299">
        <v>10.050000000000001</v>
      </c>
      <c r="H206" s="299">
        <f t="shared" si="22"/>
        <v>753.75</v>
      </c>
      <c r="I206" s="299">
        <f t="shared" ref="I206:I208" si="23">SUM(K206:S206)</f>
        <v>0</v>
      </c>
      <c r="J206" s="299">
        <f t="shared" ref="J206:J208" si="24">H206-I206</f>
        <v>753.75</v>
      </c>
    </row>
    <row r="207" spans="2:22" ht="12.75" customHeight="1" x14ac:dyDescent="0.25">
      <c r="B207" s="926" t="s">
        <v>4591</v>
      </c>
      <c r="C207" s="536">
        <v>3652760</v>
      </c>
      <c r="D207" s="927" t="s">
        <v>4607</v>
      </c>
      <c r="E207" s="928" t="s">
        <v>369</v>
      </c>
      <c r="F207" s="836">
        <v>225</v>
      </c>
      <c r="G207" s="299">
        <v>10.050000000000001</v>
      </c>
      <c r="H207" s="299">
        <f t="shared" si="22"/>
        <v>2261.25</v>
      </c>
      <c r="I207" s="299">
        <f t="shared" si="23"/>
        <v>0</v>
      </c>
      <c r="J207" s="299">
        <f t="shared" si="24"/>
        <v>2261.25</v>
      </c>
    </row>
    <row r="208" spans="2:22" ht="12.75" customHeight="1" x14ac:dyDescent="0.25">
      <c r="B208" s="926" t="s">
        <v>4591</v>
      </c>
      <c r="C208" s="536">
        <v>3652760</v>
      </c>
      <c r="D208" s="927" t="s">
        <v>4613</v>
      </c>
      <c r="E208" s="928" t="s">
        <v>369</v>
      </c>
      <c r="F208" s="836">
        <v>150</v>
      </c>
      <c r="G208" s="299">
        <v>14</v>
      </c>
      <c r="H208" s="299">
        <f t="shared" si="22"/>
        <v>2100</v>
      </c>
      <c r="I208" s="299">
        <f t="shared" si="23"/>
        <v>0</v>
      </c>
      <c r="J208" s="299">
        <f t="shared" si="24"/>
        <v>2100</v>
      </c>
    </row>
    <row r="209" spans="2:22" ht="12.75" customHeight="1" x14ac:dyDescent="0.25">
      <c r="B209" s="926" t="s">
        <v>4615</v>
      </c>
      <c r="C209" s="536">
        <v>3765064</v>
      </c>
      <c r="D209" s="927" t="s">
        <v>4606</v>
      </c>
      <c r="E209" s="928" t="s">
        <v>369</v>
      </c>
      <c r="F209" s="836">
        <v>75</v>
      </c>
      <c r="G209" s="299">
        <v>148</v>
      </c>
      <c r="H209" s="299">
        <f t="shared" si="22"/>
        <v>11100</v>
      </c>
      <c r="I209" s="299">
        <f t="shared" ref="I209:I211" si="25">SUM(K209:S209)</f>
        <v>0</v>
      </c>
      <c r="J209" s="299">
        <f t="shared" ref="J209:J211" si="26">H209-I209</f>
        <v>11100</v>
      </c>
      <c r="V209" s="247"/>
    </row>
    <row r="210" spans="2:22" ht="12.75" customHeight="1" x14ac:dyDescent="0.25">
      <c r="B210" s="926" t="s">
        <v>4615</v>
      </c>
      <c r="C210" s="536">
        <v>3765064</v>
      </c>
      <c r="D210" s="927" t="s">
        <v>4606</v>
      </c>
      <c r="E210" s="928" t="s">
        <v>369</v>
      </c>
      <c r="F210" s="836">
        <v>150</v>
      </c>
      <c r="G210" s="299">
        <v>148</v>
      </c>
      <c r="H210" s="299">
        <f t="shared" si="22"/>
        <v>22200</v>
      </c>
      <c r="I210" s="299">
        <f t="shared" si="25"/>
        <v>0</v>
      </c>
      <c r="J210" s="299">
        <f t="shared" si="26"/>
        <v>22200</v>
      </c>
    </row>
    <row r="211" spans="2:22" ht="12.75" customHeight="1" x14ac:dyDescent="0.25">
      <c r="B211" s="926" t="s">
        <v>4615</v>
      </c>
      <c r="C211" s="536">
        <v>3765064</v>
      </c>
      <c r="D211" s="927" t="s">
        <v>4606</v>
      </c>
      <c r="E211" s="928" t="s">
        <v>369</v>
      </c>
      <c r="F211" s="836">
        <v>75</v>
      </c>
      <c r="G211" s="299">
        <v>148</v>
      </c>
      <c r="H211" s="299">
        <f t="shared" si="22"/>
        <v>11100</v>
      </c>
      <c r="I211" s="299">
        <f t="shared" si="25"/>
        <v>74.809999999999988</v>
      </c>
      <c r="J211" s="299">
        <f t="shared" si="26"/>
        <v>11025.19</v>
      </c>
      <c r="K211" s="299">
        <v>20</v>
      </c>
      <c r="L211" s="299">
        <v>23.53</v>
      </c>
      <c r="M211" s="299">
        <v>6.1</v>
      </c>
      <c r="N211" s="299">
        <v>0.22</v>
      </c>
      <c r="O211" s="299">
        <v>0.22</v>
      </c>
      <c r="P211" s="299">
        <v>22</v>
      </c>
      <c r="Q211" s="299">
        <v>0.09</v>
      </c>
      <c r="R211" s="299">
        <v>2.66</v>
      </c>
      <c r="S211" s="299">
        <v>-0.01</v>
      </c>
    </row>
    <row r="212" spans="2:22" ht="12.75" customHeight="1" x14ac:dyDescent="0.25">
      <c r="B212" s="957" t="s">
        <v>4624</v>
      </c>
      <c r="C212" s="536">
        <v>3981372</v>
      </c>
      <c r="D212" s="955" t="s">
        <v>4613</v>
      </c>
      <c r="E212" s="956" t="s">
        <v>369</v>
      </c>
      <c r="F212" s="836">
        <v>300</v>
      </c>
      <c r="G212" s="299">
        <v>0.5</v>
      </c>
      <c r="H212" s="299">
        <f t="shared" si="22"/>
        <v>150</v>
      </c>
      <c r="I212" s="299">
        <f t="shared" ref="I212" si="27">SUM(K212:S212)</f>
        <v>23.1</v>
      </c>
      <c r="J212" s="299">
        <f t="shared" ref="J212" si="28">H212-I212</f>
        <v>126.9</v>
      </c>
      <c r="K212" s="299">
        <v>20</v>
      </c>
      <c r="L212" s="299">
        <v>0.08</v>
      </c>
      <c r="M212" s="299">
        <v>2.81</v>
      </c>
      <c r="N212" s="299">
        <v>0.1</v>
      </c>
      <c r="O212" s="299">
        <v>0.1</v>
      </c>
      <c r="P212" s="299">
        <v>0</v>
      </c>
      <c r="Q212" s="299">
        <v>0</v>
      </c>
      <c r="R212" s="299">
        <v>0.01</v>
      </c>
    </row>
    <row r="213" spans="2:22" ht="12.75" customHeight="1" x14ac:dyDescent="0.25">
      <c r="B213" s="729"/>
      <c r="D213" s="782"/>
      <c r="E213" s="730"/>
      <c r="F213" s="836"/>
      <c r="J213" s="299"/>
    </row>
    <row r="214" spans="2:22" ht="12.75" customHeight="1" x14ac:dyDescent="0.25">
      <c r="B214" s="729"/>
      <c r="D214" s="782"/>
      <c r="E214" s="730"/>
      <c r="F214" s="836"/>
      <c r="J214" s="299"/>
    </row>
    <row r="215" spans="2:22" ht="12.75" customHeight="1" x14ac:dyDescent="0.25">
      <c r="B215" s="729"/>
      <c r="D215" s="782"/>
      <c r="E215" s="730"/>
      <c r="F215" s="836"/>
      <c r="J215" s="299"/>
    </row>
    <row r="216" spans="2:22" ht="12.75" customHeight="1" x14ac:dyDescent="0.25">
      <c r="B216" s="729"/>
      <c r="D216" s="782"/>
      <c r="E216" s="730"/>
      <c r="F216" s="836"/>
      <c r="J216" s="299"/>
    </row>
    <row r="217" spans="2:22" ht="12.75" customHeight="1" x14ac:dyDescent="0.25">
      <c r="B217" s="729"/>
      <c r="D217" s="782"/>
      <c r="E217" s="730"/>
      <c r="F217" s="836"/>
      <c r="J217" s="299"/>
    </row>
    <row r="218" spans="2:22" ht="12.75" customHeight="1" x14ac:dyDescent="0.25">
      <c r="B218" s="729"/>
      <c r="D218" s="782"/>
      <c r="E218" s="730"/>
      <c r="F218" s="836"/>
      <c r="J218" s="299"/>
    </row>
    <row r="219" spans="2:22" ht="12.75" customHeight="1" x14ac:dyDescent="0.25">
      <c r="B219" s="729"/>
      <c r="D219" s="782"/>
      <c r="E219" s="730"/>
      <c r="F219" s="836"/>
      <c r="J219" s="299"/>
    </row>
    <row r="220" spans="2:22" ht="12.75" customHeight="1" x14ac:dyDescent="0.25">
      <c r="B220" s="729"/>
      <c r="D220" s="782"/>
      <c r="E220" s="730"/>
      <c r="F220" s="836"/>
      <c r="J220" s="299"/>
    </row>
    <row r="221" spans="2:22" ht="12.75" customHeight="1" x14ac:dyDescent="0.25">
      <c r="B221" s="729"/>
      <c r="D221" s="782"/>
      <c r="E221" s="730"/>
      <c r="F221" s="836"/>
      <c r="J221" s="299"/>
    </row>
    <row r="222" spans="2:22" ht="12.75" customHeight="1" x14ac:dyDescent="0.25">
      <c r="B222" s="729"/>
      <c r="D222" s="782"/>
      <c r="E222" s="730"/>
      <c r="F222" s="836"/>
      <c r="J222" s="299"/>
    </row>
    <row r="223" spans="2:22" ht="12.75" customHeight="1" x14ac:dyDescent="0.25">
      <c r="B223" s="729"/>
      <c r="D223" s="782"/>
      <c r="E223" s="730"/>
      <c r="F223" s="836"/>
      <c r="J223" s="299"/>
    </row>
    <row r="224" spans="2:22" ht="12.75" customHeight="1" x14ac:dyDescent="0.25">
      <c r="F224" s="836"/>
    </row>
    <row r="225" spans="2:20" ht="12.75" customHeight="1" x14ac:dyDescent="0.25">
      <c r="F225" s="836"/>
    </row>
    <row r="226" spans="2:20" ht="12.75" customHeight="1" x14ac:dyDescent="0.25">
      <c r="F226" s="836"/>
    </row>
    <row r="227" spans="2:20" ht="12.75" customHeight="1" x14ac:dyDescent="0.25">
      <c r="F227" s="836"/>
    </row>
    <row r="228" spans="2:20" ht="12.75" customHeight="1" x14ac:dyDescent="0.25">
      <c r="F228" s="836"/>
    </row>
    <row r="229" spans="2:20" ht="12.75" customHeight="1" x14ac:dyDescent="0.25">
      <c r="F229" s="836"/>
    </row>
    <row r="230" spans="2:20" ht="12.75" customHeight="1" x14ac:dyDescent="0.25">
      <c r="F230" s="836"/>
    </row>
    <row r="231" spans="2:20" ht="12.75" customHeight="1" x14ac:dyDescent="0.25">
      <c r="F231" s="836"/>
    </row>
    <row r="232" spans="2:20" ht="12.75" customHeight="1" x14ac:dyDescent="0.25">
      <c r="F232" s="836"/>
    </row>
    <row r="233" spans="2:20" ht="12.75" customHeight="1" x14ac:dyDescent="0.25">
      <c r="F233" s="836"/>
    </row>
    <row r="234" spans="2:20" ht="12.75" customHeight="1" x14ac:dyDescent="0.25">
      <c r="F234" s="836"/>
    </row>
    <row r="235" spans="2:20" ht="12.75" customHeight="1" x14ac:dyDescent="0.25">
      <c r="F235" s="836"/>
    </row>
    <row r="236" spans="2:20" ht="12.75" customHeight="1" x14ac:dyDescent="0.25">
      <c r="B236" s="729"/>
      <c r="D236" s="782"/>
      <c r="E236" s="730"/>
      <c r="F236" s="836"/>
    </row>
    <row r="237" spans="2:20" ht="12.75" customHeight="1" x14ac:dyDescent="0.25">
      <c r="B237" s="729"/>
      <c r="D237" s="782"/>
      <c r="E237" s="730"/>
      <c r="F237" s="836"/>
    </row>
    <row r="238" spans="2:20" ht="12.75" customHeight="1" x14ac:dyDescent="0.25">
      <c r="B238" s="729"/>
      <c r="C238" s="537"/>
      <c r="D238" s="832"/>
      <c r="E238" s="873"/>
      <c r="F238" s="844"/>
      <c r="G238" s="455"/>
      <c r="H238" s="454"/>
      <c r="I238" s="457"/>
      <c r="J238" s="463"/>
      <c r="K238" s="455"/>
      <c r="L238" s="456"/>
      <c r="M238" s="455"/>
      <c r="N238" s="457"/>
      <c r="O238" s="457"/>
      <c r="P238" s="457"/>
      <c r="Q238" s="457"/>
      <c r="R238" s="457"/>
      <c r="S238" s="457"/>
      <c r="T238" s="451"/>
    </row>
    <row r="239" spans="2:20" ht="12.75" customHeight="1" x14ac:dyDescent="0.25">
      <c r="D239" s="527"/>
      <c r="F239" s="844"/>
      <c r="G239" s="455"/>
      <c r="H239" s="454"/>
      <c r="J239" s="456"/>
      <c r="K239" s="455"/>
      <c r="L239" s="303"/>
    </row>
    <row r="240" spans="2:20" ht="12.75" customHeight="1" x14ac:dyDescent="0.25">
      <c r="C240" s="537"/>
      <c r="D240" s="785"/>
      <c r="E240" s="459"/>
      <c r="F240" s="844"/>
      <c r="G240" s="455"/>
      <c r="H240" s="454"/>
      <c r="I240" s="455"/>
      <c r="J240" s="456"/>
      <c r="K240" s="455"/>
      <c r="L240" s="303"/>
      <c r="M240" s="455"/>
      <c r="N240" s="457"/>
      <c r="O240" s="457"/>
      <c r="P240" s="457"/>
      <c r="Q240" s="457"/>
      <c r="R240" s="457"/>
      <c r="S240" s="457"/>
      <c r="T240" s="451"/>
    </row>
    <row r="241" spans="2:23" ht="12.75" customHeight="1" x14ac:dyDescent="0.25">
      <c r="C241" s="537"/>
      <c r="D241" s="785"/>
      <c r="E241" s="459"/>
      <c r="F241" s="844"/>
      <c r="G241" s="455"/>
      <c r="H241" s="454"/>
      <c r="I241" s="455"/>
      <c r="J241" s="456"/>
      <c r="K241" s="455"/>
      <c r="L241" s="303"/>
      <c r="M241" s="455"/>
      <c r="N241" s="457"/>
      <c r="O241" s="457"/>
      <c r="P241" s="457"/>
      <c r="Q241" s="457"/>
      <c r="R241" s="457"/>
      <c r="S241" s="457"/>
      <c r="T241" s="451"/>
    </row>
    <row r="242" spans="2:23" ht="12.75" customHeight="1" x14ac:dyDescent="0.25">
      <c r="C242" s="537"/>
      <c r="D242" s="785"/>
      <c r="E242" s="459"/>
      <c r="F242" s="844"/>
      <c r="G242" s="455"/>
      <c r="H242" s="454"/>
      <c r="I242" s="455"/>
      <c r="J242" s="456"/>
      <c r="K242" s="455"/>
      <c r="L242" s="303"/>
      <c r="M242" s="455"/>
      <c r="N242" s="457"/>
      <c r="O242" s="457"/>
      <c r="P242" s="457"/>
      <c r="Q242" s="457"/>
      <c r="R242" s="457"/>
      <c r="S242" s="457"/>
      <c r="T242" s="451"/>
    </row>
    <row r="243" spans="2:23" ht="12.75" customHeight="1" x14ac:dyDescent="0.25">
      <c r="C243" s="537"/>
      <c r="D243" s="785"/>
      <c r="E243" s="459"/>
      <c r="F243" s="844"/>
      <c r="G243" s="455"/>
      <c r="H243" s="454"/>
      <c r="I243" s="455"/>
      <c r="J243" s="456"/>
      <c r="K243" s="455"/>
      <c r="L243" s="303"/>
      <c r="M243" s="455"/>
      <c r="N243" s="457"/>
      <c r="O243" s="457"/>
      <c r="P243" s="457"/>
      <c r="Q243" s="457"/>
      <c r="R243" s="457"/>
      <c r="S243" s="457"/>
      <c r="T243" s="451"/>
    </row>
    <row r="244" spans="2:23" ht="12.75" customHeight="1" x14ac:dyDescent="0.25">
      <c r="D244" s="785"/>
      <c r="E244" s="263"/>
      <c r="F244" s="844"/>
      <c r="G244" s="455"/>
      <c r="H244" s="454"/>
      <c r="I244" s="60"/>
      <c r="J244" s="299"/>
      <c r="K244" s="455"/>
      <c r="L244" s="303"/>
      <c r="M244" s="455"/>
    </row>
    <row r="245" spans="2:23" ht="12.75" customHeight="1" x14ac:dyDescent="0.25">
      <c r="B245" s="325"/>
      <c r="C245" s="299"/>
      <c r="D245" s="778"/>
      <c r="F245" s="844"/>
      <c r="G245" s="455"/>
      <c r="H245" s="454"/>
      <c r="I245" s="257" t="s">
        <v>2127</v>
      </c>
      <c r="J245" s="257">
        <f>SUM(J198:J244)</f>
        <v>60766.98</v>
      </c>
      <c r="K245" s="60"/>
      <c r="L245" s="303"/>
      <c r="M245" s="60"/>
      <c r="U245" s="874"/>
    </row>
    <row r="246" spans="2:23" ht="12.75" customHeight="1" x14ac:dyDescent="0.25">
      <c r="B246" s="325"/>
      <c r="D246" s="778"/>
      <c r="F246" s="255"/>
      <c r="G246" s="60"/>
      <c r="H246" s="2"/>
      <c r="I246" s="257"/>
      <c r="J246" s="257"/>
      <c r="K246" s="60"/>
      <c r="L246" s="303"/>
      <c r="M246" s="60"/>
    </row>
    <row r="247" spans="2:23" s="536" customFormat="1" ht="13.2" x14ac:dyDescent="0.25">
      <c r="B247" s="295"/>
      <c r="D247" s="711"/>
      <c r="E247" s="249"/>
      <c r="F247" s="299"/>
      <c r="G247" s="299"/>
      <c r="H247" s="299"/>
      <c r="I247" s="257" t="s">
        <v>2139</v>
      </c>
      <c r="J247" s="257">
        <f>J245-J194</f>
        <v>-17306.129999999983</v>
      </c>
      <c r="K247" s="299"/>
      <c r="L247" s="299"/>
      <c r="M247" s="299"/>
      <c r="N247" s="299"/>
      <c r="O247" s="299"/>
      <c r="P247" s="299"/>
      <c r="Q247" s="299"/>
      <c r="R247" s="299"/>
      <c r="S247" s="299"/>
      <c r="T247" s="224"/>
      <c r="U247" s="224"/>
      <c r="V247" s="224"/>
      <c r="W247" s="224"/>
    </row>
    <row r="248" spans="2:23" s="536" customFormat="1" ht="13.8" thickBot="1" x14ac:dyDescent="0.3">
      <c r="B248" s="295"/>
      <c r="D248" s="711"/>
      <c r="E248" s="249"/>
      <c r="F248" s="299"/>
      <c r="G248" s="299"/>
      <c r="H248" s="299"/>
      <c r="I248" s="257"/>
      <c r="J248" s="257"/>
      <c r="K248" s="299"/>
      <c r="L248" s="299"/>
      <c r="M248" s="299"/>
      <c r="N248" s="299"/>
      <c r="O248" s="299"/>
      <c r="P248" s="299"/>
      <c r="Q248" s="299"/>
      <c r="R248" s="299"/>
      <c r="S248" s="299"/>
      <c r="T248" s="224"/>
      <c r="U248" s="224"/>
      <c r="V248" s="224"/>
      <c r="W248" s="224"/>
    </row>
    <row r="249" spans="2:23" s="536" customFormat="1" ht="12.75" customHeight="1" thickBot="1" x14ac:dyDescent="0.3">
      <c r="B249" s="351" t="s">
        <v>2143</v>
      </c>
      <c r="C249" s="578"/>
      <c r="D249" s="784"/>
      <c r="E249" s="705"/>
      <c r="F249" s="825"/>
      <c r="H249" s="808"/>
      <c r="I249" s="299"/>
      <c r="J249" s="249"/>
      <c r="K249" s="568"/>
      <c r="L249" s="299"/>
      <c r="M249" s="299"/>
      <c r="N249" s="299"/>
      <c r="O249" s="299"/>
      <c r="P249" s="299"/>
      <c r="Q249" s="299"/>
      <c r="R249" s="299"/>
      <c r="S249" s="299"/>
      <c r="T249" s="224"/>
      <c r="U249" s="224"/>
      <c r="V249" s="224"/>
      <c r="W249" s="224"/>
    </row>
    <row r="250" spans="2:23" s="536" customFormat="1" ht="12.75" customHeight="1" x14ac:dyDescent="0.25">
      <c r="B250" s="358" t="s">
        <v>184</v>
      </c>
      <c r="C250" s="356" t="s">
        <v>193</v>
      </c>
      <c r="D250" s="786" t="s">
        <v>2079</v>
      </c>
      <c r="E250" s="706" t="s">
        <v>668</v>
      </c>
      <c r="F250" s="706" t="s">
        <v>667</v>
      </c>
      <c r="H250" s="299"/>
      <c r="I250" s="299"/>
      <c r="J250" s="249"/>
      <c r="K250" s="299"/>
      <c r="L250" s="299"/>
      <c r="M250" s="299"/>
      <c r="N250" s="299"/>
      <c r="O250" s="299"/>
      <c r="P250" s="299"/>
      <c r="Q250" s="299"/>
      <c r="R250" s="299"/>
      <c r="S250" s="299"/>
      <c r="T250" s="224"/>
      <c r="U250" s="224"/>
      <c r="V250" s="224"/>
      <c r="W250" s="224"/>
    </row>
    <row r="251" spans="2:23" s="536" customFormat="1" ht="13.2" x14ac:dyDescent="0.25">
      <c r="B251" s="729"/>
      <c r="C251" s="729"/>
      <c r="D251" s="711" t="s">
        <v>4586</v>
      </c>
      <c r="E251" s="299">
        <v>0</v>
      </c>
      <c r="F251" s="299">
        <f>'FY16-Equ-FNO-Zerodha'!G19</f>
        <v>389.14999999963038</v>
      </c>
      <c r="H251" s="299"/>
      <c r="I251" s="299"/>
      <c r="J251" s="249"/>
      <c r="K251" s="299"/>
      <c r="L251" s="299"/>
      <c r="M251" s="299"/>
      <c r="N251" s="299"/>
      <c r="O251" s="299"/>
      <c r="P251" s="299"/>
      <c r="Q251" s="299"/>
      <c r="R251" s="299"/>
      <c r="S251" s="299"/>
      <c r="T251" s="224"/>
      <c r="U251" s="224"/>
      <c r="V251" s="224"/>
      <c r="W251" s="224"/>
    </row>
    <row r="252" spans="2:23" s="536" customFormat="1" ht="39.6" x14ac:dyDescent="0.25">
      <c r="B252" s="295" t="s">
        <v>4587</v>
      </c>
      <c r="C252" s="295" t="s">
        <v>4438</v>
      </c>
      <c r="D252" s="48" t="s">
        <v>4588</v>
      </c>
      <c r="E252" s="299">
        <v>0</v>
      </c>
      <c r="F252" s="299">
        <v>5000</v>
      </c>
      <c r="H252" s="299"/>
      <c r="I252" s="299"/>
      <c r="J252" s="249"/>
      <c r="K252" s="299"/>
      <c r="L252" s="299"/>
      <c r="M252" s="299"/>
      <c r="N252" s="299"/>
      <c r="O252" s="299"/>
      <c r="P252" s="299"/>
      <c r="Q252" s="299"/>
      <c r="R252" s="299"/>
      <c r="S252" s="299"/>
      <c r="T252" s="224"/>
      <c r="U252" s="224"/>
      <c r="V252" s="224"/>
      <c r="W252" s="224"/>
    </row>
    <row r="253" spans="2:23" s="536" customFormat="1" ht="39.6" x14ac:dyDescent="0.25">
      <c r="B253" s="295" t="s">
        <v>4593</v>
      </c>
      <c r="C253" s="536" t="s">
        <v>4438</v>
      </c>
      <c r="D253" s="782" t="s">
        <v>4594</v>
      </c>
      <c r="E253" s="249">
        <v>0</v>
      </c>
      <c r="F253" s="299">
        <v>1500</v>
      </c>
      <c r="G253" s="299"/>
      <c r="H253" s="299"/>
      <c r="I253" s="299"/>
      <c r="J253" s="249"/>
      <c r="K253" s="299"/>
      <c r="L253" s="299"/>
      <c r="M253" s="299"/>
      <c r="N253" s="299"/>
      <c r="O253" s="299"/>
      <c r="P253" s="299"/>
      <c r="Q253" s="299"/>
      <c r="R253" s="299"/>
      <c r="S253" s="299"/>
      <c r="T253" s="224"/>
      <c r="U253" s="224"/>
      <c r="V253" s="224"/>
      <c r="W253" s="224"/>
    </row>
    <row r="254" spans="2:23" s="536" customFormat="1" ht="39.6" x14ac:dyDescent="0.25">
      <c r="B254" s="711" t="s">
        <v>4593</v>
      </c>
      <c r="C254" s="536" t="s">
        <v>4438</v>
      </c>
      <c r="D254" s="528" t="s">
        <v>4595</v>
      </c>
      <c r="E254" s="249">
        <v>0</v>
      </c>
      <c r="F254" s="299">
        <v>5000</v>
      </c>
      <c r="G254" s="299"/>
      <c r="H254" s="299"/>
      <c r="I254" s="299"/>
      <c r="J254" s="249"/>
      <c r="K254" s="299"/>
      <c r="L254" s="299"/>
      <c r="M254" s="299"/>
      <c r="N254" s="299"/>
      <c r="O254" s="299"/>
      <c r="P254" s="299"/>
      <c r="Q254" s="299"/>
      <c r="R254" s="299"/>
      <c r="S254" s="299"/>
      <c r="T254" s="224"/>
      <c r="U254" s="224"/>
      <c r="V254" s="224"/>
      <c r="W254" s="224"/>
    </row>
    <row r="255" spans="2:23" s="536" customFormat="1" ht="39.6" x14ac:dyDescent="0.25">
      <c r="B255" s="711" t="s">
        <v>4600</v>
      </c>
      <c r="C255" s="536" t="s">
        <v>4438</v>
      </c>
      <c r="D255" s="528" t="s">
        <v>4512</v>
      </c>
      <c r="E255" s="309">
        <v>2500</v>
      </c>
      <c r="F255" s="299">
        <v>0</v>
      </c>
      <c r="G255" s="299"/>
      <c r="H255" s="299"/>
      <c r="I255" s="299"/>
      <c r="J255" s="249"/>
      <c r="K255" s="299"/>
      <c r="L255" s="299"/>
      <c r="M255" s="299"/>
      <c r="N255" s="299"/>
      <c r="O255" s="299"/>
      <c r="P255" s="299"/>
      <c r="Q255" s="299"/>
      <c r="R255" s="299"/>
      <c r="S255" s="299"/>
      <c r="T255" s="224"/>
      <c r="U255" s="224"/>
      <c r="V255" s="224"/>
      <c r="W255" s="224"/>
    </row>
    <row r="256" spans="2:23" s="326" customFormat="1" ht="39.6" x14ac:dyDescent="0.25">
      <c r="B256" s="922">
        <v>42562</v>
      </c>
      <c r="C256" s="536" t="s">
        <v>4438</v>
      </c>
      <c r="D256" s="528" t="s">
        <v>4610</v>
      </c>
      <c r="E256" s="249">
        <v>0</v>
      </c>
      <c r="F256" s="299">
        <v>15000</v>
      </c>
      <c r="G256" s="299"/>
      <c r="H256" s="249"/>
      <c r="I256" s="299"/>
      <c r="J256" s="249"/>
      <c r="K256" s="299"/>
      <c r="L256" s="299"/>
      <c r="M256" s="299"/>
      <c r="N256" s="299"/>
      <c r="O256" s="299"/>
      <c r="P256" s="299"/>
      <c r="Q256" s="299"/>
      <c r="R256" s="299"/>
      <c r="S256" s="299"/>
      <c r="T256" s="224"/>
      <c r="U256" s="224"/>
      <c r="V256" s="224"/>
      <c r="W256" s="224"/>
    </row>
    <row r="257" spans="2:23" s="536" customFormat="1" ht="39.6" x14ac:dyDescent="0.25">
      <c r="B257" s="922">
        <v>42624</v>
      </c>
      <c r="C257" s="536" t="s">
        <v>4438</v>
      </c>
      <c r="D257" s="528" t="s">
        <v>4608</v>
      </c>
      <c r="E257" s="249">
        <v>0</v>
      </c>
      <c r="F257" s="299">
        <v>4000</v>
      </c>
      <c r="G257" s="299"/>
      <c r="H257" s="299"/>
      <c r="I257" s="299"/>
      <c r="J257" s="249"/>
      <c r="K257" s="299"/>
      <c r="L257" s="299"/>
      <c r="M257" s="299"/>
      <c r="N257" s="299"/>
      <c r="O257" s="299"/>
      <c r="P257" s="299"/>
      <c r="Q257" s="299"/>
      <c r="R257" s="299"/>
      <c r="S257" s="299"/>
      <c r="T257" s="224"/>
      <c r="U257" s="224"/>
      <c r="V257" s="224"/>
      <c r="W257" s="224"/>
    </row>
    <row r="258" spans="2:23" s="536" customFormat="1" ht="39.6" x14ac:dyDescent="0.25">
      <c r="B258" s="922">
        <v>42624</v>
      </c>
      <c r="C258" s="536" t="s">
        <v>4438</v>
      </c>
      <c r="D258" s="528" t="s">
        <v>4609</v>
      </c>
      <c r="E258" s="249">
        <v>0</v>
      </c>
      <c r="F258" s="299">
        <v>1000</v>
      </c>
      <c r="G258" s="299"/>
      <c r="H258" s="299"/>
      <c r="I258" s="299"/>
      <c r="J258" s="249"/>
      <c r="K258" s="299"/>
      <c r="L258" s="299"/>
      <c r="M258" s="299"/>
      <c r="N258" s="299"/>
      <c r="O258" s="299"/>
      <c r="P258" s="299"/>
      <c r="Q258" s="299"/>
      <c r="R258" s="299"/>
      <c r="S258" s="299"/>
      <c r="T258" s="224"/>
      <c r="U258" s="224"/>
      <c r="V258" s="224"/>
      <c r="W258" s="224"/>
    </row>
    <row r="259" spans="2:23" s="326" customFormat="1" ht="39.6" x14ac:dyDescent="0.25">
      <c r="B259" s="711" t="s">
        <v>4622</v>
      </c>
      <c r="C259" s="536" t="s">
        <v>4438</v>
      </c>
      <c r="D259" s="528" t="s">
        <v>4512</v>
      </c>
      <c r="E259" s="309">
        <v>30000</v>
      </c>
      <c r="F259" s="299">
        <v>0</v>
      </c>
      <c r="G259" s="299"/>
      <c r="H259" s="249"/>
      <c r="I259" s="299"/>
      <c r="J259" s="249"/>
      <c r="K259" s="299"/>
      <c r="L259" s="299"/>
      <c r="M259" s="299"/>
      <c r="N259" s="299"/>
      <c r="O259" s="299"/>
      <c r="P259" s="299"/>
      <c r="Q259" s="299"/>
      <c r="R259" s="299"/>
      <c r="S259" s="299"/>
      <c r="T259" s="224"/>
      <c r="U259" s="224"/>
      <c r="V259" s="224"/>
      <c r="W259" s="224"/>
    </row>
    <row r="260" spans="2:23" s="326" customFormat="1" ht="39.6" x14ac:dyDescent="0.25">
      <c r="B260" s="295" t="s">
        <v>4631</v>
      </c>
      <c r="C260" s="536" t="s">
        <v>4438</v>
      </c>
      <c r="D260" s="711" t="s">
        <v>4628</v>
      </c>
      <c r="E260" s="249">
        <v>0</v>
      </c>
      <c r="F260" s="299">
        <v>6000</v>
      </c>
      <c r="G260" s="299"/>
      <c r="H260" s="249"/>
      <c r="I260" s="299"/>
      <c r="J260" s="249"/>
      <c r="K260" s="299"/>
      <c r="L260" s="299"/>
      <c r="M260" s="299"/>
      <c r="N260" s="299"/>
      <c r="O260" s="299"/>
      <c r="P260" s="299"/>
      <c r="Q260" s="299"/>
      <c r="R260" s="299"/>
      <c r="S260" s="299"/>
      <c r="T260" s="224"/>
      <c r="U260" s="224"/>
      <c r="V260" s="224"/>
      <c r="W260" s="224"/>
    </row>
    <row r="261" spans="2:23" s="326" customFormat="1" ht="39.6" x14ac:dyDescent="0.25">
      <c r="B261" s="922">
        <v>42563</v>
      </c>
      <c r="C261" s="536" t="s">
        <v>4438</v>
      </c>
      <c r="D261" s="711" t="s">
        <v>4629</v>
      </c>
      <c r="E261" s="249">
        <v>0</v>
      </c>
      <c r="F261" s="299">
        <v>2500</v>
      </c>
      <c r="G261" s="299"/>
      <c r="H261" s="299"/>
      <c r="I261" s="299"/>
      <c r="J261" s="249"/>
      <c r="K261" s="299"/>
      <c r="L261" s="299"/>
      <c r="M261" s="299"/>
      <c r="N261" s="299"/>
      <c r="O261" s="299"/>
      <c r="P261" s="299"/>
      <c r="Q261" s="299"/>
      <c r="R261" s="299"/>
      <c r="S261" s="299"/>
      <c r="T261" s="224"/>
      <c r="U261" s="224"/>
      <c r="V261" s="224"/>
      <c r="W261" s="224"/>
    </row>
    <row r="262" spans="2:23" s="326" customFormat="1" ht="39.6" x14ac:dyDescent="0.25">
      <c r="B262" s="922">
        <v>42563</v>
      </c>
      <c r="C262" s="536" t="s">
        <v>4438</v>
      </c>
      <c r="D262" s="711" t="s">
        <v>4630</v>
      </c>
      <c r="E262" s="249">
        <v>0</v>
      </c>
      <c r="F262" s="299">
        <v>10000</v>
      </c>
      <c r="G262" s="299"/>
      <c r="H262" s="249"/>
      <c r="I262" s="299"/>
      <c r="J262" s="249"/>
      <c r="K262" s="299"/>
      <c r="L262" s="299"/>
      <c r="M262" s="299"/>
      <c r="N262" s="299"/>
      <c r="O262" s="299"/>
      <c r="P262" s="299"/>
      <c r="Q262" s="299"/>
      <c r="R262" s="299"/>
      <c r="S262" s="299"/>
      <c r="T262" s="224"/>
      <c r="U262" s="224"/>
      <c r="V262" s="224"/>
      <c r="W262" s="224"/>
    </row>
    <row r="263" spans="2:23" s="326" customFormat="1" ht="13.2" x14ac:dyDescent="0.25">
      <c r="G263" s="299"/>
      <c r="H263" s="249"/>
      <c r="I263" s="299"/>
      <c r="J263" s="249"/>
      <c r="K263" s="299"/>
      <c r="L263" s="299"/>
      <c r="M263" s="299"/>
      <c r="N263" s="299"/>
      <c r="O263" s="299"/>
      <c r="P263" s="299"/>
      <c r="Q263" s="299"/>
      <c r="R263" s="299"/>
      <c r="S263" s="299"/>
      <c r="T263" s="224"/>
      <c r="U263" s="224"/>
      <c r="V263" s="224"/>
      <c r="W263" s="224"/>
    </row>
    <row r="264" spans="2:23" s="326" customFormat="1" ht="13.2" x14ac:dyDescent="0.25">
      <c r="F264" s="299"/>
      <c r="G264" s="299"/>
      <c r="H264" s="249"/>
      <c r="I264" s="299"/>
      <c r="J264" s="249"/>
      <c r="K264" s="299"/>
      <c r="L264" s="299"/>
      <c r="M264" s="299"/>
      <c r="N264" s="299"/>
      <c r="O264" s="299"/>
      <c r="P264" s="299"/>
      <c r="Q264" s="299"/>
      <c r="R264" s="299"/>
      <c r="S264" s="299"/>
      <c r="T264" s="224"/>
      <c r="U264" s="224"/>
      <c r="V264" s="224"/>
      <c r="W264" s="224"/>
    </row>
    <row r="265" spans="2:23" s="326" customFormat="1" ht="13.2" x14ac:dyDescent="0.25">
      <c r="G265" s="299"/>
      <c r="H265" s="249"/>
      <c r="I265" s="299"/>
      <c r="J265" s="249"/>
      <c r="K265" s="249"/>
      <c r="L265" s="299"/>
      <c r="M265" s="299"/>
      <c r="N265" s="299"/>
      <c r="O265" s="299"/>
      <c r="P265" s="299"/>
      <c r="Q265" s="299"/>
      <c r="R265" s="299"/>
      <c r="S265" s="299"/>
      <c r="T265" s="224"/>
      <c r="U265" s="224"/>
      <c r="V265" s="224"/>
      <c r="W265" s="224"/>
    </row>
    <row r="266" spans="2:23" s="326" customFormat="1" ht="13.2" x14ac:dyDescent="0.25">
      <c r="G266" s="299"/>
      <c r="H266" s="249"/>
      <c r="I266" s="299"/>
      <c r="J266" s="249"/>
      <c r="K266" s="249"/>
      <c r="L266" s="299"/>
      <c r="M266" s="299"/>
      <c r="N266" s="299"/>
      <c r="O266" s="299"/>
      <c r="P266" s="299"/>
      <c r="Q266" s="299"/>
      <c r="R266" s="299"/>
      <c r="S266" s="299"/>
      <c r="T266" s="224"/>
      <c r="U266" s="224"/>
      <c r="V266" s="224"/>
      <c r="W266" s="224"/>
    </row>
    <row r="267" spans="2:23" s="326" customFormat="1" ht="13.2" x14ac:dyDescent="0.25">
      <c r="G267" s="299"/>
      <c r="H267" s="249"/>
      <c r="I267" s="299"/>
      <c r="J267" s="249"/>
      <c r="K267" s="249"/>
      <c r="L267" s="299"/>
      <c r="M267" s="299"/>
      <c r="N267" s="299"/>
      <c r="O267" s="299"/>
      <c r="P267" s="299"/>
      <c r="Q267" s="299"/>
      <c r="R267" s="299"/>
      <c r="S267" s="299"/>
      <c r="T267" s="224"/>
      <c r="U267" s="224"/>
      <c r="V267" s="224"/>
      <c r="W267" s="224"/>
    </row>
    <row r="268" spans="2:23" s="326" customFormat="1" ht="13.2" x14ac:dyDescent="0.25">
      <c r="G268" s="299"/>
      <c r="H268" s="249"/>
      <c r="I268" s="299"/>
      <c r="J268" s="249"/>
      <c r="K268" s="249"/>
      <c r="L268" s="299"/>
      <c r="M268" s="299"/>
      <c r="N268" s="299"/>
      <c r="O268" s="299"/>
      <c r="P268" s="299"/>
      <c r="Q268" s="299"/>
      <c r="R268" s="299"/>
      <c r="S268" s="299"/>
      <c r="T268" s="224"/>
      <c r="U268" s="224"/>
      <c r="V268" s="224"/>
      <c r="W268" s="224"/>
    </row>
    <row r="269" spans="2:23" s="326" customFormat="1" ht="13.2" x14ac:dyDescent="0.25">
      <c r="B269" s="711"/>
      <c r="C269" s="536"/>
      <c r="D269" s="711"/>
      <c r="E269" s="249"/>
      <c r="F269" s="299"/>
      <c r="G269" s="299"/>
      <c r="H269" s="249"/>
      <c r="I269" s="299"/>
      <c r="J269" s="249"/>
      <c r="K269" s="249"/>
      <c r="L269" s="299"/>
      <c r="M269" s="299"/>
      <c r="N269" s="299"/>
      <c r="O269" s="299"/>
      <c r="P269" s="299"/>
      <c r="Q269" s="299"/>
      <c r="R269" s="299"/>
      <c r="S269" s="299"/>
      <c r="T269" s="224"/>
      <c r="U269" s="224"/>
      <c r="V269" s="224"/>
      <c r="W269" s="224"/>
    </row>
    <row r="270" spans="2:23" s="326" customFormat="1" ht="13.2" x14ac:dyDescent="0.25">
      <c r="B270" s="711"/>
      <c r="C270" s="536"/>
      <c r="D270" s="711"/>
      <c r="E270" s="249"/>
      <c r="F270" s="299"/>
      <c r="G270" s="299"/>
      <c r="H270" s="249"/>
      <c r="I270" s="299"/>
      <c r="J270" s="249"/>
      <c r="K270" s="299"/>
      <c r="L270" s="299"/>
      <c r="M270" s="299"/>
      <c r="N270" s="299"/>
      <c r="O270" s="299"/>
      <c r="P270" s="299"/>
      <c r="Q270" s="299"/>
      <c r="R270" s="299"/>
      <c r="S270" s="299"/>
      <c r="T270" s="224"/>
      <c r="U270" s="224"/>
      <c r="V270" s="224"/>
      <c r="W270" s="224"/>
    </row>
    <row r="271" spans="2:23" s="326" customFormat="1" ht="13.2" x14ac:dyDescent="0.25">
      <c r="B271" s="711"/>
      <c r="C271" s="536"/>
      <c r="D271" s="711"/>
      <c r="E271" s="249"/>
      <c r="F271" s="299"/>
      <c r="G271" s="299"/>
      <c r="H271" s="249"/>
      <c r="I271" s="299"/>
      <c r="J271" s="249"/>
      <c r="K271" s="299"/>
      <c r="L271" s="299"/>
      <c r="M271" s="299"/>
      <c r="N271" s="299"/>
      <c r="O271" s="299"/>
      <c r="P271" s="299"/>
      <c r="Q271" s="299"/>
      <c r="R271" s="299"/>
      <c r="S271" s="299"/>
      <c r="T271" s="224"/>
      <c r="U271" s="224"/>
      <c r="V271" s="224"/>
      <c r="W271" s="224"/>
    </row>
    <row r="272" spans="2:23" s="326" customFormat="1" ht="13.2" x14ac:dyDescent="0.25">
      <c r="B272" s="711"/>
      <c r="C272" s="536"/>
      <c r="D272" s="711"/>
      <c r="E272" s="299"/>
      <c r="F272" s="299"/>
      <c r="G272" s="299"/>
      <c r="H272" s="249"/>
      <c r="I272" s="299"/>
      <c r="J272" s="249"/>
      <c r="K272" s="299"/>
      <c r="L272" s="299"/>
      <c r="M272" s="299"/>
      <c r="N272" s="299"/>
      <c r="O272" s="299"/>
      <c r="P272" s="299"/>
      <c r="Q272" s="299"/>
      <c r="R272" s="299"/>
      <c r="S272" s="299"/>
      <c r="T272" s="224"/>
      <c r="U272" s="224"/>
      <c r="V272" s="224"/>
      <c r="W272" s="224"/>
    </row>
    <row r="273" spans="2:23" s="326" customFormat="1" ht="13.2" x14ac:dyDescent="0.25">
      <c r="B273" s="711"/>
      <c r="C273" s="536"/>
      <c r="D273" s="711"/>
      <c r="E273" s="249"/>
      <c r="F273" s="299"/>
      <c r="G273" s="299"/>
      <c r="H273" s="249"/>
      <c r="I273" s="299"/>
      <c r="J273" s="249"/>
      <c r="K273" s="249"/>
      <c r="L273" s="299"/>
      <c r="M273" s="299"/>
      <c r="N273" s="299"/>
      <c r="O273" s="299"/>
      <c r="P273" s="299"/>
      <c r="Q273" s="299"/>
      <c r="R273" s="299"/>
      <c r="S273" s="299"/>
      <c r="T273" s="224"/>
      <c r="U273" s="224"/>
      <c r="V273" s="224"/>
      <c r="W273" s="224"/>
    </row>
    <row r="274" spans="2:23" s="326" customFormat="1" ht="13.2" x14ac:dyDescent="0.25">
      <c r="B274" s="711"/>
      <c r="C274" s="536"/>
      <c r="D274" s="711"/>
      <c r="E274" s="249"/>
      <c r="F274" s="299"/>
      <c r="G274" s="299"/>
      <c r="H274" s="249"/>
      <c r="I274" s="299"/>
      <c r="J274" s="249"/>
      <c r="K274" s="249"/>
      <c r="L274" s="299"/>
      <c r="M274" s="299"/>
      <c r="N274" s="299"/>
      <c r="O274" s="299"/>
      <c r="P274" s="299"/>
      <c r="Q274" s="299"/>
      <c r="R274" s="299"/>
      <c r="S274" s="299"/>
      <c r="T274" s="224"/>
      <c r="U274" s="224"/>
      <c r="V274" s="224"/>
      <c r="W274" s="224"/>
    </row>
    <row r="275" spans="2:23" s="326" customFormat="1" ht="13.2" x14ac:dyDescent="0.25">
      <c r="B275" s="711"/>
      <c r="C275" s="536"/>
      <c r="D275" s="711"/>
      <c r="E275" s="249"/>
      <c r="F275" s="299"/>
      <c r="G275" s="299"/>
      <c r="H275" s="249"/>
      <c r="I275" s="299"/>
      <c r="J275" s="249"/>
      <c r="K275" s="249"/>
      <c r="L275" s="299"/>
      <c r="M275" s="299"/>
      <c r="N275" s="299"/>
      <c r="O275" s="299"/>
      <c r="P275" s="299"/>
      <c r="Q275" s="299"/>
      <c r="R275" s="299"/>
      <c r="S275" s="299"/>
      <c r="T275" s="224"/>
      <c r="U275" s="224"/>
      <c r="V275" s="224"/>
      <c r="W275" s="224"/>
    </row>
    <row r="276" spans="2:23" s="326" customFormat="1" ht="13.2" x14ac:dyDescent="0.25">
      <c r="B276" s="711"/>
      <c r="C276" s="536"/>
      <c r="D276" s="711"/>
      <c r="E276" s="249"/>
      <c r="F276" s="299"/>
      <c r="G276" s="299"/>
      <c r="H276" s="249"/>
      <c r="I276" s="299"/>
      <c r="J276" s="249"/>
      <c r="K276" s="249"/>
      <c r="L276" s="299"/>
      <c r="M276" s="299"/>
      <c r="N276" s="299"/>
      <c r="O276" s="299"/>
      <c r="P276" s="299"/>
      <c r="Q276" s="299"/>
      <c r="R276" s="299"/>
      <c r="S276" s="299"/>
      <c r="T276" s="224"/>
      <c r="U276" s="224"/>
      <c r="V276" s="224"/>
      <c r="W276" s="224"/>
    </row>
    <row r="277" spans="2:23" s="326" customFormat="1" ht="13.2" x14ac:dyDescent="0.25">
      <c r="B277" s="711"/>
      <c r="C277" s="536"/>
      <c r="D277" s="711"/>
      <c r="E277" s="249"/>
      <c r="F277" s="299"/>
      <c r="G277" s="299"/>
      <c r="H277" s="249"/>
      <c r="I277" s="299"/>
      <c r="J277" s="249"/>
      <c r="K277" s="249"/>
      <c r="L277" s="299"/>
      <c r="M277" s="299"/>
      <c r="N277" s="299"/>
      <c r="O277" s="299"/>
      <c r="P277" s="299"/>
      <c r="Q277" s="299"/>
      <c r="R277" s="299"/>
      <c r="S277" s="299"/>
      <c r="T277" s="224"/>
      <c r="U277" s="224"/>
      <c r="V277" s="224"/>
      <c r="W277" s="224"/>
    </row>
    <row r="278" spans="2:23" s="326" customFormat="1" ht="13.2" x14ac:dyDescent="0.25">
      <c r="B278" s="711"/>
      <c r="C278" s="536"/>
      <c r="D278" s="711"/>
      <c r="E278" s="249"/>
      <c r="F278" s="299"/>
      <c r="G278" s="299"/>
      <c r="H278" s="249"/>
      <c r="I278" s="299"/>
      <c r="J278" s="249"/>
      <c r="K278" s="299"/>
      <c r="L278" s="299"/>
      <c r="M278" s="299"/>
      <c r="N278" s="299"/>
      <c r="O278" s="299"/>
      <c r="P278" s="299"/>
      <c r="Q278" s="299"/>
      <c r="R278" s="299"/>
      <c r="S278" s="299"/>
      <c r="T278" s="224"/>
      <c r="U278" s="224"/>
      <c r="V278" s="224"/>
      <c r="W278" s="224"/>
    </row>
    <row r="279" spans="2:23" s="326" customFormat="1" ht="13.2" x14ac:dyDescent="0.25">
      <c r="B279" s="711"/>
      <c r="C279" s="536"/>
      <c r="D279" s="711"/>
      <c r="E279" s="249"/>
      <c r="F279" s="299"/>
      <c r="G279" s="299"/>
      <c r="H279" s="249"/>
      <c r="I279" s="299"/>
      <c r="J279" s="249"/>
      <c r="K279" s="299"/>
      <c r="L279" s="299"/>
      <c r="M279" s="299"/>
      <c r="N279" s="299"/>
      <c r="O279" s="299"/>
      <c r="P279" s="299"/>
      <c r="Q279" s="299"/>
      <c r="R279" s="299"/>
      <c r="S279" s="299"/>
      <c r="T279" s="224"/>
      <c r="U279" s="224"/>
      <c r="V279" s="224"/>
      <c r="W279" s="224"/>
    </row>
    <row r="280" spans="2:23" s="326" customFormat="1" ht="13.2" x14ac:dyDescent="0.25">
      <c r="B280" s="711"/>
      <c r="C280" s="536"/>
      <c r="D280" s="711"/>
      <c r="E280" s="249"/>
      <c r="F280" s="299"/>
      <c r="G280" s="299"/>
      <c r="H280" s="299"/>
      <c r="I280" s="299"/>
      <c r="J280" s="249"/>
      <c r="K280" s="299"/>
      <c r="L280" s="299"/>
      <c r="M280" s="299"/>
      <c r="N280" s="299"/>
      <c r="O280" s="299"/>
      <c r="P280" s="299"/>
      <c r="Q280" s="299"/>
      <c r="R280" s="299"/>
      <c r="S280" s="299"/>
      <c r="T280" s="224"/>
      <c r="U280" s="224"/>
      <c r="V280" s="224"/>
      <c r="W280" s="224"/>
    </row>
    <row r="281" spans="2:23" ht="13.2" x14ac:dyDescent="0.25">
      <c r="B281" s="711"/>
      <c r="D281" s="528"/>
      <c r="H281" s="249"/>
    </row>
    <row r="282" spans="2:23" ht="13.2" x14ac:dyDescent="0.25">
      <c r="B282" s="711"/>
      <c r="D282" s="528"/>
    </row>
    <row r="283" spans="2:23" ht="13.2" x14ac:dyDescent="0.25">
      <c r="B283" s="711"/>
      <c r="D283" s="528"/>
    </row>
    <row r="284" spans="2:23" ht="13.2" x14ac:dyDescent="0.25">
      <c r="B284" s="711"/>
      <c r="D284" s="528"/>
      <c r="E284" s="299"/>
      <c r="H284" s="249"/>
    </row>
    <row r="285" spans="2:23" ht="13.2" x14ac:dyDescent="0.25">
      <c r="B285" s="711"/>
      <c r="D285" s="528"/>
      <c r="E285" s="299"/>
      <c r="H285" s="249"/>
    </row>
    <row r="286" spans="2:23" ht="12.75" customHeight="1" x14ac:dyDescent="0.25">
      <c r="B286" s="711"/>
      <c r="D286" s="299"/>
    </row>
    <row r="287" spans="2:23" ht="12.75" customHeight="1" x14ac:dyDescent="0.25">
      <c r="B287" s="711"/>
      <c r="D287" s="299"/>
    </row>
    <row r="291" spans="2:23" ht="12.75" customHeight="1" x14ac:dyDescent="0.25">
      <c r="D291" s="48"/>
    </row>
    <row r="292" spans="2:23" ht="12.75" customHeight="1" x14ac:dyDescent="0.25">
      <c r="D292" s="787"/>
      <c r="E292" s="362">
        <f>SUM(E251:E291)</f>
        <v>32500</v>
      </c>
      <c r="F292" s="362">
        <f>SUM(F251:F291)</f>
        <v>50389.14999999963</v>
      </c>
      <c r="G292" s="255"/>
      <c r="H292" s="224"/>
      <c r="M292" s="255"/>
      <c r="N292" s="255"/>
    </row>
    <row r="293" spans="2:23" ht="13.8" thickBot="1" x14ac:dyDescent="0.3">
      <c r="D293" s="787"/>
      <c r="E293" s="255"/>
      <c r="F293" s="255"/>
      <c r="G293" s="243"/>
      <c r="H293" s="224"/>
    </row>
    <row r="294" spans="2:23" ht="13.8" thickBot="1" x14ac:dyDescent="0.3">
      <c r="B294" s="325"/>
      <c r="D294" s="787"/>
      <c r="E294" s="299"/>
      <c r="F294" s="255" t="s">
        <v>2141</v>
      </c>
      <c r="G294" s="892">
        <f>F292-E292</f>
        <v>17889.14999999963</v>
      </c>
      <c r="H294" s="224"/>
    </row>
    <row r="295" spans="2:23" ht="13.2" x14ac:dyDescent="0.25">
      <c r="B295" s="325"/>
      <c r="D295" s="787"/>
      <c r="F295" s="255"/>
      <c r="G295" s="255"/>
      <c r="H295" s="255"/>
      <c r="K295" s="255"/>
      <c r="L295" s="243"/>
    </row>
    <row r="296" spans="2:23" ht="13.2" x14ac:dyDescent="0.25">
      <c r="B296" s="325"/>
      <c r="D296" s="787"/>
      <c r="F296" s="255"/>
      <c r="G296" s="255"/>
      <c r="H296" s="255"/>
      <c r="K296" s="255"/>
      <c r="L296" s="243"/>
    </row>
    <row r="297" spans="2:23" ht="12.75" customHeight="1" thickBot="1" x14ac:dyDescent="0.3">
      <c r="B297" s="325"/>
      <c r="D297" s="788"/>
      <c r="F297" s="255"/>
      <c r="H297" s="249"/>
      <c r="L297" s="246"/>
    </row>
    <row r="298" spans="2:23" ht="12.75" customHeight="1" thickBot="1" x14ac:dyDescent="0.3">
      <c r="B298" s="351" t="s">
        <v>4442</v>
      </c>
      <c r="C298" s="578"/>
      <c r="D298" s="784"/>
      <c r="E298" s="705"/>
      <c r="F298" s="826"/>
      <c r="G298" s="224"/>
      <c r="H298" s="810"/>
      <c r="K298" s="568"/>
    </row>
    <row r="299" spans="2:23" ht="12.75" customHeight="1" x14ac:dyDescent="0.25">
      <c r="B299" s="358" t="s">
        <v>184</v>
      </c>
      <c r="C299" s="356" t="s">
        <v>193</v>
      </c>
      <c r="D299" s="786" t="s">
        <v>2079</v>
      </c>
      <c r="E299" s="706" t="s">
        <v>668</v>
      </c>
      <c r="F299" s="706" t="s">
        <v>667</v>
      </c>
      <c r="G299" s="224"/>
      <c r="H299" s="809"/>
    </row>
    <row r="300" spans="2:23" ht="26.4" x14ac:dyDescent="0.25">
      <c r="B300" s="729" t="s">
        <v>4587</v>
      </c>
      <c r="C300" s="729" t="s">
        <v>4438</v>
      </c>
      <c r="D300" s="711" t="s">
        <v>4441</v>
      </c>
      <c r="E300" s="299">
        <v>10.35</v>
      </c>
      <c r="F300" s="299">
        <v>0</v>
      </c>
      <c r="G300" s="224"/>
      <c r="H300" s="729"/>
      <c r="K300" s="246"/>
      <c r="L300" s="246"/>
    </row>
    <row r="301" spans="2:23" s="536" customFormat="1" ht="26.4" x14ac:dyDescent="0.25">
      <c r="B301" s="295" t="s">
        <v>4593</v>
      </c>
      <c r="C301" s="295" t="s">
        <v>4438</v>
      </c>
      <c r="D301" s="942" t="s">
        <v>4441</v>
      </c>
      <c r="E301" s="48">
        <v>10.35</v>
      </c>
      <c r="F301" s="299">
        <v>0</v>
      </c>
      <c r="G301" s="299"/>
      <c r="H301" s="299"/>
      <c r="I301" s="299"/>
      <c r="J301" s="249"/>
      <c r="K301" s="299"/>
      <c r="L301" s="299"/>
      <c r="M301" s="299"/>
      <c r="N301" s="299"/>
      <c r="O301" s="299"/>
      <c r="P301" s="299"/>
      <c r="Q301" s="299"/>
      <c r="R301" s="299"/>
      <c r="S301" s="299"/>
      <c r="T301" s="224"/>
      <c r="U301" s="224"/>
      <c r="V301" s="224"/>
      <c r="W301" s="224"/>
    </row>
    <row r="302" spans="2:23" s="536" customFormat="1" ht="26.4" x14ac:dyDescent="0.25">
      <c r="B302" s="711" t="s">
        <v>4593</v>
      </c>
      <c r="C302" s="536" t="s">
        <v>4438</v>
      </c>
      <c r="D302" s="845" t="s">
        <v>4441</v>
      </c>
      <c r="E302" s="249">
        <v>10.35</v>
      </c>
      <c r="F302" s="299">
        <v>0</v>
      </c>
      <c r="G302" s="299"/>
      <c r="H302" s="299"/>
      <c r="I302" s="299"/>
      <c r="J302" s="249"/>
      <c r="K302" s="299"/>
      <c r="L302" s="299"/>
      <c r="M302" s="299"/>
      <c r="N302" s="299"/>
      <c r="O302" s="299"/>
      <c r="P302" s="299"/>
      <c r="Q302" s="299"/>
      <c r="R302" s="299"/>
      <c r="S302" s="299"/>
      <c r="T302" s="224"/>
      <c r="U302" s="224"/>
      <c r="V302" s="224"/>
      <c r="W302" s="224"/>
    </row>
    <row r="303" spans="2:23" s="326" customFormat="1" ht="26.4" x14ac:dyDescent="0.25">
      <c r="B303" s="922">
        <v>42562</v>
      </c>
      <c r="C303" s="536" t="s">
        <v>4438</v>
      </c>
      <c r="D303" s="845" t="s">
        <v>4441</v>
      </c>
      <c r="E303" s="249">
        <v>10.35</v>
      </c>
      <c r="F303" s="299">
        <v>0</v>
      </c>
      <c r="G303" s="299"/>
      <c r="H303" s="249"/>
      <c r="I303" s="299"/>
      <c r="J303" s="249"/>
      <c r="K303" s="299"/>
      <c r="L303" s="299"/>
      <c r="M303" s="299"/>
      <c r="N303" s="299"/>
      <c r="O303" s="299"/>
      <c r="P303" s="299"/>
      <c r="Q303" s="299"/>
      <c r="R303" s="299"/>
      <c r="S303" s="299"/>
      <c r="T303" s="224"/>
      <c r="U303" s="224"/>
      <c r="V303" s="224"/>
      <c r="W303" s="224"/>
    </row>
    <row r="304" spans="2:23" s="536" customFormat="1" ht="26.4" x14ac:dyDescent="0.25">
      <c r="B304" s="922">
        <v>42624</v>
      </c>
      <c r="C304" s="536" t="s">
        <v>4438</v>
      </c>
      <c r="D304" s="528" t="s">
        <v>4441</v>
      </c>
      <c r="E304" s="249">
        <v>10.35</v>
      </c>
      <c r="F304" s="299">
        <v>0</v>
      </c>
      <c r="G304" s="299"/>
      <c r="H304" s="299"/>
      <c r="I304" s="299"/>
      <c r="J304" s="249"/>
      <c r="K304" s="299"/>
      <c r="L304" s="299"/>
      <c r="M304" s="299"/>
      <c r="N304" s="299"/>
      <c r="O304" s="299"/>
      <c r="P304" s="299"/>
      <c r="Q304" s="299"/>
      <c r="R304" s="299"/>
      <c r="S304" s="299"/>
      <c r="T304" s="224"/>
      <c r="U304" s="224"/>
      <c r="V304" s="224"/>
      <c r="W304" s="224"/>
    </row>
    <row r="305" spans="2:23" s="536" customFormat="1" ht="26.4" x14ac:dyDescent="0.25">
      <c r="B305" s="922">
        <v>42624</v>
      </c>
      <c r="C305" s="536" t="s">
        <v>4438</v>
      </c>
      <c r="D305" s="528" t="s">
        <v>4441</v>
      </c>
      <c r="E305" s="249">
        <v>10.35</v>
      </c>
      <c r="F305" s="299">
        <v>0</v>
      </c>
      <c r="G305" s="299"/>
      <c r="H305" s="299"/>
      <c r="I305" s="299"/>
      <c r="J305" s="249"/>
      <c r="K305" s="299"/>
      <c r="L305" s="299"/>
      <c r="M305" s="299"/>
      <c r="N305" s="299"/>
      <c r="O305" s="299"/>
      <c r="P305" s="299"/>
      <c r="Q305" s="299"/>
      <c r="R305" s="299"/>
      <c r="S305" s="299"/>
      <c r="T305" s="224"/>
      <c r="U305" s="224"/>
      <c r="V305" s="224"/>
      <c r="W305" s="224"/>
    </row>
    <row r="306" spans="2:23" ht="12.75" customHeight="1" x14ac:dyDescent="0.25">
      <c r="B306" s="957" t="s">
        <v>4632</v>
      </c>
      <c r="C306" s="711" t="s">
        <v>4438</v>
      </c>
      <c r="D306" s="942" t="s">
        <v>4441</v>
      </c>
      <c r="E306" s="528">
        <v>10.35</v>
      </c>
      <c r="F306" s="299">
        <v>0</v>
      </c>
      <c r="G306" s="224"/>
      <c r="H306" s="729"/>
      <c r="K306" s="246"/>
      <c r="L306" s="246"/>
    </row>
    <row r="307" spans="2:23" ht="26.4" x14ac:dyDescent="0.25">
      <c r="B307" s="922">
        <v>42563</v>
      </c>
      <c r="C307" s="536" t="s">
        <v>4438</v>
      </c>
      <c r="D307" s="711" t="s">
        <v>4441</v>
      </c>
      <c r="E307" s="249">
        <v>10.35</v>
      </c>
      <c r="F307" s="299">
        <v>0</v>
      </c>
      <c r="G307" s="224"/>
      <c r="H307" s="249"/>
    </row>
    <row r="308" spans="2:23" ht="12.75" customHeight="1" x14ac:dyDescent="0.25">
      <c r="B308" s="922">
        <v>42563</v>
      </c>
      <c r="C308" s="536" t="s">
        <v>4438</v>
      </c>
      <c r="D308" s="711" t="s">
        <v>4441</v>
      </c>
      <c r="E308" s="299">
        <v>10.35</v>
      </c>
      <c r="F308" s="299">
        <v>0</v>
      </c>
      <c r="G308" s="224"/>
      <c r="H308" s="729"/>
    </row>
    <row r="309" spans="2:23" ht="12.75" customHeight="1" x14ac:dyDescent="0.25">
      <c r="B309" s="729"/>
      <c r="E309" s="299"/>
      <c r="G309" s="224"/>
      <c r="H309" s="729"/>
      <c r="J309" s="309"/>
      <c r="L309" s="60"/>
    </row>
    <row r="310" spans="2:23" ht="12.75" customHeight="1" x14ac:dyDescent="0.25">
      <c r="B310" s="729"/>
      <c r="E310" s="299"/>
      <c r="G310" s="224"/>
      <c r="H310" s="729"/>
      <c r="J310" s="309"/>
      <c r="L310" s="60"/>
    </row>
    <row r="311" spans="2:23" s="1" customFormat="1" ht="13.2" x14ac:dyDescent="0.25">
      <c r="B311" s="729"/>
      <c r="C311" s="320"/>
      <c r="D311" s="711"/>
      <c r="E311" s="299"/>
      <c r="F311" s="299"/>
      <c r="H311" s="729"/>
      <c r="I311" s="60"/>
      <c r="J311" s="2"/>
      <c r="K311" s="60"/>
      <c r="L311" s="60"/>
      <c r="M311" s="60"/>
      <c r="N311" s="60"/>
      <c r="O311" s="60"/>
      <c r="P311" s="60"/>
      <c r="Q311" s="60"/>
      <c r="R311" s="60"/>
      <c r="S311" s="60"/>
    </row>
    <row r="312" spans="2:23" ht="30" customHeight="1" x14ac:dyDescent="0.25">
      <c r="B312" s="729"/>
      <c r="E312" s="299"/>
      <c r="G312" s="224"/>
      <c r="H312" s="729"/>
      <c r="K312" s="528"/>
    </row>
    <row r="313" spans="2:23" ht="13.2" x14ac:dyDescent="0.25">
      <c r="B313" s="729"/>
      <c r="E313" s="299"/>
      <c r="G313" s="224"/>
      <c r="H313" s="729"/>
    </row>
    <row r="314" spans="2:23" ht="13.2" x14ac:dyDescent="0.25">
      <c r="B314" s="729"/>
      <c r="E314" s="299"/>
      <c r="G314" s="224"/>
      <c r="H314" s="729"/>
    </row>
    <row r="315" spans="2:23" ht="13.2" x14ac:dyDescent="0.25">
      <c r="B315" s="729"/>
      <c r="E315" s="299"/>
      <c r="G315" s="224"/>
      <c r="H315" s="729"/>
    </row>
    <row r="316" spans="2:23" ht="12.75" customHeight="1" x14ac:dyDescent="0.25">
      <c r="B316" s="729"/>
      <c r="E316" s="299"/>
      <c r="G316" s="224"/>
      <c r="H316" s="729"/>
    </row>
    <row r="317" spans="2:23" ht="13.2" x14ac:dyDescent="0.25">
      <c r="B317" s="729"/>
      <c r="E317" s="299"/>
      <c r="G317" s="224"/>
      <c r="H317" s="729"/>
      <c r="J317" s="309"/>
      <c r="L317" s="60"/>
    </row>
    <row r="318" spans="2:23" ht="13.2" x14ac:dyDescent="0.25">
      <c r="B318" s="729"/>
      <c r="E318" s="299"/>
      <c r="G318" s="224"/>
      <c r="H318" s="729"/>
      <c r="J318" s="309"/>
      <c r="L318" s="60"/>
    </row>
    <row r="319" spans="2:23" ht="13.2" x14ac:dyDescent="0.25">
      <c r="B319" s="729"/>
      <c r="E319" s="299"/>
      <c r="G319" s="224"/>
      <c r="H319" s="729"/>
    </row>
    <row r="320" spans="2:23" ht="12.75" customHeight="1" x14ac:dyDescent="0.25">
      <c r="B320" s="729"/>
      <c r="E320" s="299"/>
      <c r="G320" s="224"/>
      <c r="H320" s="729"/>
    </row>
    <row r="321" spans="2:19" ht="13.2" x14ac:dyDescent="0.25">
      <c r="B321" s="729"/>
      <c r="E321" s="299"/>
      <c r="G321" s="224"/>
      <c r="H321" s="729"/>
      <c r="L321" s="255"/>
    </row>
    <row r="322" spans="2:19" ht="13.2" x14ac:dyDescent="0.25">
      <c r="B322" s="729"/>
      <c r="E322" s="299"/>
      <c r="G322" s="224"/>
      <c r="H322" s="729"/>
      <c r="L322" s="255"/>
    </row>
    <row r="323" spans="2:19" ht="12.75" customHeight="1" x14ac:dyDescent="0.25">
      <c r="B323" s="729"/>
      <c r="E323" s="299"/>
      <c r="G323" s="224"/>
      <c r="H323" s="729"/>
      <c r="L323" s="255"/>
    </row>
    <row r="324" spans="2:19" ht="12.75" customHeight="1" x14ac:dyDescent="0.25">
      <c r="B324" s="729"/>
      <c r="E324" s="299"/>
      <c r="G324" s="224"/>
      <c r="H324" s="729"/>
      <c r="L324" s="255"/>
    </row>
    <row r="325" spans="2:19" ht="12.75" customHeight="1" x14ac:dyDescent="0.25">
      <c r="B325" s="729"/>
      <c r="E325" s="299"/>
      <c r="G325" s="224"/>
      <c r="H325" s="729"/>
      <c r="L325" s="255"/>
    </row>
    <row r="326" spans="2:19" ht="12.75" customHeight="1" x14ac:dyDescent="0.25">
      <c r="B326" s="729"/>
      <c r="E326" s="299"/>
      <c r="G326" s="224"/>
      <c r="H326" s="729"/>
      <c r="L326" s="255"/>
    </row>
    <row r="327" spans="2:19" ht="12.75" customHeight="1" thickBot="1" x14ac:dyDescent="0.3">
      <c r="B327" s="729"/>
      <c r="E327" s="299"/>
      <c r="G327" s="224"/>
      <c r="H327" s="729"/>
    </row>
    <row r="328" spans="2:19" s="1" customFormat="1" ht="13.8" thickBot="1" x14ac:dyDescent="0.3">
      <c r="B328" s="16"/>
      <c r="C328" s="320"/>
      <c r="D328" s="2" t="s">
        <v>536</v>
      </c>
      <c r="E328" s="682">
        <f>SUM(E300:E327)</f>
        <v>93.149999999999991</v>
      </c>
      <c r="F328" s="60"/>
      <c r="H328" s="2"/>
      <c r="I328" s="60"/>
      <c r="J328" s="2"/>
      <c r="K328" s="60"/>
      <c r="L328" s="60"/>
      <c r="M328" s="60"/>
      <c r="N328" s="60"/>
      <c r="O328" s="60"/>
      <c r="P328" s="60"/>
      <c r="Q328" s="60"/>
      <c r="R328" s="60"/>
      <c r="S328" s="60"/>
    </row>
    <row r="329" spans="2:19" s="1" customFormat="1" ht="13.2" x14ac:dyDescent="0.25">
      <c r="B329" s="16"/>
      <c r="C329" s="320"/>
      <c r="D329" s="31"/>
      <c r="E329" s="60"/>
      <c r="F329" s="60"/>
      <c r="H329" s="60"/>
      <c r="I329" s="60"/>
      <c r="J329" s="2"/>
      <c r="K329" s="60"/>
      <c r="L329" s="60"/>
      <c r="M329" s="60"/>
      <c r="N329" s="60"/>
      <c r="O329" s="60"/>
      <c r="P329" s="60"/>
      <c r="Q329" s="60"/>
      <c r="R329" s="60"/>
      <c r="S329" s="60"/>
    </row>
    <row r="330" spans="2:19" ht="12.75" customHeight="1" x14ac:dyDescent="0.25">
      <c r="E330" s="299"/>
      <c r="G330" s="224"/>
    </row>
    <row r="331" spans="2:19" ht="12.75" customHeight="1" thickBot="1" x14ac:dyDescent="0.3">
      <c r="E331" s="299"/>
      <c r="G331" s="224"/>
    </row>
    <row r="332" spans="2:19" ht="12.75" customHeight="1" thickBot="1" x14ac:dyDescent="0.3">
      <c r="B332" s="351" t="s">
        <v>344</v>
      </c>
      <c r="C332" s="413"/>
      <c r="D332" s="789"/>
      <c r="E332" s="680"/>
      <c r="F332" s="812"/>
      <c r="G332" s="224"/>
      <c r="H332" s="809"/>
      <c r="K332" s="809"/>
      <c r="L332" s="809"/>
    </row>
    <row r="333" spans="2:19" ht="12.75" customHeight="1" x14ac:dyDescent="0.25">
      <c r="B333" s="358" t="s">
        <v>184</v>
      </c>
      <c r="C333" s="356" t="s">
        <v>193</v>
      </c>
      <c r="D333" s="786" t="s">
        <v>2079</v>
      </c>
      <c r="E333" s="706" t="s">
        <v>668</v>
      </c>
      <c r="F333" s="706" t="s">
        <v>667</v>
      </c>
      <c r="G333" s="224"/>
      <c r="H333" s="888"/>
      <c r="K333" s="893"/>
      <c r="L333" s="809"/>
    </row>
    <row r="334" spans="2:19" ht="13.2" x14ac:dyDescent="0.25">
      <c r="B334" s="387"/>
      <c r="C334" s="295"/>
      <c r="D334" s="48"/>
      <c r="E334" s="299"/>
      <c r="F334" s="809"/>
      <c r="G334" s="224"/>
      <c r="H334" s="888"/>
      <c r="K334" s="809"/>
      <c r="L334" s="809"/>
    </row>
    <row r="335" spans="2:19" ht="13.2" x14ac:dyDescent="0.25">
      <c r="B335" s="387"/>
      <c r="C335" s="295"/>
      <c r="D335" s="48"/>
      <c r="E335" s="299"/>
      <c r="F335" s="809"/>
      <c r="G335" s="224"/>
      <c r="H335" s="888"/>
      <c r="K335" s="809"/>
      <c r="L335" s="814"/>
    </row>
    <row r="336" spans="2:19" ht="13.2" x14ac:dyDescent="0.25">
      <c r="B336" s="387"/>
      <c r="C336" s="295"/>
      <c r="D336" s="48"/>
      <c r="E336" s="299"/>
      <c r="F336" s="809"/>
      <c r="G336" s="224"/>
      <c r="H336" s="888"/>
      <c r="K336" s="809"/>
      <c r="L336" s="809"/>
      <c r="M336" s="255"/>
    </row>
    <row r="337" spans="2:14" ht="13.2" x14ac:dyDescent="0.25">
      <c r="B337" s="387"/>
      <c r="C337" s="295"/>
      <c r="D337" s="53"/>
      <c r="E337" s="299"/>
      <c r="G337" s="224"/>
      <c r="H337" s="249"/>
    </row>
    <row r="338" spans="2:14" ht="13.2" x14ac:dyDescent="0.25">
      <c r="B338" s="387"/>
      <c r="C338" s="295"/>
      <c r="D338" s="53"/>
      <c r="E338" s="299"/>
      <c r="G338" s="224"/>
      <c r="H338" s="249"/>
    </row>
    <row r="339" spans="2:14" ht="13.2" x14ac:dyDescent="0.25">
      <c r="B339" s="387"/>
      <c r="C339" s="295"/>
      <c r="D339" s="53"/>
      <c r="E339" s="299"/>
      <c r="G339" s="224"/>
      <c r="H339" s="249"/>
    </row>
    <row r="340" spans="2:14" ht="13.2" x14ac:dyDescent="0.25">
      <c r="B340" s="387"/>
      <c r="C340" s="295"/>
      <c r="D340" s="53"/>
      <c r="E340" s="299"/>
      <c r="G340" s="224"/>
      <c r="H340" s="249"/>
    </row>
    <row r="341" spans="2:14" ht="12.75" customHeight="1" x14ac:dyDescent="0.25">
      <c r="B341" s="387"/>
      <c r="C341" s="295"/>
      <c r="D341" s="48"/>
      <c r="E341" s="299"/>
      <c r="G341" s="224"/>
      <c r="H341" s="249"/>
    </row>
    <row r="342" spans="2:14" ht="12.75" customHeight="1" x14ac:dyDescent="0.25">
      <c r="B342" s="387"/>
      <c r="C342" s="295"/>
      <c r="D342" s="48"/>
      <c r="E342" s="299"/>
      <c r="G342" s="224"/>
      <c r="H342" s="249"/>
      <c r="N342" s="68"/>
    </row>
    <row r="343" spans="2:14" ht="12.75" customHeight="1" x14ac:dyDescent="0.25">
      <c r="B343" s="387"/>
      <c r="C343" s="295"/>
      <c r="D343" s="48"/>
      <c r="E343" s="299"/>
      <c r="G343" s="224"/>
      <c r="H343" s="249"/>
      <c r="N343" s="68"/>
    </row>
    <row r="344" spans="2:14" ht="12.75" customHeight="1" x14ac:dyDescent="0.25">
      <c r="B344" s="387"/>
      <c r="C344" s="295"/>
      <c r="D344" s="48"/>
      <c r="E344" s="299"/>
      <c r="G344" s="224"/>
      <c r="H344" s="249"/>
      <c r="N344" s="68"/>
    </row>
    <row r="345" spans="2:14" ht="12.75" customHeight="1" x14ac:dyDescent="0.25">
      <c r="B345" s="387"/>
      <c r="C345" s="295"/>
      <c r="D345" s="23"/>
      <c r="E345" s="299"/>
      <c r="F345" s="60"/>
      <c r="G345" s="224"/>
      <c r="H345" s="249"/>
    </row>
    <row r="346" spans="2:14" ht="12.75" customHeight="1" x14ac:dyDescent="0.25">
      <c r="B346" s="387"/>
      <c r="C346" s="295"/>
      <c r="D346" s="23"/>
      <c r="E346" s="299"/>
      <c r="F346" s="60"/>
      <c r="G346" s="224"/>
      <c r="H346" s="249"/>
    </row>
    <row r="347" spans="2:14" ht="12.75" customHeight="1" x14ac:dyDescent="0.25">
      <c r="B347" s="387"/>
      <c r="C347" s="295"/>
      <c r="E347" s="299"/>
      <c r="G347" s="224"/>
      <c r="H347" s="249"/>
    </row>
    <row r="348" spans="2:14" ht="12.75" customHeight="1" x14ac:dyDescent="0.25">
      <c r="B348" s="387"/>
      <c r="C348" s="295"/>
      <c r="E348" s="299"/>
      <c r="G348" s="224"/>
      <c r="H348" s="249"/>
    </row>
    <row r="349" spans="2:14" ht="12.75" customHeight="1" x14ac:dyDescent="0.25">
      <c r="B349" s="387"/>
      <c r="C349" s="295"/>
      <c r="E349" s="299"/>
      <c r="G349" s="224"/>
      <c r="H349" s="249"/>
    </row>
    <row r="350" spans="2:14" ht="12.75" customHeight="1" x14ac:dyDescent="0.25">
      <c r="B350" s="387"/>
      <c r="C350" s="295"/>
      <c r="E350" s="299"/>
      <c r="G350" s="224"/>
      <c r="H350" s="249"/>
    </row>
    <row r="351" spans="2:14" ht="12.75" customHeight="1" x14ac:dyDescent="0.25">
      <c r="B351" s="387"/>
      <c r="C351" s="295"/>
      <c r="E351" s="299"/>
      <c r="G351" s="224"/>
      <c r="H351" s="249"/>
    </row>
    <row r="352" spans="2:14" ht="12.75" customHeight="1" x14ac:dyDescent="0.25">
      <c r="B352" s="387"/>
      <c r="C352" s="295"/>
      <c r="E352" s="299"/>
      <c r="G352" s="224"/>
      <c r="H352" s="249"/>
    </row>
    <row r="353" spans="2:12" ht="12.75" customHeight="1" x14ac:dyDescent="0.25">
      <c r="B353" s="387"/>
      <c r="C353" s="295"/>
      <c r="E353" s="299"/>
      <c r="G353" s="224"/>
      <c r="H353" s="249"/>
    </row>
    <row r="354" spans="2:12" ht="12.75" customHeight="1" x14ac:dyDescent="0.25">
      <c r="B354" s="387"/>
      <c r="C354" s="295"/>
      <c r="E354" s="299"/>
      <c r="G354" s="224"/>
      <c r="H354" s="249"/>
    </row>
    <row r="355" spans="2:12" ht="12.75" customHeight="1" x14ac:dyDescent="0.25">
      <c r="B355" s="387"/>
      <c r="C355" s="295"/>
      <c r="E355" s="299"/>
      <c r="G355" s="224"/>
      <c r="H355" s="249"/>
    </row>
    <row r="356" spans="2:12" ht="12.75" customHeight="1" x14ac:dyDescent="0.25">
      <c r="B356" s="387"/>
      <c r="C356" s="295"/>
      <c r="E356" s="299"/>
      <c r="G356" s="224"/>
      <c r="H356" s="249"/>
    </row>
    <row r="357" spans="2:12" ht="12.75" customHeight="1" x14ac:dyDescent="0.25">
      <c r="B357" s="387"/>
      <c r="C357" s="295"/>
      <c r="E357" s="299"/>
      <c r="G357" s="224"/>
      <c r="H357" s="249"/>
    </row>
    <row r="358" spans="2:12" ht="12.75" customHeight="1" thickBot="1" x14ac:dyDescent="0.3">
      <c r="B358" s="385"/>
      <c r="C358" s="16"/>
      <c r="D358" s="23"/>
      <c r="E358" s="60"/>
      <c r="F358" s="60"/>
      <c r="G358" s="224"/>
      <c r="H358" s="249"/>
    </row>
    <row r="359" spans="2:12" ht="12.75" customHeight="1" thickBot="1" x14ac:dyDescent="0.3">
      <c r="B359" s="225"/>
      <c r="C359" s="295"/>
      <c r="D359" s="2" t="s">
        <v>946</v>
      </c>
      <c r="E359" s="423">
        <f>SUM(E334:E358)</f>
        <v>0</v>
      </c>
      <c r="G359" s="224"/>
      <c r="H359" s="249"/>
    </row>
    <row r="360" spans="2:12" ht="12.75" customHeight="1" x14ac:dyDescent="0.25">
      <c r="B360" s="225"/>
      <c r="C360" s="295"/>
      <c r="E360" s="299"/>
      <c r="F360" s="60"/>
      <c r="G360" s="224"/>
    </row>
    <row r="361" spans="2:12" ht="12.75" customHeight="1" x14ac:dyDescent="0.25">
      <c r="B361" s="225"/>
      <c r="C361" s="295"/>
      <c r="E361" s="299"/>
      <c r="G361" s="224"/>
      <c r="H361" s="249"/>
    </row>
    <row r="362" spans="2:12" ht="12.75" customHeight="1" x14ac:dyDescent="0.25">
      <c r="B362" s="225"/>
      <c r="C362" s="295"/>
      <c r="E362" s="299"/>
      <c r="G362" s="224"/>
      <c r="H362" s="249"/>
    </row>
    <row r="363" spans="2:12" ht="12.75" customHeight="1" thickBot="1" x14ac:dyDescent="0.3">
      <c r="B363" s="225"/>
      <c r="C363" s="295"/>
      <c r="E363" s="299"/>
      <c r="G363" s="224"/>
      <c r="H363" s="249"/>
    </row>
    <row r="364" spans="2:12" ht="12.75" customHeight="1" thickBot="1" x14ac:dyDescent="0.3">
      <c r="B364" s="351" t="s">
        <v>895</v>
      </c>
      <c r="C364" s="413"/>
      <c r="D364" s="789"/>
      <c r="E364" s="680"/>
      <c r="F364" s="812"/>
      <c r="G364" s="224"/>
      <c r="H364" s="809"/>
      <c r="K364" s="809"/>
      <c r="L364" s="809"/>
    </row>
    <row r="365" spans="2:12" ht="12.75" customHeight="1" x14ac:dyDescent="0.25">
      <c r="B365" s="358" t="s">
        <v>184</v>
      </c>
      <c r="C365" s="356" t="s">
        <v>193</v>
      </c>
      <c r="D365" s="786" t="s">
        <v>2079</v>
      </c>
      <c r="E365" s="706" t="s">
        <v>668</v>
      </c>
      <c r="F365" s="706" t="s">
        <v>667</v>
      </c>
      <c r="G365" s="224"/>
      <c r="H365" s="888"/>
      <c r="K365" s="893"/>
      <c r="L365" s="809"/>
    </row>
    <row r="366" spans="2:12" ht="13.2" x14ac:dyDescent="0.25">
      <c r="C366" s="295"/>
      <c r="D366" s="48"/>
      <c r="E366" s="255"/>
      <c r="G366" s="224"/>
      <c r="H366" s="809"/>
      <c r="K366" s="809"/>
      <c r="L366" s="809"/>
    </row>
    <row r="367" spans="2:12" ht="13.2" x14ac:dyDescent="0.25">
      <c r="C367" s="295"/>
      <c r="D367" s="48"/>
      <c r="E367" s="255"/>
      <c r="G367" s="224"/>
      <c r="H367" s="809"/>
      <c r="K367" s="809"/>
      <c r="L367" s="809"/>
    </row>
    <row r="368" spans="2:12" ht="13.2" x14ac:dyDescent="0.25">
      <c r="C368" s="295"/>
      <c r="D368" s="48"/>
      <c r="E368" s="255"/>
      <c r="G368" s="224"/>
      <c r="L368" s="255"/>
    </row>
    <row r="369" spans="2:23" ht="13.2" x14ac:dyDescent="0.25">
      <c r="C369" s="295"/>
      <c r="D369" s="48"/>
      <c r="E369" s="255"/>
      <c r="G369" s="224"/>
    </row>
    <row r="370" spans="2:23" ht="13.2" x14ac:dyDescent="0.25">
      <c r="C370" s="295"/>
      <c r="D370" s="48"/>
      <c r="E370" s="255"/>
      <c r="G370" s="224"/>
    </row>
    <row r="371" spans="2:23" ht="13.2" x14ac:dyDescent="0.25">
      <c r="C371" s="711"/>
      <c r="D371" s="48"/>
      <c r="E371" s="299"/>
      <c r="G371" s="224"/>
    </row>
    <row r="372" spans="2:23" ht="13.2" x14ac:dyDescent="0.25">
      <c r="C372" s="711"/>
      <c r="D372" s="48"/>
      <c r="E372" s="299"/>
      <c r="G372" s="224"/>
      <c r="H372" s="249"/>
    </row>
    <row r="373" spans="2:23" ht="13.2" x14ac:dyDescent="0.25">
      <c r="C373" s="711"/>
      <c r="D373" s="48"/>
      <c r="E373" s="299"/>
      <c r="G373" s="224"/>
      <c r="H373" s="249"/>
    </row>
    <row r="374" spans="2:23" ht="13.2" x14ac:dyDescent="0.25">
      <c r="C374" s="711"/>
      <c r="D374" s="48"/>
      <c r="E374" s="299"/>
      <c r="G374" s="224"/>
      <c r="H374" s="249"/>
    </row>
    <row r="375" spans="2:23" ht="13.2" x14ac:dyDescent="0.25">
      <c r="C375" s="711"/>
      <c r="D375" s="48"/>
      <c r="E375" s="299"/>
      <c r="G375" s="224"/>
      <c r="H375" s="249"/>
    </row>
    <row r="376" spans="2:23" ht="13.2" x14ac:dyDescent="0.25">
      <c r="C376" s="711"/>
      <c r="D376" s="48"/>
      <c r="E376" s="299"/>
      <c r="G376" s="224"/>
      <c r="H376" s="249"/>
    </row>
    <row r="377" spans="2:23" ht="13.2" x14ac:dyDescent="0.25">
      <c r="C377" s="711"/>
      <c r="D377" s="528"/>
      <c r="E377" s="299"/>
      <c r="G377" s="224"/>
      <c r="H377" s="249"/>
    </row>
    <row r="378" spans="2:23" ht="13.2" x14ac:dyDescent="0.25">
      <c r="C378" s="711"/>
      <c r="D378" s="528"/>
      <c r="E378" s="299"/>
      <c r="G378" s="224"/>
      <c r="H378" s="249"/>
    </row>
    <row r="379" spans="2:23" ht="13.2" x14ac:dyDescent="0.25">
      <c r="C379" s="711"/>
      <c r="D379" s="528"/>
      <c r="E379" s="299"/>
      <c r="G379" s="224"/>
      <c r="H379" s="249"/>
    </row>
    <row r="380" spans="2:23" ht="13.2" x14ac:dyDescent="0.25">
      <c r="C380" s="711"/>
      <c r="D380" s="528"/>
      <c r="E380" s="299"/>
      <c r="G380" s="224"/>
      <c r="H380" s="249"/>
    </row>
    <row r="381" spans="2:23" ht="13.2" x14ac:dyDescent="0.25">
      <c r="C381" s="711"/>
      <c r="D381" s="528"/>
      <c r="E381" s="299"/>
      <c r="G381" s="224"/>
      <c r="H381" s="249"/>
    </row>
    <row r="382" spans="2:23" s="326" customFormat="1" ht="13.2" x14ac:dyDescent="0.25">
      <c r="B382" s="295"/>
      <c r="C382" s="295"/>
      <c r="D382" s="711"/>
      <c r="E382" s="299"/>
      <c r="F382" s="299"/>
      <c r="H382" s="299"/>
      <c r="I382" s="299"/>
      <c r="J382" s="249"/>
      <c r="K382" s="299"/>
      <c r="L382" s="299"/>
      <c r="M382" s="299"/>
      <c r="N382" s="299"/>
      <c r="O382" s="299"/>
      <c r="P382" s="299"/>
      <c r="Q382" s="299"/>
      <c r="R382" s="299"/>
      <c r="S382" s="299"/>
      <c r="T382" s="224"/>
      <c r="U382" s="224"/>
      <c r="V382" s="224"/>
      <c r="W382" s="224"/>
    </row>
    <row r="383" spans="2:23" s="326" customFormat="1" ht="13.2" x14ac:dyDescent="0.25">
      <c r="B383" s="295"/>
      <c r="C383" s="295"/>
      <c r="D383" s="711"/>
      <c r="E383" s="299"/>
      <c r="F383" s="299"/>
      <c r="H383" s="299"/>
      <c r="I383" s="299"/>
      <c r="J383" s="249"/>
      <c r="K383" s="299"/>
      <c r="L383" s="299"/>
      <c r="M383" s="299"/>
      <c r="N383" s="299"/>
      <c r="O383" s="299"/>
      <c r="P383" s="299"/>
      <c r="Q383" s="299"/>
      <c r="R383" s="299"/>
      <c r="S383" s="299"/>
      <c r="T383" s="224"/>
      <c r="U383" s="224"/>
      <c r="V383" s="224"/>
      <c r="W383" s="224"/>
    </row>
    <row r="384" spans="2:23" s="326" customFormat="1" ht="13.2" x14ac:dyDescent="0.25">
      <c r="B384" s="295"/>
      <c r="C384" s="711"/>
      <c r="D384" s="711"/>
      <c r="E384" s="299"/>
      <c r="F384" s="299"/>
      <c r="H384" s="249"/>
      <c r="I384" s="299"/>
      <c r="J384" s="249"/>
      <c r="K384" s="299"/>
      <c r="L384" s="299"/>
      <c r="M384" s="299"/>
      <c r="N384" s="299"/>
      <c r="O384" s="299"/>
      <c r="P384" s="299"/>
      <c r="Q384" s="299"/>
      <c r="R384" s="299"/>
      <c r="S384" s="299"/>
      <c r="T384" s="224"/>
      <c r="U384" s="224"/>
      <c r="V384" s="224"/>
      <c r="W384" s="224"/>
    </row>
    <row r="385" spans="2:23" s="326" customFormat="1" ht="13.2" x14ac:dyDescent="0.25">
      <c r="B385" s="295"/>
      <c r="C385" s="711"/>
      <c r="D385" s="711"/>
      <c r="E385" s="299"/>
      <c r="F385" s="299"/>
      <c r="H385" s="249"/>
      <c r="I385" s="299"/>
      <c r="J385" s="249"/>
      <c r="K385" s="299"/>
      <c r="L385" s="299"/>
      <c r="M385" s="299"/>
      <c r="N385" s="299"/>
      <c r="O385" s="299"/>
      <c r="P385" s="299"/>
      <c r="Q385" s="299"/>
      <c r="R385" s="299"/>
      <c r="S385" s="299"/>
      <c r="T385" s="224"/>
      <c r="U385" s="224"/>
      <c r="V385" s="224"/>
      <c r="W385" s="224"/>
    </row>
    <row r="386" spans="2:23" s="326" customFormat="1" ht="13.2" x14ac:dyDescent="0.25">
      <c r="B386" s="295"/>
      <c r="C386" s="711"/>
      <c r="D386" s="711"/>
      <c r="E386" s="299"/>
      <c r="F386" s="299"/>
      <c r="H386" s="249"/>
      <c r="I386" s="299"/>
      <c r="J386" s="249"/>
      <c r="K386" s="249"/>
      <c r="L386" s="299"/>
      <c r="M386" s="299"/>
      <c r="N386" s="299"/>
      <c r="O386" s="299"/>
      <c r="P386" s="299"/>
      <c r="Q386" s="299"/>
      <c r="R386" s="299"/>
      <c r="S386" s="299"/>
      <c r="T386" s="224"/>
      <c r="U386" s="224"/>
      <c r="V386" s="224"/>
      <c r="W386" s="224"/>
    </row>
    <row r="387" spans="2:23" s="326" customFormat="1" ht="13.2" x14ac:dyDescent="0.25">
      <c r="B387" s="295"/>
      <c r="C387" s="711"/>
      <c r="D387" s="711"/>
      <c r="E387" s="299"/>
      <c r="F387" s="299"/>
      <c r="H387" s="249"/>
      <c r="I387" s="299"/>
      <c r="J387" s="249"/>
      <c r="K387" s="249"/>
      <c r="L387" s="299"/>
      <c r="M387" s="299"/>
      <c r="N387" s="299"/>
      <c r="O387" s="299"/>
      <c r="P387" s="299"/>
      <c r="Q387" s="299"/>
      <c r="R387" s="299"/>
      <c r="S387" s="299"/>
      <c r="T387" s="224"/>
      <c r="U387" s="224"/>
      <c r="V387" s="224"/>
      <c r="W387" s="224"/>
    </row>
    <row r="388" spans="2:23" s="326" customFormat="1" ht="13.2" x14ac:dyDescent="0.25">
      <c r="B388" s="295"/>
      <c r="C388" s="711"/>
      <c r="D388" s="711"/>
      <c r="E388" s="299"/>
      <c r="F388" s="299"/>
      <c r="H388" s="249"/>
      <c r="I388" s="299"/>
      <c r="J388" s="249"/>
      <c r="K388" s="249"/>
      <c r="L388" s="299"/>
      <c r="M388" s="299"/>
      <c r="N388" s="299"/>
      <c r="O388" s="299"/>
      <c r="P388" s="299"/>
      <c r="Q388" s="299"/>
      <c r="R388" s="299"/>
      <c r="S388" s="299"/>
      <c r="T388" s="224"/>
      <c r="U388" s="224"/>
      <c r="V388" s="224"/>
      <c r="W388" s="224"/>
    </row>
    <row r="389" spans="2:23" s="326" customFormat="1" ht="13.2" x14ac:dyDescent="0.25">
      <c r="B389" s="295"/>
      <c r="C389" s="711"/>
      <c r="D389" s="711"/>
      <c r="E389" s="299"/>
      <c r="F389" s="299"/>
      <c r="H389" s="249"/>
      <c r="I389" s="299"/>
      <c r="J389" s="249"/>
      <c r="K389" s="249"/>
      <c r="L389" s="299"/>
      <c r="M389" s="299"/>
      <c r="N389" s="299"/>
      <c r="O389" s="299"/>
      <c r="P389" s="299"/>
      <c r="Q389" s="299"/>
      <c r="R389" s="299"/>
      <c r="S389" s="299"/>
      <c r="T389" s="224"/>
      <c r="U389" s="224"/>
      <c r="V389" s="224"/>
      <c r="W389" s="224"/>
    </row>
    <row r="390" spans="2:23" s="326" customFormat="1" ht="13.2" x14ac:dyDescent="0.25">
      <c r="B390" s="295"/>
      <c r="C390" s="711"/>
      <c r="D390" s="711"/>
      <c r="E390" s="299"/>
      <c r="F390" s="299"/>
      <c r="H390" s="249"/>
      <c r="I390" s="299"/>
      <c r="J390" s="249"/>
      <c r="K390" s="299"/>
      <c r="L390" s="299"/>
      <c r="M390" s="299"/>
      <c r="N390" s="299"/>
      <c r="O390" s="299"/>
      <c r="P390" s="299"/>
      <c r="Q390" s="299"/>
      <c r="R390" s="299"/>
      <c r="S390" s="299"/>
      <c r="T390" s="224"/>
      <c r="U390" s="224"/>
      <c r="V390" s="224"/>
      <c r="W390" s="224"/>
    </row>
    <row r="391" spans="2:23" s="326" customFormat="1" ht="13.2" x14ac:dyDescent="0.25">
      <c r="B391" s="295"/>
      <c r="C391" s="711"/>
      <c r="D391" s="711"/>
      <c r="E391" s="299"/>
      <c r="F391" s="249"/>
      <c r="H391" s="249"/>
      <c r="I391" s="299"/>
      <c r="J391" s="249"/>
      <c r="K391" s="249"/>
      <c r="L391" s="299"/>
      <c r="M391" s="299"/>
      <c r="N391" s="299"/>
      <c r="O391" s="299"/>
      <c r="P391" s="299"/>
      <c r="Q391" s="299"/>
      <c r="R391" s="299"/>
      <c r="S391" s="299"/>
      <c r="T391" s="224"/>
      <c r="U391" s="224"/>
      <c r="V391" s="224"/>
      <c r="W391" s="224"/>
    </row>
    <row r="392" spans="2:23" s="326" customFormat="1" ht="13.2" x14ac:dyDescent="0.25">
      <c r="B392" s="295"/>
      <c r="C392" s="711"/>
      <c r="D392" s="528"/>
      <c r="E392" s="299"/>
      <c r="F392" s="299"/>
      <c r="H392" s="249"/>
      <c r="I392" s="299"/>
      <c r="J392" s="249"/>
      <c r="K392" s="299"/>
      <c r="L392" s="299"/>
      <c r="M392" s="299"/>
      <c r="N392" s="299"/>
      <c r="O392" s="299"/>
      <c r="P392" s="299"/>
      <c r="Q392" s="299"/>
      <c r="R392" s="299"/>
      <c r="S392" s="299"/>
      <c r="T392" s="224"/>
      <c r="U392" s="224"/>
      <c r="V392" s="224"/>
      <c r="W392" s="224"/>
    </row>
    <row r="393" spans="2:23" s="326" customFormat="1" ht="13.2" x14ac:dyDescent="0.25">
      <c r="B393" s="295"/>
      <c r="C393" s="711"/>
      <c r="D393" s="528"/>
      <c r="E393" s="299"/>
      <c r="F393" s="299"/>
      <c r="H393" s="249"/>
      <c r="I393" s="299"/>
      <c r="J393" s="249"/>
      <c r="K393" s="299"/>
      <c r="L393" s="299"/>
      <c r="M393" s="299"/>
      <c r="N393" s="299"/>
      <c r="O393" s="299"/>
      <c r="P393" s="299"/>
      <c r="Q393" s="299"/>
      <c r="R393" s="299"/>
      <c r="S393" s="299"/>
      <c r="T393" s="224"/>
      <c r="U393" s="224"/>
      <c r="V393" s="224"/>
      <c r="W393" s="224"/>
    </row>
    <row r="394" spans="2:23" s="326" customFormat="1" ht="13.2" x14ac:dyDescent="0.25">
      <c r="B394" s="295"/>
      <c r="C394" s="711"/>
      <c r="D394" s="528"/>
      <c r="E394" s="299"/>
      <c r="F394" s="299"/>
      <c r="H394" s="249"/>
      <c r="I394" s="299"/>
      <c r="J394" s="249"/>
      <c r="K394" s="299"/>
      <c r="L394" s="299"/>
      <c r="M394" s="299"/>
      <c r="N394" s="299"/>
      <c r="O394" s="299"/>
      <c r="P394" s="299"/>
      <c r="Q394" s="299"/>
      <c r="R394" s="299"/>
      <c r="S394" s="299"/>
      <c r="T394" s="224"/>
      <c r="U394" s="224"/>
      <c r="V394" s="224"/>
      <c r="W394" s="224"/>
    </row>
    <row r="395" spans="2:23" s="326" customFormat="1" ht="13.2" x14ac:dyDescent="0.25">
      <c r="B395" s="295"/>
      <c r="C395" s="295"/>
      <c r="D395" s="48"/>
      <c r="E395" s="255"/>
      <c r="F395" s="299"/>
      <c r="H395" s="299"/>
      <c r="I395" s="299"/>
      <c r="J395" s="249"/>
      <c r="K395" s="299"/>
      <c r="L395" s="299"/>
      <c r="M395" s="299"/>
      <c r="N395" s="299"/>
      <c r="O395" s="299"/>
      <c r="P395" s="299"/>
      <c r="Q395" s="299"/>
      <c r="R395" s="299"/>
      <c r="S395" s="299"/>
      <c r="T395" s="224"/>
      <c r="U395" s="224"/>
      <c r="V395" s="224"/>
      <c r="W395" s="224"/>
    </row>
    <row r="396" spans="2:23" ht="12.75" customHeight="1" x14ac:dyDescent="0.25">
      <c r="B396" s="225"/>
      <c r="C396" s="295"/>
      <c r="E396" s="299"/>
      <c r="G396" s="224"/>
    </row>
    <row r="397" spans="2:23" ht="12.75" customHeight="1" x14ac:dyDescent="0.25">
      <c r="B397" s="225"/>
      <c r="C397" s="295"/>
      <c r="E397" s="299"/>
      <c r="G397" s="224"/>
    </row>
    <row r="398" spans="2:23" ht="12.75" customHeight="1" x14ac:dyDescent="0.25">
      <c r="B398" s="225"/>
      <c r="C398" s="295"/>
      <c r="E398" s="299"/>
      <c r="G398" s="224"/>
    </row>
    <row r="399" spans="2:23" ht="12.75" customHeight="1" x14ac:dyDescent="0.25">
      <c r="B399" s="225"/>
      <c r="C399" s="295"/>
      <c r="E399" s="299"/>
      <c r="G399" s="224"/>
    </row>
    <row r="400" spans="2:23" ht="12.75" customHeight="1" x14ac:dyDescent="0.25">
      <c r="B400" s="225"/>
      <c r="C400" s="295"/>
      <c r="E400" s="299"/>
      <c r="G400" s="224"/>
    </row>
    <row r="401" spans="2:8" ht="12.75" customHeight="1" x14ac:dyDescent="0.25">
      <c r="B401" s="225"/>
      <c r="C401" s="295"/>
      <c r="E401" s="299"/>
      <c r="G401" s="224"/>
    </row>
    <row r="402" spans="2:8" ht="12.75" customHeight="1" x14ac:dyDescent="0.25">
      <c r="B402" s="225"/>
      <c r="C402" s="295"/>
      <c r="E402" s="299"/>
      <c r="G402" s="224"/>
    </row>
    <row r="403" spans="2:8" ht="12.75" customHeight="1" x14ac:dyDescent="0.25">
      <c r="B403" s="225"/>
      <c r="C403" s="295"/>
      <c r="E403" s="299"/>
      <c r="G403" s="224"/>
    </row>
    <row r="404" spans="2:8" ht="12.75" customHeight="1" x14ac:dyDescent="0.25">
      <c r="B404" s="225"/>
      <c r="C404" s="295"/>
      <c r="E404" s="299"/>
      <c r="G404" s="224"/>
    </row>
    <row r="405" spans="2:8" ht="12.75" customHeight="1" x14ac:dyDescent="0.25">
      <c r="B405" s="225"/>
      <c r="C405" s="295"/>
      <c r="E405" s="299"/>
      <c r="G405" s="224"/>
    </row>
    <row r="406" spans="2:8" ht="12.75" customHeight="1" x14ac:dyDescent="0.25">
      <c r="B406" s="225"/>
      <c r="C406" s="295"/>
      <c r="E406" s="299"/>
      <c r="G406" s="224"/>
    </row>
    <row r="407" spans="2:8" ht="12.75" customHeight="1" x14ac:dyDescent="0.25">
      <c r="B407" s="225"/>
      <c r="C407" s="295"/>
      <c r="E407" s="299"/>
      <c r="G407" s="224"/>
    </row>
    <row r="408" spans="2:8" ht="12.75" customHeight="1" x14ac:dyDescent="0.25">
      <c r="B408" s="225"/>
      <c r="C408" s="295"/>
      <c r="E408" s="299"/>
      <c r="G408" s="224"/>
    </row>
    <row r="409" spans="2:8" ht="12.75" customHeight="1" x14ac:dyDescent="0.25">
      <c r="B409" s="225"/>
      <c r="C409" s="295"/>
      <c r="E409" s="299"/>
      <c r="G409" s="224"/>
    </row>
    <row r="410" spans="2:8" ht="12.75" customHeight="1" x14ac:dyDescent="0.25">
      <c r="B410" s="225"/>
      <c r="C410" s="295"/>
      <c r="E410" s="299"/>
      <c r="G410" s="224"/>
    </row>
    <row r="411" spans="2:8" ht="12.75" customHeight="1" x14ac:dyDescent="0.25">
      <c r="B411" s="225"/>
      <c r="C411" s="295"/>
      <c r="E411" s="299"/>
      <c r="G411" s="224"/>
    </row>
    <row r="412" spans="2:8" ht="12.75" customHeight="1" thickBot="1" x14ac:dyDescent="0.3">
      <c r="B412" s="225"/>
      <c r="C412" s="295"/>
      <c r="E412" s="299"/>
      <c r="G412" s="224"/>
    </row>
    <row r="413" spans="2:8" ht="12.75" customHeight="1" thickBot="1" x14ac:dyDescent="0.3">
      <c r="B413" s="387"/>
      <c r="C413" s="295"/>
      <c r="D413" s="2" t="s">
        <v>1040</v>
      </c>
      <c r="E413" s="423">
        <f>SUM(E366:E412)</f>
        <v>0</v>
      </c>
      <c r="G413" s="224"/>
      <c r="H413" s="249"/>
    </row>
    <row r="414" spans="2:8" ht="12.75" customHeight="1" x14ac:dyDescent="0.25">
      <c r="B414" s="387"/>
      <c r="C414" s="295"/>
      <c r="D414" s="23"/>
      <c r="E414" s="299"/>
      <c r="F414" s="60"/>
      <c r="G414" s="224"/>
      <c r="H414" s="3"/>
    </row>
    <row r="415" spans="2:8" ht="12.75" customHeight="1" x14ac:dyDescent="0.25">
      <c r="B415" s="387"/>
      <c r="C415" s="295"/>
      <c r="E415" s="299"/>
      <c r="F415" s="60"/>
      <c r="G415" s="224"/>
      <c r="H415" s="3"/>
    </row>
    <row r="416" spans="2:8" ht="12.75" customHeight="1" x14ac:dyDescent="0.25">
      <c r="B416" s="387"/>
      <c r="C416" s="295"/>
      <c r="E416" s="299"/>
      <c r="G416" s="224"/>
    </row>
    <row r="417" spans="2:7" ht="12.75" customHeight="1" x14ac:dyDescent="0.25">
      <c r="B417" s="225"/>
      <c r="C417" s="295"/>
      <c r="E417" s="299"/>
      <c r="G417" s="224"/>
    </row>
    <row r="418" spans="2:7" ht="12.75" customHeight="1" x14ac:dyDescent="0.25">
      <c r="B418" s="225"/>
      <c r="C418" s="295"/>
      <c r="E418" s="299"/>
      <c r="G418" s="224"/>
    </row>
    <row r="419" spans="2:7" ht="12.75" customHeight="1" x14ac:dyDescent="0.25">
      <c r="B419" s="225"/>
      <c r="C419" s="295"/>
      <c r="E419" s="299"/>
      <c r="G419" s="224"/>
    </row>
    <row r="420" spans="2:7" ht="12.75" customHeight="1" x14ac:dyDescent="0.25">
      <c r="B420" s="225"/>
      <c r="C420" s="295"/>
      <c r="E420" s="299"/>
    </row>
    <row r="421" spans="2:7" ht="12.75" customHeight="1" x14ac:dyDescent="0.25">
      <c r="B421" s="225"/>
      <c r="C421" s="295"/>
      <c r="E421" s="299"/>
    </row>
    <row r="422" spans="2:7" ht="12.75" customHeight="1" x14ac:dyDescent="0.25">
      <c r="B422" s="225"/>
      <c r="C422" s="295"/>
      <c r="E422" s="299"/>
    </row>
    <row r="423" spans="2:7" ht="12.75" customHeight="1" x14ac:dyDescent="0.25">
      <c r="B423" s="225"/>
      <c r="C423" s="295"/>
      <c r="E423" s="299"/>
    </row>
    <row r="424" spans="2:7" ht="12.75" customHeight="1" x14ac:dyDescent="0.25">
      <c r="B424" s="225"/>
      <c r="C424" s="295"/>
      <c r="E424" s="299"/>
    </row>
    <row r="425" spans="2:7" ht="12.75" customHeight="1" x14ac:dyDescent="0.25">
      <c r="B425" s="225"/>
      <c r="C425" s="295"/>
      <c r="E425" s="299"/>
    </row>
    <row r="426" spans="2:7" ht="12.75" customHeight="1" x14ac:dyDescent="0.25">
      <c r="B426" s="225"/>
      <c r="C426" s="295"/>
      <c r="E426" s="299"/>
    </row>
    <row r="427" spans="2:7" ht="12.75" customHeight="1" x14ac:dyDescent="0.25">
      <c r="B427" s="225"/>
      <c r="C427" s="295"/>
      <c r="E427" s="299"/>
    </row>
    <row r="428" spans="2:7" ht="12.75" customHeight="1" x14ac:dyDescent="0.25">
      <c r="B428" s="225"/>
      <c r="C428" s="295"/>
      <c r="E428" s="299"/>
    </row>
    <row r="429" spans="2:7" ht="12.75" customHeight="1" x14ac:dyDescent="0.25">
      <c r="B429" s="225"/>
      <c r="C429" s="295"/>
      <c r="E429" s="299"/>
    </row>
    <row r="430" spans="2:7" ht="12.75" customHeight="1" x14ac:dyDescent="0.25">
      <c r="B430" s="225"/>
      <c r="C430" s="295"/>
      <c r="E430" s="299"/>
    </row>
    <row r="431" spans="2:7" ht="12.75" customHeight="1" x14ac:dyDescent="0.25">
      <c r="B431" s="225"/>
      <c r="C431" s="295"/>
      <c r="E431" s="299"/>
    </row>
    <row r="432" spans="2:7" ht="12.75" customHeight="1" x14ac:dyDescent="0.25">
      <c r="B432" s="225"/>
      <c r="C432" s="295"/>
      <c r="E432" s="299"/>
    </row>
    <row r="433" spans="2:5" ht="12.75" customHeight="1" x14ac:dyDescent="0.25">
      <c r="B433" s="225"/>
      <c r="C433" s="295"/>
      <c r="E433" s="299"/>
    </row>
    <row r="434" spans="2:5" ht="12.75" customHeight="1" x14ac:dyDescent="0.25">
      <c r="B434" s="225"/>
      <c r="C434" s="295"/>
      <c r="E434" s="299"/>
    </row>
    <row r="435" spans="2:5" ht="12.75" customHeight="1" x14ac:dyDescent="0.25">
      <c r="B435" s="225"/>
      <c r="C435" s="295"/>
      <c r="E435" s="299"/>
    </row>
    <row r="436" spans="2:5" ht="12.75" customHeight="1" x14ac:dyDescent="0.25">
      <c r="B436" s="225"/>
      <c r="C436" s="295"/>
      <c r="E436" s="299"/>
    </row>
    <row r="437" spans="2:5" ht="12.75" customHeight="1" x14ac:dyDescent="0.25">
      <c r="B437" s="225"/>
      <c r="C437" s="295"/>
      <c r="E437" s="299"/>
    </row>
    <row r="438" spans="2:5" ht="12.75" customHeight="1" x14ac:dyDescent="0.25">
      <c r="B438" s="225"/>
      <c r="C438" s="295"/>
      <c r="E438" s="299"/>
    </row>
    <row r="439" spans="2:5" ht="12.75" customHeight="1" x14ac:dyDescent="0.25">
      <c r="B439" s="225"/>
      <c r="C439" s="295"/>
      <c r="E439" s="299"/>
    </row>
    <row r="440" spans="2:5" ht="12.75" customHeight="1" x14ac:dyDescent="0.25">
      <c r="B440" s="225"/>
      <c r="C440" s="295"/>
      <c r="E440" s="299"/>
    </row>
    <row r="441" spans="2:5" ht="12.75" customHeight="1" x14ac:dyDescent="0.25">
      <c r="B441" s="225"/>
      <c r="C441" s="295"/>
      <c r="E441" s="299"/>
    </row>
    <row r="442" spans="2:5" ht="12.75" customHeight="1" x14ac:dyDescent="0.25">
      <c r="B442" s="225"/>
      <c r="C442" s="295"/>
      <c r="E442" s="299"/>
    </row>
    <row r="443" spans="2:5" ht="12.75" customHeight="1" x14ac:dyDescent="0.25">
      <c r="B443" s="225"/>
      <c r="C443" s="295"/>
      <c r="E443" s="299"/>
    </row>
    <row r="444" spans="2:5" ht="12.75" customHeight="1" x14ac:dyDescent="0.25">
      <c r="B444" s="225"/>
      <c r="C444" s="295"/>
      <c r="E444" s="299"/>
    </row>
    <row r="445" spans="2:5" ht="12.75" customHeight="1" x14ac:dyDescent="0.25">
      <c r="B445" s="225"/>
      <c r="C445" s="295"/>
      <c r="E445" s="299"/>
    </row>
    <row r="446" spans="2:5" ht="12.75" customHeight="1" x14ac:dyDescent="0.25">
      <c r="B446" s="225"/>
      <c r="C446" s="295"/>
      <c r="E446" s="299"/>
    </row>
    <row r="447" spans="2:5" ht="12.75" customHeight="1" x14ac:dyDescent="0.25">
      <c r="B447" s="225"/>
      <c r="C447" s="295"/>
      <c r="E447" s="299"/>
    </row>
    <row r="448" spans="2:5" ht="12.75" customHeight="1" x14ac:dyDescent="0.25">
      <c r="B448" s="225"/>
      <c r="C448" s="295"/>
      <c r="E448" s="299"/>
    </row>
    <row r="449" spans="2:5" ht="12.75" customHeight="1" x14ac:dyDescent="0.25">
      <c r="B449" s="225"/>
      <c r="C449" s="295"/>
      <c r="E449" s="299"/>
    </row>
    <row r="450" spans="2:5" ht="12.75" customHeight="1" x14ac:dyDescent="0.25">
      <c r="B450" s="225"/>
      <c r="C450" s="295"/>
      <c r="E450" s="299"/>
    </row>
    <row r="451" spans="2:5" ht="12.75" customHeight="1" x14ac:dyDescent="0.25">
      <c r="B451" s="225"/>
      <c r="C451" s="295"/>
      <c r="E451" s="299"/>
    </row>
    <row r="452" spans="2:5" ht="12.75" customHeight="1" x14ac:dyDescent="0.25">
      <c r="B452" s="225"/>
      <c r="C452" s="295"/>
      <c r="E452" s="299"/>
    </row>
    <row r="453" spans="2:5" ht="12.75" customHeight="1" x14ac:dyDescent="0.25">
      <c r="B453" s="225"/>
      <c r="C453" s="295"/>
      <c r="E453" s="299"/>
    </row>
    <row r="454" spans="2:5" ht="12.75" customHeight="1" x14ac:dyDescent="0.25">
      <c r="B454" s="225"/>
      <c r="C454" s="295"/>
      <c r="E454" s="299"/>
    </row>
    <row r="455" spans="2:5" ht="12.75" customHeight="1" x14ac:dyDescent="0.25">
      <c r="B455" s="225"/>
      <c r="C455" s="295"/>
      <c r="E455" s="299"/>
    </row>
    <row r="456" spans="2:5" ht="12.75" customHeight="1" x14ac:dyDescent="0.25">
      <c r="B456" s="225"/>
      <c r="C456" s="295"/>
      <c r="E456" s="299"/>
    </row>
    <row r="457" spans="2:5" ht="12.75" customHeight="1" x14ac:dyDescent="0.25">
      <c r="B457" s="225"/>
      <c r="C457" s="295"/>
      <c r="E457" s="299"/>
    </row>
    <row r="458" spans="2:5" ht="12.75" customHeight="1" x14ac:dyDescent="0.25">
      <c r="B458" s="225"/>
      <c r="C458" s="295"/>
      <c r="E458" s="299"/>
    </row>
    <row r="459" spans="2:5" ht="12.75" customHeight="1" x14ac:dyDescent="0.25">
      <c r="B459" s="225"/>
      <c r="C459" s="295"/>
      <c r="E459" s="299"/>
    </row>
    <row r="460" spans="2:5" ht="12.75" customHeight="1" x14ac:dyDescent="0.25">
      <c r="B460" s="225"/>
      <c r="C460" s="295"/>
      <c r="E460" s="299"/>
    </row>
    <row r="461" spans="2:5" ht="12.75" customHeight="1" x14ac:dyDescent="0.25">
      <c r="B461" s="225"/>
      <c r="C461" s="295"/>
      <c r="E461" s="299"/>
    </row>
    <row r="462" spans="2:5" ht="12.75" customHeight="1" x14ac:dyDescent="0.25">
      <c r="B462" s="225"/>
      <c r="C462" s="295"/>
      <c r="E462" s="299"/>
    </row>
    <row r="463" spans="2:5" ht="12.75" customHeight="1" x14ac:dyDescent="0.25">
      <c r="B463" s="225"/>
      <c r="C463" s="295"/>
      <c r="E463" s="299"/>
    </row>
    <row r="464" spans="2:5" ht="12.75" customHeight="1" x14ac:dyDescent="0.25">
      <c r="B464" s="225"/>
      <c r="C464" s="295"/>
      <c r="E464" s="299"/>
    </row>
    <row r="465" spans="2:5" ht="12.75" customHeight="1" x14ac:dyDescent="0.25">
      <c r="B465" s="225"/>
      <c r="C465" s="295"/>
      <c r="E465" s="299"/>
    </row>
    <row r="466" spans="2:5" ht="12.75" customHeight="1" x14ac:dyDescent="0.25">
      <c r="B466" s="225"/>
      <c r="C466" s="295"/>
      <c r="E466" s="299"/>
    </row>
    <row r="467" spans="2:5" ht="12.75" customHeight="1" x14ac:dyDescent="0.25">
      <c r="B467" s="225"/>
      <c r="C467" s="295"/>
      <c r="E467" s="299"/>
    </row>
    <row r="468" spans="2:5" ht="12.75" customHeight="1" x14ac:dyDescent="0.25">
      <c r="E468" s="299"/>
    </row>
    <row r="469" spans="2:5" ht="12.75" customHeight="1" x14ac:dyDescent="0.25">
      <c r="E469" s="299"/>
    </row>
    <row r="470" spans="2:5" ht="12.75" customHeight="1" x14ac:dyDescent="0.25">
      <c r="E470" s="299"/>
    </row>
    <row r="471" spans="2:5" ht="12.75" customHeight="1" x14ac:dyDescent="0.25">
      <c r="E471" s="299"/>
    </row>
    <row r="472" spans="2:5" ht="12.75" customHeight="1" x14ac:dyDescent="0.25">
      <c r="E472" s="299"/>
    </row>
    <row r="473" spans="2:5" ht="12.75" customHeight="1" x14ac:dyDescent="0.25">
      <c r="E473" s="299"/>
    </row>
    <row r="474" spans="2:5" ht="12.75" customHeight="1" x14ac:dyDescent="0.25">
      <c r="E474" s="299"/>
    </row>
    <row r="475" spans="2:5" ht="12.75" customHeight="1" x14ac:dyDescent="0.25">
      <c r="E475" s="299"/>
    </row>
    <row r="476" spans="2:5" ht="12.75" customHeight="1" x14ac:dyDescent="0.25">
      <c r="E476" s="299"/>
    </row>
    <row r="477" spans="2:5" ht="12.75" customHeight="1" x14ac:dyDescent="0.25">
      <c r="E477" s="299"/>
    </row>
    <row r="478" spans="2:5" ht="12.75" customHeight="1" x14ac:dyDescent="0.25">
      <c r="E478" s="299"/>
    </row>
    <row r="479" spans="2:5" ht="12.75" customHeight="1" x14ac:dyDescent="0.25">
      <c r="E479" s="299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5"/>
  <sheetViews>
    <sheetView zoomScaleNormal="100" workbookViewId="0">
      <selection activeCell="F11" sqref="F11"/>
    </sheetView>
  </sheetViews>
  <sheetFormatPr defaultColWidth="9.21875" defaultRowHeight="12.75" customHeight="1" x14ac:dyDescent="0.25"/>
  <cols>
    <col min="1" max="1" width="12.77734375" style="225" customWidth="1"/>
    <col min="2" max="2" width="12.77734375" style="295" customWidth="1"/>
    <col min="3" max="3" width="43.44140625" style="711" bestFit="1" customWidth="1"/>
    <col min="4" max="6" width="12.77734375" style="299" customWidth="1"/>
    <col min="7" max="7" width="12.77734375" style="249" customWidth="1"/>
    <col min="8" max="8" width="12.77734375" style="326" customWidth="1"/>
    <col min="9" max="9" width="9.21875" style="326" customWidth="1"/>
    <col min="10" max="14" width="12.77734375" style="326" customWidth="1"/>
    <col min="15" max="15" width="12.77734375" style="299" customWidth="1"/>
    <col min="16" max="16" width="12.77734375" style="224" customWidth="1"/>
    <col min="17" max="17" width="12.77734375" style="536" customWidth="1"/>
    <col min="18" max="18" width="8.5546875" style="224" bestFit="1" customWidth="1"/>
    <col min="19" max="19" width="10.21875" style="224" bestFit="1" customWidth="1"/>
    <col min="20" max="16384" width="9.21875" style="224"/>
  </cols>
  <sheetData>
    <row r="1" spans="2:20" ht="13.2" x14ac:dyDescent="0.25">
      <c r="B1" s="752" t="s">
        <v>4576</v>
      </c>
      <c r="C1" s="776"/>
      <c r="D1" s="257"/>
      <c r="E1" s="257"/>
      <c r="F1" s="539"/>
      <c r="H1" s="846"/>
      <c r="I1" s="846"/>
      <c r="J1" s="846"/>
      <c r="K1" s="846"/>
      <c r="L1" s="846"/>
      <c r="M1" s="846"/>
      <c r="N1" s="846"/>
      <c r="O1" s="257"/>
      <c r="P1" s="223"/>
    </row>
    <row r="2" spans="2:20" ht="13.2" x14ac:dyDescent="0.25">
      <c r="B2" s="752" t="s">
        <v>4577</v>
      </c>
      <c r="F2" s="249"/>
      <c r="P2" s="225"/>
    </row>
    <row r="3" spans="2:20" ht="13.2" x14ac:dyDescent="0.25">
      <c r="B3" s="753" t="s">
        <v>4578</v>
      </c>
      <c r="C3" s="777"/>
      <c r="D3" s="568"/>
      <c r="E3" s="568"/>
      <c r="F3" s="540"/>
      <c r="H3" s="847"/>
      <c r="I3" s="847"/>
      <c r="J3" s="847"/>
      <c r="K3" s="847"/>
      <c r="L3" s="847"/>
      <c r="M3" s="847"/>
      <c r="N3" s="847"/>
      <c r="O3" s="568"/>
      <c r="P3" s="226"/>
    </row>
    <row r="4" spans="2:20" ht="12.75" customHeight="1" x14ac:dyDescent="0.25">
      <c r="B4" s="753" t="s">
        <v>4579</v>
      </c>
      <c r="C4" s="778"/>
      <c r="D4" s="255"/>
      <c r="E4" s="60"/>
      <c r="F4" s="2"/>
      <c r="H4" s="294"/>
      <c r="I4" s="386"/>
      <c r="J4" s="294"/>
      <c r="O4" s="255"/>
      <c r="P4" s="255"/>
      <c r="T4" s="247"/>
    </row>
    <row r="5" spans="2:20" ht="12.75" customHeight="1" x14ac:dyDescent="0.25">
      <c r="B5" s="325"/>
      <c r="C5" s="778"/>
      <c r="D5" s="255"/>
      <c r="E5" s="60"/>
      <c r="F5" s="2"/>
      <c r="H5" s="294"/>
      <c r="I5" s="386"/>
      <c r="J5" s="294"/>
    </row>
    <row r="6" spans="2:20" ht="12.75" customHeight="1" x14ac:dyDescent="0.25">
      <c r="J6" s="294"/>
      <c r="L6" s="294"/>
    </row>
    <row r="7" spans="2:20" ht="12.75" customHeight="1" x14ac:dyDescent="0.25">
      <c r="F7" s="224"/>
      <c r="I7" s="225"/>
      <c r="J7" s="294"/>
      <c r="L7" s="294"/>
    </row>
    <row r="8" spans="2:20" ht="12.75" customHeight="1" x14ac:dyDescent="0.25">
      <c r="E8" s="695"/>
      <c r="F8" s="696" t="s">
        <v>538</v>
      </c>
      <c r="G8" s="282" t="s">
        <v>537</v>
      </c>
      <c r="H8" s="299"/>
      <c r="I8" s="225"/>
      <c r="J8" s="294"/>
      <c r="L8" s="294"/>
    </row>
    <row r="9" spans="2:20" ht="12.75" customHeight="1" x14ac:dyDescent="0.25">
      <c r="E9" s="279" t="s">
        <v>1046</v>
      </c>
      <c r="F9" s="424">
        <f>P593</f>
        <v>-119718.13000000035</v>
      </c>
      <c r="G9" s="425">
        <f>P115</f>
        <v>-552.6200000000099</v>
      </c>
      <c r="H9" s="299"/>
      <c r="I9" s="225"/>
      <c r="J9" s="294"/>
      <c r="L9" s="294"/>
    </row>
    <row r="10" spans="2:20" ht="12.75" customHeight="1" x14ac:dyDescent="0.25">
      <c r="E10" s="280" t="s">
        <v>1140</v>
      </c>
      <c r="G10" s="426">
        <f>D667+D698+D752</f>
        <v>340.09999999999991</v>
      </c>
      <c r="H10" s="299"/>
      <c r="I10" s="225"/>
      <c r="J10" s="294"/>
      <c r="L10" s="294"/>
    </row>
    <row r="11" spans="2:20" ht="12.75" customHeight="1" x14ac:dyDescent="0.25">
      <c r="E11" s="281" t="s">
        <v>1262</v>
      </c>
      <c r="F11" s="428">
        <f>F9-F10</f>
        <v>-119718.13000000035</v>
      </c>
      <c r="G11" s="428">
        <f>G9-G10</f>
        <v>-892.7200000000098</v>
      </c>
      <c r="H11" s="299"/>
      <c r="I11" s="225"/>
      <c r="J11" s="294"/>
      <c r="L11" s="294"/>
    </row>
    <row r="12" spans="2:20" ht="12.75" customHeight="1" x14ac:dyDescent="0.25">
      <c r="F12" s="255"/>
      <c r="G12" s="255"/>
      <c r="H12" s="299"/>
      <c r="I12" s="225"/>
      <c r="J12" s="294"/>
      <c r="L12" s="294"/>
    </row>
    <row r="13" spans="2:20" ht="20.100000000000001" customHeight="1" x14ac:dyDescent="0.25">
      <c r="F13" s="257"/>
      <c r="G13" s="257"/>
      <c r="H13" s="299"/>
      <c r="I13" s="225"/>
      <c r="J13" s="294"/>
      <c r="L13" s="294"/>
    </row>
    <row r="14" spans="2:20" ht="12.75" customHeight="1" x14ac:dyDescent="0.25">
      <c r="E14" s="255"/>
      <c r="F14" s="762" t="s">
        <v>4448</v>
      </c>
      <c r="G14" s="364">
        <f>G11+F11</f>
        <v>-120610.85000000037</v>
      </c>
      <c r="H14" s="255"/>
      <c r="I14" s="848"/>
      <c r="J14" s="294"/>
      <c r="L14" s="294"/>
    </row>
    <row r="15" spans="2:20" ht="12.75" customHeight="1" x14ac:dyDescent="0.25">
      <c r="E15" s="255"/>
      <c r="F15" s="255"/>
      <c r="G15" s="255"/>
      <c r="H15" s="255"/>
      <c r="I15" s="848"/>
      <c r="J15" s="294"/>
      <c r="L15" s="294"/>
    </row>
    <row r="16" spans="2:20" ht="12.75" customHeight="1" x14ac:dyDescent="0.25">
      <c r="E16" s="255"/>
      <c r="F16" s="255" t="s">
        <v>2141</v>
      </c>
      <c r="G16" s="383">
        <f>F638</f>
        <v>121000</v>
      </c>
      <c r="H16" s="255"/>
      <c r="I16" s="848"/>
    </row>
    <row r="17" spans="3:19" ht="12.75" customHeight="1" x14ac:dyDescent="0.25">
      <c r="E17" s="255"/>
      <c r="F17" s="255"/>
      <c r="G17" s="255"/>
      <c r="H17" s="255"/>
      <c r="I17" s="848"/>
    </row>
    <row r="18" spans="3:19" ht="12.75" customHeight="1" thickBot="1" x14ac:dyDescent="0.3">
      <c r="E18" s="255"/>
      <c r="F18" s="290"/>
      <c r="G18" s="290" t="s">
        <v>539</v>
      </c>
      <c r="H18" s="255"/>
      <c r="I18" s="848"/>
    </row>
    <row r="19" spans="3:19" ht="12.75" customHeight="1" thickBot="1" x14ac:dyDescent="0.3">
      <c r="E19" s="255"/>
      <c r="F19" s="255" t="s">
        <v>1568</v>
      </c>
      <c r="G19" s="384">
        <f>SUM(G14:G18)</f>
        <v>389.14999999963038</v>
      </c>
      <c r="H19" s="255"/>
      <c r="J19" s="849" t="s">
        <v>4574</v>
      </c>
      <c r="R19" s="259"/>
    </row>
    <row r="20" spans="3:19" ht="12.75" customHeight="1" x14ac:dyDescent="0.25">
      <c r="F20" s="257"/>
      <c r="G20" s="257"/>
      <c r="H20" s="299"/>
      <c r="I20" s="225"/>
    </row>
    <row r="21" spans="3:19" ht="12.75" customHeight="1" x14ac:dyDescent="0.25">
      <c r="G21" s="247"/>
      <c r="H21" s="299"/>
      <c r="I21" s="225"/>
      <c r="S21" s="247"/>
    </row>
    <row r="22" spans="3:19" ht="12.75" customHeight="1" x14ac:dyDescent="0.25">
      <c r="F22" s="255" t="s">
        <v>458</v>
      </c>
      <c r="G22" s="477" t="s">
        <v>4575</v>
      </c>
      <c r="H22" s="255"/>
      <c r="I22" s="850"/>
    </row>
    <row r="23" spans="3:19" ht="12.75" customHeight="1" x14ac:dyDescent="0.25">
      <c r="G23" s="224"/>
      <c r="H23" s="299"/>
      <c r="I23" s="225"/>
    </row>
    <row r="24" spans="3:19" ht="12.75" customHeight="1" x14ac:dyDescent="0.25">
      <c r="F24" s="257"/>
      <c r="G24" s="289"/>
      <c r="H24" s="299"/>
      <c r="I24" s="225"/>
      <c r="K24" s="879"/>
      <c r="R24" s="247"/>
      <c r="S24" s="247"/>
    </row>
    <row r="25" spans="3:19" ht="12.75" customHeight="1" x14ac:dyDescent="0.25">
      <c r="E25" s="697"/>
      <c r="F25" s="742" t="s">
        <v>4253</v>
      </c>
      <c r="G25" s="360">
        <v>0</v>
      </c>
      <c r="H25" s="299"/>
      <c r="I25" s="225"/>
      <c r="S25" s="247"/>
    </row>
    <row r="26" spans="3:19" ht="12.75" customHeight="1" x14ac:dyDescent="0.25">
      <c r="E26" s="698"/>
      <c r="F26" s="362" t="s">
        <v>1503</v>
      </c>
      <c r="G26" s="366">
        <f>G16-G25</f>
        <v>121000</v>
      </c>
      <c r="H26" s="698"/>
      <c r="I26" s="870" t="s">
        <v>73</v>
      </c>
      <c r="J26" s="851">
        <f>G16</f>
        <v>121000</v>
      </c>
      <c r="K26" s="847"/>
      <c r="S26" s="254"/>
    </row>
    <row r="27" spans="3:19" ht="13.2" x14ac:dyDescent="0.25">
      <c r="E27" s="699"/>
      <c r="F27" s="364" t="s">
        <v>4109</v>
      </c>
      <c r="G27" s="367"/>
      <c r="H27" s="699"/>
      <c r="I27" s="869" t="s">
        <v>4110</v>
      </c>
      <c r="J27" s="852"/>
    </row>
    <row r="28" spans="3:19" ht="13.2" x14ac:dyDescent="0.25">
      <c r="E28" s="699"/>
      <c r="F28" s="364"/>
      <c r="G28" s="367"/>
      <c r="H28" s="818"/>
      <c r="I28" s="853"/>
      <c r="J28" s="852"/>
      <c r="S28" s="247"/>
    </row>
    <row r="29" spans="3:19" ht="13.2" x14ac:dyDescent="0.25">
      <c r="E29" s="382"/>
      <c r="F29" s="380" t="s">
        <v>948</v>
      </c>
      <c r="G29" s="381">
        <f>G27+G19-G26</f>
        <v>-120610.85000000037</v>
      </c>
      <c r="H29" s="697"/>
      <c r="I29" s="854" t="s">
        <v>383</v>
      </c>
      <c r="J29" s="855">
        <f>J27+G19-J26</f>
        <v>-120610.85000000037</v>
      </c>
      <c r="S29" s="247"/>
    </row>
    <row r="30" spans="3:19" ht="12.75" customHeight="1" x14ac:dyDescent="0.25">
      <c r="F30" s="224"/>
      <c r="I30" s="225"/>
    </row>
    <row r="31" spans="3:19" ht="12.75" customHeight="1" x14ac:dyDescent="0.25">
      <c r="C31" s="816"/>
      <c r="D31" s="809"/>
      <c r="E31" s="809"/>
      <c r="F31" s="811"/>
      <c r="H31" s="813"/>
      <c r="I31" s="856"/>
      <c r="J31" s="813"/>
      <c r="K31" s="813"/>
    </row>
    <row r="32" spans="3:19" ht="12.75" customHeight="1" x14ac:dyDescent="0.25">
      <c r="C32" s="816"/>
      <c r="D32" s="809"/>
      <c r="E32" s="809"/>
      <c r="F32" s="811"/>
      <c r="H32" s="813"/>
      <c r="I32" s="856"/>
      <c r="J32" s="813"/>
      <c r="K32" s="813"/>
      <c r="R32" s="259"/>
    </row>
    <row r="33" spans="1:19" ht="12.75" customHeight="1" x14ac:dyDescent="0.25">
      <c r="C33" s="816"/>
      <c r="D33" s="809"/>
      <c r="E33" s="814"/>
      <c r="F33" s="817"/>
      <c r="H33" s="857"/>
      <c r="I33" s="858"/>
      <c r="J33" s="813"/>
      <c r="K33" s="813"/>
    </row>
    <row r="34" spans="1:19" ht="12.75" customHeight="1" x14ac:dyDescent="0.25">
      <c r="C34" s="816"/>
      <c r="D34" s="809"/>
      <c r="E34" s="809"/>
      <c r="F34" s="809"/>
      <c r="H34" s="813"/>
      <c r="I34" s="813"/>
      <c r="J34" s="813"/>
      <c r="K34" s="813"/>
    </row>
    <row r="35" spans="1:19" ht="12.75" customHeight="1" x14ac:dyDescent="0.25">
      <c r="C35" s="816"/>
      <c r="D35" s="809"/>
      <c r="E35" s="809"/>
      <c r="F35" s="809"/>
      <c r="H35" s="813"/>
      <c r="I35" s="813"/>
      <c r="J35" s="813"/>
      <c r="K35" s="813"/>
    </row>
    <row r="36" spans="1:19" ht="12.75" customHeight="1" x14ac:dyDescent="0.25">
      <c r="C36" s="816"/>
      <c r="D36" s="809"/>
      <c r="E36" s="809"/>
      <c r="F36" s="809"/>
      <c r="H36" s="813"/>
      <c r="I36" s="813"/>
      <c r="J36" s="813"/>
      <c r="K36" s="813"/>
    </row>
    <row r="37" spans="1:19" ht="13.8" thickBot="1" x14ac:dyDescent="0.3">
      <c r="B37" s="575"/>
      <c r="C37" s="777"/>
      <c r="D37" s="568"/>
      <c r="E37" s="568"/>
      <c r="F37" s="540"/>
      <c r="H37" s="847"/>
      <c r="I37" s="847"/>
      <c r="J37" s="847"/>
      <c r="K37" s="847"/>
      <c r="L37" s="847"/>
      <c r="M37" s="847"/>
      <c r="N37" s="847"/>
      <c r="O37" s="568"/>
      <c r="P37" s="226"/>
    </row>
    <row r="38" spans="1:19" ht="13.8" thickBot="1" x14ac:dyDescent="0.3">
      <c r="B38" s="576" t="s">
        <v>1255</v>
      </c>
      <c r="C38" s="780"/>
      <c r="D38" s="704"/>
      <c r="E38" s="704"/>
      <c r="F38" s="541"/>
      <c r="G38" s="227"/>
      <c r="H38" s="714"/>
      <c r="I38" s="714"/>
      <c r="J38" s="714"/>
      <c r="K38" s="714"/>
      <c r="L38" s="714"/>
      <c r="M38" s="714"/>
      <c r="N38" s="714"/>
      <c r="O38" s="704"/>
      <c r="P38" s="227"/>
      <c r="Q38" s="833"/>
    </row>
    <row r="39" spans="1:19" s="231" customFormat="1" ht="13.2" x14ac:dyDescent="0.25">
      <c r="A39" s="225"/>
      <c r="B39" s="821" t="s">
        <v>184</v>
      </c>
      <c r="C39" s="822" t="s">
        <v>2079</v>
      </c>
      <c r="D39" s="835" t="s">
        <v>469</v>
      </c>
      <c r="E39" s="824" t="s">
        <v>664</v>
      </c>
      <c r="F39" s="824" t="s">
        <v>470</v>
      </c>
      <c r="G39" s="823" t="s">
        <v>186</v>
      </c>
      <c r="H39" s="859" t="s">
        <v>471</v>
      </c>
      <c r="I39" s="859" t="s">
        <v>4440</v>
      </c>
      <c r="J39" s="859" t="s">
        <v>3368</v>
      </c>
      <c r="K39" s="859" t="s">
        <v>893</v>
      </c>
      <c r="L39" s="859" t="s">
        <v>4446</v>
      </c>
      <c r="M39" s="859" t="s">
        <v>4447</v>
      </c>
      <c r="N39" s="859" t="s">
        <v>4455</v>
      </c>
      <c r="O39" s="824" t="s">
        <v>1216</v>
      </c>
      <c r="P39" s="824" t="s">
        <v>3372</v>
      </c>
      <c r="Q39" s="828" t="s">
        <v>4445</v>
      </c>
    </row>
    <row r="40" spans="1:19" s="231" customFormat="1" ht="13.2" x14ac:dyDescent="0.25">
      <c r="A40" s="225"/>
      <c r="B40" s="729" t="s">
        <v>4437</v>
      </c>
      <c r="C40" s="782" t="s">
        <v>4436</v>
      </c>
      <c r="D40" s="836">
        <v>1000</v>
      </c>
      <c r="E40" s="299">
        <v>36.35</v>
      </c>
      <c r="F40" s="299">
        <f>D40*E40</f>
        <v>36350</v>
      </c>
      <c r="G40" s="731" t="s">
        <v>197</v>
      </c>
      <c r="H40" s="326">
        <v>20</v>
      </c>
      <c r="I40" s="326">
        <v>1.18</v>
      </c>
      <c r="J40" s="326">
        <v>2.97</v>
      </c>
      <c r="K40" s="326">
        <v>36</v>
      </c>
      <c r="L40" s="326">
        <v>2.1800000000000002</v>
      </c>
      <c r="M40" s="326">
        <v>7.0000000000000007E-2</v>
      </c>
      <c r="N40" s="326"/>
      <c r="O40" s="247">
        <f>SUM(H40:N40)</f>
        <v>62.4</v>
      </c>
      <c r="P40" s="299">
        <f>F40+O40</f>
        <v>36412.400000000001</v>
      </c>
      <c r="Q40" s="827">
        <v>719729</v>
      </c>
      <c r="S40" s="91"/>
    </row>
    <row r="41" spans="1:19" s="231" customFormat="1" ht="13.2" x14ac:dyDescent="0.25">
      <c r="A41" s="225"/>
      <c r="B41" s="729" t="s">
        <v>4560</v>
      </c>
      <c r="C41" s="782" t="s">
        <v>4559</v>
      </c>
      <c r="D41" s="836">
        <v>2</v>
      </c>
      <c r="E41" s="299">
        <v>625.25</v>
      </c>
      <c r="F41" s="299">
        <f t="shared" ref="F41:F44" si="0">D41*E41</f>
        <v>1250.5</v>
      </c>
      <c r="G41" s="731" t="s">
        <v>197</v>
      </c>
      <c r="H41" s="326"/>
      <c r="I41" s="326"/>
      <c r="J41" s="326"/>
      <c r="K41" s="326"/>
      <c r="L41" s="326"/>
      <c r="M41" s="326"/>
      <c r="N41" s="326"/>
      <c r="O41" s="247">
        <f t="shared" ref="O41" si="1">SUM(H41:N41)</f>
        <v>0</v>
      </c>
      <c r="P41" s="299">
        <f>F41+O41</f>
        <v>1250.5</v>
      </c>
      <c r="Q41" s="827">
        <v>1261828</v>
      </c>
      <c r="R41" s="91"/>
      <c r="S41" s="91"/>
    </row>
    <row r="42" spans="1:19" s="231" customFormat="1" ht="13.2" x14ac:dyDescent="0.25">
      <c r="A42" s="225"/>
      <c r="B42" s="729" t="s">
        <v>4560</v>
      </c>
      <c r="C42" s="782" t="s">
        <v>4559</v>
      </c>
      <c r="D42" s="836">
        <v>28</v>
      </c>
      <c r="E42" s="299">
        <v>625.5</v>
      </c>
      <c r="F42" s="299">
        <f t="shared" si="0"/>
        <v>17514</v>
      </c>
      <c r="G42" s="731" t="s">
        <v>197</v>
      </c>
      <c r="H42" s="326">
        <v>18.77</v>
      </c>
      <c r="I42" s="326">
        <v>0.52</v>
      </c>
      <c r="J42" s="326">
        <v>2.7</v>
      </c>
      <c r="K42" s="326">
        <v>19</v>
      </c>
      <c r="L42" s="326">
        <v>1.1299999999999999</v>
      </c>
      <c r="M42" s="326">
        <v>0.04</v>
      </c>
      <c r="N42" s="326">
        <v>-7.0000000000000007E-2</v>
      </c>
      <c r="O42" s="247">
        <f>SUM(H42:N42)</f>
        <v>42.089999999999996</v>
      </c>
      <c r="P42" s="299">
        <f t="shared" ref="P42" si="2">F42+O42</f>
        <v>17556.09</v>
      </c>
      <c r="Q42" s="827">
        <v>1261828</v>
      </c>
    </row>
    <row r="43" spans="1:19" s="231" customFormat="1" ht="13.2" x14ac:dyDescent="0.25">
      <c r="A43" s="225"/>
      <c r="B43" s="477" t="s">
        <v>4562</v>
      </c>
      <c r="C43" s="29" t="s">
        <v>4559</v>
      </c>
      <c r="D43" s="837">
        <v>2</v>
      </c>
      <c r="E43" s="60">
        <v>600</v>
      </c>
      <c r="F43" s="299">
        <f t="shared" si="0"/>
        <v>1200</v>
      </c>
      <c r="G43" s="731" t="s">
        <v>197</v>
      </c>
      <c r="H43" s="326">
        <v>1.2</v>
      </c>
      <c r="I43" s="326">
        <v>0.03</v>
      </c>
      <c r="J43" s="326">
        <v>0.17</v>
      </c>
      <c r="K43" s="326">
        <v>1</v>
      </c>
      <c r="L43" s="326">
        <v>1</v>
      </c>
      <c r="M43" s="326">
        <v>0</v>
      </c>
      <c r="N43" s="326">
        <v>0.01</v>
      </c>
      <c r="O43" s="247">
        <f>SUM(H43:N43)</f>
        <v>3.4099999999999997</v>
      </c>
      <c r="P43" s="299">
        <f t="shared" ref="P43" si="3">F43+O43</f>
        <v>1203.4100000000001</v>
      </c>
      <c r="Q43" s="829">
        <v>1318037</v>
      </c>
      <c r="R43" s="91"/>
      <c r="S43" s="91"/>
    </row>
    <row r="44" spans="1:19" ht="12.75" customHeight="1" x14ac:dyDescent="0.25">
      <c r="B44" s="477" t="s">
        <v>4571</v>
      </c>
      <c r="C44" s="782" t="s">
        <v>4559</v>
      </c>
      <c r="D44" s="836">
        <v>25</v>
      </c>
      <c r="E44" s="299">
        <v>656</v>
      </c>
      <c r="F44" s="299">
        <f t="shared" si="0"/>
        <v>16400</v>
      </c>
      <c r="G44" s="731" t="s">
        <v>197</v>
      </c>
      <c r="H44" s="326">
        <v>16.399999999999999</v>
      </c>
      <c r="I44" s="326">
        <v>0.45</v>
      </c>
      <c r="J44" s="326">
        <v>2.36</v>
      </c>
      <c r="K44" s="326">
        <v>16</v>
      </c>
      <c r="L44" s="326">
        <v>1</v>
      </c>
      <c r="M44" s="326">
        <v>0.03</v>
      </c>
      <c r="O44" s="247">
        <f>SUM(H44:N44)</f>
        <v>36.239999999999995</v>
      </c>
      <c r="P44" s="299">
        <f t="shared" ref="P44" si="4">F44+O44</f>
        <v>16436.240000000002</v>
      </c>
      <c r="Q44" s="827">
        <v>1462668</v>
      </c>
    </row>
    <row r="45" spans="1:19" ht="12.75" customHeight="1" x14ac:dyDescent="0.25">
      <c r="B45" s="729"/>
      <c r="C45" s="782"/>
      <c r="D45" s="836"/>
      <c r="O45" s="224"/>
      <c r="P45" s="299"/>
      <c r="Q45" s="827"/>
    </row>
    <row r="46" spans="1:19" ht="12.75" customHeight="1" x14ac:dyDescent="0.25">
      <c r="B46" s="729"/>
      <c r="C46" s="782"/>
      <c r="D46" s="836"/>
      <c r="O46" s="224"/>
      <c r="P46" s="299"/>
      <c r="Q46" s="827"/>
    </row>
    <row r="47" spans="1:19" ht="12.75" customHeight="1" x14ac:dyDescent="0.25">
      <c r="B47" s="729"/>
      <c r="C47" s="782"/>
      <c r="D47" s="836"/>
      <c r="O47" s="224"/>
      <c r="P47" s="299"/>
      <c r="Q47" s="827"/>
    </row>
    <row r="48" spans="1:19" ht="12.75" customHeight="1" x14ac:dyDescent="0.25">
      <c r="B48" s="729"/>
      <c r="C48" s="782"/>
      <c r="D48" s="836"/>
      <c r="O48" s="224"/>
      <c r="P48" s="299"/>
      <c r="Q48" s="827"/>
    </row>
    <row r="49" spans="2:17" ht="12.75" customHeight="1" x14ac:dyDescent="0.25">
      <c r="B49" s="729"/>
      <c r="C49" s="782"/>
      <c r="D49" s="836"/>
      <c r="O49" s="224"/>
      <c r="P49" s="299"/>
      <c r="Q49" s="827"/>
    </row>
    <row r="50" spans="2:17" ht="12.75" customHeight="1" x14ac:dyDescent="0.25">
      <c r="D50" s="836"/>
      <c r="O50" s="224"/>
      <c r="P50" s="299"/>
    </row>
    <row r="51" spans="2:17" ht="12.75" customHeight="1" x14ac:dyDescent="0.25">
      <c r="D51" s="836"/>
      <c r="O51" s="224"/>
      <c r="P51" s="299"/>
    </row>
    <row r="52" spans="2:17" ht="12.75" customHeight="1" x14ac:dyDescent="0.25">
      <c r="D52" s="836"/>
      <c r="O52" s="224"/>
      <c r="P52" s="299"/>
    </row>
    <row r="53" spans="2:17" ht="12.75" customHeight="1" x14ac:dyDescent="0.25">
      <c r="D53" s="836"/>
      <c r="O53" s="224"/>
      <c r="P53" s="299"/>
    </row>
    <row r="54" spans="2:17" ht="12.75" customHeight="1" x14ac:dyDescent="0.25">
      <c r="D54" s="836"/>
      <c r="O54" s="224"/>
      <c r="P54" s="299"/>
    </row>
    <row r="55" spans="2:17" ht="12.75" customHeight="1" x14ac:dyDescent="0.25">
      <c r="D55" s="836"/>
      <c r="O55" s="224"/>
      <c r="P55" s="299"/>
    </row>
    <row r="56" spans="2:17" ht="12.75" customHeight="1" x14ac:dyDescent="0.25">
      <c r="D56" s="836"/>
      <c r="O56" s="224"/>
      <c r="P56" s="299"/>
    </row>
    <row r="57" spans="2:17" ht="12.75" customHeight="1" x14ac:dyDescent="0.25">
      <c r="D57" s="836"/>
      <c r="O57" s="224"/>
      <c r="P57" s="299"/>
    </row>
    <row r="58" spans="2:17" ht="12.75" customHeight="1" x14ac:dyDescent="0.25">
      <c r="D58" s="836"/>
      <c r="O58" s="224"/>
      <c r="P58" s="299"/>
    </row>
    <row r="59" spans="2:17" ht="12.75" customHeight="1" x14ac:dyDescent="0.25">
      <c r="D59" s="836"/>
      <c r="O59" s="224"/>
      <c r="P59" s="299"/>
    </row>
    <row r="60" spans="2:17" ht="12.75" customHeight="1" x14ac:dyDescent="0.25">
      <c r="D60" s="836"/>
      <c r="O60" s="224"/>
      <c r="P60" s="299"/>
    </row>
    <row r="61" spans="2:17" ht="12.75" customHeight="1" x14ac:dyDescent="0.25">
      <c r="D61" s="836"/>
      <c r="O61" s="224"/>
      <c r="P61" s="299"/>
    </row>
    <row r="62" spans="2:17" ht="12.75" customHeight="1" x14ac:dyDescent="0.25">
      <c r="D62" s="836"/>
      <c r="O62" s="224"/>
      <c r="P62" s="299"/>
    </row>
    <row r="63" spans="2:17" ht="12.75" customHeight="1" x14ac:dyDescent="0.25">
      <c r="D63" s="836"/>
      <c r="O63" s="224"/>
      <c r="P63" s="299"/>
    </row>
    <row r="64" spans="2:17" ht="12.75" customHeight="1" x14ac:dyDescent="0.25">
      <c r="D64" s="836"/>
      <c r="O64" s="224"/>
      <c r="P64" s="299"/>
    </row>
    <row r="65" spans="2:17" ht="12.75" customHeight="1" x14ac:dyDescent="0.25">
      <c r="D65" s="836"/>
      <c r="O65" s="224"/>
      <c r="P65" s="299"/>
    </row>
    <row r="66" spans="2:17" ht="12.75" customHeight="1" x14ac:dyDescent="0.25">
      <c r="D66" s="836"/>
      <c r="O66" s="224"/>
      <c r="P66" s="299"/>
    </row>
    <row r="67" spans="2:17" ht="12.75" customHeight="1" x14ac:dyDescent="0.25">
      <c r="D67" s="836"/>
      <c r="O67" s="224"/>
      <c r="P67" s="299"/>
    </row>
    <row r="68" spans="2:17" ht="12.75" customHeight="1" x14ac:dyDescent="0.25">
      <c r="D68" s="836"/>
      <c r="O68" s="224"/>
      <c r="P68" s="299"/>
    </row>
    <row r="69" spans="2:17" ht="12.75" customHeight="1" x14ac:dyDescent="0.25">
      <c r="D69" s="836"/>
      <c r="O69" s="224"/>
      <c r="P69" s="299"/>
    </row>
    <row r="70" spans="2:17" ht="12.75" customHeight="1" x14ac:dyDescent="0.25">
      <c r="D70" s="836"/>
      <c r="O70" s="224"/>
      <c r="P70" s="299"/>
    </row>
    <row r="71" spans="2:17" ht="12.75" customHeight="1" x14ac:dyDescent="0.25">
      <c r="D71" s="836"/>
      <c r="O71" s="224"/>
      <c r="P71" s="299"/>
    </row>
    <row r="72" spans="2:17" ht="12.75" customHeight="1" x14ac:dyDescent="0.25">
      <c r="D72" s="836"/>
      <c r="O72" s="224"/>
      <c r="P72" s="299"/>
    </row>
    <row r="73" spans="2:17" ht="12.75" customHeight="1" x14ac:dyDescent="0.25">
      <c r="D73" s="836"/>
      <c r="O73" s="224"/>
      <c r="P73" s="299"/>
    </row>
    <row r="74" spans="2:17" ht="12.75" customHeight="1" x14ac:dyDescent="0.25">
      <c r="D74" s="836"/>
      <c r="O74" s="224"/>
      <c r="P74" s="299"/>
    </row>
    <row r="75" spans="2:17" ht="12.75" customHeight="1" x14ac:dyDescent="0.25">
      <c r="D75" s="836"/>
      <c r="O75" s="224"/>
      <c r="P75" s="299"/>
    </row>
    <row r="76" spans="2:17" ht="12.75" customHeight="1" x14ac:dyDescent="0.25">
      <c r="D76" s="836"/>
      <c r="O76" s="224"/>
      <c r="P76" s="299"/>
    </row>
    <row r="77" spans="2:17" ht="12.75" customHeight="1" x14ac:dyDescent="0.25">
      <c r="B77" s="477"/>
      <c r="C77" s="783"/>
      <c r="D77" s="838"/>
      <c r="E77" s="246"/>
      <c r="F77" s="246"/>
      <c r="H77" s="860"/>
      <c r="I77" s="860"/>
      <c r="J77" s="861"/>
      <c r="K77" s="861"/>
      <c r="O77" s="257" t="s">
        <v>2121</v>
      </c>
      <c r="P77" s="257">
        <f>SUM(P40:P76)</f>
        <v>72858.640000000014</v>
      </c>
    </row>
    <row r="78" spans="2:17" ht="12.75" customHeight="1" x14ac:dyDescent="0.25">
      <c r="B78" s="350"/>
      <c r="C78" s="783"/>
      <c r="D78" s="838"/>
      <c r="E78" s="246"/>
      <c r="F78" s="246"/>
      <c r="H78" s="860"/>
      <c r="I78" s="860"/>
      <c r="J78" s="860"/>
      <c r="K78" s="860"/>
      <c r="L78" s="860"/>
      <c r="M78" s="860"/>
      <c r="N78" s="860"/>
      <c r="O78" s="246"/>
      <c r="P78" s="245"/>
    </row>
    <row r="79" spans="2:17" ht="12.75" customHeight="1" x14ac:dyDescent="0.25">
      <c r="B79" s="350"/>
      <c r="C79" s="783"/>
      <c r="D79" s="838"/>
      <c r="E79" s="246"/>
      <c r="F79" s="246"/>
      <c r="H79" s="860"/>
      <c r="I79" s="860"/>
      <c r="J79" s="860"/>
      <c r="K79" s="860"/>
      <c r="L79" s="860"/>
      <c r="M79" s="860"/>
      <c r="N79" s="860"/>
      <c r="O79" s="246"/>
      <c r="P79" s="245"/>
    </row>
    <row r="80" spans="2:17" ht="12.75" customHeight="1" x14ac:dyDescent="0.25">
      <c r="B80" s="821" t="s">
        <v>184</v>
      </c>
      <c r="C80" s="822" t="s">
        <v>2079</v>
      </c>
      <c r="D80" s="839" t="s">
        <v>469</v>
      </c>
      <c r="E80" s="824" t="s">
        <v>664</v>
      </c>
      <c r="F80" s="824" t="s">
        <v>470</v>
      </c>
      <c r="G80" s="823" t="s">
        <v>186</v>
      </c>
      <c r="H80" s="859" t="s">
        <v>471</v>
      </c>
      <c r="I80" s="859" t="s">
        <v>4440</v>
      </c>
      <c r="J80" s="859" t="s">
        <v>3368</v>
      </c>
      <c r="K80" s="859" t="s">
        <v>893</v>
      </c>
      <c r="L80" s="859" t="s">
        <v>4446</v>
      </c>
      <c r="M80" s="859" t="s">
        <v>4447</v>
      </c>
      <c r="N80" s="859" t="s">
        <v>4455</v>
      </c>
      <c r="O80" s="824" t="s">
        <v>1216</v>
      </c>
      <c r="P80" s="824" t="s">
        <v>3372</v>
      </c>
      <c r="Q80" s="828" t="s">
        <v>4445</v>
      </c>
    </row>
    <row r="81" spans="1:19" s="231" customFormat="1" ht="13.2" x14ac:dyDescent="0.25">
      <c r="A81" s="225"/>
      <c r="B81" s="477" t="s">
        <v>4443</v>
      </c>
      <c r="C81" s="29" t="s">
        <v>4436</v>
      </c>
      <c r="D81" s="837">
        <v>1000</v>
      </c>
      <c r="E81" s="60">
        <v>37</v>
      </c>
      <c r="F81" s="299">
        <f>D81*E81</f>
        <v>37000</v>
      </c>
      <c r="G81" s="768" t="s">
        <v>369</v>
      </c>
      <c r="H81" s="326">
        <v>20</v>
      </c>
      <c r="I81" s="326">
        <v>1.2</v>
      </c>
      <c r="J81" s="326">
        <v>2.97</v>
      </c>
      <c r="K81" s="326">
        <v>37</v>
      </c>
      <c r="L81" s="326">
        <v>2.2200000000000002</v>
      </c>
      <c r="M81" s="326">
        <v>7.0000000000000007E-2</v>
      </c>
      <c r="N81" s="326"/>
      <c r="O81" s="247">
        <f>SUM(H81:N81)</f>
        <v>63.46</v>
      </c>
      <c r="P81" s="299">
        <f>F81-O81</f>
        <v>36936.54</v>
      </c>
      <c r="Q81" s="829">
        <v>764257</v>
      </c>
      <c r="S81" s="91"/>
    </row>
    <row r="82" spans="1:19" s="231" customFormat="1" ht="13.2" x14ac:dyDescent="0.25">
      <c r="A82" s="225"/>
      <c r="B82" s="477" t="s">
        <v>4563</v>
      </c>
      <c r="C82" s="29" t="s">
        <v>4559</v>
      </c>
      <c r="D82" s="837">
        <v>17</v>
      </c>
      <c r="E82" s="60">
        <v>610</v>
      </c>
      <c r="F82" s="299">
        <f>D82*E82</f>
        <v>10370</v>
      </c>
      <c r="G82" s="731" t="s">
        <v>369</v>
      </c>
      <c r="H82" s="326">
        <v>10.37</v>
      </c>
      <c r="I82" s="326">
        <v>0.28999999999999998</v>
      </c>
      <c r="J82" s="326">
        <v>1.49</v>
      </c>
      <c r="K82" s="326">
        <v>10</v>
      </c>
      <c r="L82" s="326">
        <v>1</v>
      </c>
      <c r="M82" s="326">
        <v>0.02</v>
      </c>
      <c r="N82" s="326"/>
      <c r="O82" s="247">
        <f>SUM(H82:N82)</f>
        <v>23.169999999999998</v>
      </c>
      <c r="P82" s="299">
        <f>F82-O82</f>
        <v>10346.83</v>
      </c>
      <c r="Q82" s="829">
        <v>764257</v>
      </c>
    </row>
    <row r="83" spans="1:19" ht="12.75" customHeight="1" x14ac:dyDescent="0.25">
      <c r="B83" s="729" t="s">
        <v>4570</v>
      </c>
      <c r="C83" s="782" t="s">
        <v>4559</v>
      </c>
      <c r="D83" s="836">
        <v>40</v>
      </c>
      <c r="E83" s="299">
        <v>626.25</v>
      </c>
      <c r="F83" s="299">
        <f>D83*E83</f>
        <v>25050</v>
      </c>
      <c r="G83" s="731" t="s">
        <v>369</v>
      </c>
      <c r="H83" s="326">
        <v>0.01</v>
      </c>
      <c r="I83" s="326">
        <v>0.69</v>
      </c>
      <c r="J83" s="326">
        <v>0.1</v>
      </c>
      <c r="K83" s="326">
        <v>25</v>
      </c>
      <c r="L83" s="326">
        <v>1.5</v>
      </c>
      <c r="M83" s="326">
        <v>0.05</v>
      </c>
      <c r="O83" s="247">
        <f>SUM(H83:N83)</f>
        <v>27.35</v>
      </c>
      <c r="P83" s="299">
        <f>F83-O83</f>
        <v>25022.65</v>
      </c>
      <c r="Q83" s="829">
        <v>1706036</v>
      </c>
    </row>
    <row r="84" spans="1:19" s="231" customFormat="1" ht="13.2" x14ac:dyDescent="0.25">
      <c r="A84" s="225"/>
      <c r="B84" s="477"/>
      <c r="C84" s="29"/>
      <c r="D84" s="837"/>
      <c r="E84" s="60"/>
      <c r="F84" s="299"/>
      <c r="G84" s="731"/>
      <c r="H84" s="326"/>
      <c r="I84" s="326"/>
      <c r="J84" s="326"/>
      <c r="K84" s="326"/>
      <c r="L84" s="326"/>
      <c r="M84" s="326"/>
      <c r="N84" s="326"/>
      <c r="O84" s="224"/>
      <c r="P84" s="299"/>
      <c r="Q84" s="829"/>
    </row>
    <row r="85" spans="1:19" s="231" customFormat="1" ht="13.2" x14ac:dyDescent="0.25">
      <c r="A85" s="225"/>
      <c r="B85" s="477"/>
      <c r="C85" s="29"/>
      <c r="D85" s="837"/>
      <c r="E85" s="60"/>
      <c r="F85" s="60"/>
      <c r="G85" s="731"/>
      <c r="H85" s="326"/>
      <c r="I85" s="326"/>
      <c r="J85" s="326"/>
      <c r="K85" s="326"/>
      <c r="L85" s="326"/>
      <c r="M85" s="326"/>
      <c r="N85" s="326"/>
      <c r="O85" s="224"/>
      <c r="P85" s="299"/>
      <c r="Q85" s="320"/>
    </row>
    <row r="86" spans="1:19" ht="12.75" customHeight="1" x14ac:dyDescent="0.25">
      <c r="D86" s="836"/>
      <c r="G86" s="731"/>
      <c r="O86" s="60"/>
      <c r="P86" s="299"/>
    </row>
    <row r="87" spans="1:19" ht="12.75" customHeight="1" x14ac:dyDescent="0.25">
      <c r="D87" s="836"/>
      <c r="G87" s="224"/>
      <c r="O87" s="60"/>
      <c r="P87" s="531"/>
    </row>
    <row r="88" spans="1:19" ht="12.75" customHeight="1" x14ac:dyDescent="0.25">
      <c r="D88" s="836"/>
      <c r="G88" s="224"/>
      <c r="O88" s="60"/>
      <c r="P88" s="531"/>
    </row>
    <row r="89" spans="1:19" ht="12.75" customHeight="1" x14ac:dyDescent="0.25">
      <c r="D89" s="836"/>
      <c r="G89" s="224"/>
      <c r="O89" s="60"/>
      <c r="P89" s="531"/>
    </row>
    <row r="90" spans="1:19" ht="12.75" customHeight="1" x14ac:dyDescent="0.25">
      <c r="D90" s="836"/>
      <c r="G90" s="224"/>
      <c r="O90" s="60"/>
      <c r="P90" s="531"/>
    </row>
    <row r="91" spans="1:19" ht="12.75" customHeight="1" x14ac:dyDescent="0.25">
      <c r="D91" s="836"/>
      <c r="G91" s="224"/>
      <c r="O91" s="60"/>
      <c r="P91" s="531"/>
    </row>
    <row r="92" spans="1:19" ht="12.75" customHeight="1" x14ac:dyDescent="0.25">
      <c r="D92" s="836"/>
      <c r="G92" s="224"/>
      <c r="O92" s="60"/>
      <c r="P92" s="531"/>
    </row>
    <row r="93" spans="1:19" ht="12.75" customHeight="1" x14ac:dyDescent="0.25">
      <c r="D93" s="836"/>
      <c r="G93" s="224"/>
      <c r="O93" s="60"/>
      <c r="P93" s="531"/>
    </row>
    <row r="94" spans="1:19" ht="12.75" customHeight="1" x14ac:dyDescent="0.25">
      <c r="D94" s="836"/>
      <c r="G94" s="224"/>
      <c r="O94" s="60"/>
      <c r="P94" s="531"/>
    </row>
    <row r="95" spans="1:19" ht="12.75" customHeight="1" x14ac:dyDescent="0.25">
      <c r="D95" s="836"/>
      <c r="G95" s="224"/>
      <c r="O95" s="60"/>
      <c r="P95" s="531"/>
    </row>
    <row r="96" spans="1:19" ht="12.75" customHeight="1" x14ac:dyDescent="0.25">
      <c r="D96" s="836"/>
      <c r="G96" s="224"/>
      <c r="O96" s="60"/>
      <c r="P96" s="531"/>
    </row>
    <row r="97" spans="1:20" ht="12.75" customHeight="1" x14ac:dyDescent="0.25">
      <c r="D97" s="836"/>
      <c r="G97" s="224"/>
      <c r="O97" s="60"/>
      <c r="P97" s="531"/>
    </row>
    <row r="98" spans="1:20" ht="12.75" customHeight="1" x14ac:dyDescent="0.25">
      <c r="D98" s="836"/>
      <c r="G98" s="224"/>
      <c r="O98" s="60"/>
      <c r="P98" s="531"/>
    </row>
    <row r="99" spans="1:20" ht="12.75" customHeight="1" x14ac:dyDescent="0.25">
      <c r="D99" s="836"/>
      <c r="G99" s="224"/>
      <c r="O99" s="60"/>
      <c r="P99" s="531"/>
    </row>
    <row r="100" spans="1:20" ht="12.75" customHeight="1" x14ac:dyDescent="0.25">
      <c r="D100" s="836"/>
      <c r="G100" s="224"/>
      <c r="O100" s="60"/>
      <c r="P100" s="531"/>
    </row>
    <row r="101" spans="1:20" ht="12.75" customHeight="1" x14ac:dyDescent="0.25">
      <c r="D101" s="836"/>
      <c r="G101" s="224"/>
      <c r="O101" s="60"/>
      <c r="P101" s="531"/>
    </row>
    <row r="102" spans="1:20" ht="12.75" customHeight="1" x14ac:dyDescent="0.25">
      <c r="D102" s="836"/>
      <c r="G102" s="224"/>
      <c r="O102" s="60"/>
      <c r="P102" s="531"/>
    </row>
    <row r="103" spans="1:20" ht="12.75" customHeight="1" x14ac:dyDescent="0.25">
      <c r="D103" s="836"/>
      <c r="G103" s="224"/>
      <c r="O103" s="60"/>
      <c r="P103" s="531"/>
    </row>
    <row r="104" spans="1:20" s="231" customFormat="1" ht="13.2" x14ac:dyDescent="0.25">
      <c r="A104" s="225"/>
      <c r="B104" s="298"/>
      <c r="C104" s="712"/>
      <c r="D104" s="837"/>
      <c r="E104" s="60"/>
      <c r="F104" s="60"/>
      <c r="G104" s="91"/>
      <c r="H104" s="294"/>
      <c r="I104" s="294"/>
      <c r="J104" s="294"/>
      <c r="K104" s="294"/>
      <c r="L104" s="294"/>
      <c r="M104" s="326"/>
      <c r="N104" s="326"/>
      <c r="O104" s="60"/>
      <c r="P104" s="531"/>
      <c r="Q104" s="320"/>
      <c r="S104" s="91"/>
    </row>
    <row r="105" spans="1:20" s="231" customFormat="1" ht="13.2" x14ac:dyDescent="0.25">
      <c r="A105" s="225"/>
      <c r="B105" s="298"/>
      <c r="C105" s="712"/>
      <c r="D105" s="837"/>
      <c r="E105" s="60"/>
      <c r="F105" s="60"/>
      <c r="H105" s="294"/>
      <c r="I105" s="294"/>
      <c r="J105" s="294"/>
      <c r="K105" s="294"/>
      <c r="L105" s="294"/>
      <c r="M105" s="326"/>
      <c r="N105" s="326"/>
      <c r="O105" s="60"/>
      <c r="P105" s="531"/>
      <c r="Q105" s="320"/>
    </row>
    <row r="106" spans="1:20" s="231" customFormat="1" ht="13.2" x14ac:dyDescent="0.25">
      <c r="A106" s="225"/>
      <c r="B106" s="298"/>
      <c r="C106" s="712"/>
      <c r="D106" s="837"/>
      <c r="E106" s="60"/>
      <c r="F106" s="60"/>
      <c r="H106" s="294"/>
      <c r="I106" s="294"/>
      <c r="J106" s="294"/>
      <c r="K106" s="294"/>
      <c r="L106" s="294"/>
      <c r="M106" s="326"/>
      <c r="N106" s="326"/>
      <c r="O106" s="60"/>
      <c r="P106" s="531"/>
      <c r="Q106" s="320"/>
    </row>
    <row r="107" spans="1:20" s="231" customFormat="1" ht="13.2" x14ac:dyDescent="0.25">
      <c r="A107" s="225"/>
      <c r="B107" s="298"/>
      <c r="C107" s="712"/>
      <c r="D107" s="837"/>
      <c r="E107" s="60"/>
      <c r="F107" s="60"/>
      <c r="G107" s="91"/>
      <c r="H107" s="294"/>
      <c r="I107" s="294"/>
      <c r="J107" s="294"/>
      <c r="K107" s="294"/>
      <c r="L107" s="294"/>
      <c r="M107" s="326"/>
      <c r="N107" s="326"/>
      <c r="O107" s="60"/>
      <c r="P107" s="531"/>
      <c r="Q107" s="830"/>
      <c r="S107" s="91"/>
      <c r="T107" s="235"/>
    </row>
    <row r="108" spans="1:20" s="231" customFormat="1" ht="13.2" x14ac:dyDescent="0.25">
      <c r="A108" s="225"/>
      <c r="B108" s="298"/>
      <c r="C108" s="712"/>
      <c r="D108" s="837"/>
      <c r="E108" s="60"/>
      <c r="F108" s="60"/>
      <c r="G108" s="91"/>
      <c r="H108" s="294"/>
      <c r="I108" s="294"/>
      <c r="J108" s="294"/>
      <c r="K108" s="294"/>
      <c r="L108" s="294"/>
      <c r="M108" s="326"/>
      <c r="N108" s="326"/>
      <c r="O108" s="60"/>
      <c r="P108" s="531"/>
      <c r="Q108" s="830"/>
      <c r="S108" s="91"/>
    </row>
    <row r="109" spans="1:20" s="231" customFormat="1" ht="13.2" x14ac:dyDescent="0.25">
      <c r="A109" s="225"/>
      <c r="B109" s="298"/>
      <c r="C109" s="712"/>
      <c r="D109" s="837"/>
      <c r="E109" s="60"/>
      <c r="F109" s="60"/>
      <c r="H109" s="294"/>
      <c r="I109" s="294"/>
      <c r="J109" s="294"/>
      <c r="K109" s="294"/>
      <c r="L109" s="294"/>
      <c r="M109" s="326"/>
      <c r="N109" s="326"/>
      <c r="O109" s="60"/>
      <c r="P109" s="531"/>
      <c r="Q109" s="830"/>
    </row>
    <row r="110" spans="1:20" s="231" customFormat="1" ht="13.2" x14ac:dyDescent="0.25">
      <c r="A110" s="225"/>
      <c r="B110" s="298"/>
      <c r="C110" s="712"/>
      <c r="D110" s="837"/>
      <c r="E110" s="60"/>
      <c r="F110" s="60"/>
      <c r="H110" s="294"/>
      <c r="I110" s="294"/>
      <c r="J110" s="294"/>
      <c r="K110" s="294"/>
      <c r="L110" s="294"/>
      <c r="M110" s="326"/>
      <c r="N110" s="326"/>
      <c r="O110" s="60"/>
      <c r="P110" s="531"/>
      <c r="Q110" s="830"/>
    </row>
    <row r="111" spans="1:20" ht="12.75" customHeight="1" x14ac:dyDescent="0.25">
      <c r="B111" s="298"/>
      <c r="D111" s="836"/>
      <c r="G111" s="224"/>
      <c r="O111" s="60"/>
      <c r="P111" s="531"/>
      <c r="Q111" s="830"/>
    </row>
    <row r="112" spans="1:20" ht="12.75" customHeight="1" x14ac:dyDescent="0.25">
      <c r="D112" s="836"/>
      <c r="G112" s="224"/>
      <c r="O112" s="60"/>
      <c r="P112" s="531"/>
    </row>
    <row r="113" spans="2:20" ht="12.75" customHeight="1" x14ac:dyDescent="0.25">
      <c r="B113" s="16"/>
      <c r="C113" s="31"/>
      <c r="D113" s="837"/>
      <c r="E113" s="60"/>
      <c r="F113" s="60"/>
      <c r="G113" s="224"/>
      <c r="H113" s="294"/>
      <c r="I113" s="294"/>
      <c r="K113" s="846"/>
      <c r="O113" s="257" t="s">
        <v>2127</v>
      </c>
      <c r="P113" s="258">
        <f>SUM(P81:P112)</f>
        <v>72306.02</v>
      </c>
    </row>
    <row r="114" spans="2:20" ht="12.75" customHeight="1" x14ac:dyDescent="0.25">
      <c r="B114" s="16"/>
      <c r="C114" s="31"/>
      <c r="D114" s="837"/>
      <c r="E114" s="60"/>
      <c r="F114" s="60"/>
      <c r="G114" s="224"/>
      <c r="H114" s="294"/>
      <c r="I114" s="294"/>
      <c r="K114" s="292"/>
      <c r="L114" s="292"/>
      <c r="M114" s="292"/>
      <c r="N114" s="292"/>
      <c r="O114" s="261"/>
      <c r="P114" s="299"/>
    </row>
    <row r="115" spans="2:20" ht="12.75" customHeight="1" x14ac:dyDescent="0.25">
      <c r="B115" s="16"/>
      <c r="C115" s="23"/>
      <c r="D115" s="837"/>
      <c r="E115" s="60"/>
      <c r="F115" s="60"/>
      <c r="G115" s="224"/>
      <c r="H115" s="294"/>
      <c r="I115" s="294"/>
      <c r="K115" s="846"/>
      <c r="O115" s="257" t="s">
        <v>2128</v>
      </c>
      <c r="P115" s="258">
        <f>P113-P77</f>
        <v>-552.6200000000099</v>
      </c>
    </row>
    <row r="116" spans="2:20" ht="12.75" customHeight="1" x14ac:dyDescent="0.25">
      <c r="B116" s="16"/>
      <c r="C116" s="31"/>
      <c r="D116" s="837"/>
      <c r="E116" s="60"/>
      <c r="F116" s="60"/>
      <c r="H116" s="294"/>
      <c r="I116" s="294"/>
      <c r="J116" s="294"/>
    </row>
    <row r="117" spans="2:20" ht="12.75" customHeight="1" x14ac:dyDescent="0.25">
      <c r="D117" s="836"/>
    </row>
    <row r="118" spans="2:20" ht="12.75" customHeight="1" thickBot="1" x14ac:dyDescent="0.3">
      <c r="D118" s="836"/>
      <c r="L118" s="861"/>
      <c r="M118" s="861"/>
      <c r="N118" s="861"/>
    </row>
    <row r="119" spans="2:20" ht="12.75" customHeight="1" thickBot="1" x14ac:dyDescent="0.3">
      <c r="B119" s="577" t="s">
        <v>1256</v>
      </c>
      <c r="C119" s="784"/>
      <c r="D119" s="840"/>
      <c r="E119" s="705"/>
      <c r="F119" s="543"/>
      <c r="G119" s="545"/>
      <c r="H119" s="862"/>
      <c r="I119" s="862"/>
      <c r="J119" s="862"/>
      <c r="K119" s="862"/>
      <c r="L119" s="862"/>
      <c r="M119" s="862"/>
      <c r="N119" s="862"/>
      <c r="O119" s="705"/>
      <c r="P119" s="251"/>
      <c r="Q119" s="834"/>
    </row>
    <row r="120" spans="2:20" ht="12.75" customHeight="1" x14ac:dyDescent="0.25">
      <c r="B120" s="821" t="s">
        <v>184</v>
      </c>
      <c r="C120" s="822" t="s">
        <v>2079</v>
      </c>
      <c r="D120" s="841" t="s">
        <v>469</v>
      </c>
      <c r="E120" s="824" t="s">
        <v>664</v>
      </c>
      <c r="F120" s="824" t="s">
        <v>470</v>
      </c>
      <c r="G120" s="823" t="s">
        <v>186</v>
      </c>
      <c r="H120" s="859" t="s">
        <v>471</v>
      </c>
      <c r="I120" s="859" t="s">
        <v>4440</v>
      </c>
      <c r="J120" s="859" t="s">
        <v>3368</v>
      </c>
      <c r="K120" s="859" t="s">
        <v>4447</v>
      </c>
      <c r="L120" s="859" t="s">
        <v>4446</v>
      </c>
      <c r="M120" s="824" t="s">
        <v>893</v>
      </c>
      <c r="N120" s="859" t="s">
        <v>4455</v>
      </c>
      <c r="O120" s="824" t="s">
        <v>1216</v>
      </c>
      <c r="P120" s="824" t="s">
        <v>3372</v>
      </c>
      <c r="Q120" s="828" t="s">
        <v>4445</v>
      </c>
    </row>
    <row r="121" spans="2:20" ht="12.75" customHeight="1" x14ac:dyDescent="0.25">
      <c r="B121" s="729" t="s">
        <v>4443</v>
      </c>
      <c r="C121" s="815" t="s">
        <v>4444</v>
      </c>
      <c r="D121" s="836">
        <v>25</v>
      </c>
      <c r="E121" s="299">
        <v>300</v>
      </c>
      <c r="F121" s="299">
        <f t="shared" ref="F121:F129" si="5">D121*E121</f>
        <v>7500</v>
      </c>
      <c r="G121" s="730" t="s">
        <v>197</v>
      </c>
      <c r="H121" s="326">
        <v>20</v>
      </c>
      <c r="O121" s="299">
        <f>SUM(H121:N121)</f>
        <v>20</v>
      </c>
      <c r="P121" s="247">
        <f>F121+O121</f>
        <v>7520</v>
      </c>
      <c r="Q121" s="827">
        <v>764257</v>
      </c>
    </row>
    <row r="122" spans="2:20" ht="12.75" customHeight="1" x14ac:dyDescent="0.25">
      <c r="B122" s="729" t="s">
        <v>4443</v>
      </c>
      <c r="C122" s="815" t="s">
        <v>4444</v>
      </c>
      <c r="D122" s="836">
        <v>25</v>
      </c>
      <c r="E122" s="299">
        <v>271.60000000000002</v>
      </c>
      <c r="F122" s="299">
        <f t="shared" si="5"/>
        <v>6790.0000000000009</v>
      </c>
      <c r="G122" s="730" t="s">
        <v>197</v>
      </c>
      <c r="H122" s="326">
        <v>20</v>
      </c>
      <c r="O122" s="299">
        <f t="shared" ref="O122:O127" si="6">SUM(H122:N122)</f>
        <v>20</v>
      </c>
      <c r="P122" s="247">
        <f t="shared" ref="P122:P127" si="7">F122+O122</f>
        <v>6810.0000000000009</v>
      </c>
      <c r="Q122" s="827">
        <v>764257</v>
      </c>
    </row>
    <row r="123" spans="2:20" ht="12.75" customHeight="1" x14ac:dyDescent="0.25">
      <c r="B123" s="729" t="s">
        <v>4443</v>
      </c>
      <c r="C123" s="815" t="s">
        <v>4444</v>
      </c>
      <c r="D123" s="836">
        <v>25</v>
      </c>
      <c r="E123" s="299">
        <v>273.8</v>
      </c>
      <c r="F123" s="299">
        <f t="shared" si="5"/>
        <v>6845</v>
      </c>
      <c r="G123" s="730" t="s">
        <v>197</v>
      </c>
      <c r="H123" s="326">
        <v>20</v>
      </c>
      <c r="I123" s="326">
        <v>20</v>
      </c>
      <c r="J123" s="326">
        <v>14</v>
      </c>
      <c r="K123" s="326">
        <v>0.08</v>
      </c>
      <c r="L123" s="326">
        <v>2.2599999999999998</v>
      </c>
      <c r="M123" s="326">
        <v>3</v>
      </c>
      <c r="N123" s="326">
        <v>-0.01</v>
      </c>
      <c r="O123" s="299">
        <f t="shared" si="6"/>
        <v>59.33</v>
      </c>
      <c r="P123" s="247">
        <f t="shared" si="7"/>
        <v>6904.33</v>
      </c>
      <c r="Q123" s="827">
        <v>764257</v>
      </c>
      <c r="T123" s="247"/>
    </row>
    <row r="124" spans="2:20" ht="12.75" customHeight="1" x14ac:dyDescent="0.25">
      <c r="B124" s="729" t="s">
        <v>4452</v>
      </c>
      <c r="C124" s="729" t="s">
        <v>4451</v>
      </c>
      <c r="D124" s="842">
        <v>2000</v>
      </c>
      <c r="E124" s="299">
        <v>5.25</v>
      </c>
      <c r="F124" s="299">
        <f t="shared" si="5"/>
        <v>10500</v>
      </c>
      <c r="G124" s="730" t="s">
        <v>197</v>
      </c>
      <c r="H124" s="326">
        <v>20</v>
      </c>
      <c r="O124" s="299">
        <f t="shared" si="6"/>
        <v>20</v>
      </c>
      <c r="P124" s="247">
        <f t="shared" si="7"/>
        <v>10520</v>
      </c>
      <c r="Q124" s="827">
        <v>774603</v>
      </c>
    </row>
    <row r="125" spans="2:20" ht="12.75" customHeight="1" x14ac:dyDescent="0.25">
      <c r="B125" s="729" t="s">
        <v>4452</v>
      </c>
      <c r="C125" s="729" t="s">
        <v>4451</v>
      </c>
      <c r="D125" s="842">
        <v>2000</v>
      </c>
      <c r="E125" s="299">
        <v>4.8499999999999996</v>
      </c>
      <c r="F125" s="299">
        <f t="shared" si="5"/>
        <v>9700</v>
      </c>
      <c r="G125" s="730" t="s">
        <v>197</v>
      </c>
      <c r="H125" s="326">
        <v>20</v>
      </c>
      <c r="I125" s="326">
        <v>10.71</v>
      </c>
      <c r="J125" s="326">
        <v>7.1</v>
      </c>
      <c r="K125" s="326">
        <v>0.04</v>
      </c>
      <c r="L125" s="326">
        <v>1.21</v>
      </c>
      <c r="M125" s="326">
        <v>0</v>
      </c>
      <c r="O125" s="299">
        <f t="shared" si="6"/>
        <v>39.06</v>
      </c>
      <c r="P125" s="247">
        <f t="shared" si="7"/>
        <v>9739.06</v>
      </c>
      <c r="Q125" s="827">
        <v>774603</v>
      </c>
    </row>
    <row r="126" spans="2:20" ht="12.75" customHeight="1" x14ac:dyDescent="0.25">
      <c r="B126" s="729" t="s">
        <v>4450</v>
      </c>
      <c r="C126" s="729" t="s">
        <v>4449</v>
      </c>
      <c r="D126" s="842">
        <v>1000</v>
      </c>
      <c r="E126" s="299">
        <v>11.9</v>
      </c>
      <c r="F126" s="299">
        <f t="shared" si="5"/>
        <v>11900</v>
      </c>
      <c r="G126" s="730" t="s">
        <v>197</v>
      </c>
      <c r="H126" s="326">
        <v>20</v>
      </c>
      <c r="I126" s="326">
        <v>6.31</v>
      </c>
      <c r="J126" s="326">
        <v>3.68</v>
      </c>
      <c r="K126" s="326">
        <v>0.02</v>
      </c>
      <c r="L126" s="326">
        <v>1</v>
      </c>
      <c r="M126" s="326">
        <v>0</v>
      </c>
      <c r="O126" s="299">
        <f t="shared" si="6"/>
        <v>31.009999999999998</v>
      </c>
      <c r="P126" s="247">
        <f t="shared" si="7"/>
        <v>11931.01</v>
      </c>
      <c r="Q126" s="827">
        <v>785184</v>
      </c>
    </row>
    <row r="127" spans="2:20" ht="12.75" customHeight="1" x14ac:dyDescent="0.25">
      <c r="B127" s="729" t="s">
        <v>4453</v>
      </c>
      <c r="C127" s="782" t="s">
        <v>4449</v>
      </c>
      <c r="D127" s="836">
        <v>750</v>
      </c>
      <c r="E127" s="299">
        <v>10</v>
      </c>
      <c r="F127" s="299">
        <f t="shared" si="5"/>
        <v>7500</v>
      </c>
      <c r="G127" s="730" t="s">
        <v>197</v>
      </c>
      <c r="H127" s="326">
        <v>20</v>
      </c>
      <c r="I127" s="326">
        <v>3.98</v>
      </c>
      <c r="J127" s="326">
        <v>3.36</v>
      </c>
      <c r="K127" s="326">
        <v>0.02</v>
      </c>
      <c r="L127" s="326">
        <v>1</v>
      </c>
      <c r="M127" s="326">
        <v>0</v>
      </c>
      <c r="N127" s="326">
        <v>-0.01</v>
      </c>
      <c r="O127" s="299">
        <f t="shared" si="6"/>
        <v>28.349999999999998</v>
      </c>
      <c r="P127" s="247">
        <f t="shared" si="7"/>
        <v>7528.35</v>
      </c>
      <c r="Q127" s="536">
        <v>798121</v>
      </c>
      <c r="S127" s="247"/>
    </row>
    <row r="128" spans="2:20" ht="12.75" customHeight="1" x14ac:dyDescent="0.25">
      <c r="B128" s="729" t="s">
        <v>4456</v>
      </c>
      <c r="C128" s="782" t="s">
        <v>4457</v>
      </c>
      <c r="D128" s="836">
        <v>100</v>
      </c>
      <c r="E128" s="299">
        <v>237.95</v>
      </c>
      <c r="F128" s="299">
        <f t="shared" si="5"/>
        <v>23795</v>
      </c>
      <c r="G128" s="730" t="s">
        <v>197</v>
      </c>
      <c r="O128" s="299">
        <f t="shared" ref="O128:O129" si="8">SUM(H128:N128)</f>
        <v>0</v>
      </c>
      <c r="P128" s="247">
        <f t="shared" ref="P128:P139" si="9">F128+O128</f>
        <v>23795</v>
      </c>
      <c r="Q128" s="536">
        <v>808207</v>
      </c>
    </row>
    <row r="129" spans="2:17" ht="12.75" customHeight="1" x14ac:dyDescent="0.25">
      <c r="B129" s="729" t="s">
        <v>4456</v>
      </c>
      <c r="C129" s="782" t="s">
        <v>4457</v>
      </c>
      <c r="D129" s="836">
        <v>25</v>
      </c>
      <c r="E129" s="299">
        <v>240</v>
      </c>
      <c r="F129" s="299">
        <f t="shared" si="5"/>
        <v>6000</v>
      </c>
      <c r="G129" s="730" t="s">
        <v>197</v>
      </c>
      <c r="O129" s="299">
        <f t="shared" si="8"/>
        <v>0</v>
      </c>
      <c r="P129" s="247">
        <f t="shared" si="9"/>
        <v>6000</v>
      </c>
      <c r="Q129" s="536">
        <v>808207</v>
      </c>
    </row>
    <row r="130" spans="2:17" ht="12.75" customHeight="1" x14ac:dyDescent="0.25">
      <c r="B130" s="729" t="s">
        <v>4458</v>
      </c>
      <c r="C130" s="782" t="s">
        <v>4451</v>
      </c>
      <c r="D130" s="836">
        <v>2000</v>
      </c>
      <c r="E130" s="299">
        <v>4.55</v>
      </c>
      <c r="F130" s="299">
        <f t="shared" ref="F130:F163" si="10">D130*E130</f>
        <v>9100</v>
      </c>
      <c r="G130" s="730" t="s">
        <v>197</v>
      </c>
      <c r="O130" s="299">
        <f>SUM(H130:N130)</f>
        <v>0</v>
      </c>
      <c r="P130" s="247">
        <f t="shared" si="9"/>
        <v>9100</v>
      </c>
      <c r="Q130" s="536">
        <v>818979</v>
      </c>
    </row>
    <row r="131" spans="2:17" ht="12.75" customHeight="1" x14ac:dyDescent="0.25">
      <c r="B131" s="729" t="s">
        <v>4458</v>
      </c>
      <c r="C131" s="782" t="s">
        <v>4451</v>
      </c>
      <c r="D131" s="836">
        <v>2000</v>
      </c>
      <c r="E131" s="299">
        <v>4.55</v>
      </c>
      <c r="F131" s="299">
        <f t="shared" si="10"/>
        <v>9100</v>
      </c>
      <c r="G131" s="730" t="s">
        <v>197</v>
      </c>
      <c r="H131" s="326">
        <v>40</v>
      </c>
      <c r="I131" s="326">
        <v>33.43</v>
      </c>
      <c r="J131" s="326">
        <v>10.28</v>
      </c>
      <c r="K131" s="326">
        <v>0.13</v>
      </c>
      <c r="L131" s="326">
        <v>3.79</v>
      </c>
      <c r="M131" s="326">
        <v>8</v>
      </c>
      <c r="N131" s="326">
        <v>-0.01</v>
      </c>
      <c r="O131" s="299">
        <f>SUM(H131:N131)</f>
        <v>95.62</v>
      </c>
      <c r="P131" s="247">
        <f t="shared" si="9"/>
        <v>9195.6200000000008</v>
      </c>
      <c r="Q131" s="536">
        <v>818979</v>
      </c>
    </row>
    <row r="132" spans="2:17" ht="12.75" customHeight="1" x14ac:dyDescent="0.25">
      <c r="B132" s="729" t="s">
        <v>4459</v>
      </c>
      <c r="C132" s="782" t="s">
        <v>4460</v>
      </c>
      <c r="D132" s="836">
        <v>2000</v>
      </c>
      <c r="E132" s="299">
        <v>3.5</v>
      </c>
      <c r="F132" s="299">
        <f t="shared" si="10"/>
        <v>7000</v>
      </c>
      <c r="G132" s="730" t="s">
        <v>197</v>
      </c>
      <c r="O132" s="299">
        <f t="shared" ref="O132:O139" si="11">SUM(H132:N132)</f>
        <v>0</v>
      </c>
      <c r="P132" s="247">
        <f t="shared" si="9"/>
        <v>7000</v>
      </c>
      <c r="Q132" s="536">
        <v>830293</v>
      </c>
    </row>
    <row r="133" spans="2:17" ht="12.75" customHeight="1" x14ac:dyDescent="0.25">
      <c r="B133" s="729" t="s">
        <v>4459</v>
      </c>
      <c r="C133" s="782" t="s">
        <v>4460</v>
      </c>
      <c r="D133" s="836">
        <v>2000</v>
      </c>
      <c r="E133" s="299">
        <v>3.5</v>
      </c>
      <c r="F133" s="299">
        <f t="shared" si="10"/>
        <v>7000</v>
      </c>
      <c r="G133" s="730" t="s">
        <v>197</v>
      </c>
      <c r="O133" s="299">
        <f t="shared" si="11"/>
        <v>0</v>
      </c>
      <c r="P133" s="247">
        <f t="shared" si="9"/>
        <v>7000</v>
      </c>
      <c r="Q133" s="536">
        <v>830293</v>
      </c>
    </row>
    <row r="134" spans="2:17" ht="12.75" customHeight="1" x14ac:dyDescent="0.25">
      <c r="B134" s="729" t="s">
        <v>4459</v>
      </c>
      <c r="C134" s="782" t="s">
        <v>4449</v>
      </c>
      <c r="D134" s="836">
        <v>250</v>
      </c>
      <c r="E134" s="299">
        <v>10.4</v>
      </c>
      <c r="F134" s="299">
        <f t="shared" si="10"/>
        <v>2600</v>
      </c>
      <c r="G134" s="730" t="s">
        <v>197</v>
      </c>
      <c r="O134" s="299">
        <f t="shared" si="11"/>
        <v>0</v>
      </c>
      <c r="P134" s="247">
        <f t="shared" si="9"/>
        <v>2600</v>
      </c>
      <c r="Q134" s="536">
        <v>830293</v>
      </c>
    </row>
    <row r="135" spans="2:17" ht="12.75" customHeight="1" x14ac:dyDescent="0.25">
      <c r="B135" s="729" t="s">
        <v>4459</v>
      </c>
      <c r="C135" s="782" t="s">
        <v>4449</v>
      </c>
      <c r="D135" s="836">
        <v>500</v>
      </c>
      <c r="E135" s="299">
        <v>10.4</v>
      </c>
      <c r="F135" s="299">
        <f t="shared" si="10"/>
        <v>5200</v>
      </c>
      <c r="G135" s="730" t="s">
        <v>197</v>
      </c>
      <c r="O135" s="299">
        <f t="shared" si="11"/>
        <v>0</v>
      </c>
      <c r="P135" s="247">
        <f t="shared" si="9"/>
        <v>5200</v>
      </c>
      <c r="Q135" s="536">
        <v>830293</v>
      </c>
    </row>
    <row r="136" spans="2:17" ht="12.75" customHeight="1" x14ac:dyDescent="0.25">
      <c r="B136" s="729" t="s">
        <v>4459</v>
      </c>
      <c r="C136" s="782" t="s">
        <v>4449</v>
      </c>
      <c r="D136" s="836">
        <v>250</v>
      </c>
      <c r="E136" s="299">
        <v>10.45</v>
      </c>
      <c r="F136" s="299">
        <f t="shared" si="10"/>
        <v>2612.5</v>
      </c>
      <c r="G136" s="730" t="s">
        <v>197</v>
      </c>
      <c r="O136" s="299">
        <f t="shared" si="11"/>
        <v>0</v>
      </c>
      <c r="P136" s="247">
        <f t="shared" si="9"/>
        <v>2612.5</v>
      </c>
      <c r="Q136" s="536">
        <v>830293</v>
      </c>
    </row>
    <row r="137" spans="2:17" ht="12.75" customHeight="1" x14ac:dyDescent="0.25">
      <c r="B137" s="729" t="s">
        <v>4459</v>
      </c>
      <c r="C137" s="782" t="s">
        <v>4449</v>
      </c>
      <c r="D137" s="836">
        <v>500</v>
      </c>
      <c r="E137" s="299">
        <v>13.8</v>
      </c>
      <c r="F137" s="299">
        <f t="shared" si="10"/>
        <v>6900</v>
      </c>
      <c r="G137" s="730" t="s">
        <v>197</v>
      </c>
      <c r="O137" s="299">
        <f t="shared" si="11"/>
        <v>0</v>
      </c>
      <c r="P137" s="247">
        <f t="shared" si="9"/>
        <v>6900</v>
      </c>
      <c r="Q137" s="536">
        <v>830293</v>
      </c>
    </row>
    <row r="138" spans="2:17" ht="12.75" customHeight="1" x14ac:dyDescent="0.25">
      <c r="B138" s="729" t="s">
        <v>4459</v>
      </c>
      <c r="C138" s="782" t="s">
        <v>4449</v>
      </c>
      <c r="D138" s="836">
        <v>250</v>
      </c>
      <c r="E138" s="299">
        <v>15.6</v>
      </c>
      <c r="F138" s="299">
        <f t="shared" si="10"/>
        <v>3900</v>
      </c>
      <c r="G138" s="730" t="s">
        <v>197</v>
      </c>
      <c r="O138" s="299">
        <f t="shared" si="11"/>
        <v>0</v>
      </c>
      <c r="P138" s="247">
        <f t="shared" si="9"/>
        <v>3900</v>
      </c>
      <c r="Q138" s="536">
        <v>830293</v>
      </c>
    </row>
    <row r="139" spans="2:17" ht="13.2" x14ac:dyDescent="0.25">
      <c r="B139" s="729" t="s">
        <v>4459</v>
      </c>
      <c r="C139" s="832" t="s">
        <v>4451</v>
      </c>
      <c r="D139" s="843">
        <v>2000</v>
      </c>
      <c r="E139" s="455">
        <v>3.6</v>
      </c>
      <c r="F139" s="299">
        <f t="shared" si="10"/>
        <v>7200</v>
      </c>
      <c r="G139" s="730" t="s">
        <v>197</v>
      </c>
      <c r="H139" s="863">
        <v>140</v>
      </c>
      <c r="I139" s="386">
        <v>28.31</v>
      </c>
      <c r="J139" s="863">
        <v>23.56</v>
      </c>
      <c r="K139" s="294">
        <v>0.11</v>
      </c>
      <c r="L139" s="292">
        <v>3.21</v>
      </c>
      <c r="M139" s="294">
        <v>2</v>
      </c>
      <c r="N139" s="294"/>
      <c r="O139" s="299">
        <f t="shared" si="11"/>
        <v>197.19000000000003</v>
      </c>
      <c r="P139" s="247">
        <f t="shared" si="9"/>
        <v>7397.19</v>
      </c>
      <c r="Q139" s="536">
        <v>830293</v>
      </c>
    </row>
    <row r="140" spans="2:17" ht="12.75" customHeight="1" x14ac:dyDescent="0.25">
      <c r="B140" s="729" t="s">
        <v>4461</v>
      </c>
      <c r="C140" s="782" t="s">
        <v>4462</v>
      </c>
      <c r="D140" s="836">
        <v>200</v>
      </c>
      <c r="E140" s="299">
        <v>60.25</v>
      </c>
      <c r="F140" s="299">
        <f t="shared" si="10"/>
        <v>12050</v>
      </c>
      <c r="G140" s="730" t="s">
        <v>197</v>
      </c>
      <c r="H140" s="326">
        <v>40</v>
      </c>
      <c r="I140" s="326">
        <v>12.59</v>
      </c>
      <c r="J140" s="326">
        <v>7.36</v>
      </c>
      <c r="K140" s="326">
        <v>0.05</v>
      </c>
      <c r="L140" s="326">
        <v>1.43</v>
      </c>
      <c r="M140" s="326">
        <v>2</v>
      </c>
      <c r="N140" s="326">
        <v>-0.02</v>
      </c>
      <c r="O140" s="299">
        <f t="shared" ref="O140" si="12">SUM(H140:N140)</f>
        <v>63.41</v>
      </c>
      <c r="P140" s="247">
        <f t="shared" ref="P140" si="13">F140+O140</f>
        <v>12113.41</v>
      </c>
      <c r="Q140" s="536">
        <v>841006</v>
      </c>
    </row>
    <row r="141" spans="2:17" ht="12.75" customHeight="1" x14ac:dyDescent="0.25">
      <c r="B141" s="729" t="s">
        <v>4463</v>
      </c>
      <c r="C141" s="782" t="s">
        <v>4449</v>
      </c>
      <c r="D141" s="836">
        <v>750</v>
      </c>
      <c r="E141" s="299">
        <v>16.2</v>
      </c>
      <c r="F141" s="299">
        <f t="shared" si="10"/>
        <v>12150</v>
      </c>
      <c r="G141" s="730" t="s">
        <v>197</v>
      </c>
      <c r="O141" s="299">
        <f t="shared" ref="O141" si="14">SUM(H141:N141)</f>
        <v>0</v>
      </c>
      <c r="P141" s="247">
        <f t="shared" ref="P141" si="15">F141+O141</f>
        <v>12150</v>
      </c>
      <c r="Q141" s="536">
        <v>851969</v>
      </c>
    </row>
    <row r="142" spans="2:17" ht="12.75" customHeight="1" x14ac:dyDescent="0.25">
      <c r="B142" s="729" t="s">
        <v>4465</v>
      </c>
      <c r="C142" s="782" t="s">
        <v>4464</v>
      </c>
      <c r="D142" s="836">
        <v>1000</v>
      </c>
      <c r="E142" s="299">
        <v>11</v>
      </c>
      <c r="F142" s="299">
        <f t="shared" si="10"/>
        <v>11000</v>
      </c>
      <c r="G142" s="730" t="s">
        <v>197</v>
      </c>
      <c r="O142" s="299">
        <f t="shared" ref="O142:O163" si="16">SUM(H142:N142)</f>
        <v>0</v>
      </c>
      <c r="P142" s="247">
        <f t="shared" ref="P142:P152" si="17">F142+O142</f>
        <v>11000</v>
      </c>
      <c r="Q142" s="536">
        <v>862390</v>
      </c>
    </row>
    <row r="143" spans="2:17" ht="12.75" customHeight="1" x14ac:dyDescent="0.25">
      <c r="B143" s="729" t="s">
        <v>4465</v>
      </c>
      <c r="C143" s="782" t="s">
        <v>4464</v>
      </c>
      <c r="D143" s="836">
        <v>1000</v>
      </c>
      <c r="E143" s="299">
        <v>10</v>
      </c>
      <c r="F143" s="299">
        <f t="shared" si="10"/>
        <v>10000</v>
      </c>
      <c r="G143" s="730" t="s">
        <v>197</v>
      </c>
      <c r="O143" s="299">
        <f t="shared" si="16"/>
        <v>0</v>
      </c>
      <c r="P143" s="247">
        <f t="shared" si="17"/>
        <v>10000</v>
      </c>
      <c r="Q143" s="536">
        <v>862390</v>
      </c>
    </row>
    <row r="144" spans="2:17" ht="12.75" customHeight="1" x14ac:dyDescent="0.25">
      <c r="B144" s="729" t="s">
        <v>4465</v>
      </c>
      <c r="C144" s="782" t="s">
        <v>4466</v>
      </c>
      <c r="D144" s="836">
        <v>250</v>
      </c>
      <c r="E144" s="299">
        <v>13.45</v>
      </c>
      <c r="F144" s="299">
        <f t="shared" si="10"/>
        <v>3362.5</v>
      </c>
      <c r="G144" s="730" t="s">
        <v>197</v>
      </c>
      <c r="O144" s="299">
        <f t="shared" si="16"/>
        <v>0</v>
      </c>
      <c r="P144" s="247">
        <f t="shared" si="17"/>
        <v>3362.5</v>
      </c>
      <c r="Q144" s="536">
        <v>862390</v>
      </c>
    </row>
    <row r="145" spans="2:17" ht="12.75" customHeight="1" x14ac:dyDescent="0.25">
      <c r="B145" s="729" t="s">
        <v>4465</v>
      </c>
      <c r="C145" s="782" t="s">
        <v>4466</v>
      </c>
      <c r="D145" s="836">
        <v>500</v>
      </c>
      <c r="E145" s="299">
        <v>13.5</v>
      </c>
      <c r="F145" s="299">
        <f t="shared" si="10"/>
        <v>6750</v>
      </c>
      <c r="G145" s="730" t="s">
        <v>197</v>
      </c>
      <c r="O145" s="299">
        <f t="shared" si="16"/>
        <v>0</v>
      </c>
      <c r="P145" s="247">
        <f t="shared" si="17"/>
        <v>6750</v>
      </c>
      <c r="Q145" s="536">
        <v>862390</v>
      </c>
    </row>
    <row r="146" spans="2:17" ht="12.75" customHeight="1" x14ac:dyDescent="0.25">
      <c r="B146" s="729" t="s">
        <v>4465</v>
      </c>
      <c r="C146" s="782" t="s">
        <v>4466</v>
      </c>
      <c r="D146" s="836">
        <v>250</v>
      </c>
      <c r="E146" s="299">
        <v>13.5</v>
      </c>
      <c r="F146" s="299">
        <f t="shared" si="10"/>
        <v>3375</v>
      </c>
      <c r="G146" s="730" t="s">
        <v>197</v>
      </c>
      <c r="O146" s="299">
        <f t="shared" si="16"/>
        <v>0</v>
      </c>
      <c r="P146" s="247">
        <f t="shared" si="17"/>
        <v>3375</v>
      </c>
      <c r="Q146" s="536">
        <v>862390</v>
      </c>
    </row>
    <row r="147" spans="2:17" ht="12.75" customHeight="1" x14ac:dyDescent="0.25">
      <c r="B147" s="729" t="s">
        <v>4465</v>
      </c>
      <c r="C147" s="782" t="s">
        <v>4466</v>
      </c>
      <c r="D147" s="836">
        <v>250</v>
      </c>
      <c r="E147" s="299">
        <v>13.55</v>
      </c>
      <c r="F147" s="299">
        <f t="shared" si="10"/>
        <v>3387.5</v>
      </c>
      <c r="G147" s="730" t="s">
        <v>197</v>
      </c>
      <c r="O147" s="299">
        <f t="shared" si="16"/>
        <v>0</v>
      </c>
      <c r="P147" s="247">
        <f t="shared" si="17"/>
        <v>3387.5</v>
      </c>
      <c r="Q147" s="536">
        <v>862390</v>
      </c>
    </row>
    <row r="148" spans="2:17" ht="12.75" customHeight="1" x14ac:dyDescent="0.25">
      <c r="B148" s="729" t="s">
        <v>4465</v>
      </c>
      <c r="C148" s="782" t="s">
        <v>4466</v>
      </c>
      <c r="D148" s="836">
        <v>250</v>
      </c>
      <c r="E148" s="299">
        <v>13.55</v>
      </c>
      <c r="F148" s="299">
        <f t="shared" si="10"/>
        <v>3387.5</v>
      </c>
      <c r="G148" s="730" t="s">
        <v>197</v>
      </c>
      <c r="O148" s="299">
        <f t="shared" si="16"/>
        <v>0</v>
      </c>
      <c r="P148" s="247">
        <f t="shared" si="17"/>
        <v>3387.5</v>
      </c>
      <c r="Q148" s="536">
        <v>862390</v>
      </c>
    </row>
    <row r="149" spans="2:17" ht="12.75" customHeight="1" x14ac:dyDescent="0.25">
      <c r="B149" s="729" t="s">
        <v>4465</v>
      </c>
      <c r="C149" s="782" t="s">
        <v>4466</v>
      </c>
      <c r="D149" s="836">
        <v>250</v>
      </c>
      <c r="E149" s="299">
        <v>14.4</v>
      </c>
      <c r="F149" s="299">
        <f t="shared" si="10"/>
        <v>3600</v>
      </c>
      <c r="G149" s="730" t="s">
        <v>197</v>
      </c>
      <c r="O149" s="299">
        <f t="shared" si="16"/>
        <v>0</v>
      </c>
      <c r="P149" s="247">
        <f t="shared" si="17"/>
        <v>3600</v>
      </c>
      <c r="Q149" s="536">
        <v>862390</v>
      </c>
    </row>
    <row r="150" spans="2:17" ht="12.75" customHeight="1" x14ac:dyDescent="0.25">
      <c r="B150" s="729" t="s">
        <v>4465</v>
      </c>
      <c r="C150" s="782" t="s">
        <v>4466</v>
      </c>
      <c r="D150" s="836">
        <v>500</v>
      </c>
      <c r="E150" s="299">
        <v>14.45</v>
      </c>
      <c r="F150" s="299">
        <f t="shared" si="10"/>
        <v>7225</v>
      </c>
      <c r="G150" s="730" t="s">
        <v>197</v>
      </c>
      <c r="O150" s="299">
        <f t="shared" si="16"/>
        <v>0</v>
      </c>
      <c r="P150" s="247">
        <f t="shared" si="17"/>
        <v>7225</v>
      </c>
      <c r="Q150" s="536">
        <v>862390</v>
      </c>
    </row>
    <row r="151" spans="2:17" ht="12.75" customHeight="1" x14ac:dyDescent="0.25">
      <c r="B151" s="729" t="s">
        <v>4465</v>
      </c>
      <c r="C151" s="782" t="s">
        <v>4466</v>
      </c>
      <c r="D151" s="836">
        <v>500</v>
      </c>
      <c r="E151" s="299">
        <v>12.9</v>
      </c>
      <c r="F151" s="299">
        <f t="shared" si="10"/>
        <v>6450</v>
      </c>
      <c r="G151" s="730" t="s">
        <v>197</v>
      </c>
      <c r="O151" s="299">
        <f t="shared" si="16"/>
        <v>0</v>
      </c>
      <c r="P151" s="247">
        <f t="shared" si="17"/>
        <v>6450</v>
      </c>
      <c r="Q151" s="536">
        <v>862390</v>
      </c>
    </row>
    <row r="152" spans="2:17" ht="12.75" customHeight="1" x14ac:dyDescent="0.25">
      <c r="B152" s="729" t="s">
        <v>4465</v>
      </c>
      <c r="C152" s="782" t="s">
        <v>4466</v>
      </c>
      <c r="D152" s="836">
        <v>250</v>
      </c>
      <c r="E152" s="299">
        <v>12.9</v>
      </c>
      <c r="F152" s="299">
        <f t="shared" si="10"/>
        <v>3225</v>
      </c>
      <c r="G152" s="730" t="s">
        <v>197</v>
      </c>
      <c r="H152" s="225">
        <v>160</v>
      </c>
      <c r="I152" s="326">
        <v>42.96</v>
      </c>
      <c r="J152" s="326">
        <v>28.42</v>
      </c>
      <c r="K152" s="326">
        <v>0.16</v>
      </c>
      <c r="L152" s="326">
        <v>4.8600000000000003</v>
      </c>
      <c r="M152" s="326">
        <v>3</v>
      </c>
      <c r="N152" s="326">
        <v>-0.01</v>
      </c>
      <c r="O152" s="299">
        <f t="shared" si="16"/>
        <v>239.39000000000001</v>
      </c>
      <c r="P152" s="247">
        <f t="shared" si="17"/>
        <v>3464.39</v>
      </c>
      <c r="Q152" s="536">
        <v>862390</v>
      </c>
    </row>
    <row r="153" spans="2:17" ht="12.75" customHeight="1" x14ac:dyDescent="0.25">
      <c r="B153" s="729" t="s">
        <v>4467</v>
      </c>
      <c r="C153" s="782" t="s">
        <v>4464</v>
      </c>
      <c r="D153" s="836">
        <v>1000</v>
      </c>
      <c r="E153" s="299">
        <v>12.4</v>
      </c>
      <c r="F153" s="299">
        <f t="shared" si="10"/>
        <v>12400</v>
      </c>
      <c r="G153" s="730" t="s">
        <v>197</v>
      </c>
      <c r="O153" s="299">
        <f t="shared" si="16"/>
        <v>0</v>
      </c>
      <c r="P153" s="247">
        <f t="shared" ref="P153:P163" si="18">F153+O153</f>
        <v>12400</v>
      </c>
      <c r="Q153" s="536">
        <v>872811</v>
      </c>
    </row>
    <row r="154" spans="2:17" ht="12.75" customHeight="1" x14ac:dyDescent="0.25">
      <c r="B154" s="729" t="s">
        <v>4467</v>
      </c>
      <c r="C154" s="782" t="s">
        <v>4470</v>
      </c>
      <c r="D154" s="836">
        <v>2000</v>
      </c>
      <c r="E154" s="299">
        <v>3</v>
      </c>
      <c r="F154" s="299">
        <f t="shared" si="10"/>
        <v>6000</v>
      </c>
      <c r="G154" s="730" t="s">
        <v>197</v>
      </c>
      <c r="O154" s="299">
        <f t="shared" si="16"/>
        <v>0</v>
      </c>
      <c r="P154" s="247">
        <f t="shared" si="18"/>
        <v>6000</v>
      </c>
      <c r="Q154" s="536">
        <v>872811</v>
      </c>
    </row>
    <row r="155" spans="2:17" ht="12.75" customHeight="1" x14ac:dyDescent="0.25">
      <c r="B155" s="729" t="s">
        <v>4467</v>
      </c>
      <c r="C155" s="782" t="s">
        <v>4470</v>
      </c>
      <c r="D155" s="836">
        <v>2000</v>
      </c>
      <c r="E155" s="299">
        <v>2.9</v>
      </c>
      <c r="F155" s="299">
        <f t="shared" si="10"/>
        <v>5800</v>
      </c>
      <c r="G155" s="730" t="s">
        <v>197</v>
      </c>
      <c r="O155" s="299">
        <f t="shared" si="16"/>
        <v>0</v>
      </c>
      <c r="P155" s="247">
        <f t="shared" si="18"/>
        <v>5800</v>
      </c>
      <c r="Q155" s="536">
        <v>872811</v>
      </c>
    </row>
    <row r="156" spans="2:17" ht="12.75" customHeight="1" x14ac:dyDescent="0.25">
      <c r="B156" s="729" t="s">
        <v>4467</v>
      </c>
      <c r="C156" s="782" t="s">
        <v>4470</v>
      </c>
      <c r="D156" s="836">
        <v>2000</v>
      </c>
      <c r="E156" s="299">
        <v>2.9</v>
      </c>
      <c r="F156" s="299">
        <f t="shared" si="10"/>
        <v>5800</v>
      </c>
      <c r="G156" s="730" t="s">
        <v>197</v>
      </c>
      <c r="O156" s="299">
        <f t="shared" si="16"/>
        <v>0</v>
      </c>
      <c r="P156" s="247">
        <f t="shared" si="18"/>
        <v>5800</v>
      </c>
      <c r="Q156" s="536">
        <v>872811</v>
      </c>
    </row>
    <row r="157" spans="2:17" ht="12.75" customHeight="1" x14ac:dyDescent="0.25">
      <c r="B157" s="729" t="s">
        <v>4467</v>
      </c>
      <c r="C157" s="782" t="s">
        <v>4470</v>
      </c>
      <c r="D157" s="836">
        <v>2000</v>
      </c>
      <c r="E157" s="299">
        <v>1.8</v>
      </c>
      <c r="F157" s="299">
        <f t="shared" si="10"/>
        <v>3600</v>
      </c>
      <c r="G157" s="730" t="s">
        <v>197</v>
      </c>
      <c r="O157" s="299">
        <f t="shared" si="16"/>
        <v>0</v>
      </c>
      <c r="P157" s="247">
        <f t="shared" si="18"/>
        <v>3600</v>
      </c>
      <c r="Q157" s="536">
        <v>872811</v>
      </c>
    </row>
    <row r="158" spans="2:17" ht="12.75" customHeight="1" x14ac:dyDescent="0.25">
      <c r="B158" s="729" t="s">
        <v>4467</v>
      </c>
      <c r="C158" s="782" t="s">
        <v>4470</v>
      </c>
      <c r="D158" s="836">
        <v>8000</v>
      </c>
      <c r="E158" s="299">
        <v>1.8</v>
      </c>
      <c r="F158" s="299">
        <f t="shared" si="10"/>
        <v>14400</v>
      </c>
      <c r="G158" s="730" t="s">
        <v>197</v>
      </c>
      <c r="O158" s="299">
        <f t="shared" si="16"/>
        <v>0</v>
      </c>
      <c r="P158" s="247">
        <f t="shared" si="18"/>
        <v>14400</v>
      </c>
      <c r="Q158" s="536">
        <v>872811</v>
      </c>
    </row>
    <row r="159" spans="2:17" ht="12.75" customHeight="1" x14ac:dyDescent="0.25">
      <c r="B159" s="729" t="s">
        <v>4467</v>
      </c>
      <c r="C159" s="782" t="s">
        <v>4470</v>
      </c>
      <c r="D159" s="836">
        <v>2000</v>
      </c>
      <c r="E159" s="299">
        <v>1.8</v>
      </c>
      <c r="F159" s="299">
        <f t="shared" si="10"/>
        <v>3600</v>
      </c>
      <c r="G159" s="730" t="s">
        <v>197</v>
      </c>
      <c r="O159" s="299">
        <f t="shared" si="16"/>
        <v>0</v>
      </c>
      <c r="P159" s="247">
        <f t="shared" si="18"/>
        <v>3600</v>
      </c>
      <c r="Q159" s="536">
        <v>872811</v>
      </c>
    </row>
    <row r="160" spans="2:17" ht="12.75" customHeight="1" x14ac:dyDescent="0.25">
      <c r="B160" s="729" t="s">
        <v>4467</v>
      </c>
      <c r="C160" s="782" t="s">
        <v>4466</v>
      </c>
      <c r="D160" s="836">
        <v>250</v>
      </c>
      <c r="E160" s="299">
        <v>15.4</v>
      </c>
      <c r="F160" s="299">
        <f t="shared" si="10"/>
        <v>3850</v>
      </c>
      <c r="G160" s="730" t="s">
        <v>197</v>
      </c>
      <c r="O160" s="299">
        <f t="shared" si="16"/>
        <v>0</v>
      </c>
      <c r="P160" s="247">
        <f t="shared" si="18"/>
        <v>3850</v>
      </c>
      <c r="Q160" s="536">
        <v>872811</v>
      </c>
    </row>
    <row r="161" spans="2:17" ht="12.75" customHeight="1" x14ac:dyDescent="0.25">
      <c r="B161" s="729" t="s">
        <v>4467</v>
      </c>
      <c r="C161" s="782" t="s">
        <v>4466</v>
      </c>
      <c r="D161" s="836">
        <v>500</v>
      </c>
      <c r="E161" s="299">
        <v>15.4</v>
      </c>
      <c r="F161" s="299">
        <f t="shared" si="10"/>
        <v>7700</v>
      </c>
      <c r="G161" s="730" t="s">
        <v>197</v>
      </c>
      <c r="O161" s="299">
        <f t="shared" si="16"/>
        <v>0</v>
      </c>
      <c r="P161" s="247">
        <f t="shared" si="18"/>
        <v>7700</v>
      </c>
      <c r="Q161" s="536">
        <v>872811</v>
      </c>
    </row>
    <row r="162" spans="2:17" ht="12.75" customHeight="1" x14ac:dyDescent="0.25">
      <c r="B162" s="729" t="s">
        <v>4467</v>
      </c>
      <c r="C162" s="782" t="s">
        <v>4466</v>
      </c>
      <c r="D162" s="836">
        <v>750</v>
      </c>
      <c r="E162" s="299">
        <v>13.6</v>
      </c>
      <c r="F162" s="299">
        <f t="shared" si="10"/>
        <v>10200</v>
      </c>
      <c r="G162" s="730" t="s">
        <v>197</v>
      </c>
      <c r="O162" s="299">
        <f t="shared" si="16"/>
        <v>0</v>
      </c>
      <c r="P162" s="247">
        <f t="shared" si="18"/>
        <v>10200</v>
      </c>
      <c r="Q162" s="536">
        <v>872811</v>
      </c>
    </row>
    <row r="163" spans="2:17" ht="12.75" customHeight="1" x14ac:dyDescent="0.25">
      <c r="B163" s="729" t="s">
        <v>4467</v>
      </c>
      <c r="C163" s="782" t="s">
        <v>4466</v>
      </c>
      <c r="D163" s="836">
        <v>250</v>
      </c>
      <c r="E163" s="299">
        <v>13.45</v>
      </c>
      <c r="F163" s="299">
        <f t="shared" si="10"/>
        <v>3362.5</v>
      </c>
      <c r="G163" s="730" t="s">
        <v>197</v>
      </c>
      <c r="H163" s="225">
        <v>299.83999999999997</v>
      </c>
      <c r="I163" s="326">
        <v>79.64</v>
      </c>
      <c r="J163" s="326">
        <v>53.13</v>
      </c>
      <c r="K163" s="326">
        <v>0.3</v>
      </c>
      <c r="L163" s="326">
        <v>9.02</v>
      </c>
      <c r="M163" s="326">
        <v>13</v>
      </c>
      <c r="N163" s="326">
        <v>-0.01</v>
      </c>
      <c r="O163" s="299">
        <f t="shared" si="16"/>
        <v>454.91999999999996</v>
      </c>
      <c r="P163" s="247">
        <f t="shared" si="18"/>
        <v>3817.42</v>
      </c>
      <c r="Q163" s="536">
        <v>872811</v>
      </c>
    </row>
    <row r="164" spans="2:17" ht="12.75" customHeight="1" x14ac:dyDescent="0.25">
      <c r="B164" s="729" t="s">
        <v>4471</v>
      </c>
      <c r="C164" s="782" t="s">
        <v>4472</v>
      </c>
      <c r="D164" s="836">
        <v>250</v>
      </c>
      <c r="E164" s="299">
        <v>14.5</v>
      </c>
      <c r="F164" s="299">
        <f>D164*E164</f>
        <v>3625</v>
      </c>
      <c r="G164" s="730" t="s">
        <v>197</v>
      </c>
      <c r="O164" s="299">
        <f t="shared" ref="O164:O166" si="19">SUM(H164:N164)</f>
        <v>0</v>
      </c>
      <c r="P164" s="247">
        <f t="shared" ref="P164:P166" si="20">F164+O164</f>
        <v>3625</v>
      </c>
      <c r="Q164" s="536">
        <v>882929</v>
      </c>
    </row>
    <row r="165" spans="2:17" ht="12.75" customHeight="1" x14ac:dyDescent="0.25">
      <c r="B165" s="729" t="s">
        <v>4471</v>
      </c>
      <c r="C165" s="782" t="s">
        <v>4472</v>
      </c>
      <c r="D165" s="836">
        <v>250</v>
      </c>
      <c r="E165" s="299">
        <v>15.3</v>
      </c>
      <c r="F165" s="299">
        <f t="shared" ref="F165:F172" si="21">D165*E165</f>
        <v>3825</v>
      </c>
      <c r="G165" s="730" t="s">
        <v>197</v>
      </c>
      <c r="O165" s="299">
        <f t="shared" si="19"/>
        <v>0</v>
      </c>
      <c r="P165" s="247">
        <f t="shared" si="20"/>
        <v>3825</v>
      </c>
      <c r="Q165" s="536">
        <v>882929</v>
      </c>
    </row>
    <row r="166" spans="2:17" ht="12.75" customHeight="1" x14ac:dyDescent="0.25">
      <c r="B166" s="729" t="s">
        <v>4471</v>
      </c>
      <c r="C166" s="782" t="s">
        <v>4470</v>
      </c>
      <c r="D166" s="836">
        <v>2000</v>
      </c>
      <c r="E166" s="299">
        <v>1.6</v>
      </c>
      <c r="F166" s="299">
        <f t="shared" si="21"/>
        <v>3200</v>
      </c>
      <c r="G166" s="730" t="s">
        <v>197</v>
      </c>
      <c r="O166" s="299">
        <f t="shared" si="19"/>
        <v>0</v>
      </c>
      <c r="P166" s="247">
        <f t="shared" si="20"/>
        <v>3200</v>
      </c>
      <c r="Q166" s="536">
        <v>882929</v>
      </c>
    </row>
    <row r="167" spans="2:17" ht="12.75" customHeight="1" x14ac:dyDescent="0.25">
      <c r="B167" s="729" t="s">
        <v>4473</v>
      </c>
      <c r="C167" s="782" t="s">
        <v>4472</v>
      </c>
      <c r="D167" s="836">
        <v>500</v>
      </c>
      <c r="E167" s="299">
        <v>10.9</v>
      </c>
      <c r="F167" s="299">
        <f t="shared" si="21"/>
        <v>5450</v>
      </c>
      <c r="G167" s="730" t="s">
        <v>197</v>
      </c>
      <c r="O167" s="299">
        <f t="shared" ref="O167:O172" si="22">SUM(H167:N167)</f>
        <v>0</v>
      </c>
      <c r="P167" s="247">
        <f t="shared" ref="P167:P172" si="23">F167+O167</f>
        <v>5450</v>
      </c>
      <c r="Q167" s="536">
        <v>892227</v>
      </c>
    </row>
    <row r="168" spans="2:17" ht="12.75" customHeight="1" x14ac:dyDescent="0.25">
      <c r="B168" s="729" t="s">
        <v>4473</v>
      </c>
      <c r="C168" s="782" t="s">
        <v>4472</v>
      </c>
      <c r="D168" s="836">
        <v>500</v>
      </c>
      <c r="E168" s="299">
        <v>10.9</v>
      </c>
      <c r="F168" s="299">
        <f t="shared" si="21"/>
        <v>5450</v>
      </c>
      <c r="G168" s="730" t="s">
        <v>197</v>
      </c>
      <c r="O168" s="299">
        <f t="shared" si="22"/>
        <v>0</v>
      </c>
      <c r="P168" s="247">
        <f t="shared" si="23"/>
        <v>5450</v>
      </c>
      <c r="Q168" s="536">
        <v>892227</v>
      </c>
    </row>
    <row r="169" spans="2:17" ht="12.75" customHeight="1" x14ac:dyDescent="0.25">
      <c r="B169" s="729" t="s">
        <v>4473</v>
      </c>
      <c r="C169" s="782" t="s">
        <v>4472</v>
      </c>
      <c r="D169" s="836">
        <v>250</v>
      </c>
      <c r="E169" s="299">
        <v>10.9</v>
      </c>
      <c r="F169" s="299">
        <f t="shared" si="21"/>
        <v>2725</v>
      </c>
      <c r="G169" s="730" t="s">
        <v>197</v>
      </c>
      <c r="O169" s="299">
        <f t="shared" si="22"/>
        <v>0</v>
      </c>
      <c r="P169" s="247">
        <f t="shared" si="23"/>
        <v>2725</v>
      </c>
      <c r="Q169" s="536">
        <v>892227</v>
      </c>
    </row>
    <row r="170" spans="2:17" ht="12.75" customHeight="1" x14ac:dyDescent="0.25">
      <c r="B170" s="729" t="s">
        <v>4473</v>
      </c>
      <c r="C170" s="782" t="s">
        <v>4472</v>
      </c>
      <c r="D170" s="836">
        <v>500</v>
      </c>
      <c r="E170" s="299">
        <v>10.9</v>
      </c>
      <c r="F170" s="299">
        <f t="shared" si="21"/>
        <v>5450</v>
      </c>
      <c r="G170" s="730" t="s">
        <v>197</v>
      </c>
      <c r="O170" s="299">
        <f t="shared" si="22"/>
        <v>0</v>
      </c>
      <c r="P170" s="247">
        <f t="shared" si="23"/>
        <v>5450</v>
      </c>
      <c r="Q170" s="536">
        <v>892227</v>
      </c>
    </row>
    <row r="171" spans="2:17" ht="12.75" customHeight="1" x14ac:dyDescent="0.25">
      <c r="B171" s="729" t="s">
        <v>4473</v>
      </c>
      <c r="C171" s="782" t="s">
        <v>4472</v>
      </c>
      <c r="D171" s="836">
        <v>250</v>
      </c>
      <c r="E171" s="299">
        <v>10.9</v>
      </c>
      <c r="F171" s="299">
        <f t="shared" si="21"/>
        <v>2725</v>
      </c>
      <c r="G171" s="730" t="s">
        <v>197</v>
      </c>
      <c r="O171" s="299">
        <f t="shared" si="22"/>
        <v>0</v>
      </c>
      <c r="P171" s="247">
        <f t="shared" si="23"/>
        <v>2725</v>
      </c>
      <c r="Q171" s="536">
        <v>892227</v>
      </c>
    </row>
    <row r="172" spans="2:17" ht="12.75" customHeight="1" x14ac:dyDescent="0.25">
      <c r="B172" s="729" t="s">
        <v>4473</v>
      </c>
      <c r="C172" s="782" t="s">
        <v>4474</v>
      </c>
      <c r="D172" s="836">
        <v>4000</v>
      </c>
      <c r="E172" s="299">
        <v>1.8</v>
      </c>
      <c r="F172" s="299">
        <f t="shared" si="21"/>
        <v>7200</v>
      </c>
      <c r="G172" s="730" t="s">
        <v>197</v>
      </c>
      <c r="O172" s="299">
        <f t="shared" si="22"/>
        <v>0</v>
      </c>
      <c r="P172" s="247">
        <f t="shared" si="23"/>
        <v>7200</v>
      </c>
      <c r="Q172" s="536">
        <v>892227</v>
      </c>
    </row>
    <row r="173" spans="2:17" ht="12.75" customHeight="1" x14ac:dyDescent="0.25">
      <c r="B173" s="729" t="s">
        <v>4473</v>
      </c>
      <c r="C173" s="782" t="s">
        <v>4475</v>
      </c>
      <c r="D173" s="836">
        <v>25</v>
      </c>
      <c r="E173" s="299">
        <v>48</v>
      </c>
      <c r="F173" s="299">
        <f t="shared" ref="F173:F203" si="24">D173*E173</f>
        <v>1200</v>
      </c>
      <c r="G173" s="730" t="s">
        <v>197</v>
      </c>
      <c r="O173" s="299">
        <f>SUM(H173:N173)</f>
        <v>0</v>
      </c>
      <c r="P173" s="247">
        <f>F173+O173</f>
        <v>1200</v>
      </c>
      <c r="Q173" s="536">
        <v>892227</v>
      </c>
    </row>
    <row r="174" spans="2:17" ht="12.75" customHeight="1" x14ac:dyDescent="0.25">
      <c r="B174" s="729" t="s">
        <v>4473</v>
      </c>
      <c r="C174" s="782" t="s">
        <v>4475</v>
      </c>
      <c r="D174" s="836">
        <v>175</v>
      </c>
      <c r="E174" s="299">
        <v>48</v>
      </c>
      <c r="F174" s="299">
        <f t="shared" si="24"/>
        <v>8400</v>
      </c>
      <c r="G174" s="730" t="s">
        <v>197</v>
      </c>
      <c r="O174" s="299">
        <f>SUM(H174:N174)</f>
        <v>0</v>
      </c>
      <c r="P174" s="247">
        <f>F174+O174</f>
        <v>8400</v>
      </c>
      <c r="Q174" s="536">
        <v>892227</v>
      </c>
    </row>
    <row r="175" spans="2:17" ht="12.75" customHeight="1" x14ac:dyDescent="0.25">
      <c r="B175" s="729" t="s">
        <v>4473</v>
      </c>
      <c r="C175" s="782" t="s">
        <v>4470</v>
      </c>
      <c r="D175" s="836">
        <v>4000</v>
      </c>
      <c r="E175" s="299">
        <v>0.95</v>
      </c>
      <c r="F175" s="299">
        <f t="shared" si="24"/>
        <v>3800</v>
      </c>
      <c r="G175" s="730" t="s">
        <v>197</v>
      </c>
      <c r="O175" s="299">
        <f>SUM(H175:N175)</f>
        <v>0</v>
      </c>
      <c r="P175" s="247">
        <f>F175+O175</f>
        <v>3800</v>
      </c>
      <c r="Q175" s="536">
        <v>892227</v>
      </c>
    </row>
    <row r="176" spans="2:17" ht="12.75" customHeight="1" x14ac:dyDescent="0.25">
      <c r="B176" s="729" t="s">
        <v>4476</v>
      </c>
      <c r="C176" s="782" t="s">
        <v>4449</v>
      </c>
      <c r="D176" s="836">
        <v>500</v>
      </c>
      <c r="E176" s="299">
        <v>10</v>
      </c>
      <c r="F176" s="299">
        <f t="shared" si="24"/>
        <v>5000</v>
      </c>
      <c r="G176" s="730" t="s">
        <v>197</v>
      </c>
      <c r="O176" s="299">
        <f t="shared" ref="O176:O183" si="25">SUM(H176:N176)</f>
        <v>0</v>
      </c>
      <c r="P176" s="247">
        <f t="shared" ref="P176:P183" si="26">F176+O176</f>
        <v>5000</v>
      </c>
      <c r="Q176" s="536">
        <v>905683</v>
      </c>
    </row>
    <row r="177" spans="2:17" ht="12.75" customHeight="1" x14ac:dyDescent="0.25">
      <c r="B177" s="729" t="s">
        <v>4476</v>
      </c>
      <c r="C177" s="782" t="s">
        <v>4474</v>
      </c>
      <c r="D177" s="836">
        <v>2000</v>
      </c>
      <c r="E177" s="299">
        <v>1</v>
      </c>
      <c r="F177" s="299">
        <f t="shared" si="24"/>
        <v>2000</v>
      </c>
      <c r="G177" s="730" t="s">
        <v>197</v>
      </c>
      <c r="O177" s="299">
        <f t="shared" si="25"/>
        <v>0</v>
      </c>
      <c r="P177" s="247">
        <f t="shared" si="26"/>
        <v>2000</v>
      </c>
      <c r="Q177" s="536">
        <v>905683</v>
      </c>
    </row>
    <row r="178" spans="2:17" ht="12.75" customHeight="1" x14ac:dyDescent="0.25">
      <c r="B178" s="729" t="s">
        <v>4476</v>
      </c>
      <c r="C178" s="782" t="s">
        <v>4474</v>
      </c>
      <c r="D178" s="836">
        <v>4000</v>
      </c>
      <c r="E178" s="299">
        <v>1.1000000000000001</v>
      </c>
      <c r="F178" s="299">
        <f t="shared" si="24"/>
        <v>4400</v>
      </c>
      <c r="G178" s="730" t="s">
        <v>197</v>
      </c>
      <c r="O178" s="299">
        <f t="shared" si="25"/>
        <v>0</v>
      </c>
      <c r="P178" s="247">
        <f t="shared" si="26"/>
        <v>4400</v>
      </c>
      <c r="Q178" s="536">
        <v>905683</v>
      </c>
    </row>
    <row r="179" spans="2:17" ht="12.75" customHeight="1" x14ac:dyDescent="0.25">
      <c r="B179" s="729" t="s">
        <v>4476</v>
      </c>
      <c r="C179" s="782" t="s">
        <v>4474</v>
      </c>
      <c r="D179" s="836">
        <v>2000</v>
      </c>
      <c r="E179" s="299">
        <v>1.1000000000000001</v>
      </c>
      <c r="F179" s="299">
        <f t="shared" si="24"/>
        <v>2200</v>
      </c>
      <c r="G179" s="730" t="s">
        <v>197</v>
      </c>
      <c r="O179" s="299">
        <f t="shared" si="25"/>
        <v>0</v>
      </c>
      <c r="P179" s="247">
        <f t="shared" si="26"/>
        <v>2200</v>
      </c>
      <c r="Q179" s="536">
        <v>905683</v>
      </c>
    </row>
    <row r="180" spans="2:17" ht="12.75" customHeight="1" x14ac:dyDescent="0.25">
      <c r="B180" s="729" t="s">
        <v>4476</v>
      </c>
      <c r="C180" s="782" t="s">
        <v>4474</v>
      </c>
      <c r="D180" s="836">
        <v>2000</v>
      </c>
      <c r="E180" s="299">
        <v>1.05</v>
      </c>
      <c r="F180" s="299">
        <f t="shared" si="24"/>
        <v>2100</v>
      </c>
      <c r="G180" s="730" t="s">
        <v>197</v>
      </c>
      <c r="O180" s="299">
        <f t="shared" si="25"/>
        <v>0</v>
      </c>
      <c r="P180" s="247">
        <f t="shared" si="26"/>
        <v>2100</v>
      </c>
      <c r="Q180" s="536">
        <v>905683</v>
      </c>
    </row>
    <row r="181" spans="2:17" ht="12.75" customHeight="1" x14ac:dyDescent="0.25">
      <c r="B181" s="729" t="s">
        <v>4476</v>
      </c>
      <c r="C181" s="782" t="s">
        <v>4474</v>
      </c>
      <c r="D181" s="836">
        <v>2000</v>
      </c>
      <c r="E181" s="299">
        <v>2.25</v>
      </c>
      <c r="F181" s="299">
        <f t="shared" si="24"/>
        <v>4500</v>
      </c>
      <c r="G181" s="730" t="s">
        <v>197</v>
      </c>
      <c r="O181" s="299">
        <f t="shared" si="25"/>
        <v>0</v>
      </c>
      <c r="P181" s="247">
        <f t="shared" si="26"/>
        <v>4500</v>
      </c>
      <c r="Q181" s="536">
        <v>905683</v>
      </c>
    </row>
    <row r="182" spans="2:17" ht="12.75" customHeight="1" x14ac:dyDescent="0.25">
      <c r="B182" s="729" t="s">
        <v>4476</v>
      </c>
      <c r="C182" s="782" t="s">
        <v>4474</v>
      </c>
      <c r="D182" s="836">
        <v>2000</v>
      </c>
      <c r="E182" s="299">
        <v>2.2000000000000002</v>
      </c>
      <c r="F182" s="299">
        <f t="shared" si="24"/>
        <v>4400</v>
      </c>
      <c r="G182" s="730" t="s">
        <v>197</v>
      </c>
      <c r="O182" s="299">
        <f t="shared" si="25"/>
        <v>0</v>
      </c>
      <c r="P182" s="247">
        <f t="shared" si="26"/>
        <v>4400</v>
      </c>
      <c r="Q182" s="536">
        <v>905683</v>
      </c>
    </row>
    <row r="183" spans="2:17" ht="12.75" customHeight="1" x14ac:dyDescent="0.25">
      <c r="B183" s="729" t="s">
        <v>4476</v>
      </c>
      <c r="C183" s="782" t="s">
        <v>4477</v>
      </c>
      <c r="D183" s="836">
        <v>250</v>
      </c>
      <c r="E183" s="299">
        <v>42</v>
      </c>
      <c r="F183" s="299">
        <f t="shared" si="24"/>
        <v>10500</v>
      </c>
      <c r="G183" s="730" t="s">
        <v>197</v>
      </c>
      <c r="O183" s="299">
        <f t="shared" si="25"/>
        <v>0</v>
      </c>
      <c r="P183" s="247">
        <f t="shared" si="26"/>
        <v>10500</v>
      </c>
      <c r="Q183" s="536">
        <v>905683</v>
      </c>
    </row>
    <row r="184" spans="2:17" ht="12.75" customHeight="1" x14ac:dyDescent="0.25">
      <c r="B184" s="729" t="s">
        <v>4478</v>
      </c>
      <c r="C184" s="782" t="s">
        <v>4481</v>
      </c>
      <c r="D184" s="836">
        <v>25</v>
      </c>
      <c r="E184" s="299">
        <v>51.35</v>
      </c>
      <c r="F184" s="299">
        <f t="shared" si="24"/>
        <v>1283.75</v>
      </c>
      <c r="G184" s="730" t="s">
        <v>197</v>
      </c>
      <c r="O184" s="299">
        <f t="shared" ref="O184:O191" si="27">SUM(H184:N184)</f>
        <v>0</v>
      </c>
      <c r="P184" s="247">
        <f t="shared" ref="P184:P223" si="28">F184+O184</f>
        <v>1283.75</v>
      </c>
      <c r="Q184" s="536">
        <v>918448</v>
      </c>
    </row>
    <row r="185" spans="2:17" ht="12.75" customHeight="1" x14ac:dyDescent="0.25">
      <c r="B185" s="729" t="s">
        <v>4478</v>
      </c>
      <c r="C185" s="782" t="s">
        <v>4481</v>
      </c>
      <c r="D185" s="836">
        <v>125</v>
      </c>
      <c r="E185" s="299">
        <v>51.35</v>
      </c>
      <c r="F185" s="299">
        <f t="shared" si="24"/>
        <v>6418.75</v>
      </c>
      <c r="G185" s="730" t="s">
        <v>197</v>
      </c>
      <c r="O185" s="299">
        <f t="shared" si="27"/>
        <v>0</v>
      </c>
      <c r="P185" s="247">
        <f t="shared" si="28"/>
        <v>6418.75</v>
      </c>
      <c r="Q185" s="536">
        <v>918449</v>
      </c>
    </row>
    <row r="186" spans="2:17" ht="12.75" customHeight="1" x14ac:dyDescent="0.25">
      <c r="B186" s="729" t="s">
        <v>4478</v>
      </c>
      <c r="C186" s="782" t="s">
        <v>4481</v>
      </c>
      <c r="D186" s="836">
        <v>150</v>
      </c>
      <c r="E186" s="299">
        <v>51.35</v>
      </c>
      <c r="F186" s="299">
        <f t="shared" si="24"/>
        <v>7702.5</v>
      </c>
      <c r="G186" s="730" t="s">
        <v>197</v>
      </c>
      <c r="O186" s="299">
        <f t="shared" si="27"/>
        <v>0</v>
      </c>
      <c r="P186" s="247">
        <f t="shared" si="28"/>
        <v>7702.5</v>
      </c>
      <c r="Q186" s="536">
        <v>918450</v>
      </c>
    </row>
    <row r="187" spans="2:17" ht="12.75" customHeight="1" x14ac:dyDescent="0.25">
      <c r="B187" s="729" t="s">
        <v>4478</v>
      </c>
      <c r="C187" s="782" t="s">
        <v>4481</v>
      </c>
      <c r="D187" s="836">
        <v>25</v>
      </c>
      <c r="E187" s="299">
        <v>53.25</v>
      </c>
      <c r="F187" s="299">
        <f t="shared" si="24"/>
        <v>1331.25</v>
      </c>
      <c r="G187" s="730" t="s">
        <v>197</v>
      </c>
      <c r="O187" s="299">
        <f t="shared" si="27"/>
        <v>0</v>
      </c>
      <c r="P187" s="247">
        <f t="shared" si="28"/>
        <v>1331.25</v>
      </c>
      <c r="Q187" s="536">
        <v>918451</v>
      </c>
    </row>
    <row r="188" spans="2:17" ht="12.75" customHeight="1" x14ac:dyDescent="0.25">
      <c r="B188" s="729" t="s">
        <v>4478</v>
      </c>
      <c r="C188" s="782" t="s">
        <v>4481</v>
      </c>
      <c r="D188" s="836">
        <v>175</v>
      </c>
      <c r="E188" s="299">
        <v>53.25</v>
      </c>
      <c r="F188" s="299">
        <f t="shared" si="24"/>
        <v>9318.75</v>
      </c>
      <c r="G188" s="730" t="s">
        <v>197</v>
      </c>
      <c r="O188" s="299">
        <f>SUM(H188:N188)</f>
        <v>0</v>
      </c>
      <c r="P188" s="247">
        <f>F188+O188</f>
        <v>9318.75</v>
      </c>
      <c r="Q188" s="536">
        <v>918452</v>
      </c>
    </row>
    <row r="189" spans="2:17" ht="12.75" customHeight="1" x14ac:dyDescent="0.25">
      <c r="B189" s="729" t="s">
        <v>4478</v>
      </c>
      <c r="C189" s="782" t="s">
        <v>4482</v>
      </c>
      <c r="D189" s="836">
        <v>1000</v>
      </c>
      <c r="E189" s="299">
        <v>11.45</v>
      </c>
      <c r="F189" s="299">
        <f t="shared" si="24"/>
        <v>11450</v>
      </c>
      <c r="G189" s="730" t="s">
        <v>197</v>
      </c>
      <c r="O189" s="299">
        <f t="shared" si="27"/>
        <v>0</v>
      </c>
      <c r="P189" s="247">
        <f t="shared" si="28"/>
        <v>11450</v>
      </c>
      <c r="Q189" s="536">
        <v>918461</v>
      </c>
    </row>
    <row r="190" spans="2:17" ht="12.75" customHeight="1" x14ac:dyDescent="0.25">
      <c r="B190" s="729" t="s">
        <v>4478</v>
      </c>
      <c r="C190" s="782" t="s">
        <v>4482</v>
      </c>
      <c r="D190" s="836">
        <v>250</v>
      </c>
      <c r="E190" s="299">
        <v>12.35</v>
      </c>
      <c r="F190" s="299">
        <f t="shared" si="24"/>
        <v>3087.5</v>
      </c>
      <c r="G190" s="730" t="s">
        <v>197</v>
      </c>
      <c r="O190" s="299">
        <f t="shared" si="27"/>
        <v>0</v>
      </c>
      <c r="P190" s="247">
        <f t="shared" si="28"/>
        <v>3087.5</v>
      </c>
      <c r="Q190" s="536">
        <v>918462</v>
      </c>
    </row>
    <row r="191" spans="2:17" ht="12.75" customHeight="1" x14ac:dyDescent="0.25">
      <c r="B191" s="729" t="s">
        <v>4478</v>
      </c>
      <c r="C191" s="782" t="s">
        <v>4482</v>
      </c>
      <c r="D191" s="836">
        <v>250</v>
      </c>
      <c r="E191" s="299">
        <v>12.35</v>
      </c>
      <c r="F191" s="299">
        <f t="shared" si="24"/>
        <v>3087.5</v>
      </c>
      <c r="G191" s="730" t="s">
        <v>197</v>
      </c>
      <c r="H191" s="326">
        <v>160</v>
      </c>
      <c r="I191" s="326">
        <v>39.67</v>
      </c>
      <c r="J191" s="326">
        <v>27.96</v>
      </c>
      <c r="K191" s="326">
        <v>0.15</v>
      </c>
      <c r="L191" s="326">
        <v>4.49</v>
      </c>
      <c r="M191" s="326">
        <v>5</v>
      </c>
      <c r="O191" s="299">
        <f t="shared" si="27"/>
        <v>237.27000000000004</v>
      </c>
      <c r="P191" s="247">
        <f t="shared" si="28"/>
        <v>3324.77</v>
      </c>
      <c r="Q191" s="536">
        <v>918463</v>
      </c>
    </row>
    <row r="192" spans="2:17" ht="12.75" customHeight="1" x14ac:dyDescent="0.25">
      <c r="B192" s="729" t="s">
        <v>4483</v>
      </c>
      <c r="C192" s="782" t="s">
        <v>4482</v>
      </c>
      <c r="D192" s="836">
        <v>250</v>
      </c>
      <c r="E192" s="299">
        <v>9</v>
      </c>
      <c r="F192" s="299">
        <f t="shared" si="24"/>
        <v>2250</v>
      </c>
      <c r="G192" s="730" t="s">
        <v>197</v>
      </c>
      <c r="O192" s="299">
        <f t="shared" ref="O192:O193" si="29">SUM(H192:N192)</f>
        <v>0</v>
      </c>
      <c r="P192" s="247">
        <f t="shared" si="28"/>
        <v>2250</v>
      </c>
      <c r="Q192" s="536">
        <v>930725</v>
      </c>
    </row>
    <row r="193" spans="2:17" ht="12.75" customHeight="1" x14ac:dyDescent="0.25">
      <c r="B193" s="729" t="s">
        <v>4483</v>
      </c>
      <c r="C193" s="782" t="s">
        <v>4482</v>
      </c>
      <c r="D193" s="836">
        <v>250</v>
      </c>
      <c r="E193" s="299">
        <v>9.5</v>
      </c>
      <c r="F193" s="299">
        <f t="shared" si="24"/>
        <v>2375</v>
      </c>
      <c r="G193" s="730" t="s">
        <v>197</v>
      </c>
      <c r="H193" s="326">
        <v>20</v>
      </c>
      <c r="I193" s="326">
        <v>2.4500000000000002</v>
      </c>
      <c r="J193" s="326">
        <v>3.14</v>
      </c>
      <c r="K193" s="326">
        <v>0.01</v>
      </c>
      <c r="L193" s="326">
        <v>1</v>
      </c>
      <c r="M193" s="326">
        <v>0</v>
      </c>
      <c r="O193" s="299">
        <f t="shared" si="29"/>
        <v>26.6</v>
      </c>
      <c r="P193" s="247">
        <f t="shared" si="28"/>
        <v>2401.6</v>
      </c>
      <c r="Q193" s="536">
        <v>930725</v>
      </c>
    </row>
    <row r="194" spans="2:17" ht="12.75" customHeight="1" x14ac:dyDescent="0.25">
      <c r="B194" s="729" t="s">
        <v>4486</v>
      </c>
      <c r="C194" s="782" t="s">
        <v>4485</v>
      </c>
      <c r="D194" s="836">
        <v>500</v>
      </c>
      <c r="E194" s="299">
        <v>11</v>
      </c>
      <c r="F194" s="299">
        <f t="shared" si="24"/>
        <v>5500</v>
      </c>
      <c r="G194" s="730" t="s">
        <v>197</v>
      </c>
      <c r="O194" s="299">
        <f t="shared" ref="O194:O196" si="30">SUM(H194:N194)</f>
        <v>0</v>
      </c>
      <c r="P194" s="247">
        <f t="shared" si="28"/>
        <v>5500</v>
      </c>
      <c r="Q194" s="536">
        <v>941598</v>
      </c>
    </row>
    <row r="195" spans="2:17" ht="12.75" customHeight="1" x14ac:dyDescent="0.25">
      <c r="B195" s="729" t="s">
        <v>4486</v>
      </c>
      <c r="C195" s="782" t="s">
        <v>4485</v>
      </c>
      <c r="D195" s="836">
        <v>500</v>
      </c>
      <c r="E195" s="299">
        <v>11</v>
      </c>
      <c r="F195" s="299">
        <f t="shared" si="24"/>
        <v>5500</v>
      </c>
      <c r="G195" s="730" t="s">
        <v>197</v>
      </c>
      <c r="O195" s="299">
        <f t="shared" si="30"/>
        <v>0</v>
      </c>
      <c r="P195" s="247">
        <f t="shared" si="28"/>
        <v>5500</v>
      </c>
      <c r="Q195" s="536">
        <v>941598</v>
      </c>
    </row>
    <row r="196" spans="2:17" ht="12.75" customHeight="1" x14ac:dyDescent="0.25">
      <c r="B196" s="729" t="s">
        <v>4486</v>
      </c>
      <c r="C196" s="782" t="s">
        <v>4485</v>
      </c>
      <c r="D196" s="836">
        <v>500</v>
      </c>
      <c r="E196" s="299">
        <v>10</v>
      </c>
      <c r="F196" s="299">
        <f t="shared" si="24"/>
        <v>5000</v>
      </c>
      <c r="G196" s="730" t="s">
        <v>197</v>
      </c>
      <c r="O196" s="299">
        <f t="shared" si="30"/>
        <v>0</v>
      </c>
      <c r="P196" s="247">
        <f t="shared" si="28"/>
        <v>5000</v>
      </c>
      <c r="Q196" s="536">
        <v>941598</v>
      </c>
    </row>
    <row r="197" spans="2:17" ht="12.75" customHeight="1" x14ac:dyDescent="0.25">
      <c r="B197" s="729" t="s">
        <v>4487</v>
      </c>
      <c r="C197" s="782" t="s">
        <v>4488</v>
      </c>
      <c r="D197" s="836">
        <v>175</v>
      </c>
      <c r="E197" s="299">
        <v>42.75</v>
      </c>
      <c r="F197" s="299">
        <f t="shared" si="24"/>
        <v>7481.25</v>
      </c>
      <c r="G197" s="730" t="s">
        <v>197</v>
      </c>
      <c r="O197" s="299">
        <f t="shared" ref="O197" si="31">SUM(H197:N197)</f>
        <v>0</v>
      </c>
      <c r="P197" s="247">
        <f t="shared" si="28"/>
        <v>7481.25</v>
      </c>
      <c r="Q197" s="536">
        <v>952505</v>
      </c>
    </row>
    <row r="198" spans="2:17" ht="12.75" customHeight="1" x14ac:dyDescent="0.25">
      <c r="B198" s="729" t="s">
        <v>4487</v>
      </c>
      <c r="C198" s="782" t="s">
        <v>4489</v>
      </c>
      <c r="D198" s="836">
        <v>150</v>
      </c>
      <c r="E198" s="299">
        <v>13.65</v>
      </c>
      <c r="F198" s="299">
        <f t="shared" si="24"/>
        <v>2047.5</v>
      </c>
      <c r="G198" s="730" t="s">
        <v>197</v>
      </c>
      <c r="O198" s="299">
        <f t="shared" ref="O198:O203" si="32">SUM(H198:N198)</f>
        <v>0</v>
      </c>
      <c r="P198" s="247">
        <f t="shared" si="28"/>
        <v>2047.5</v>
      </c>
      <c r="Q198" s="536">
        <v>952507</v>
      </c>
    </row>
    <row r="199" spans="2:17" ht="12.75" customHeight="1" x14ac:dyDescent="0.25">
      <c r="B199" s="729" t="s">
        <v>4487</v>
      </c>
      <c r="C199" s="782" t="s">
        <v>4489</v>
      </c>
      <c r="D199" s="836">
        <v>100</v>
      </c>
      <c r="E199" s="299">
        <v>13.65</v>
      </c>
      <c r="F199" s="299">
        <f t="shared" si="24"/>
        <v>1365</v>
      </c>
      <c r="G199" s="730" t="s">
        <v>197</v>
      </c>
      <c r="O199" s="299">
        <f t="shared" si="32"/>
        <v>0</v>
      </c>
      <c r="P199" s="247">
        <f t="shared" si="28"/>
        <v>1365</v>
      </c>
      <c r="Q199" s="536">
        <v>952508</v>
      </c>
    </row>
    <row r="200" spans="2:17" ht="12.75" customHeight="1" x14ac:dyDescent="0.25">
      <c r="B200" s="729" t="s">
        <v>4487</v>
      </c>
      <c r="C200" s="782" t="s">
        <v>4489</v>
      </c>
      <c r="D200" s="836">
        <v>25</v>
      </c>
      <c r="E200" s="299">
        <v>13.7</v>
      </c>
      <c r="F200" s="299">
        <f t="shared" si="24"/>
        <v>342.5</v>
      </c>
      <c r="G200" s="730" t="s">
        <v>197</v>
      </c>
      <c r="O200" s="299">
        <f t="shared" si="32"/>
        <v>0</v>
      </c>
      <c r="P200" s="247">
        <f t="shared" si="28"/>
        <v>342.5</v>
      </c>
      <c r="Q200" s="536">
        <v>952509</v>
      </c>
    </row>
    <row r="201" spans="2:17" ht="12.75" customHeight="1" x14ac:dyDescent="0.25">
      <c r="B201" s="729" t="s">
        <v>4487</v>
      </c>
      <c r="C201" s="782" t="s">
        <v>4489</v>
      </c>
      <c r="D201" s="836">
        <v>125</v>
      </c>
      <c r="E201" s="299">
        <v>13.7</v>
      </c>
      <c r="F201" s="299">
        <f t="shared" si="24"/>
        <v>1712.5</v>
      </c>
      <c r="G201" s="730" t="s">
        <v>197</v>
      </c>
      <c r="O201" s="299">
        <f t="shared" si="32"/>
        <v>0</v>
      </c>
      <c r="P201" s="247">
        <f t="shared" si="28"/>
        <v>1712.5</v>
      </c>
      <c r="Q201" s="536">
        <v>952510</v>
      </c>
    </row>
    <row r="202" spans="2:17" ht="12.75" customHeight="1" x14ac:dyDescent="0.25">
      <c r="B202" s="729" t="s">
        <v>4487</v>
      </c>
      <c r="C202" s="782" t="s">
        <v>4489</v>
      </c>
      <c r="D202" s="836">
        <v>25</v>
      </c>
      <c r="E202" s="299">
        <v>13.8</v>
      </c>
      <c r="F202" s="299">
        <f t="shared" si="24"/>
        <v>345</v>
      </c>
      <c r="G202" s="730" t="s">
        <v>197</v>
      </c>
      <c r="O202" s="299">
        <f t="shared" si="32"/>
        <v>0</v>
      </c>
      <c r="P202" s="247">
        <f t="shared" si="28"/>
        <v>345</v>
      </c>
      <c r="Q202" s="536">
        <v>952513</v>
      </c>
    </row>
    <row r="203" spans="2:17" ht="12.75" customHeight="1" x14ac:dyDescent="0.25">
      <c r="B203" s="729" t="s">
        <v>4487</v>
      </c>
      <c r="C203" s="782" t="s">
        <v>4489</v>
      </c>
      <c r="D203" s="836">
        <v>75</v>
      </c>
      <c r="E203" s="299">
        <v>13.8</v>
      </c>
      <c r="F203" s="299">
        <f t="shared" si="24"/>
        <v>1035</v>
      </c>
      <c r="G203" s="730" t="s">
        <v>197</v>
      </c>
      <c r="O203" s="299">
        <f t="shared" si="32"/>
        <v>0</v>
      </c>
      <c r="P203" s="247">
        <f t="shared" si="28"/>
        <v>1035</v>
      </c>
      <c r="Q203" s="536">
        <v>952514</v>
      </c>
    </row>
    <row r="204" spans="2:17" ht="12.75" customHeight="1" x14ac:dyDescent="0.25">
      <c r="B204" s="729" t="s">
        <v>4487</v>
      </c>
      <c r="C204" s="782" t="s">
        <v>4489</v>
      </c>
      <c r="D204" s="836">
        <v>125</v>
      </c>
      <c r="E204" s="299">
        <v>9.0500000000000007</v>
      </c>
      <c r="F204" s="299">
        <f t="shared" ref="F204:F216" si="33">D204*E204</f>
        <v>1131.25</v>
      </c>
      <c r="G204" s="730" t="s">
        <v>197</v>
      </c>
      <c r="O204" s="299">
        <f>SUM(H204:N204)</f>
        <v>0</v>
      </c>
      <c r="P204" s="247">
        <f t="shared" si="28"/>
        <v>1131.25</v>
      </c>
      <c r="Q204" s="536">
        <v>952511</v>
      </c>
    </row>
    <row r="205" spans="2:17" ht="12.75" customHeight="1" x14ac:dyDescent="0.25">
      <c r="B205" s="729" t="s">
        <v>4487</v>
      </c>
      <c r="C205" s="782" t="s">
        <v>4489</v>
      </c>
      <c r="D205" s="836">
        <v>75</v>
      </c>
      <c r="E205" s="299">
        <v>9.1</v>
      </c>
      <c r="F205" s="299">
        <f t="shared" si="33"/>
        <v>682.5</v>
      </c>
      <c r="G205" s="730" t="s">
        <v>197</v>
      </c>
      <c r="O205" s="299">
        <f>SUM(H205:N205)</f>
        <v>0</v>
      </c>
      <c r="P205" s="247">
        <f t="shared" si="28"/>
        <v>682.5</v>
      </c>
      <c r="Q205" s="536">
        <v>952512</v>
      </c>
    </row>
    <row r="206" spans="2:17" ht="12.75" customHeight="1" x14ac:dyDescent="0.25">
      <c r="B206" s="729" t="s">
        <v>4490</v>
      </c>
      <c r="C206" s="782" t="s">
        <v>4491</v>
      </c>
      <c r="D206" s="836">
        <v>125</v>
      </c>
      <c r="E206" s="299">
        <v>54</v>
      </c>
      <c r="F206" s="299">
        <f t="shared" si="33"/>
        <v>6750</v>
      </c>
      <c r="G206" s="730" t="s">
        <v>197</v>
      </c>
      <c r="H206" s="326">
        <v>20</v>
      </c>
      <c r="I206" s="326">
        <v>3.58</v>
      </c>
      <c r="J206" s="326">
        <v>3.3</v>
      </c>
      <c r="K206" s="326">
        <v>0.01</v>
      </c>
      <c r="L206" s="326">
        <v>1</v>
      </c>
      <c r="M206" s="326">
        <v>0</v>
      </c>
      <c r="O206" s="299">
        <f>SUM(H206:N206)</f>
        <v>27.89</v>
      </c>
      <c r="P206" s="247">
        <f t="shared" si="28"/>
        <v>6777.89</v>
      </c>
      <c r="Q206" s="536">
        <v>963920</v>
      </c>
    </row>
    <row r="207" spans="2:17" ht="12.75" customHeight="1" x14ac:dyDescent="0.25">
      <c r="B207" s="729" t="s">
        <v>4492</v>
      </c>
      <c r="C207" s="782" t="s">
        <v>4493</v>
      </c>
      <c r="D207" s="836">
        <v>2000</v>
      </c>
      <c r="E207" s="299">
        <v>3.2</v>
      </c>
      <c r="F207" s="299">
        <f t="shared" si="33"/>
        <v>6400</v>
      </c>
      <c r="G207" s="730" t="s">
        <v>197</v>
      </c>
      <c r="O207" s="299">
        <f t="shared" ref="O207:O219" si="34">SUM(H207:N207)</f>
        <v>0</v>
      </c>
      <c r="P207" s="247">
        <f t="shared" si="28"/>
        <v>6400</v>
      </c>
      <c r="Q207" s="536">
        <v>973074</v>
      </c>
    </row>
    <row r="208" spans="2:17" ht="12.75" customHeight="1" x14ac:dyDescent="0.25">
      <c r="B208" s="729" t="s">
        <v>4492</v>
      </c>
      <c r="C208" s="782" t="s">
        <v>4493</v>
      </c>
      <c r="D208" s="836">
        <v>2000</v>
      </c>
      <c r="E208" s="299">
        <v>3.1</v>
      </c>
      <c r="F208" s="299">
        <f t="shared" si="33"/>
        <v>6200</v>
      </c>
      <c r="G208" s="730" t="s">
        <v>197</v>
      </c>
      <c r="O208" s="299">
        <f t="shared" si="34"/>
        <v>0</v>
      </c>
      <c r="P208" s="247">
        <f t="shared" si="28"/>
        <v>6200</v>
      </c>
      <c r="Q208" s="536">
        <v>973074</v>
      </c>
    </row>
    <row r="209" spans="2:17" ht="12.75" customHeight="1" x14ac:dyDescent="0.25">
      <c r="B209" s="729" t="s">
        <v>4492</v>
      </c>
      <c r="C209" s="782" t="s">
        <v>4493</v>
      </c>
      <c r="D209" s="836">
        <v>2000</v>
      </c>
      <c r="E209" s="299">
        <v>2.4500000000000002</v>
      </c>
      <c r="F209" s="299">
        <f t="shared" si="33"/>
        <v>4900</v>
      </c>
      <c r="G209" s="730" t="s">
        <v>197</v>
      </c>
      <c r="O209" s="299">
        <f t="shared" si="34"/>
        <v>0</v>
      </c>
      <c r="P209" s="247">
        <f t="shared" si="28"/>
        <v>4900</v>
      </c>
      <c r="Q209" s="536">
        <v>973074</v>
      </c>
    </row>
    <row r="210" spans="2:17" ht="12.75" customHeight="1" x14ac:dyDescent="0.25">
      <c r="B210" s="729" t="s">
        <v>4492</v>
      </c>
      <c r="C210" s="782" t="s">
        <v>4493</v>
      </c>
      <c r="D210" s="836">
        <v>2000</v>
      </c>
      <c r="E210" s="299">
        <v>2.4500000000000002</v>
      </c>
      <c r="F210" s="299">
        <f t="shared" si="33"/>
        <v>4900</v>
      </c>
      <c r="G210" s="730" t="s">
        <v>197</v>
      </c>
      <c r="O210" s="299">
        <f t="shared" si="34"/>
        <v>0</v>
      </c>
      <c r="P210" s="247">
        <f t="shared" si="28"/>
        <v>4900</v>
      </c>
      <c r="Q210" s="536">
        <v>973074</v>
      </c>
    </row>
    <row r="211" spans="2:17" ht="12.75" customHeight="1" x14ac:dyDescent="0.25">
      <c r="B211" s="729" t="s">
        <v>4492</v>
      </c>
      <c r="C211" s="782" t="s">
        <v>4491</v>
      </c>
      <c r="D211" s="836">
        <v>125</v>
      </c>
      <c r="E211" s="299">
        <v>37</v>
      </c>
      <c r="F211" s="299">
        <f t="shared" si="33"/>
        <v>4625</v>
      </c>
      <c r="G211" s="730" t="s">
        <v>197</v>
      </c>
      <c r="O211" s="299">
        <f t="shared" si="34"/>
        <v>0</v>
      </c>
      <c r="P211" s="247">
        <f t="shared" si="28"/>
        <v>4625</v>
      </c>
      <c r="Q211" s="536">
        <v>973074</v>
      </c>
    </row>
    <row r="212" spans="2:17" ht="12.75" customHeight="1" x14ac:dyDescent="0.25">
      <c r="B212" s="729" t="s">
        <v>4492</v>
      </c>
      <c r="C212" s="782" t="s">
        <v>4494</v>
      </c>
      <c r="D212" s="836">
        <v>25</v>
      </c>
      <c r="E212" s="299">
        <v>119.45</v>
      </c>
      <c r="F212" s="299">
        <f t="shared" si="33"/>
        <v>2986.25</v>
      </c>
      <c r="G212" s="730" t="s">
        <v>197</v>
      </c>
      <c r="O212" s="299">
        <f t="shared" si="34"/>
        <v>0</v>
      </c>
      <c r="P212" s="247">
        <f t="shared" si="28"/>
        <v>2986.25</v>
      </c>
      <c r="Q212" s="536">
        <v>973074</v>
      </c>
    </row>
    <row r="213" spans="2:17" ht="12.75" customHeight="1" x14ac:dyDescent="0.25">
      <c r="B213" s="729" t="s">
        <v>4492</v>
      </c>
      <c r="C213" s="782" t="s">
        <v>4494</v>
      </c>
      <c r="D213" s="836">
        <v>25</v>
      </c>
      <c r="E213" s="299">
        <v>119.45</v>
      </c>
      <c r="F213" s="299">
        <f t="shared" si="33"/>
        <v>2986.25</v>
      </c>
      <c r="G213" s="730" t="s">
        <v>197</v>
      </c>
      <c r="O213" s="299">
        <f t="shared" si="34"/>
        <v>0</v>
      </c>
      <c r="P213" s="247">
        <f t="shared" si="28"/>
        <v>2986.25</v>
      </c>
      <c r="Q213" s="536">
        <v>973074</v>
      </c>
    </row>
    <row r="214" spans="2:17" ht="12.75" customHeight="1" x14ac:dyDescent="0.25">
      <c r="B214" s="729" t="s">
        <v>4492</v>
      </c>
      <c r="C214" s="782" t="s">
        <v>4494</v>
      </c>
      <c r="D214" s="836">
        <v>50</v>
      </c>
      <c r="E214" s="299">
        <v>119.45</v>
      </c>
      <c r="F214" s="299">
        <f t="shared" si="33"/>
        <v>5972.5</v>
      </c>
      <c r="G214" s="730" t="s">
        <v>197</v>
      </c>
      <c r="O214" s="299">
        <f t="shared" si="34"/>
        <v>0</v>
      </c>
      <c r="P214" s="247">
        <f t="shared" si="28"/>
        <v>5972.5</v>
      </c>
      <c r="Q214" s="536">
        <v>973074</v>
      </c>
    </row>
    <row r="215" spans="2:17" ht="12.75" customHeight="1" x14ac:dyDescent="0.25">
      <c r="B215" s="729" t="s">
        <v>4492</v>
      </c>
      <c r="C215" s="782" t="s">
        <v>4494</v>
      </c>
      <c r="D215" s="836">
        <v>50</v>
      </c>
      <c r="E215" s="299">
        <v>117</v>
      </c>
      <c r="F215" s="299">
        <f t="shared" si="33"/>
        <v>5850</v>
      </c>
      <c r="G215" s="730" t="s">
        <v>197</v>
      </c>
      <c r="O215" s="299">
        <f t="shared" si="34"/>
        <v>0</v>
      </c>
      <c r="P215" s="247">
        <f t="shared" si="28"/>
        <v>5850</v>
      </c>
      <c r="Q215" s="536">
        <v>973074</v>
      </c>
    </row>
    <row r="216" spans="2:17" ht="12.75" customHeight="1" x14ac:dyDescent="0.25">
      <c r="B216" s="729" t="s">
        <v>4492</v>
      </c>
      <c r="C216" s="782" t="s">
        <v>4494</v>
      </c>
      <c r="D216" s="836">
        <v>100</v>
      </c>
      <c r="E216" s="299">
        <v>126.2</v>
      </c>
      <c r="F216" s="299">
        <f t="shared" si="33"/>
        <v>12620</v>
      </c>
      <c r="G216" s="730" t="s">
        <v>197</v>
      </c>
      <c r="O216" s="299">
        <f t="shared" ref="O216" si="35">SUM(H216:N216)</f>
        <v>0</v>
      </c>
      <c r="P216" s="247">
        <f t="shared" si="28"/>
        <v>12620</v>
      </c>
      <c r="Q216" s="536">
        <v>973074</v>
      </c>
    </row>
    <row r="217" spans="2:17" ht="12.75" customHeight="1" x14ac:dyDescent="0.25">
      <c r="B217" s="729" t="s">
        <v>4492</v>
      </c>
      <c r="C217" s="782" t="s">
        <v>4495</v>
      </c>
      <c r="D217" s="836">
        <v>500</v>
      </c>
      <c r="E217" s="299">
        <v>7.6</v>
      </c>
      <c r="F217" s="299">
        <f t="shared" ref="F217:F233" si="36">D217*E217</f>
        <v>3800</v>
      </c>
      <c r="G217" s="730" t="s">
        <v>197</v>
      </c>
      <c r="O217" s="299">
        <f t="shared" si="34"/>
        <v>0</v>
      </c>
      <c r="P217" s="247">
        <f t="shared" si="28"/>
        <v>3800</v>
      </c>
      <c r="Q217" s="536">
        <v>973074</v>
      </c>
    </row>
    <row r="218" spans="2:17" ht="12.75" customHeight="1" x14ac:dyDescent="0.25">
      <c r="B218" s="729" t="s">
        <v>4492</v>
      </c>
      <c r="C218" s="782" t="s">
        <v>4495</v>
      </c>
      <c r="D218" s="836">
        <v>500</v>
      </c>
      <c r="E218" s="299">
        <v>7.6</v>
      </c>
      <c r="F218" s="299">
        <f t="shared" si="36"/>
        <v>3800</v>
      </c>
      <c r="G218" s="730" t="s">
        <v>197</v>
      </c>
      <c r="O218" s="299">
        <f t="shared" si="34"/>
        <v>0</v>
      </c>
      <c r="P218" s="247">
        <f t="shared" si="28"/>
        <v>3800</v>
      </c>
      <c r="Q218" s="536">
        <v>973074</v>
      </c>
    </row>
    <row r="219" spans="2:17" ht="12.75" customHeight="1" x14ac:dyDescent="0.25">
      <c r="B219" s="729" t="s">
        <v>4492</v>
      </c>
      <c r="C219" s="782" t="s">
        <v>4495</v>
      </c>
      <c r="D219" s="836">
        <v>500</v>
      </c>
      <c r="E219" s="299">
        <v>7.5</v>
      </c>
      <c r="F219" s="299">
        <f t="shared" si="36"/>
        <v>3750</v>
      </c>
      <c r="G219" s="730" t="s">
        <v>197</v>
      </c>
      <c r="H219" s="326">
        <v>244.64</v>
      </c>
      <c r="I219" s="326">
        <v>50.99</v>
      </c>
      <c r="J219" s="326">
        <v>41.39</v>
      </c>
      <c r="K219" s="326">
        <v>0.19</v>
      </c>
      <c r="L219" s="326">
        <v>5.77</v>
      </c>
      <c r="M219" s="326">
        <v>5</v>
      </c>
      <c r="N219" s="326">
        <v>0.01</v>
      </c>
      <c r="O219" s="299">
        <f t="shared" si="34"/>
        <v>347.98999999999995</v>
      </c>
      <c r="P219" s="247">
        <f t="shared" si="28"/>
        <v>4097.99</v>
      </c>
      <c r="Q219" s="536">
        <v>973074</v>
      </c>
    </row>
    <row r="220" spans="2:17" ht="12.75" customHeight="1" x14ac:dyDescent="0.25">
      <c r="B220" s="729" t="s">
        <v>4502</v>
      </c>
      <c r="C220" s="711" t="s">
        <v>4503</v>
      </c>
      <c r="D220" s="836">
        <v>2000</v>
      </c>
      <c r="E220" s="299">
        <v>4.3</v>
      </c>
      <c r="F220" s="299">
        <f t="shared" si="36"/>
        <v>8600</v>
      </c>
      <c r="G220" s="730" t="s">
        <v>197</v>
      </c>
      <c r="O220" s="299">
        <f t="shared" ref="O220:O223" si="37">SUM(H220:N220)</f>
        <v>0</v>
      </c>
      <c r="P220" s="247">
        <f t="shared" si="28"/>
        <v>8600</v>
      </c>
      <c r="Q220" s="536">
        <v>985435</v>
      </c>
    </row>
    <row r="221" spans="2:17" ht="12.75" customHeight="1" x14ac:dyDescent="0.25">
      <c r="B221" s="729" t="s">
        <v>4502</v>
      </c>
      <c r="C221" s="711" t="s">
        <v>4503</v>
      </c>
      <c r="D221" s="836">
        <v>2000</v>
      </c>
      <c r="E221" s="299">
        <v>4.3</v>
      </c>
      <c r="F221" s="299">
        <f t="shared" si="36"/>
        <v>8600</v>
      </c>
      <c r="G221" s="730" t="s">
        <v>197</v>
      </c>
      <c r="O221" s="299">
        <f t="shared" si="37"/>
        <v>0</v>
      </c>
      <c r="P221" s="247">
        <f t="shared" si="28"/>
        <v>8600</v>
      </c>
      <c r="Q221" s="536">
        <v>985435</v>
      </c>
    </row>
    <row r="222" spans="2:17" ht="12.75" customHeight="1" x14ac:dyDescent="0.25">
      <c r="B222" s="729" t="s">
        <v>4502</v>
      </c>
      <c r="C222" s="782" t="s">
        <v>4493</v>
      </c>
      <c r="D222" s="836">
        <v>2000</v>
      </c>
      <c r="E222" s="299">
        <v>1.95</v>
      </c>
      <c r="F222" s="299">
        <f t="shared" si="36"/>
        <v>3900</v>
      </c>
      <c r="G222" s="730" t="s">
        <v>197</v>
      </c>
      <c r="O222" s="299">
        <f t="shared" si="37"/>
        <v>0</v>
      </c>
      <c r="P222" s="247">
        <f t="shared" si="28"/>
        <v>3900</v>
      </c>
      <c r="Q222" s="536">
        <v>985435</v>
      </c>
    </row>
    <row r="223" spans="2:17" ht="12.75" customHeight="1" x14ac:dyDescent="0.25">
      <c r="B223" s="729" t="s">
        <v>4502</v>
      </c>
      <c r="C223" s="782" t="s">
        <v>4493</v>
      </c>
      <c r="D223" s="836">
        <v>2000</v>
      </c>
      <c r="E223" s="299">
        <v>1.95</v>
      </c>
      <c r="F223" s="299">
        <f t="shared" si="36"/>
        <v>3900</v>
      </c>
      <c r="G223" s="730" t="s">
        <v>197</v>
      </c>
      <c r="O223" s="299">
        <f t="shared" si="37"/>
        <v>0</v>
      </c>
      <c r="P223" s="247">
        <f t="shared" si="28"/>
        <v>3900</v>
      </c>
      <c r="Q223" s="536">
        <v>985435</v>
      </c>
    </row>
    <row r="224" spans="2:17" ht="12.75" customHeight="1" x14ac:dyDescent="0.25">
      <c r="B224" s="729" t="s">
        <v>4505</v>
      </c>
      <c r="C224" s="782" t="s">
        <v>4504</v>
      </c>
      <c r="D224" s="836">
        <v>11000</v>
      </c>
      <c r="E224" s="299">
        <v>0.25</v>
      </c>
      <c r="F224" s="299">
        <f t="shared" si="36"/>
        <v>2750</v>
      </c>
      <c r="G224" s="730" t="s">
        <v>197</v>
      </c>
      <c r="O224" s="299">
        <f t="shared" ref="O224:O226" si="38">SUM(H224:N224)</f>
        <v>0</v>
      </c>
      <c r="P224" s="247">
        <f t="shared" ref="P224:P226" si="39">F224+O224</f>
        <v>2750</v>
      </c>
      <c r="Q224" s="536">
        <v>994574</v>
      </c>
    </row>
    <row r="225" spans="2:17" ht="12.75" customHeight="1" x14ac:dyDescent="0.25">
      <c r="B225" s="729" t="s">
        <v>4505</v>
      </c>
      <c r="C225" s="782" t="s">
        <v>4504</v>
      </c>
      <c r="D225" s="836">
        <v>11000</v>
      </c>
      <c r="E225" s="299">
        <v>0.25</v>
      </c>
      <c r="F225" s="299">
        <f t="shared" si="36"/>
        <v>2750</v>
      </c>
      <c r="G225" s="730" t="s">
        <v>197</v>
      </c>
      <c r="O225" s="299">
        <f t="shared" si="38"/>
        <v>0</v>
      </c>
      <c r="P225" s="247">
        <f t="shared" si="39"/>
        <v>2750</v>
      </c>
      <c r="Q225" s="536">
        <v>994574</v>
      </c>
    </row>
    <row r="226" spans="2:17" ht="12.75" customHeight="1" x14ac:dyDescent="0.25">
      <c r="B226" s="729" t="s">
        <v>4505</v>
      </c>
      <c r="C226" s="782" t="s">
        <v>4504</v>
      </c>
      <c r="D226" s="836">
        <v>11000</v>
      </c>
      <c r="E226" s="299">
        <v>0.25</v>
      </c>
      <c r="F226" s="299">
        <f t="shared" si="36"/>
        <v>2750</v>
      </c>
      <c r="G226" s="730" t="s">
        <v>197</v>
      </c>
      <c r="O226" s="299">
        <f t="shared" si="38"/>
        <v>0</v>
      </c>
      <c r="P226" s="247">
        <f t="shared" si="39"/>
        <v>2750</v>
      </c>
      <c r="Q226" s="536">
        <v>994574</v>
      </c>
    </row>
    <row r="227" spans="2:17" ht="12.75" customHeight="1" x14ac:dyDescent="0.25">
      <c r="B227" s="729" t="s">
        <v>4509</v>
      </c>
      <c r="C227" s="782" t="s">
        <v>4513</v>
      </c>
      <c r="D227" s="836">
        <v>2000</v>
      </c>
      <c r="E227" s="299">
        <v>5.6</v>
      </c>
      <c r="F227" s="299">
        <f t="shared" si="36"/>
        <v>11200</v>
      </c>
      <c r="G227" s="730" t="s">
        <v>197</v>
      </c>
      <c r="O227" s="299">
        <f t="shared" ref="O227" si="40">SUM(H227:N227)</f>
        <v>0</v>
      </c>
      <c r="P227" s="247">
        <f t="shared" ref="P227" si="41">F227+O227</f>
        <v>11200</v>
      </c>
      <c r="Q227" s="536">
        <v>1004700</v>
      </c>
    </row>
    <row r="228" spans="2:17" ht="12.75" customHeight="1" x14ac:dyDescent="0.25">
      <c r="B228" s="729" t="s">
        <v>4509</v>
      </c>
      <c r="C228" s="782" t="s">
        <v>4513</v>
      </c>
      <c r="D228" s="836">
        <v>2000</v>
      </c>
      <c r="E228" s="299">
        <v>5.2</v>
      </c>
      <c r="F228" s="299">
        <f t="shared" si="36"/>
        <v>10400</v>
      </c>
      <c r="G228" s="730" t="s">
        <v>197</v>
      </c>
      <c r="O228" s="299">
        <f t="shared" ref="O228:O240" si="42">SUM(H228:N228)</f>
        <v>0</v>
      </c>
      <c r="P228" s="247">
        <f t="shared" ref="P228:P240" si="43">F228+O228</f>
        <v>10400</v>
      </c>
      <c r="Q228" s="536">
        <v>1004700</v>
      </c>
    </row>
    <row r="229" spans="2:17" ht="12.75" customHeight="1" x14ac:dyDescent="0.25">
      <c r="B229" s="729" t="s">
        <v>4509</v>
      </c>
      <c r="C229" s="782" t="s">
        <v>4514</v>
      </c>
      <c r="D229" s="836">
        <v>75</v>
      </c>
      <c r="E229" s="299">
        <v>153.55000000000001</v>
      </c>
      <c r="F229" s="299">
        <f t="shared" si="36"/>
        <v>11516.25</v>
      </c>
      <c r="G229" s="730" t="s">
        <v>197</v>
      </c>
      <c r="O229" s="299">
        <f t="shared" si="42"/>
        <v>0</v>
      </c>
      <c r="P229" s="247">
        <f t="shared" si="43"/>
        <v>11516.25</v>
      </c>
      <c r="Q229" s="536">
        <v>1004700</v>
      </c>
    </row>
    <row r="230" spans="2:17" ht="12.75" customHeight="1" x14ac:dyDescent="0.25">
      <c r="B230" s="729" t="s">
        <v>4509</v>
      </c>
      <c r="C230" s="782" t="s">
        <v>4514</v>
      </c>
      <c r="D230" s="836">
        <v>25</v>
      </c>
      <c r="E230" s="299">
        <v>153.55000000000001</v>
      </c>
      <c r="F230" s="299">
        <f t="shared" si="36"/>
        <v>3838.7500000000005</v>
      </c>
      <c r="G230" s="730" t="s">
        <v>197</v>
      </c>
      <c r="O230" s="299">
        <f t="shared" si="42"/>
        <v>0</v>
      </c>
      <c r="P230" s="247">
        <f t="shared" si="43"/>
        <v>3838.7500000000005</v>
      </c>
      <c r="Q230" s="536">
        <v>1004700</v>
      </c>
    </row>
    <row r="231" spans="2:17" ht="12.75" customHeight="1" x14ac:dyDescent="0.25">
      <c r="B231" s="729" t="s">
        <v>4509</v>
      </c>
      <c r="C231" s="782" t="s">
        <v>4514</v>
      </c>
      <c r="D231" s="836">
        <v>25</v>
      </c>
      <c r="E231" s="299">
        <v>153.55000000000001</v>
      </c>
      <c r="F231" s="299">
        <f t="shared" si="36"/>
        <v>3838.7500000000005</v>
      </c>
      <c r="G231" s="730" t="s">
        <v>197</v>
      </c>
      <c r="O231" s="299">
        <f t="shared" si="42"/>
        <v>0</v>
      </c>
      <c r="P231" s="247">
        <f t="shared" si="43"/>
        <v>3838.7500000000005</v>
      </c>
      <c r="Q231" s="536">
        <v>1004700</v>
      </c>
    </row>
    <row r="232" spans="2:17" ht="12.75" customHeight="1" x14ac:dyDescent="0.25">
      <c r="B232" s="729" t="s">
        <v>4509</v>
      </c>
      <c r="C232" s="782" t="s">
        <v>4514</v>
      </c>
      <c r="D232" s="836">
        <v>75</v>
      </c>
      <c r="E232" s="299">
        <v>154.1</v>
      </c>
      <c r="F232" s="299">
        <f t="shared" si="36"/>
        <v>11557.5</v>
      </c>
      <c r="G232" s="730" t="s">
        <v>197</v>
      </c>
      <c r="O232" s="299">
        <f t="shared" si="42"/>
        <v>0</v>
      </c>
      <c r="P232" s="247">
        <f t="shared" si="43"/>
        <v>11557.5</v>
      </c>
      <c r="Q232" s="536">
        <v>1004700</v>
      </c>
    </row>
    <row r="233" spans="2:17" ht="12.75" customHeight="1" x14ac:dyDescent="0.25">
      <c r="B233" s="729" t="s">
        <v>4509</v>
      </c>
      <c r="C233" s="782" t="s">
        <v>4514</v>
      </c>
      <c r="D233" s="836">
        <v>25</v>
      </c>
      <c r="E233" s="299">
        <v>160</v>
      </c>
      <c r="F233" s="299">
        <f t="shared" si="36"/>
        <v>4000</v>
      </c>
      <c r="G233" s="730" t="s">
        <v>197</v>
      </c>
      <c r="O233" s="299">
        <f t="shared" si="42"/>
        <v>0</v>
      </c>
      <c r="P233" s="247">
        <f t="shared" si="43"/>
        <v>4000</v>
      </c>
      <c r="Q233" s="536">
        <v>1004700</v>
      </c>
    </row>
    <row r="234" spans="2:17" ht="12.75" customHeight="1" x14ac:dyDescent="0.25">
      <c r="B234" s="729" t="s">
        <v>4509</v>
      </c>
      <c r="C234" s="782" t="s">
        <v>4515</v>
      </c>
      <c r="D234" s="836">
        <v>500</v>
      </c>
      <c r="E234" s="299">
        <v>19</v>
      </c>
      <c r="F234" s="299">
        <f t="shared" ref="F234:F237" si="44">D234*E234</f>
        <v>9500</v>
      </c>
      <c r="G234" s="730" t="s">
        <v>197</v>
      </c>
      <c r="O234" s="299">
        <f t="shared" si="42"/>
        <v>0</v>
      </c>
      <c r="P234" s="247">
        <f t="shared" si="43"/>
        <v>9500</v>
      </c>
      <c r="Q234" s="536">
        <v>1004700</v>
      </c>
    </row>
    <row r="235" spans="2:17" ht="12.75" customHeight="1" x14ac:dyDescent="0.25">
      <c r="B235" s="729" t="s">
        <v>4509</v>
      </c>
      <c r="C235" s="782" t="s">
        <v>4515</v>
      </c>
      <c r="D235" s="836">
        <v>500</v>
      </c>
      <c r="E235" s="299">
        <v>19.25</v>
      </c>
      <c r="F235" s="299">
        <f t="shared" si="44"/>
        <v>9625</v>
      </c>
      <c r="G235" s="730" t="s">
        <v>197</v>
      </c>
      <c r="O235" s="299">
        <f t="shared" si="42"/>
        <v>0</v>
      </c>
      <c r="P235" s="247">
        <f t="shared" si="43"/>
        <v>9625</v>
      </c>
      <c r="Q235" s="536">
        <v>1004700</v>
      </c>
    </row>
    <row r="236" spans="2:17" ht="12.75" customHeight="1" x14ac:dyDescent="0.25">
      <c r="B236" s="729" t="s">
        <v>4509</v>
      </c>
      <c r="C236" s="782" t="s">
        <v>4516</v>
      </c>
      <c r="D236" s="836">
        <v>1000</v>
      </c>
      <c r="E236" s="299">
        <v>5.2</v>
      </c>
      <c r="F236" s="299">
        <f t="shared" si="44"/>
        <v>5200</v>
      </c>
      <c r="G236" s="730" t="s">
        <v>197</v>
      </c>
      <c r="O236" s="299">
        <f t="shared" si="42"/>
        <v>0</v>
      </c>
      <c r="P236" s="247">
        <f t="shared" si="43"/>
        <v>5200</v>
      </c>
      <c r="Q236" s="536">
        <v>1004700</v>
      </c>
    </row>
    <row r="237" spans="2:17" ht="12.75" customHeight="1" x14ac:dyDescent="0.25">
      <c r="B237" s="729" t="s">
        <v>4509</v>
      </c>
      <c r="C237" s="782" t="s">
        <v>4516</v>
      </c>
      <c r="D237" s="836">
        <v>1000</v>
      </c>
      <c r="E237" s="299">
        <v>5.2</v>
      </c>
      <c r="F237" s="299">
        <f t="shared" si="44"/>
        <v>5200</v>
      </c>
      <c r="G237" s="730" t="s">
        <v>197</v>
      </c>
      <c r="O237" s="299">
        <f t="shared" si="42"/>
        <v>0</v>
      </c>
      <c r="P237" s="247">
        <f t="shared" si="43"/>
        <v>5200</v>
      </c>
      <c r="Q237" s="536">
        <v>1004700</v>
      </c>
    </row>
    <row r="238" spans="2:17" ht="12.75" customHeight="1" x14ac:dyDescent="0.25">
      <c r="B238" s="729" t="s">
        <v>4509</v>
      </c>
      <c r="C238" s="782" t="s">
        <v>4516</v>
      </c>
      <c r="D238" s="836">
        <v>1000</v>
      </c>
      <c r="E238" s="299">
        <v>4.5999999999999996</v>
      </c>
      <c r="F238" s="299">
        <f t="shared" ref="F238:F242" si="45">D238*E238</f>
        <v>4600</v>
      </c>
      <c r="G238" s="730" t="s">
        <v>197</v>
      </c>
      <c r="O238" s="299">
        <f t="shared" si="42"/>
        <v>0</v>
      </c>
      <c r="P238" s="247">
        <f t="shared" si="43"/>
        <v>4600</v>
      </c>
      <c r="Q238" s="536">
        <v>1004700</v>
      </c>
    </row>
    <row r="239" spans="2:17" ht="12.75" customHeight="1" x14ac:dyDescent="0.25">
      <c r="B239" s="729" t="s">
        <v>4509</v>
      </c>
      <c r="C239" s="782" t="s">
        <v>4516</v>
      </c>
      <c r="D239" s="836">
        <v>1000</v>
      </c>
      <c r="E239" s="299">
        <v>4.8</v>
      </c>
      <c r="F239" s="299">
        <f t="shared" si="45"/>
        <v>4800</v>
      </c>
      <c r="G239" s="730" t="s">
        <v>197</v>
      </c>
      <c r="O239" s="299">
        <f t="shared" si="42"/>
        <v>0</v>
      </c>
      <c r="P239" s="247">
        <f t="shared" si="43"/>
        <v>4800</v>
      </c>
      <c r="Q239" s="536">
        <v>1004700</v>
      </c>
    </row>
    <row r="240" spans="2:17" ht="12.75" customHeight="1" x14ac:dyDescent="0.25">
      <c r="B240" s="729" t="s">
        <v>4509</v>
      </c>
      <c r="C240" s="782" t="s">
        <v>4516</v>
      </c>
      <c r="D240" s="836">
        <v>1000</v>
      </c>
      <c r="E240" s="299">
        <v>4.8</v>
      </c>
      <c r="F240" s="299">
        <f t="shared" si="45"/>
        <v>4800</v>
      </c>
      <c r="G240" s="730" t="s">
        <v>197</v>
      </c>
      <c r="H240" s="326">
        <v>280</v>
      </c>
      <c r="I240" s="326">
        <v>82.87</v>
      </c>
      <c r="J240" s="326">
        <v>50.8</v>
      </c>
      <c r="K240" s="326">
        <v>0.31</v>
      </c>
      <c r="L240" s="326">
        <v>9.3800000000000008</v>
      </c>
      <c r="M240" s="326">
        <v>10</v>
      </c>
      <c r="N240" s="326">
        <v>0.01</v>
      </c>
      <c r="O240" s="299">
        <f t="shared" si="42"/>
        <v>433.37</v>
      </c>
      <c r="P240" s="247">
        <f t="shared" si="43"/>
        <v>5233.37</v>
      </c>
      <c r="Q240" s="536">
        <v>1004700</v>
      </c>
    </row>
    <row r="241" spans="2:17" ht="12.75" customHeight="1" x14ac:dyDescent="0.25">
      <c r="B241" s="729" t="s">
        <v>4506</v>
      </c>
      <c r="C241" s="782" t="s">
        <v>4517</v>
      </c>
      <c r="D241" s="836">
        <v>2000</v>
      </c>
      <c r="E241" s="299">
        <v>3.7</v>
      </c>
      <c r="F241" s="299">
        <f t="shared" si="45"/>
        <v>7400</v>
      </c>
      <c r="G241" s="730" t="s">
        <v>197</v>
      </c>
      <c r="O241" s="299">
        <f t="shared" ref="O241:O247" si="46">SUM(H241:N241)</f>
        <v>0</v>
      </c>
      <c r="P241" s="247">
        <f t="shared" ref="P241:P247" si="47">F241+O241</f>
        <v>7400</v>
      </c>
      <c r="Q241" s="536">
        <v>1015774</v>
      </c>
    </row>
    <row r="242" spans="2:17" ht="12.75" customHeight="1" x14ac:dyDescent="0.25">
      <c r="B242" s="729" t="s">
        <v>4506</v>
      </c>
      <c r="C242" s="782" t="s">
        <v>4513</v>
      </c>
      <c r="D242" s="836">
        <v>2000</v>
      </c>
      <c r="E242" s="299">
        <v>5.45</v>
      </c>
      <c r="F242" s="299">
        <f t="shared" si="45"/>
        <v>10900</v>
      </c>
      <c r="G242" s="730" t="s">
        <v>197</v>
      </c>
      <c r="O242" s="299">
        <f t="shared" si="46"/>
        <v>0</v>
      </c>
      <c r="P242" s="247">
        <f t="shared" si="47"/>
        <v>10900</v>
      </c>
      <c r="Q242" s="536">
        <v>1015774</v>
      </c>
    </row>
    <row r="243" spans="2:17" ht="12.75" customHeight="1" x14ac:dyDescent="0.25">
      <c r="B243" s="729" t="s">
        <v>4506</v>
      </c>
      <c r="C243" s="782" t="s">
        <v>4515</v>
      </c>
      <c r="D243" s="836">
        <v>500</v>
      </c>
      <c r="E243" s="299">
        <v>19.350000000000001</v>
      </c>
      <c r="F243" s="299">
        <f t="shared" ref="F243:F265" si="48">D243*E243</f>
        <v>9675</v>
      </c>
      <c r="G243" s="762" t="s">
        <v>197</v>
      </c>
      <c r="O243" s="299">
        <f t="shared" si="46"/>
        <v>0</v>
      </c>
      <c r="P243" s="247">
        <f t="shared" si="47"/>
        <v>9675</v>
      </c>
      <c r="Q243" s="536">
        <v>1015774</v>
      </c>
    </row>
    <row r="244" spans="2:17" ht="12.75" customHeight="1" x14ac:dyDescent="0.25">
      <c r="B244" s="729" t="s">
        <v>4506</v>
      </c>
      <c r="C244" s="782" t="s">
        <v>4515</v>
      </c>
      <c r="D244" s="836">
        <v>500</v>
      </c>
      <c r="E244" s="299">
        <v>20.3</v>
      </c>
      <c r="F244" s="299">
        <f t="shared" si="48"/>
        <v>10150</v>
      </c>
      <c r="G244" s="762" t="s">
        <v>197</v>
      </c>
      <c r="O244" s="299">
        <f t="shared" si="46"/>
        <v>0</v>
      </c>
      <c r="P244" s="247">
        <f t="shared" si="47"/>
        <v>10150</v>
      </c>
      <c r="Q244" s="536">
        <v>1015774</v>
      </c>
    </row>
    <row r="245" spans="2:17" ht="12.75" customHeight="1" x14ac:dyDescent="0.25">
      <c r="B245" s="729" t="s">
        <v>4506</v>
      </c>
      <c r="C245" s="782" t="s">
        <v>4515</v>
      </c>
      <c r="D245" s="836">
        <v>500</v>
      </c>
      <c r="E245" s="299">
        <v>15.75</v>
      </c>
      <c r="F245" s="299">
        <f t="shared" si="48"/>
        <v>7875</v>
      </c>
      <c r="G245" s="762" t="s">
        <v>197</v>
      </c>
      <c r="O245" s="299">
        <f t="shared" si="46"/>
        <v>0</v>
      </c>
      <c r="P245" s="247">
        <f t="shared" si="47"/>
        <v>7875</v>
      </c>
      <c r="Q245" s="536">
        <v>1015774</v>
      </c>
    </row>
    <row r="246" spans="2:17" ht="12.75" customHeight="1" x14ac:dyDescent="0.25">
      <c r="B246" s="729" t="s">
        <v>4506</v>
      </c>
      <c r="C246" s="782" t="s">
        <v>4518</v>
      </c>
      <c r="D246" s="836">
        <v>250</v>
      </c>
      <c r="E246" s="299">
        <v>35.85</v>
      </c>
      <c r="F246" s="299">
        <f t="shared" si="48"/>
        <v>8962.5</v>
      </c>
      <c r="G246" s="762" t="s">
        <v>197</v>
      </c>
      <c r="O246" s="299">
        <f t="shared" si="46"/>
        <v>0</v>
      </c>
      <c r="P246" s="247">
        <f t="shared" si="47"/>
        <v>8962.5</v>
      </c>
      <c r="Q246" s="536">
        <v>1015774</v>
      </c>
    </row>
    <row r="247" spans="2:17" ht="12.75" customHeight="1" x14ac:dyDescent="0.25">
      <c r="B247" s="729" t="s">
        <v>4506</v>
      </c>
      <c r="C247" s="782" t="s">
        <v>4518</v>
      </c>
      <c r="D247" s="836">
        <v>125</v>
      </c>
      <c r="E247" s="299">
        <v>33.35</v>
      </c>
      <c r="F247" s="299">
        <f t="shared" si="48"/>
        <v>4168.75</v>
      </c>
      <c r="G247" s="762" t="s">
        <v>197</v>
      </c>
      <c r="H247" s="326">
        <v>240</v>
      </c>
      <c r="I247" s="326">
        <v>60.43</v>
      </c>
      <c r="J247" s="326">
        <v>42.06</v>
      </c>
      <c r="K247" s="326">
        <v>0.23</v>
      </c>
      <c r="L247" s="326">
        <v>6.84</v>
      </c>
      <c r="M247" s="326">
        <v>9</v>
      </c>
      <c r="O247" s="299">
        <f t="shared" si="46"/>
        <v>358.56</v>
      </c>
      <c r="P247" s="247">
        <f t="shared" si="47"/>
        <v>4527.3100000000004</v>
      </c>
      <c r="Q247" s="536">
        <v>1015774</v>
      </c>
    </row>
    <row r="248" spans="2:17" ht="12.75" customHeight="1" x14ac:dyDescent="0.25">
      <c r="B248" s="729" t="s">
        <v>4521</v>
      </c>
      <c r="C248" s="782" t="s">
        <v>4522</v>
      </c>
      <c r="D248" s="836">
        <v>4000</v>
      </c>
      <c r="E248" s="299">
        <v>2.0499999999999998</v>
      </c>
      <c r="F248" s="299">
        <f t="shared" si="48"/>
        <v>8200</v>
      </c>
      <c r="G248" s="730" t="s">
        <v>197</v>
      </c>
      <c r="O248" s="299">
        <f t="shared" ref="O248:O251" si="49">SUM(H248:N248)</f>
        <v>0</v>
      </c>
      <c r="P248" s="247">
        <f t="shared" ref="P248:P268" si="50">F248+O248</f>
        <v>8200</v>
      </c>
      <c r="Q248" s="536">
        <v>1025469</v>
      </c>
    </row>
    <row r="249" spans="2:17" ht="12.75" customHeight="1" x14ac:dyDescent="0.25">
      <c r="B249" s="729" t="s">
        <v>4521</v>
      </c>
      <c r="C249" s="782" t="s">
        <v>4513</v>
      </c>
      <c r="D249" s="836">
        <v>2000</v>
      </c>
      <c r="E249" s="299">
        <v>4.0999999999999996</v>
      </c>
      <c r="F249" s="299">
        <f t="shared" si="48"/>
        <v>8200</v>
      </c>
      <c r="G249" s="730" t="s">
        <v>197</v>
      </c>
      <c r="O249" s="299">
        <f t="shared" si="49"/>
        <v>0</v>
      </c>
      <c r="P249" s="247">
        <f t="shared" si="50"/>
        <v>8200</v>
      </c>
      <c r="Q249" s="536">
        <v>1025469</v>
      </c>
    </row>
    <row r="250" spans="2:17" ht="12.75" customHeight="1" x14ac:dyDescent="0.25">
      <c r="B250" s="729" t="s">
        <v>4521</v>
      </c>
      <c r="C250" s="782" t="s">
        <v>4513</v>
      </c>
      <c r="D250" s="836">
        <v>2000</v>
      </c>
      <c r="E250" s="299">
        <v>4.9000000000000004</v>
      </c>
      <c r="F250" s="299">
        <f t="shared" si="48"/>
        <v>9800</v>
      </c>
      <c r="G250" s="730" t="s">
        <v>197</v>
      </c>
      <c r="O250" s="299">
        <f t="shared" si="49"/>
        <v>0</v>
      </c>
      <c r="P250" s="247">
        <f t="shared" si="50"/>
        <v>9800</v>
      </c>
      <c r="Q250" s="536">
        <v>1025469</v>
      </c>
    </row>
    <row r="251" spans="2:17" ht="12.75" customHeight="1" x14ac:dyDescent="0.25">
      <c r="B251" s="729" t="s">
        <v>4521</v>
      </c>
      <c r="C251" s="782" t="s">
        <v>4518</v>
      </c>
      <c r="D251" s="836">
        <v>125</v>
      </c>
      <c r="E251" s="299">
        <v>38.35</v>
      </c>
      <c r="F251" s="299">
        <f t="shared" si="48"/>
        <v>4793.75</v>
      </c>
      <c r="G251" s="730" t="s">
        <v>197</v>
      </c>
      <c r="O251" s="299">
        <f t="shared" si="49"/>
        <v>0</v>
      </c>
      <c r="P251" s="247">
        <f t="shared" si="50"/>
        <v>4793.75</v>
      </c>
      <c r="Q251" s="536">
        <v>1025469</v>
      </c>
    </row>
    <row r="252" spans="2:17" ht="12.75" customHeight="1" x14ac:dyDescent="0.25">
      <c r="B252" s="729" t="s">
        <v>4524</v>
      </c>
      <c r="C252" s="782" t="s">
        <v>4518</v>
      </c>
      <c r="D252" s="836">
        <v>125</v>
      </c>
      <c r="E252" s="299">
        <v>33.1</v>
      </c>
      <c r="F252" s="299">
        <f t="shared" si="48"/>
        <v>4137.5</v>
      </c>
      <c r="G252" s="730" t="s">
        <v>197</v>
      </c>
      <c r="O252" s="299">
        <f t="shared" ref="O252:O253" si="51">SUM(H252:N252)</f>
        <v>0</v>
      </c>
      <c r="P252" s="247">
        <f t="shared" si="50"/>
        <v>4137.5</v>
      </c>
      <c r="Q252" s="536">
        <v>1038585</v>
      </c>
    </row>
    <row r="253" spans="2:17" ht="12.75" customHeight="1" x14ac:dyDescent="0.25">
      <c r="B253" s="729" t="s">
        <v>4524</v>
      </c>
      <c r="C253" s="782" t="s">
        <v>4518</v>
      </c>
      <c r="D253" s="836">
        <v>125</v>
      </c>
      <c r="E253" s="299">
        <v>34.25</v>
      </c>
      <c r="F253" s="299">
        <f t="shared" si="48"/>
        <v>4281.25</v>
      </c>
      <c r="G253" s="730" t="s">
        <v>197</v>
      </c>
      <c r="H253" s="326">
        <v>60</v>
      </c>
      <c r="I253" s="326">
        <v>7.75</v>
      </c>
      <c r="J253" s="326">
        <v>9.49</v>
      </c>
      <c r="K253" s="326">
        <v>1</v>
      </c>
      <c r="L253" s="326">
        <v>1</v>
      </c>
      <c r="M253" s="326">
        <v>0.03</v>
      </c>
      <c r="N253" s="326">
        <v>-0.01</v>
      </c>
      <c r="O253" s="299">
        <f t="shared" si="51"/>
        <v>79.259999999999991</v>
      </c>
      <c r="P253" s="247">
        <f t="shared" si="50"/>
        <v>4360.51</v>
      </c>
      <c r="Q253" s="536">
        <v>1038585</v>
      </c>
    </row>
    <row r="254" spans="2:17" ht="12.75" customHeight="1" x14ac:dyDescent="0.25">
      <c r="B254" s="729" t="s">
        <v>4526</v>
      </c>
      <c r="C254" s="782" t="s">
        <v>4527</v>
      </c>
      <c r="D254" s="836">
        <v>1000</v>
      </c>
      <c r="E254" s="299">
        <v>4.7</v>
      </c>
      <c r="F254" s="299">
        <f t="shared" si="48"/>
        <v>4700</v>
      </c>
      <c r="G254" s="730" t="s">
        <v>197</v>
      </c>
      <c r="O254" s="299">
        <f t="shared" ref="O254:O260" si="52">SUM(H254:N254)</f>
        <v>0</v>
      </c>
      <c r="P254" s="247">
        <f t="shared" si="50"/>
        <v>4700</v>
      </c>
      <c r="Q254" s="536">
        <v>1049154</v>
      </c>
    </row>
    <row r="255" spans="2:17" ht="12.75" customHeight="1" x14ac:dyDescent="0.25">
      <c r="B255" s="729" t="s">
        <v>4526</v>
      </c>
      <c r="C255" s="782" t="s">
        <v>4527</v>
      </c>
      <c r="D255" s="836">
        <v>1000</v>
      </c>
      <c r="E255" s="299">
        <v>4.7</v>
      </c>
      <c r="F255" s="299">
        <f t="shared" si="48"/>
        <v>4700</v>
      </c>
      <c r="G255" s="730" t="s">
        <v>197</v>
      </c>
      <c r="O255" s="299">
        <f t="shared" si="52"/>
        <v>0</v>
      </c>
      <c r="P255" s="247">
        <f t="shared" si="50"/>
        <v>4700</v>
      </c>
      <c r="Q255" s="536">
        <v>1049154</v>
      </c>
    </row>
    <row r="256" spans="2:17" ht="12.75" customHeight="1" x14ac:dyDescent="0.25">
      <c r="B256" s="729" t="s">
        <v>4526</v>
      </c>
      <c r="C256" s="782" t="s">
        <v>4513</v>
      </c>
      <c r="D256" s="836">
        <v>2000</v>
      </c>
      <c r="E256" s="299">
        <v>2.4</v>
      </c>
      <c r="F256" s="299">
        <f t="shared" si="48"/>
        <v>4800</v>
      </c>
      <c r="G256" s="730" t="s">
        <v>197</v>
      </c>
      <c r="O256" s="299">
        <f t="shared" si="52"/>
        <v>0</v>
      </c>
      <c r="P256" s="247">
        <f t="shared" si="50"/>
        <v>4800</v>
      </c>
      <c r="Q256" s="536">
        <v>1049154</v>
      </c>
    </row>
    <row r="257" spans="2:17" ht="12.75" customHeight="1" x14ac:dyDescent="0.25">
      <c r="B257" s="729" t="s">
        <v>4526</v>
      </c>
      <c r="C257" s="782" t="s">
        <v>4518</v>
      </c>
      <c r="D257" s="836">
        <v>125</v>
      </c>
      <c r="E257" s="299">
        <v>31</v>
      </c>
      <c r="F257" s="299">
        <f t="shared" si="48"/>
        <v>3875</v>
      </c>
      <c r="G257" s="730" t="s">
        <v>197</v>
      </c>
      <c r="O257" s="299">
        <f t="shared" si="52"/>
        <v>0</v>
      </c>
      <c r="P257" s="247">
        <f t="shared" si="50"/>
        <v>3875</v>
      </c>
      <c r="Q257" s="536">
        <v>1049154</v>
      </c>
    </row>
    <row r="258" spans="2:17" ht="12.75" customHeight="1" x14ac:dyDescent="0.25">
      <c r="B258" s="729" t="s">
        <v>4526</v>
      </c>
      <c r="C258" s="782" t="s">
        <v>4518</v>
      </c>
      <c r="D258" s="836">
        <v>125</v>
      </c>
      <c r="E258" s="299">
        <v>34.9</v>
      </c>
      <c r="F258" s="299">
        <f t="shared" si="48"/>
        <v>4362.5</v>
      </c>
      <c r="G258" s="730" t="s">
        <v>197</v>
      </c>
      <c r="O258" s="299">
        <f t="shared" si="52"/>
        <v>0</v>
      </c>
      <c r="P258" s="247">
        <f t="shared" si="50"/>
        <v>4362.5</v>
      </c>
      <c r="Q258" s="536">
        <v>1049154</v>
      </c>
    </row>
    <row r="259" spans="2:17" ht="12.75" customHeight="1" x14ac:dyDescent="0.25">
      <c r="B259" s="729" t="s">
        <v>4526</v>
      </c>
      <c r="C259" s="711" t="s">
        <v>4528</v>
      </c>
      <c r="D259" s="836">
        <v>50</v>
      </c>
      <c r="E259" s="299">
        <v>65</v>
      </c>
      <c r="F259" s="299">
        <f t="shared" si="48"/>
        <v>3250</v>
      </c>
      <c r="G259" s="730" t="s">
        <v>197</v>
      </c>
      <c r="O259" s="299">
        <f t="shared" si="52"/>
        <v>0</v>
      </c>
      <c r="P259" s="247">
        <f t="shared" si="50"/>
        <v>3250</v>
      </c>
      <c r="Q259" s="536">
        <v>1049154</v>
      </c>
    </row>
    <row r="260" spans="2:17" ht="12.75" customHeight="1" x14ac:dyDescent="0.25">
      <c r="B260" s="729" t="s">
        <v>4526</v>
      </c>
      <c r="C260" s="711" t="s">
        <v>4528</v>
      </c>
      <c r="D260" s="836">
        <v>100</v>
      </c>
      <c r="E260" s="299">
        <v>65</v>
      </c>
      <c r="F260" s="299">
        <f t="shared" si="48"/>
        <v>6500</v>
      </c>
      <c r="G260" s="730" t="s">
        <v>197</v>
      </c>
      <c r="O260" s="299">
        <f t="shared" si="52"/>
        <v>0</v>
      </c>
      <c r="P260" s="247">
        <f t="shared" si="50"/>
        <v>6500</v>
      </c>
      <c r="Q260" s="536">
        <v>1049154</v>
      </c>
    </row>
    <row r="261" spans="2:17" ht="12.75" customHeight="1" x14ac:dyDescent="0.25">
      <c r="B261" s="729" t="s">
        <v>4530</v>
      </c>
      <c r="C261" s="782" t="s">
        <v>4513</v>
      </c>
      <c r="D261" s="836">
        <v>2000</v>
      </c>
      <c r="E261" s="299">
        <v>3.4</v>
      </c>
      <c r="F261" s="299">
        <f t="shared" si="48"/>
        <v>6800</v>
      </c>
      <c r="G261" s="730" t="s">
        <v>197</v>
      </c>
      <c r="O261" s="299">
        <f t="shared" ref="O261:O268" si="53">SUM(H261:N261)</f>
        <v>0</v>
      </c>
      <c r="P261" s="247">
        <f t="shared" si="50"/>
        <v>6800</v>
      </c>
      <c r="Q261" s="536">
        <v>1060195</v>
      </c>
    </row>
    <row r="262" spans="2:17" ht="12.75" customHeight="1" x14ac:dyDescent="0.25">
      <c r="B262" s="729" t="s">
        <v>4530</v>
      </c>
      <c r="C262" s="782" t="s">
        <v>4513</v>
      </c>
      <c r="D262" s="836">
        <v>4000</v>
      </c>
      <c r="E262" s="299">
        <v>3.25</v>
      </c>
      <c r="F262" s="299">
        <f t="shared" si="48"/>
        <v>13000</v>
      </c>
      <c r="G262" s="730" t="s">
        <v>197</v>
      </c>
      <c r="O262" s="299">
        <f t="shared" si="53"/>
        <v>0</v>
      </c>
      <c r="P262" s="247">
        <f t="shared" si="50"/>
        <v>13000</v>
      </c>
      <c r="Q262" s="536">
        <v>1060195</v>
      </c>
    </row>
    <row r="263" spans="2:17" ht="12.75" customHeight="1" x14ac:dyDescent="0.25">
      <c r="B263" s="729" t="s">
        <v>4530</v>
      </c>
      <c r="C263" s="782" t="s">
        <v>4531</v>
      </c>
      <c r="D263" s="836">
        <v>25</v>
      </c>
      <c r="E263" s="299">
        <v>120</v>
      </c>
      <c r="F263" s="299">
        <f t="shared" si="48"/>
        <v>3000</v>
      </c>
      <c r="G263" s="730" t="s">
        <v>197</v>
      </c>
      <c r="O263" s="299">
        <f t="shared" si="53"/>
        <v>0</v>
      </c>
      <c r="P263" s="247">
        <f t="shared" si="50"/>
        <v>3000</v>
      </c>
      <c r="Q263" s="536">
        <v>1060195</v>
      </c>
    </row>
    <row r="264" spans="2:17" ht="12.75" customHeight="1" x14ac:dyDescent="0.25">
      <c r="B264" s="729" t="s">
        <v>4530</v>
      </c>
      <c r="C264" s="782" t="s">
        <v>4531</v>
      </c>
      <c r="D264" s="836">
        <v>75</v>
      </c>
      <c r="E264" s="299">
        <v>120</v>
      </c>
      <c r="F264" s="299">
        <f t="shared" si="48"/>
        <v>9000</v>
      </c>
      <c r="G264" s="730" t="s">
        <v>197</v>
      </c>
      <c r="O264" s="299">
        <f t="shared" si="53"/>
        <v>0</v>
      </c>
      <c r="P264" s="247">
        <f t="shared" si="50"/>
        <v>9000</v>
      </c>
      <c r="Q264" s="536">
        <v>1060195</v>
      </c>
    </row>
    <row r="265" spans="2:17" ht="12.75" customHeight="1" x14ac:dyDescent="0.25">
      <c r="B265" s="729" t="s">
        <v>4530</v>
      </c>
      <c r="C265" s="782" t="s">
        <v>4532</v>
      </c>
      <c r="D265" s="836">
        <v>500</v>
      </c>
      <c r="E265" s="299">
        <v>16</v>
      </c>
      <c r="F265" s="299">
        <f t="shared" si="48"/>
        <v>8000</v>
      </c>
      <c r="G265" s="730" t="s">
        <v>197</v>
      </c>
      <c r="O265" s="299">
        <f t="shared" si="53"/>
        <v>0</v>
      </c>
      <c r="P265" s="247">
        <f t="shared" si="50"/>
        <v>8000</v>
      </c>
      <c r="Q265" s="536">
        <v>1060195</v>
      </c>
    </row>
    <row r="266" spans="2:17" ht="12.75" customHeight="1" x14ac:dyDescent="0.25">
      <c r="B266" s="729" t="s">
        <v>4530</v>
      </c>
      <c r="C266" s="782" t="s">
        <v>4532</v>
      </c>
      <c r="D266" s="836">
        <v>500</v>
      </c>
      <c r="E266" s="299">
        <v>16.5</v>
      </c>
      <c r="F266" s="299">
        <f t="shared" ref="F266" si="54">D266*E266</f>
        <v>8250</v>
      </c>
      <c r="G266" s="730" t="s">
        <v>197</v>
      </c>
      <c r="O266" s="299">
        <f t="shared" ref="O266" si="55">SUM(H266:N266)</f>
        <v>0</v>
      </c>
      <c r="P266" s="247">
        <f t="shared" ref="P266" si="56">F266+O266</f>
        <v>8250</v>
      </c>
      <c r="Q266" s="536">
        <v>1060195</v>
      </c>
    </row>
    <row r="267" spans="2:17" ht="12.75" customHeight="1" x14ac:dyDescent="0.25">
      <c r="B267" s="729" t="s">
        <v>4530</v>
      </c>
      <c r="C267" s="782" t="s">
        <v>4518</v>
      </c>
      <c r="D267" s="836">
        <v>125</v>
      </c>
      <c r="E267" s="299">
        <v>38.1</v>
      </c>
      <c r="F267" s="299">
        <f t="shared" ref="F267:F276" si="57">D267*E267</f>
        <v>4762.5</v>
      </c>
      <c r="G267" s="730" t="s">
        <v>197</v>
      </c>
      <c r="O267" s="299">
        <f t="shared" si="53"/>
        <v>0</v>
      </c>
      <c r="P267" s="247">
        <f t="shared" si="50"/>
        <v>4762.5</v>
      </c>
      <c r="Q267" s="536">
        <v>1060195</v>
      </c>
    </row>
    <row r="268" spans="2:17" ht="12.75" customHeight="1" x14ac:dyDescent="0.25">
      <c r="B268" s="729" t="s">
        <v>4530</v>
      </c>
      <c r="C268" s="782" t="s">
        <v>4518</v>
      </c>
      <c r="D268" s="836">
        <v>125</v>
      </c>
      <c r="E268" s="299">
        <v>38.1</v>
      </c>
      <c r="F268" s="299">
        <f t="shared" si="57"/>
        <v>4762.5</v>
      </c>
      <c r="G268" s="730" t="s">
        <v>197</v>
      </c>
      <c r="O268" s="299">
        <f t="shared" si="53"/>
        <v>0</v>
      </c>
      <c r="P268" s="247">
        <f t="shared" si="50"/>
        <v>4762.5</v>
      </c>
      <c r="Q268" s="536">
        <v>1060195</v>
      </c>
    </row>
    <row r="269" spans="2:17" ht="12.75" customHeight="1" x14ac:dyDescent="0.25">
      <c r="B269" s="729" t="s">
        <v>4530</v>
      </c>
      <c r="C269" s="782" t="s">
        <v>4518</v>
      </c>
      <c r="D269" s="836">
        <v>125</v>
      </c>
      <c r="E269" s="299">
        <v>39</v>
      </c>
      <c r="F269" s="299">
        <f t="shared" si="57"/>
        <v>4875</v>
      </c>
      <c r="G269" s="730" t="s">
        <v>197</v>
      </c>
      <c r="H269" s="326">
        <v>240</v>
      </c>
      <c r="I269" s="326">
        <v>66.86</v>
      </c>
      <c r="J269" s="326">
        <v>42.96</v>
      </c>
      <c r="K269" s="326">
        <v>0.25</v>
      </c>
      <c r="L269" s="326">
        <v>7.57</v>
      </c>
      <c r="M269" s="326">
        <v>11</v>
      </c>
      <c r="N269" s="326">
        <v>-0.01</v>
      </c>
      <c r="O269" s="299">
        <f>SUM(H269:N269)</f>
        <v>368.63</v>
      </c>
      <c r="P269" s="247">
        <f>F269+O269</f>
        <v>5243.63</v>
      </c>
      <c r="Q269" s="536">
        <v>1060195</v>
      </c>
    </row>
    <row r="270" spans="2:17" ht="12.75" customHeight="1" x14ac:dyDescent="0.25">
      <c r="B270" s="729" t="s">
        <v>4534</v>
      </c>
      <c r="C270" s="782" t="s">
        <v>4535</v>
      </c>
      <c r="D270" s="836">
        <v>4000</v>
      </c>
      <c r="E270" s="299">
        <v>1.85</v>
      </c>
      <c r="F270" s="299">
        <f t="shared" si="57"/>
        <v>7400</v>
      </c>
      <c r="G270" s="730" t="s">
        <v>197</v>
      </c>
      <c r="O270" s="299">
        <f t="shared" ref="O270:O281" si="58">SUM(H270:N270)</f>
        <v>0</v>
      </c>
      <c r="P270" s="247">
        <f t="shared" ref="P270:P281" si="59">F270+O270</f>
        <v>7400</v>
      </c>
      <c r="Q270" s="536">
        <v>1070168</v>
      </c>
    </row>
    <row r="271" spans="2:17" ht="12.75" customHeight="1" x14ac:dyDescent="0.25">
      <c r="B271" s="729" t="s">
        <v>4534</v>
      </c>
      <c r="C271" s="782" t="s">
        <v>4535</v>
      </c>
      <c r="D271" s="836">
        <v>4000</v>
      </c>
      <c r="E271" s="299">
        <v>1.85</v>
      </c>
      <c r="F271" s="299">
        <f t="shared" si="57"/>
        <v>7400</v>
      </c>
      <c r="G271" s="730" t="s">
        <v>197</v>
      </c>
      <c r="O271" s="299">
        <f t="shared" si="58"/>
        <v>0</v>
      </c>
      <c r="P271" s="247">
        <f t="shared" si="59"/>
        <v>7400</v>
      </c>
      <c r="Q271" s="536">
        <v>1070168</v>
      </c>
    </row>
    <row r="272" spans="2:17" ht="12.75" customHeight="1" x14ac:dyDescent="0.25">
      <c r="B272" s="729" t="s">
        <v>4534</v>
      </c>
      <c r="C272" s="782" t="s">
        <v>4513</v>
      </c>
      <c r="D272" s="836">
        <v>2000</v>
      </c>
      <c r="E272" s="299">
        <v>2</v>
      </c>
      <c r="F272" s="299">
        <f t="shared" si="57"/>
        <v>4000</v>
      </c>
      <c r="G272" s="730" t="s">
        <v>197</v>
      </c>
      <c r="O272" s="299">
        <f t="shared" si="58"/>
        <v>0</v>
      </c>
      <c r="P272" s="247">
        <f t="shared" si="59"/>
        <v>4000</v>
      </c>
      <c r="Q272" s="536">
        <v>1070168</v>
      </c>
    </row>
    <row r="273" spans="2:17" ht="12.75" customHeight="1" x14ac:dyDescent="0.25">
      <c r="B273" s="729" t="s">
        <v>4534</v>
      </c>
      <c r="C273" s="782" t="s">
        <v>4513</v>
      </c>
      <c r="D273" s="836">
        <v>2000</v>
      </c>
      <c r="E273" s="299">
        <v>2.0499999999999998</v>
      </c>
      <c r="F273" s="299">
        <f t="shared" si="57"/>
        <v>4100</v>
      </c>
      <c r="G273" s="730" t="s">
        <v>197</v>
      </c>
      <c r="O273" s="299">
        <f t="shared" si="58"/>
        <v>0</v>
      </c>
      <c r="P273" s="247">
        <f t="shared" si="59"/>
        <v>4100</v>
      </c>
      <c r="Q273" s="536">
        <v>1070168</v>
      </c>
    </row>
    <row r="274" spans="2:17" ht="12.75" customHeight="1" x14ac:dyDescent="0.25">
      <c r="B274" s="729" t="s">
        <v>4534</v>
      </c>
      <c r="C274" s="782" t="s">
        <v>4513</v>
      </c>
      <c r="D274" s="836">
        <v>2000</v>
      </c>
      <c r="E274" s="299">
        <v>2.0499999999999998</v>
      </c>
      <c r="F274" s="299">
        <f t="shared" si="57"/>
        <v>4100</v>
      </c>
      <c r="G274" s="730" t="s">
        <v>197</v>
      </c>
      <c r="O274" s="299">
        <f t="shared" si="58"/>
        <v>0</v>
      </c>
      <c r="P274" s="247">
        <f t="shared" si="59"/>
        <v>4100</v>
      </c>
      <c r="Q274" s="536">
        <v>1070168</v>
      </c>
    </row>
    <row r="275" spans="2:17" ht="12.75" customHeight="1" x14ac:dyDescent="0.25">
      <c r="B275" s="729" t="s">
        <v>4534</v>
      </c>
      <c r="C275" s="782" t="s">
        <v>4536</v>
      </c>
      <c r="D275" s="836">
        <v>2000</v>
      </c>
      <c r="E275" s="299">
        <v>2.5</v>
      </c>
      <c r="F275" s="299">
        <f t="shared" si="57"/>
        <v>5000</v>
      </c>
      <c r="G275" s="730" t="s">
        <v>197</v>
      </c>
      <c r="O275" s="299">
        <f t="shared" si="58"/>
        <v>0</v>
      </c>
      <c r="P275" s="247">
        <f t="shared" si="59"/>
        <v>5000</v>
      </c>
      <c r="Q275" s="536">
        <v>1070168</v>
      </c>
    </row>
    <row r="276" spans="2:17" ht="12.75" customHeight="1" x14ac:dyDescent="0.25">
      <c r="B276" s="729" t="s">
        <v>4534</v>
      </c>
      <c r="C276" s="782" t="s">
        <v>4536</v>
      </c>
      <c r="D276" s="836">
        <v>2000</v>
      </c>
      <c r="E276" s="299">
        <v>2.4</v>
      </c>
      <c r="F276" s="299">
        <f t="shared" si="57"/>
        <v>4800</v>
      </c>
      <c r="G276" s="730" t="s">
        <v>197</v>
      </c>
      <c r="O276" s="299">
        <f t="shared" si="58"/>
        <v>0</v>
      </c>
      <c r="P276" s="247">
        <f t="shared" si="59"/>
        <v>4800</v>
      </c>
      <c r="Q276" s="536">
        <v>1070168</v>
      </c>
    </row>
    <row r="277" spans="2:17" ht="12.75" customHeight="1" x14ac:dyDescent="0.25">
      <c r="B277" s="729" t="s">
        <v>4534</v>
      </c>
      <c r="C277" s="782" t="s">
        <v>4537</v>
      </c>
      <c r="D277" s="836">
        <v>750</v>
      </c>
      <c r="E277" s="299">
        <v>7.6</v>
      </c>
      <c r="F277" s="299">
        <f t="shared" ref="F277:F307" si="60">D277*E277</f>
        <v>5700</v>
      </c>
      <c r="G277" s="730" t="s">
        <v>197</v>
      </c>
      <c r="O277" s="299">
        <f t="shared" si="58"/>
        <v>0</v>
      </c>
      <c r="P277" s="247">
        <f t="shared" si="59"/>
        <v>5700</v>
      </c>
      <c r="Q277" s="536">
        <v>1070168</v>
      </c>
    </row>
    <row r="278" spans="2:17" ht="12.75" customHeight="1" x14ac:dyDescent="0.25">
      <c r="B278" s="729" t="s">
        <v>4534</v>
      </c>
      <c r="C278" s="782" t="s">
        <v>4537</v>
      </c>
      <c r="D278" s="836">
        <v>750</v>
      </c>
      <c r="E278" s="299">
        <v>7.9</v>
      </c>
      <c r="F278" s="299">
        <f t="shared" si="60"/>
        <v>5925</v>
      </c>
      <c r="G278" s="730" t="s">
        <v>197</v>
      </c>
      <c r="O278" s="299">
        <f t="shared" si="58"/>
        <v>0</v>
      </c>
      <c r="P278" s="247">
        <f t="shared" si="59"/>
        <v>5925</v>
      </c>
      <c r="Q278" s="536">
        <v>1070168</v>
      </c>
    </row>
    <row r="279" spans="2:17" ht="12.75" customHeight="1" x14ac:dyDescent="0.25">
      <c r="B279" s="729" t="s">
        <v>4534</v>
      </c>
      <c r="C279" s="782" t="s">
        <v>4537</v>
      </c>
      <c r="D279" s="836">
        <v>750</v>
      </c>
      <c r="E279" s="299">
        <v>6.9</v>
      </c>
      <c r="F279" s="299">
        <f t="shared" si="60"/>
        <v>5175</v>
      </c>
      <c r="G279" s="730" t="s">
        <v>197</v>
      </c>
      <c r="O279" s="299">
        <f t="shared" si="58"/>
        <v>0</v>
      </c>
      <c r="P279" s="247">
        <f t="shared" si="59"/>
        <v>5175</v>
      </c>
      <c r="Q279" s="536">
        <v>1070168</v>
      </c>
    </row>
    <row r="280" spans="2:17" ht="12.75" customHeight="1" x14ac:dyDescent="0.25">
      <c r="B280" s="729" t="s">
        <v>4534</v>
      </c>
      <c r="C280" s="782" t="s">
        <v>4538</v>
      </c>
      <c r="D280" s="836">
        <v>250</v>
      </c>
      <c r="E280" s="299">
        <v>15.9</v>
      </c>
      <c r="F280" s="299">
        <f>D280*E280</f>
        <v>3975</v>
      </c>
      <c r="G280" s="730" t="s">
        <v>197</v>
      </c>
      <c r="O280" s="299">
        <f t="shared" si="58"/>
        <v>0</v>
      </c>
      <c r="P280" s="247">
        <f t="shared" si="59"/>
        <v>3975</v>
      </c>
      <c r="Q280" s="536">
        <v>1070168</v>
      </c>
    </row>
    <row r="281" spans="2:17" ht="12.75" customHeight="1" x14ac:dyDescent="0.25">
      <c r="B281" s="729" t="s">
        <v>4534</v>
      </c>
      <c r="C281" s="782" t="s">
        <v>4538</v>
      </c>
      <c r="D281" s="836">
        <v>500</v>
      </c>
      <c r="E281" s="299">
        <v>15.9</v>
      </c>
      <c r="F281" s="299">
        <f t="shared" si="60"/>
        <v>7950</v>
      </c>
      <c r="G281" s="730" t="s">
        <v>197</v>
      </c>
      <c r="H281" s="326">
        <v>226.98</v>
      </c>
      <c r="I281" s="326">
        <v>68.349999999999994</v>
      </c>
      <c r="J281" s="326">
        <v>41.35</v>
      </c>
      <c r="K281" s="326">
        <v>0.26</v>
      </c>
      <c r="L281" s="326">
        <v>7.74</v>
      </c>
      <c r="M281" s="326">
        <v>11</v>
      </c>
      <c r="N281" s="326">
        <v>-0.01</v>
      </c>
      <c r="O281" s="299">
        <f t="shared" si="58"/>
        <v>355.67</v>
      </c>
      <c r="P281" s="247">
        <f t="shared" si="59"/>
        <v>8305.67</v>
      </c>
      <c r="Q281" s="536">
        <v>1070168</v>
      </c>
    </row>
    <row r="282" spans="2:17" ht="12.75" customHeight="1" x14ac:dyDescent="0.25">
      <c r="B282" s="729" t="s">
        <v>4539</v>
      </c>
      <c r="C282" s="782" t="s">
        <v>4513</v>
      </c>
      <c r="D282" s="836">
        <v>2000</v>
      </c>
      <c r="E282" s="299">
        <v>1.75</v>
      </c>
      <c r="F282" s="299">
        <f t="shared" si="60"/>
        <v>3500</v>
      </c>
      <c r="G282" s="730" t="s">
        <v>197</v>
      </c>
      <c r="O282" s="299">
        <f t="shared" ref="O282:O291" si="61">SUM(H282:N282)</f>
        <v>0</v>
      </c>
      <c r="P282" s="247">
        <f t="shared" ref="P282:P303" si="62">F282+O282</f>
        <v>3500</v>
      </c>
      <c r="Q282" s="536">
        <v>1080438</v>
      </c>
    </row>
    <row r="283" spans="2:17" ht="12.75" customHeight="1" x14ac:dyDescent="0.25">
      <c r="B283" s="729" t="s">
        <v>4539</v>
      </c>
      <c r="C283" s="782" t="s">
        <v>4540</v>
      </c>
      <c r="D283" s="836">
        <v>250</v>
      </c>
      <c r="E283" s="299">
        <v>15.95</v>
      </c>
      <c r="F283" s="299">
        <f>D283*E283</f>
        <v>3987.5</v>
      </c>
      <c r="G283" s="730" t="s">
        <v>197</v>
      </c>
      <c r="O283" s="299">
        <f t="shared" si="61"/>
        <v>0</v>
      </c>
      <c r="P283" s="247">
        <f t="shared" si="62"/>
        <v>3987.5</v>
      </c>
      <c r="Q283" s="536">
        <v>1080438</v>
      </c>
    </row>
    <row r="284" spans="2:17" ht="12.75" customHeight="1" x14ac:dyDescent="0.25">
      <c r="B284" s="729" t="s">
        <v>4539</v>
      </c>
      <c r="C284" s="782" t="s">
        <v>4540</v>
      </c>
      <c r="D284" s="836">
        <v>250</v>
      </c>
      <c r="E284" s="299">
        <v>15.95</v>
      </c>
      <c r="F284" s="299">
        <f t="shared" si="60"/>
        <v>3987.5</v>
      </c>
      <c r="G284" s="730" t="s">
        <v>197</v>
      </c>
      <c r="O284" s="299">
        <f t="shared" si="61"/>
        <v>0</v>
      </c>
      <c r="P284" s="247">
        <f t="shared" si="62"/>
        <v>3987.5</v>
      </c>
      <c r="Q284" s="536">
        <v>1080438</v>
      </c>
    </row>
    <row r="285" spans="2:17" ht="12.75" customHeight="1" x14ac:dyDescent="0.25">
      <c r="B285" s="729" t="s">
        <v>4539</v>
      </c>
      <c r="C285" s="782" t="s">
        <v>4540</v>
      </c>
      <c r="D285" s="836">
        <v>250</v>
      </c>
      <c r="E285" s="299">
        <v>16</v>
      </c>
      <c r="F285" s="299">
        <f t="shared" si="60"/>
        <v>4000</v>
      </c>
      <c r="G285" s="730" t="s">
        <v>197</v>
      </c>
      <c r="O285" s="299">
        <f t="shared" si="61"/>
        <v>0</v>
      </c>
      <c r="P285" s="247">
        <f t="shared" si="62"/>
        <v>4000</v>
      </c>
      <c r="Q285" s="536">
        <v>1080438</v>
      </c>
    </row>
    <row r="286" spans="2:17" ht="12.75" customHeight="1" x14ac:dyDescent="0.25">
      <c r="B286" s="729" t="s">
        <v>4539</v>
      </c>
      <c r="C286" s="782" t="s">
        <v>4540</v>
      </c>
      <c r="D286" s="836">
        <v>250</v>
      </c>
      <c r="E286" s="299">
        <v>16.2</v>
      </c>
      <c r="F286" s="299">
        <f t="shared" si="60"/>
        <v>4050</v>
      </c>
      <c r="G286" s="730" t="s">
        <v>197</v>
      </c>
      <c r="O286" s="299">
        <f t="shared" si="61"/>
        <v>0</v>
      </c>
      <c r="P286" s="247">
        <f t="shared" si="62"/>
        <v>4050</v>
      </c>
      <c r="Q286" s="536">
        <v>1080438</v>
      </c>
    </row>
    <row r="287" spans="2:17" ht="12.75" customHeight="1" x14ac:dyDescent="0.25">
      <c r="B287" s="729" t="s">
        <v>4539</v>
      </c>
      <c r="C287" s="782" t="s">
        <v>4541</v>
      </c>
      <c r="D287" s="836">
        <v>1000</v>
      </c>
      <c r="E287" s="299">
        <v>9.1999999999999993</v>
      </c>
      <c r="F287" s="299">
        <f t="shared" si="60"/>
        <v>9200</v>
      </c>
      <c r="G287" s="730" t="s">
        <v>197</v>
      </c>
      <c r="O287" s="299">
        <f t="shared" si="61"/>
        <v>0</v>
      </c>
      <c r="P287" s="247">
        <f t="shared" si="62"/>
        <v>9200</v>
      </c>
      <c r="Q287" s="536">
        <v>1080438</v>
      </c>
    </row>
    <row r="288" spans="2:17" ht="12.75" customHeight="1" x14ac:dyDescent="0.25">
      <c r="B288" s="729" t="s">
        <v>4539</v>
      </c>
      <c r="C288" s="782" t="s">
        <v>4542</v>
      </c>
      <c r="D288" s="836">
        <v>1000</v>
      </c>
      <c r="E288" s="299">
        <v>3.4</v>
      </c>
      <c r="F288" s="299">
        <f t="shared" si="60"/>
        <v>3400</v>
      </c>
      <c r="G288" s="730" t="s">
        <v>197</v>
      </c>
      <c r="O288" s="299">
        <f t="shared" si="61"/>
        <v>0</v>
      </c>
      <c r="P288" s="247">
        <f t="shared" si="62"/>
        <v>3400</v>
      </c>
      <c r="Q288" s="536">
        <v>1080438</v>
      </c>
    </row>
    <row r="289" spans="2:17" ht="12.75" customHeight="1" x14ac:dyDescent="0.25">
      <c r="B289" s="729" t="s">
        <v>4539</v>
      </c>
      <c r="C289" s="782" t="s">
        <v>4542</v>
      </c>
      <c r="D289" s="836">
        <v>1000</v>
      </c>
      <c r="E289" s="299">
        <v>3.4</v>
      </c>
      <c r="F289" s="299">
        <f t="shared" si="60"/>
        <v>3400</v>
      </c>
      <c r="G289" s="730" t="s">
        <v>197</v>
      </c>
      <c r="O289" s="299">
        <f t="shared" si="61"/>
        <v>0</v>
      </c>
      <c r="P289" s="247">
        <f t="shared" si="62"/>
        <v>3400</v>
      </c>
      <c r="Q289" s="536">
        <v>1080438</v>
      </c>
    </row>
    <row r="290" spans="2:17" ht="12.75" customHeight="1" x14ac:dyDescent="0.25">
      <c r="B290" s="729" t="s">
        <v>4539</v>
      </c>
      <c r="C290" s="782" t="s">
        <v>4543</v>
      </c>
      <c r="D290" s="836">
        <v>2000</v>
      </c>
      <c r="E290" s="299">
        <v>2.85</v>
      </c>
      <c r="F290" s="299">
        <f t="shared" si="60"/>
        <v>5700</v>
      </c>
      <c r="G290" s="730" t="s">
        <v>197</v>
      </c>
      <c r="O290" s="299">
        <f t="shared" si="61"/>
        <v>0</v>
      </c>
      <c r="P290" s="247">
        <f t="shared" si="62"/>
        <v>5700</v>
      </c>
      <c r="Q290" s="536">
        <v>1080438</v>
      </c>
    </row>
    <row r="291" spans="2:17" ht="12.75" customHeight="1" x14ac:dyDescent="0.25">
      <c r="B291" s="729" t="s">
        <v>4539</v>
      </c>
      <c r="C291" s="782" t="s">
        <v>4543</v>
      </c>
      <c r="D291" s="836">
        <v>2000</v>
      </c>
      <c r="E291" s="299">
        <v>2.85</v>
      </c>
      <c r="F291" s="299">
        <f t="shared" si="60"/>
        <v>5700</v>
      </c>
      <c r="G291" s="730" t="s">
        <v>197</v>
      </c>
      <c r="O291" s="299">
        <f t="shared" si="61"/>
        <v>0</v>
      </c>
      <c r="P291" s="247">
        <f t="shared" si="62"/>
        <v>5700</v>
      </c>
      <c r="Q291" s="536">
        <v>1080438</v>
      </c>
    </row>
    <row r="292" spans="2:17" ht="12.75" customHeight="1" x14ac:dyDescent="0.25">
      <c r="B292" s="729" t="s">
        <v>4544</v>
      </c>
      <c r="C292" s="782" t="s">
        <v>4540</v>
      </c>
      <c r="D292" s="836">
        <v>250</v>
      </c>
      <c r="E292" s="299">
        <v>15.4</v>
      </c>
      <c r="F292" s="299">
        <f t="shared" si="60"/>
        <v>3850</v>
      </c>
      <c r="G292" s="730" t="s">
        <v>197</v>
      </c>
      <c r="O292" s="299">
        <f t="shared" ref="O292" si="63">SUM(H292:N292)</f>
        <v>0</v>
      </c>
      <c r="P292" s="247">
        <f t="shared" si="62"/>
        <v>3850</v>
      </c>
      <c r="Q292" s="536">
        <v>1090595</v>
      </c>
    </row>
    <row r="293" spans="2:17" ht="12.75" customHeight="1" x14ac:dyDescent="0.25">
      <c r="B293" s="729" t="s">
        <v>4544</v>
      </c>
      <c r="C293" s="782" t="s">
        <v>4540</v>
      </c>
      <c r="D293" s="836">
        <v>250</v>
      </c>
      <c r="E293" s="299">
        <v>14.65</v>
      </c>
      <c r="F293" s="299">
        <f t="shared" si="60"/>
        <v>3662.5</v>
      </c>
      <c r="G293" s="730" t="s">
        <v>197</v>
      </c>
      <c r="O293" s="299">
        <f t="shared" ref="O293" si="64">SUM(H293:N293)</f>
        <v>0</v>
      </c>
      <c r="P293" s="247">
        <f t="shared" si="62"/>
        <v>3662.5</v>
      </c>
      <c r="Q293" s="536">
        <v>1090595</v>
      </c>
    </row>
    <row r="294" spans="2:17" ht="12.75" customHeight="1" x14ac:dyDescent="0.25">
      <c r="B294" s="729" t="s">
        <v>4545</v>
      </c>
      <c r="C294" s="782" t="s">
        <v>4546</v>
      </c>
      <c r="D294" s="836">
        <v>25</v>
      </c>
      <c r="E294" s="299">
        <v>88</v>
      </c>
      <c r="F294" s="299">
        <f t="shared" si="60"/>
        <v>2200</v>
      </c>
      <c r="G294" s="730" t="s">
        <v>197</v>
      </c>
      <c r="O294" s="299">
        <f t="shared" ref="O294" si="65">SUM(H294:N294)</f>
        <v>0</v>
      </c>
      <c r="P294" s="247">
        <f t="shared" si="62"/>
        <v>2200</v>
      </c>
      <c r="Q294" s="536">
        <v>1100918</v>
      </c>
    </row>
    <row r="295" spans="2:17" ht="12.75" customHeight="1" x14ac:dyDescent="0.25">
      <c r="B295" s="729" t="s">
        <v>4545</v>
      </c>
      <c r="C295" s="782" t="s">
        <v>4546</v>
      </c>
      <c r="D295" s="836">
        <v>50</v>
      </c>
      <c r="E295" s="299">
        <v>88</v>
      </c>
      <c r="F295" s="299">
        <f t="shared" si="60"/>
        <v>4400</v>
      </c>
      <c r="G295" s="730" t="s">
        <v>197</v>
      </c>
      <c r="O295" s="299">
        <f t="shared" ref="O295:O303" si="66">SUM(H295:N295)</f>
        <v>0</v>
      </c>
      <c r="P295" s="247">
        <f t="shared" si="62"/>
        <v>4400</v>
      </c>
      <c r="Q295" s="536">
        <v>1100918</v>
      </c>
    </row>
    <row r="296" spans="2:17" ht="12.75" customHeight="1" x14ac:dyDescent="0.25">
      <c r="B296" s="729" t="s">
        <v>4545</v>
      </c>
      <c r="C296" s="782" t="s">
        <v>4546</v>
      </c>
      <c r="D296" s="836">
        <v>50</v>
      </c>
      <c r="E296" s="299">
        <v>88</v>
      </c>
      <c r="F296" s="299">
        <f t="shared" si="60"/>
        <v>4400</v>
      </c>
      <c r="G296" s="730" t="s">
        <v>197</v>
      </c>
      <c r="O296" s="299">
        <f t="shared" si="66"/>
        <v>0</v>
      </c>
      <c r="P296" s="247">
        <f t="shared" si="62"/>
        <v>4400</v>
      </c>
      <c r="Q296" s="536">
        <v>1100918</v>
      </c>
    </row>
    <row r="297" spans="2:17" ht="12.75" customHeight="1" x14ac:dyDescent="0.25">
      <c r="B297" s="729" t="s">
        <v>4545</v>
      </c>
      <c r="C297" s="782" t="s">
        <v>4546</v>
      </c>
      <c r="D297" s="836">
        <v>25</v>
      </c>
      <c r="E297" s="299">
        <v>88</v>
      </c>
      <c r="F297" s="299">
        <f t="shared" si="60"/>
        <v>2200</v>
      </c>
      <c r="G297" s="730" t="s">
        <v>197</v>
      </c>
      <c r="O297" s="299">
        <f t="shared" si="66"/>
        <v>0</v>
      </c>
      <c r="P297" s="247">
        <f t="shared" si="62"/>
        <v>2200</v>
      </c>
      <c r="Q297" s="536">
        <v>1100918</v>
      </c>
    </row>
    <row r="298" spans="2:17" ht="12.75" customHeight="1" x14ac:dyDescent="0.25">
      <c r="B298" s="729" t="s">
        <v>4545</v>
      </c>
      <c r="C298" s="782" t="s">
        <v>4546</v>
      </c>
      <c r="D298" s="836">
        <v>50</v>
      </c>
      <c r="E298" s="299">
        <v>88</v>
      </c>
      <c r="F298" s="299">
        <f t="shared" si="60"/>
        <v>4400</v>
      </c>
      <c r="G298" s="730" t="s">
        <v>197</v>
      </c>
      <c r="O298" s="299">
        <f t="shared" si="66"/>
        <v>0</v>
      </c>
      <c r="P298" s="247">
        <f t="shared" si="62"/>
        <v>4400</v>
      </c>
      <c r="Q298" s="536">
        <v>1100918</v>
      </c>
    </row>
    <row r="299" spans="2:17" ht="12.75" customHeight="1" x14ac:dyDescent="0.25">
      <c r="B299" s="729" t="s">
        <v>4545</v>
      </c>
      <c r="C299" s="782" t="s">
        <v>4546</v>
      </c>
      <c r="D299" s="836">
        <v>25</v>
      </c>
      <c r="E299" s="299">
        <v>89</v>
      </c>
      <c r="F299" s="299">
        <f t="shared" si="60"/>
        <v>2225</v>
      </c>
      <c r="G299" s="730" t="s">
        <v>197</v>
      </c>
      <c r="O299" s="299">
        <f t="shared" si="66"/>
        <v>0</v>
      </c>
      <c r="P299" s="247">
        <f t="shared" si="62"/>
        <v>2225</v>
      </c>
      <c r="Q299" s="536">
        <v>1100918</v>
      </c>
    </row>
    <row r="300" spans="2:17" ht="12.75" customHeight="1" x14ac:dyDescent="0.25">
      <c r="B300" s="729" t="s">
        <v>4545</v>
      </c>
      <c r="C300" s="782" t="s">
        <v>4547</v>
      </c>
      <c r="D300" s="836">
        <v>100</v>
      </c>
      <c r="E300" s="299">
        <v>34.85</v>
      </c>
      <c r="F300" s="299">
        <f t="shared" si="60"/>
        <v>3485</v>
      </c>
      <c r="G300" s="730" t="s">
        <v>197</v>
      </c>
      <c r="O300" s="299">
        <f t="shared" si="66"/>
        <v>0</v>
      </c>
      <c r="P300" s="247">
        <f t="shared" si="62"/>
        <v>3485</v>
      </c>
      <c r="Q300" s="536">
        <v>1100918</v>
      </c>
    </row>
    <row r="301" spans="2:17" ht="12.75" customHeight="1" x14ac:dyDescent="0.25">
      <c r="B301" s="729" t="s">
        <v>4545</v>
      </c>
      <c r="C301" s="782" t="s">
        <v>4547</v>
      </c>
      <c r="D301" s="836">
        <v>50</v>
      </c>
      <c r="E301" s="299">
        <v>34.9</v>
      </c>
      <c r="F301" s="299">
        <f t="shared" si="60"/>
        <v>1745</v>
      </c>
      <c r="G301" s="730" t="s">
        <v>197</v>
      </c>
      <c r="O301" s="299">
        <f t="shared" si="66"/>
        <v>0</v>
      </c>
      <c r="P301" s="247">
        <f t="shared" si="62"/>
        <v>1745</v>
      </c>
      <c r="Q301" s="536">
        <v>1100918</v>
      </c>
    </row>
    <row r="302" spans="2:17" ht="12.75" customHeight="1" x14ac:dyDescent="0.25">
      <c r="B302" s="729" t="s">
        <v>4545</v>
      </c>
      <c r="C302" s="782" t="s">
        <v>4547</v>
      </c>
      <c r="D302" s="836">
        <v>25</v>
      </c>
      <c r="E302" s="299">
        <v>34.9</v>
      </c>
      <c r="F302" s="299">
        <f t="shared" si="60"/>
        <v>872.5</v>
      </c>
      <c r="G302" s="730" t="s">
        <v>197</v>
      </c>
      <c r="O302" s="299">
        <f t="shared" si="66"/>
        <v>0</v>
      </c>
      <c r="P302" s="247">
        <f t="shared" si="62"/>
        <v>872.5</v>
      </c>
      <c r="Q302" s="536">
        <v>1100918</v>
      </c>
    </row>
    <row r="303" spans="2:17" ht="12.75" customHeight="1" x14ac:dyDescent="0.25">
      <c r="B303" s="729" t="s">
        <v>4545</v>
      </c>
      <c r="C303" s="782" t="s">
        <v>4547</v>
      </c>
      <c r="D303" s="836">
        <v>25</v>
      </c>
      <c r="E303" s="299">
        <v>38.4</v>
      </c>
      <c r="F303" s="299">
        <f t="shared" si="60"/>
        <v>960</v>
      </c>
      <c r="G303" s="730" t="s">
        <v>197</v>
      </c>
      <c r="H303" s="326">
        <v>120</v>
      </c>
      <c r="I303" s="326">
        <v>24.07</v>
      </c>
      <c r="J303" s="326">
        <v>20.170000000000002</v>
      </c>
      <c r="K303" s="326">
        <v>0.09</v>
      </c>
      <c r="L303" s="326">
        <v>2.73</v>
      </c>
      <c r="M303" s="326">
        <v>3</v>
      </c>
      <c r="O303" s="299">
        <f t="shared" si="66"/>
        <v>170.06</v>
      </c>
      <c r="P303" s="247">
        <f t="shared" si="62"/>
        <v>1130.06</v>
      </c>
      <c r="Q303" s="536">
        <v>1100918</v>
      </c>
    </row>
    <row r="304" spans="2:17" ht="12.75" customHeight="1" x14ac:dyDescent="0.25">
      <c r="B304" s="729" t="s">
        <v>4553</v>
      </c>
      <c r="C304" s="782" t="s">
        <v>4546</v>
      </c>
      <c r="D304" s="836">
        <v>25</v>
      </c>
      <c r="E304" s="299">
        <v>42</v>
      </c>
      <c r="F304" s="299">
        <f t="shared" si="60"/>
        <v>1050</v>
      </c>
      <c r="G304" s="730" t="s">
        <v>197</v>
      </c>
      <c r="O304" s="299">
        <f t="shared" ref="O304:O307" si="67">SUM(H304:N304)</f>
        <v>0</v>
      </c>
      <c r="P304" s="247">
        <f t="shared" ref="P304:P307" si="68">F304+O304</f>
        <v>1050</v>
      </c>
      <c r="Q304" s="536">
        <v>1123027</v>
      </c>
    </row>
    <row r="305" spans="2:17" ht="12.75" customHeight="1" x14ac:dyDescent="0.25">
      <c r="B305" s="729" t="s">
        <v>4553</v>
      </c>
      <c r="C305" s="782" t="s">
        <v>4546</v>
      </c>
      <c r="D305" s="836">
        <v>25</v>
      </c>
      <c r="E305" s="299">
        <v>42</v>
      </c>
      <c r="F305" s="299">
        <f t="shared" si="60"/>
        <v>1050</v>
      </c>
      <c r="G305" s="730" t="s">
        <v>197</v>
      </c>
      <c r="O305" s="299">
        <f t="shared" si="67"/>
        <v>0</v>
      </c>
      <c r="P305" s="247">
        <f t="shared" si="68"/>
        <v>1050</v>
      </c>
      <c r="Q305" s="536">
        <v>1123027</v>
      </c>
    </row>
    <row r="306" spans="2:17" ht="12.75" customHeight="1" x14ac:dyDescent="0.25">
      <c r="B306" s="729" t="s">
        <v>4553</v>
      </c>
      <c r="C306" s="782" t="s">
        <v>4546</v>
      </c>
      <c r="D306" s="836">
        <v>25</v>
      </c>
      <c r="E306" s="299">
        <v>58.55</v>
      </c>
      <c r="F306" s="299">
        <f t="shared" si="60"/>
        <v>1463.75</v>
      </c>
      <c r="G306" s="730" t="s">
        <v>197</v>
      </c>
      <c r="O306" s="299">
        <f t="shared" si="67"/>
        <v>0</v>
      </c>
      <c r="P306" s="247">
        <f t="shared" si="68"/>
        <v>1463.75</v>
      </c>
      <c r="Q306" s="536">
        <v>1123027</v>
      </c>
    </row>
    <row r="307" spans="2:17" ht="12.75" customHeight="1" x14ac:dyDescent="0.25">
      <c r="B307" s="729" t="s">
        <v>4553</v>
      </c>
      <c r="C307" s="782" t="s">
        <v>4546</v>
      </c>
      <c r="D307" s="836">
        <v>25</v>
      </c>
      <c r="E307" s="299">
        <v>58.6</v>
      </c>
      <c r="F307" s="299">
        <f t="shared" si="60"/>
        <v>1465</v>
      </c>
      <c r="G307" s="730" t="s">
        <v>197</v>
      </c>
      <c r="O307" s="299">
        <f t="shared" si="67"/>
        <v>0</v>
      </c>
      <c r="P307" s="247">
        <f t="shared" si="68"/>
        <v>1465</v>
      </c>
      <c r="Q307" s="536">
        <v>1123027</v>
      </c>
    </row>
    <row r="308" spans="2:17" ht="12.75" customHeight="1" x14ac:dyDescent="0.25">
      <c r="D308" s="836"/>
    </row>
    <row r="309" spans="2:17" ht="12.75" customHeight="1" x14ac:dyDescent="0.25">
      <c r="D309" s="836"/>
    </row>
    <row r="310" spans="2:17" ht="12.75" customHeight="1" x14ac:dyDescent="0.25">
      <c r="D310" s="836"/>
    </row>
    <row r="311" spans="2:17" ht="12.75" customHeight="1" x14ac:dyDescent="0.25">
      <c r="D311" s="836"/>
    </row>
    <row r="312" spans="2:17" ht="12.75" customHeight="1" x14ac:dyDescent="0.25">
      <c r="D312" s="836"/>
    </row>
    <row r="313" spans="2:17" ht="12.75" customHeight="1" x14ac:dyDescent="0.25">
      <c r="D313" s="836"/>
    </row>
    <row r="314" spans="2:17" ht="12.75" customHeight="1" x14ac:dyDescent="0.25">
      <c r="D314" s="836"/>
    </row>
    <row r="315" spans="2:17" ht="12.75" customHeight="1" x14ac:dyDescent="0.25">
      <c r="D315" s="836"/>
    </row>
    <row r="316" spans="2:17" ht="12.75" customHeight="1" x14ac:dyDescent="0.25">
      <c r="D316" s="836"/>
    </row>
    <row r="317" spans="2:17" ht="12.75" customHeight="1" x14ac:dyDescent="0.25">
      <c r="D317" s="836"/>
    </row>
    <row r="318" spans="2:17" ht="12.75" customHeight="1" x14ac:dyDescent="0.25">
      <c r="D318" s="836"/>
    </row>
    <row r="319" spans="2:17" ht="12.75" customHeight="1" x14ac:dyDescent="0.25">
      <c r="D319" s="836"/>
    </row>
    <row r="320" spans="2:17" ht="12.75" customHeight="1" x14ac:dyDescent="0.25">
      <c r="D320" s="836"/>
    </row>
    <row r="321" spans="2:17" ht="12.75" customHeight="1" x14ac:dyDescent="0.25">
      <c r="D321" s="836"/>
    </row>
    <row r="322" spans="2:17" ht="12.75" customHeight="1" x14ac:dyDescent="0.25">
      <c r="D322" s="836"/>
    </row>
    <row r="323" spans="2:17" ht="12.75" customHeight="1" x14ac:dyDescent="0.25">
      <c r="D323" s="836"/>
    </row>
    <row r="324" spans="2:17" ht="12.75" customHeight="1" x14ac:dyDescent="0.25">
      <c r="D324" s="836"/>
    </row>
    <row r="325" spans="2:17" ht="12.75" customHeight="1" x14ac:dyDescent="0.25">
      <c r="D325" s="836"/>
    </row>
    <row r="326" spans="2:17" ht="12.75" customHeight="1" x14ac:dyDescent="0.25">
      <c r="D326" s="836"/>
    </row>
    <row r="327" spans="2:17" ht="12.75" customHeight="1" x14ac:dyDescent="0.25">
      <c r="D327" s="836"/>
    </row>
    <row r="328" spans="2:17" ht="12.75" customHeight="1" x14ac:dyDescent="0.25">
      <c r="D328" s="836"/>
    </row>
    <row r="329" spans="2:17" ht="12.75" customHeight="1" x14ac:dyDescent="0.25">
      <c r="D329" s="836"/>
    </row>
    <row r="330" spans="2:17" ht="12.75" customHeight="1" x14ac:dyDescent="0.25">
      <c r="D330" s="836"/>
    </row>
    <row r="331" spans="2:17" ht="12.75" customHeight="1" x14ac:dyDescent="0.25">
      <c r="D331" s="836"/>
    </row>
    <row r="332" spans="2:17" ht="12.75" customHeight="1" x14ac:dyDescent="0.25">
      <c r="D332" s="836"/>
    </row>
    <row r="333" spans="2:17" ht="12.75" customHeight="1" x14ac:dyDescent="0.25">
      <c r="D333" s="836"/>
    </row>
    <row r="334" spans="2:17" ht="12.75" customHeight="1" x14ac:dyDescent="0.25">
      <c r="B334" s="224"/>
      <c r="C334" s="224"/>
      <c r="D334" s="872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224"/>
      <c r="Q334" s="224"/>
    </row>
    <row r="335" spans="2:17" ht="12.75" customHeight="1" x14ac:dyDescent="0.25">
      <c r="B335" s="224"/>
      <c r="C335" s="224"/>
      <c r="D335" s="872"/>
      <c r="E335" s="224"/>
      <c r="F335" s="224"/>
      <c r="G335" s="224"/>
      <c r="H335" s="224"/>
      <c r="I335" s="224"/>
      <c r="J335" s="224"/>
      <c r="K335" s="224"/>
      <c r="L335" s="224"/>
      <c r="M335" s="224"/>
      <c r="N335" s="224"/>
      <c r="O335" s="224"/>
      <c r="Q335" s="224"/>
    </row>
    <row r="336" spans="2:17" ht="12.75" customHeight="1" x14ac:dyDescent="0.25">
      <c r="B336" s="224"/>
      <c r="C336" s="224"/>
      <c r="D336" s="872"/>
      <c r="E336" s="224"/>
      <c r="F336" s="224"/>
      <c r="G336" s="224"/>
      <c r="H336" s="224"/>
      <c r="I336" s="224"/>
      <c r="J336" s="224"/>
      <c r="K336" s="224"/>
      <c r="L336" s="224"/>
      <c r="M336" s="224"/>
      <c r="N336" s="224"/>
      <c r="O336" s="224"/>
      <c r="Q336" s="224"/>
    </row>
    <row r="337" spans="2:17" ht="12.75" customHeight="1" x14ac:dyDescent="0.25">
      <c r="B337" s="224"/>
      <c r="C337" s="224"/>
      <c r="D337" s="872"/>
      <c r="E337" s="224"/>
      <c r="F337" s="224"/>
      <c r="G337" s="224"/>
      <c r="H337" s="224"/>
      <c r="I337" s="224"/>
      <c r="J337" s="224"/>
      <c r="K337" s="224"/>
      <c r="L337" s="224"/>
      <c r="M337" s="224"/>
      <c r="N337" s="224"/>
      <c r="O337" s="224"/>
      <c r="Q337" s="224"/>
    </row>
    <row r="338" spans="2:17" ht="12.75" customHeight="1" x14ac:dyDescent="0.25">
      <c r="B338" s="224"/>
      <c r="C338" s="224"/>
      <c r="D338" s="872"/>
      <c r="E338" s="224"/>
      <c r="F338" s="224"/>
      <c r="G338" s="224"/>
      <c r="H338" s="224"/>
      <c r="I338" s="224"/>
      <c r="J338" s="224"/>
      <c r="K338" s="224"/>
      <c r="L338" s="224"/>
      <c r="M338" s="224"/>
      <c r="N338" s="224"/>
      <c r="O338" s="224"/>
      <c r="Q338" s="224"/>
    </row>
    <row r="339" spans="2:17" ht="12.75" customHeight="1" x14ac:dyDescent="0.25">
      <c r="B339" s="224"/>
      <c r="C339" s="224"/>
      <c r="D339" s="872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224"/>
      <c r="Q339" s="224"/>
    </row>
    <row r="340" spans="2:17" ht="12.75" customHeight="1" x14ac:dyDescent="0.25">
      <c r="B340" s="224"/>
      <c r="C340" s="224"/>
      <c r="D340" s="872"/>
      <c r="E340" s="224"/>
      <c r="F340" s="224"/>
      <c r="G340" s="224"/>
      <c r="H340" s="224"/>
      <c r="I340" s="224"/>
      <c r="J340" s="224"/>
      <c r="K340" s="224"/>
      <c r="L340" s="224"/>
      <c r="M340" s="224"/>
      <c r="N340" s="224"/>
      <c r="O340" s="224"/>
      <c r="Q340" s="224"/>
    </row>
    <row r="341" spans="2:17" ht="12.75" customHeight="1" x14ac:dyDescent="0.25">
      <c r="B341" s="224"/>
      <c r="C341" s="224"/>
      <c r="D341" s="872"/>
      <c r="E341" s="224"/>
      <c r="F341" s="224"/>
      <c r="G341" s="224"/>
      <c r="H341" s="224"/>
      <c r="I341" s="224"/>
      <c r="J341" s="224"/>
      <c r="K341" s="224"/>
      <c r="L341" s="224"/>
      <c r="M341" s="224"/>
      <c r="N341" s="224"/>
      <c r="O341" s="224"/>
      <c r="Q341" s="224"/>
    </row>
    <row r="342" spans="2:17" ht="12.75" customHeight="1" x14ac:dyDescent="0.25">
      <c r="B342" s="224"/>
      <c r="C342" s="224"/>
      <c r="D342" s="872"/>
      <c r="E342" s="224"/>
      <c r="F342" s="224"/>
      <c r="G342" s="224"/>
      <c r="H342" s="224"/>
      <c r="I342" s="224"/>
      <c r="J342" s="224"/>
      <c r="K342" s="224"/>
      <c r="L342" s="224"/>
      <c r="M342" s="224"/>
      <c r="N342" s="224"/>
      <c r="O342" s="224"/>
      <c r="Q342" s="224"/>
    </row>
    <row r="343" spans="2:17" ht="12.75" customHeight="1" x14ac:dyDescent="0.25">
      <c r="B343" s="224"/>
      <c r="C343" s="224"/>
      <c r="D343" s="872"/>
      <c r="E343" s="224"/>
      <c r="F343" s="224"/>
      <c r="G343" s="224"/>
      <c r="H343" s="224"/>
      <c r="I343" s="224"/>
      <c r="J343" s="224"/>
      <c r="K343" s="224"/>
      <c r="L343" s="224"/>
      <c r="M343" s="224"/>
      <c r="N343" s="224"/>
      <c r="O343" s="224"/>
      <c r="Q343" s="224"/>
    </row>
    <row r="344" spans="2:17" ht="12.75" customHeight="1" x14ac:dyDescent="0.25">
      <c r="B344" s="224"/>
      <c r="C344" s="224"/>
      <c r="D344" s="872"/>
      <c r="E344" s="224"/>
      <c r="F344" s="224"/>
      <c r="G344" s="224"/>
      <c r="H344" s="224"/>
      <c r="I344" s="224"/>
      <c r="J344" s="224"/>
      <c r="K344" s="224"/>
      <c r="L344" s="224"/>
      <c r="M344" s="224"/>
      <c r="N344" s="224"/>
      <c r="O344" s="224"/>
      <c r="Q344" s="224"/>
    </row>
    <row r="345" spans="2:17" ht="12.75" customHeight="1" x14ac:dyDescent="0.25">
      <c r="B345" s="224"/>
      <c r="C345" s="224"/>
      <c r="D345" s="872"/>
      <c r="E345" s="224"/>
      <c r="F345" s="224"/>
      <c r="G345" s="224"/>
    </row>
    <row r="346" spans="2:17" ht="12.75" customHeight="1" x14ac:dyDescent="0.25">
      <c r="B346" s="224"/>
      <c r="C346" s="224"/>
      <c r="D346" s="872"/>
      <c r="E346" s="224"/>
      <c r="F346" s="224"/>
      <c r="G346" s="224"/>
    </row>
    <row r="347" spans="2:17" ht="12.75" customHeight="1" x14ac:dyDescent="0.25">
      <c r="B347" s="224"/>
      <c r="C347" s="224"/>
      <c r="D347" s="872"/>
      <c r="E347" s="224"/>
      <c r="F347" s="224"/>
      <c r="G347" s="224"/>
    </row>
    <row r="348" spans="2:17" ht="12.75" customHeight="1" x14ac:dyDescent="0.25">
      <c r="B348" s="224"/>
      <c r="C348" s="224"/>
      <c r="D348" s="872"/>
      <c r="E348" s="224"/>
      <c r="F348" s="224"/>
      <c r="G348" s="224"/>
    </row>
    <row r="349" spans="2:17" ht="12.75" customHeight="1" x14ac:dyDescent="0.25">
      <c r="B349" s="224"/>
      <c r="C349" s="224"/>
      <c r="D349" s="872"/>
      <c r="E349" s="224"/>
      <c r="F349" s="224"/>
      <c r="G349" s="224"/>
    </row>
    <row r="350" spans="2:17" ht="12.75" customHeight="1" x14ac:dyDescent="0.25">
      <c r="B350" s="224"/>
      <c r="C350" s="224"/>
      <c r="D350" s="872"/>
      <c r="E350" s="224"/>
      <c r="F350" s="224"/>
      <c r="G350" s="224"/>
    </row>
    <row r="351" spans="2:17" ht="12.75" customHeight="1" x14ac:dyDescent="0.25">
      <c r="B351" s="224"/>
      <c r="C351" s="224"/>
      <c r="D351" s="872"/>
      <c r="E351" s="224"/>
      <c r="F351" s="224"/>
      <c r="G351" s="224"/>
    </row>
    <row r="352" spans="2:17" ht="12.75" customHeight="1" x14ac:dyDescent="0.25">
      <c r="B352" s="224"/>
      <c r="C352" s="224"/>
      <c r="D352" s="872"/>
      <c r="E352" s="224"/>
      <c r="F352" s="224"/>
      <c r="G352" s="224"/>
    </row>
    <row r="353" spans="1:20" ht="12.75" customHeight="1" x14ac:dyDescent="0.25">
      <c r="B353" s="224"/>
      <c r="C353" s="224"/>
      <c r="D353" s="872"/>
      <c r="E353" s="224"/>
      <c r="F353" s="224"/>
      <c r="G353" s="224"/>
    </row>
    <row r="354" spans="1:20" ht="12.75" customHeight="1" x14ac:dyDescent="0.25">
      <c r="B354" s="224"/>
      <c r="C354" s="224"/>
      <c r="D354" s="872"/>
      <c r="E354" s="224"/>
      <c r="F354" s="224"/>
      <c r="G354" s="224"/>
    </row>
    <row r="355" spans="1:20" ht="12.75" customHeight="1" x14ac:dyDescent="0.25">
      <c r="B355" s="224"/>
      <c r="C355" s="224"/>
      <c r="D355" s="872"/>
      <c r="E355" s="224"/>
      <c r="F355" s="224"/>
      <c r="G355" s="224"/>
    </row>
    <row r="356" spans="1:20" ht="12.75" customHeight="1" x14ac:dyDescent="0.25">
      <c r="D356" s="836"/>
    </row>
    <row r="357" spans="1:20" ht="12.75" customHeight="1" x14ac:dyDescent="0.25">
      <c r="D357" s="836"/>
    </row>
    <row r="358" spans="1:20" ht="12.75" customHeight="1" x14ac:dyDescent="0.25">
      <c r="D358" s="836"/>
    </row>
    <row r="359" spans="1:20" ht="12.75" customHeight="1" x14ac:dyDescent="0.25">
      <c r="D359" s="836"/>
    </row>
    <row r="360" spans="1:20" ht="12.75" customHeight="1" x14ac:dyDescent="0.25">
      <c r="D360" s="836"/>
    </row>
    <row r="361" spans="1:20" ht="12.75" customHeight="1" x14ac:dyDescent="0.25">
      <c r="D361" s="836"/>
    </row>
    <row r="362" spans="1:20" ht="12.75" customHeight="1" x14ac:dyDescent="0.25">
      <c r="D362" s="836"/>
    </row>
    <row r="363" spans="1:20" ht="12.75" customHeight="1" x14ac:dyDescent="0.25">
      <c r="A363" s="747"/>
      <c r="B363" s="452"/>
      <c r="C363" s="785"/>
      <c r="D363" s="836"/>
      <c r="E363" s="455"/>
      <c r="F363" s="454"/>
      <c r="G363" s="463"/>
      <c r="H363" s="863"/>
      <c r="I363" s="864"/>
      <c r="J363" s="863"/>
      <c r="K363" s="865"/>
      <c r="L363" s="865"/>
      <c r="M363" s="865"/>
      <c r="N363" s="865"/>
      <c r="O363" s="455"/>
      <c r="P363" s="456"/>
      <c r="Q363" s="537"/>
      <c r="R363" s="451"/>
    </row>
    <row r="364" spans="1:20" ht="12.75" customHeight="1" x14ac:dyDescent="0.25">
      <c r="A364" s="747"/>
      <c r="B364" s="452"/>
      <c r="C364" s="785"/>
      <c r="D364" s="836"/>
      <c r="E364" s="455"/>
      <c r="F364" s="454"/>
      <c r="G364" s="463"/>
      <c r="H364" s="863"/>
      <c r="I364" s="864"/>
      <c r="J364" s="863"/>
      <c r="K364" s="865"/>
      <c r="L364" s="865"/>
      <c r="M364" s="865"/>
      <c r="N364" s="865"/>
      <c r="O364" s="457"/>
      <c r="P364" s="451"/>
      <c r="Q364" s="537"/>
      <c r="R364" s="451"/>
    </row>
    <row r="365" spans="1:20" ht="12.75" customHeight="1" x14ac:dyDescent="0.25">
      <c r="B365" s="325"/>
      <c r="C365" s="778"/>
      <c r="D365" s="836"/>
      <c r="E365" s="60"/>
      <c r="F365" s="2"/>
      <c r="H365" s="294"/>
      <c r="I365" s="386"/>
      <c r="J365" s="294"/>
    </row>
    <row r="366" spans="1:20" ht="13.2" x14ac:dyDescent="0.25">
      <c r="B366" s="325"/>
      <c r="C366" s="778"/>
      <c r="D366" s="836"/>
      <c r="E366" s="60"/>
      <c r="F366" s="2"/>
      <c r="G366" s="304"/>
      <c r="H366" s="294"/>
      <c r="I366" s="386"/>
      <c r="J366" s="294"/>
      <c r="O366" s="60"/>
      <c r="P366" s="303"/>
      <c r="Q366" s="831"/>
      <c r="S366" s="247"/>
    </row>
    <row r="367" spans="1:20" ht="12.75" customHeight="1" x14ac:dyDescent="0.25">
      <c r="C367" s="785"/>
      <c r="D367" s="836"/>
      <c r="E367" s="455"/>
      <c r="F367" s="454"/>
      <c r="H367" s="863"/>
      <c r="I367" s="386"/>
      <c r="J367" s="863"/>
      <c r="O367" s="257" t="s">
        <v>2121</v>
      </c>
      <c r="P367" s="257">
        <f>SUM(P121:P366)</f>
        <v>1040014.8300000002</v>
      </c>
    </row>
    <row r="368" spans="1:20" ht="12.75" customHeight="1" x14ac:dyDescent="0.25">
      <c r="B368" s="325"/>
      <c r="C368" s="23"/>
      <c r="D368" s="836"/>
      <c r="E368" s="60"/>
      <c r="F368" s="60"/>
      <c r="J368" s="294"/>
      <c r="O368" s="257"/>
      <c r="P368" s="262"/>
      <c r="T368" s="247"/>
    </row>
    <row r="369" spans="1:20" ht="12.75" customHeight="1" x14ac:dyDescent="0.25">
      <c r="B369" s="325"/>
      <c r="D369" s="836"/>
      <c r="O369" s="255"/>
      <c r="P369" s="260"/>
    </row>
    <row r="370" spans="1:20" ht="12.75" customHeight="1" x14ac:dyDescent="0.25">
      <c r="B370" s="821" t="s">
        <v>184</v>
      </c>
      <c r="C370" s="822" t="s">
        <v>2079</v>
      </c>
      <c r="D370" s="822" t="s">
        <v>469</v>
      </c>
      <c r="E370" s="824" t="s">
        <v>664</v>
      </c>
      <c r="F370" s="824" t="s">
        <v>470</v>
      </c>
      <c r="G370" s="823" t="s">
        <v>186</v>
      </c>
      <c r="H370" s="859" t="s">
        <v>471</v>
      </c>
      <c r="I370" s="859" t="s">
        <v>4440</v>
      </c>
      <c r="J370" s="859" t="s">
        <v>3368</v>
      </c>
      <c r="K370" s="859" t="s">
        <v>4447</v>
      </c>
      <c r="L370" s="859" t="s">
        <v>4446</v>
      </c>
      <c r="M370" s="859" t="s">
        <v>893</v>
      </c>
      <c r="N370" s="859" t="s">
        <v>4455</v>
      </c>
      <c r="O370" s="824" t="s">
        <v>1216</v>
      </c>
      <c r="P370" s="824" t="s">
        <v>3372</v>
      </c>
      <c r="Q370" s="828" t="s">
        <v>4445</v>
      </c>
    </row>
    <row r="371" spans="1:20" ht="12.75" customHeight="1" x14ac:dyDescent="0.25">
      <c r="A371" s="747"/>
      <c r="B371" s="729" t="s">
        <v>4443</v>
      </c>
      <c r="C371" s="815" t="s">
        <v>4444</v>
      </c>
      <c r="D371" s="836">
        <v>25</v>
      </c>
      <c r="E371" s="299">
        <v>221.85</v>
      </c>
      <c r="F371" s="299">
        <f t="shared" ref="F371:F389" si="69">D371*E371</f>
        <v>5546.25</v>
      </c>
      <c r="G371" s="730" t="s">
        <v>369</v>
      </c>
      <c r="O371" s="299">
        <f>SUM(H371:N371)</f>
        <v>0</v>
      </c>
      <c r="P371" s="247">
        <f>F371-O371</f>
        <v>5546.25</v>
      </c>
      <c r="Q371" s="827">
        <v>764257</v>
      </c>
      <c r="R371" s="451"/>
    </row>
    <row r="372" spans="1:20" ht="12.75" customHeight="1" x14ac:dyDescent="0.25">
      <c r="B372" s="729" t="s">
        <v>4443</v>
      </c>
      <c r="C372" s="815" t="s">
        <v>4444</v>
      </c>
      <c r="D372" s="836">
        <v>25</v>
      </c>
      <c r="E372" s="299">
        <v>221.75</v>
      </c>
      <c r="F372" s="299">
        <f t="shared" si="69"/>
        <v>5543.75</v>
      </c>
      <c r="G372" s="730" t="s">
        <v>369</v>
      </c>
      <c r="O372" s="299">
        <f t="shared" ref="O372:O373" si="70">SUM(H372:N372)</f>
        <v>0</v>
      </c>
      <c r="P372" s="247">
        <f t="shared" ref="P372:P436" si="71">F372-O372</f>
        <v>5543.75</v>
      </c>
      <c r="Q372" s="827">
        <v>764257</v>
      </c>
    </row>
    <row r="373" spans="1:20" ht="12.75" customHeight="1" x14ac:dyDescent="0.25">
      <c r="B373" s="729" t="s">
        <v>4443</v>
      </c>
      <c r="C373" s="815" t="s">
        <v>4444</v>
      </c>
      <c r="D373" s="836">
        <v>25</v>
      </c>
      <c r="E373" s="299">
        <v>220</v>
      </c>
      <c r="F373" s="299">
        <f t="shared" si="69"/>
        <v>5500</v>
      </c>
      <c r="G373" s="730" t="s">
        <v>369</v>
      </c>
      <c r="H373" s="326">
        <v>20</v>
      </c>
      <c r="O373" s="299">
        <f t="shared" si="70"/>
        <v>20</v>
      </c>
      <c r="P373" s="247">
        <f t="shared" si="71"/>
        <v>5480</v>
      </c>
      <c r="Q373" s="827">
        <v>764257</v>
      </c>
      <c r="T373" s="247"/>
    </row>
    <row r="374" spans="1:20" ht="12.75" customHeight="1" x14ac:dyDescent="0.25">
      <c r="B374" s="729" t="s">
        <v>4456</v>
      </c>
      <c r="C374" s="782" t="s">
        <v>4449</v>
      </c>
      <c r="D374" s="836">
        <v>250</v>
      </c>
      <c r="E374" s="299">
        <v>7.55</v>
      </c>
      <c r="F374" s="299">
        <f t="shared" si="69"/>
        <v>1887.5</v>
      </c>
      <c r="G374" s="730" t="s">
        <v>369</v>
      </c>
      <c r="O374" s="299">
        <f t="shared" ref="O374:O380" si="72">SUM(H374:N374)</f>
        <v>0</v>
      </c>
      <c r="P374" s="247">
        <f t="shared" si="71"/>
        <v>1887.5</v>
      </c>
      <c r="Q374" s="536">
        <v>808207</v>
      </c>
    </row>
    <row r="375" spans="1:20" ht="12.75" customHeight="1" x14ac:dyDescent="0.25">
      <c r="B375" s="729" t="s">
        <v>4456</v>
      </c>
      <c r="C375" s="782" t="s">
        <v>4449</v>
      </c>
      <c r="D375" s="836">
        <v>250</v>
      </c>
      <c r="E375" s="299">
        <v>7.5</v>
      </c>
      <c r="F375" s="299">
        <f t="shared" si="69"/>
        <v>1875</v>
      </c>
      <c r="G375" s="730" t="s">
        <v>369</v>
      </c>
      <c r="O375" s="299">
        <f t="shared" si="72"/>
        <v>0</v>
      </c>
      <c r="P375" s="247">
        <f t="shared" si="71"/>
        <v>1875</v>
      </c>
      <c r="Q375" s="536">
        <v>808207</v>
      </c>
    </row>
    <row r="376" spans="1:20" ht="12.75" customHeight="1" x14ac:dyDescent="0.25">
      <c r="B376" s="729" t="s">
        <v>4456</v>
      </c>
      <c r="C376" s="782" t="s">
        <v>4449</v>
      </c>
      <c r="D376" s="836">
        <v>500</v>
      </c>
      <c r="E376" s="299">
        <v>7.35</v>
      </c>
      <c r="F376" s="299">
        <f t="shared" si="69"/>
        <v>3675</v>
      </c>
      <c r="G376" s="730" t="s">
        <v>369</v>
      </c>
      <c r="O376" s="299">
        <f t="shared" si="72"/>
        <v>0</v>
      </c>
      <c r="P376" s="247">
        <f t="shared" si="71"/>
        <v>3675</v>
      </c>
      <c r="Q376" s="536">
        <v>808207</v>
      </c>
    </row>
    <row r="377" spans="1:20" ht="12.75" customHeight="1" x14ac:dyDescent="0.25">
      <c r="B377" s="729" t="s">
        <v>4456</v>
      </c>
      <c r="C377" s="782" t="s">
        <v>4449</v>
      </c>
      <c r="D377" s="836">
        <v>500</v>
      </c>
      <c r="E377" s="299">
        <v>7.35</v>
      </c>
      <c r="F377" s="299">
        <f t="shared" si="69"/>
        <v>3675</v>
      </c>
      <c r="G377" s="730" t="s">
        <v>369</v>
      </c>
      <c r="O377" s="299">
        <f t="shared" si="72"/>
        <v>0</v>
      </c>
      <c r="P377" s="247">
        <f t="shared" si="71"/>
        <v>3675</v>
      </c>
      <c r="Q377" s="536">
        <v>808207</v>
      </c>
    </row>
    <row r="378" spans="1:20" ht="12.75" customHeight="1" x14ac:dyDescent="0.25">
      <c r="B378" s="729" t="s">
        <v>4456</v>
      </c>
      <c r="C378" s="782" t="s">
        <v>4449</v>
      </c>
      <c r="D378" s="836">
        <v>250</v>
      </c>
      <c r="E378" s="299">
        <v>7.3</v>
      </c>
      <c r="F378" s="299">
        <f t="shared" si="69"/>
        <v>1825</v>
      </c>
      <c r="G378" s="730" t="s">
        <v>369</v>
      </c>
      <c r="O378" s="299">
        <f t="shared" si="72"/>
        <v>0</v>
      </c>
      <c r="P378" s="247">
        <f t="shared" si="71"/>
        <v>1825</v>
      </c>
      <c r="Q378" s="536">
        <v>808207</v>
      </c>
    </row>
    <row r="379" spans="1:20" ht="12.75" customHeight="1" x14ac:dyDescent="0.25">
      <c r="B379" s="729" t="s">
        <v>4456</v>
      </c>
      <c r="C379" s="782" t="s">
        <v>4451</v>
      </c>
      <c r="D379" s="836">
        <v>2000</v>
      </c>
      <c r="E379" s="299">
        <v>5.55</v>
      </c>
      <c r="F379" s="299">
        <f t="shared" si="69"/>
        <v>11100</v>
      </c>
      <c r="G379" s="730" t="s">
        <v>369</v>
      </c>
      <c r="O379" s="299">
        <f t="shared" si="72"/>
        <v>0</v>
      </c>
      <c r="P379" s="247">
        <f t="shared" si="71"/>
        <v>11100</v>
      </c>
      <c r="Q379" s="536">
        <v>808207</v>
      </c>
    </row>
    <row r="380" spans="1:20" ht="12.75" customHeight="1" x14ac:dyDescent="0.25">
      <c r="B380" s="729" t="s">
        <v>4456</v>
      </c>
      <c r="C380" s="782" t="s">
        <v>4451</v>
      </c>
      <c r="D380" s="836">
        <v>2000</v>
      </c>
      <c r="E380" s="299">
        <v>5.5</v>
      </c>
      <c r="F380" s="299">
        <f t="shared" si="69"/>
        <v>11000</v>
      </c>
      <c r="G380" s="730" t="s">
        <v>369</v>
      </c>
      <c r="H380" s="326">
        <v>60</v>
      </c>
      <c r="I380" s="326">
        <v>34.36</v>
      </c>
      <c r="J380" s="326">
        <v>13.21</v>
      </c>
      <c r="K380" s="326">
        <v>0.13</v>
      </c>
      <c r="L380" s="326">
        <v>3.89</v>
      </c>
      <c r="M380" s="326">
        <v>6</v>
      </c>
      <c r="O380" s="299">
        <f t="shared" si="72"/>
        <v>117.58999999999999</v>
      </c>
      <c r="P380" s="247">
        <f t="shared" si="71"/>
        <v>10882.41</v>
      </c>
      <c r="Q380" s="536">
        <v>808207</v>
      </c>
    </row>
    <row r="381" spans="1:20" ht="12.75" customHeight="1" x14ac:dyDescent="0.25">
      <c r="B381" s="729" t="s">
        <v>4458</v>
      </c>
      <c r="C381" s="782" t="s">
        <v>4457</v>
      </c>
      <c r="D381" s="836">
        <v>50</v>
      </c>
      <c r="E381" s="299">
        <v>359</v>
      </c>
      <c r="F381" s="299">
        <f t="shared" si="69"/>
        <v>17950</v>
      </c>
      <c r="G381" s="730" t="s">
        <v>369</v>
      </c>
      <c r="O381" s="299">
        <f t="shared" ref="O381:O384" si="73">SUM(H381:N381)</f>
        <v>0</v>
      </c>
      <c r="P381" s="247">
        <f t="shared" si="71"/>
        <v>17950</v>
      </c>
      <c r="Q381" s="536">
        <v>818979</v>
      </c>
    </row>
    <row r="382" spans="1:20" ht="12.75" customHeight="1" x14ac:dyDescent="0.25">
      <c r="B382" s="729" t="s">
        <v>4458</v>
      </c>
      <c r="C382" s="782" t="s">
        <v>4457</v>
      </c>
      <c r="D382" s="836">
        <v>25</v>
      </c>
      <c r="E382" s="299">
        <v>359</v>
      </c>
      <c r="F382" s="299">
        <f t="shared" si="69"/>
        <v>8975</v>
      </c>
      <c r="G382" s="730" t="s">
        <v>369</v>
      </c>
      <c r="O382" s="299">
        <f t="shared" si="73"/>
        <v>0</v>
      </c>
      <c r="P382" s="247">
        <f t="shared" si="71"/>
        <v>8975</v>
      </c>
      <c r="Q382" s="536">
        <v>818979</v>
      </c>
    </row>
    <row r="383" spans="1:20" ht="12.75" customHeight="1" x14ac:dyDescent="0.25">
      <c r="B383" s="729" t="s">
        <v>4458</v>
      </c>
      <c r="C383" s="782" t="s">
        <v>4457</v>
      </c>
      <c r="D383" s="836">
        <v>25</v>
      </c>
      <c r="E383" s="299">
        <v>359</v>
      </c>
      <c r="F383" s="299">
        <f t="shared" si="69"/>
        <v>8975</v>
      </c>
      <c r="G383" s="730" t="s">
        <v>369</v>
      </c>
      <c r="O383" s="299">
        <f t="shared" si="73"/>
        <v>0</v>
      </c>
      <c r="P383" s="247">
        <f t="shared" si="71"/>
        <v>8975</v>
      </c>
      <c r="Q383" s="536">
        <v>818979</v>
      </c>
    </row>
    <row r="384" spans="1:20" ht="12.75" customHeight="1" x14ac:dyDescent="0.25">
      <c r="B384" s="729" t="s">
        <v>4458</v>
      </c>
      <c r="C384" s="782" t="s">
        <v>4457</v>
      </c>
      <c r="D384" s="836">
        <v>25</v>
      </c>
      <c r="E384" s="299">
        <v>359</v>
      </c>
      <c r="F384" s="299">
        <f t="shared" si="69"/>
        <v>8975</v>
      </c>
      <c r="G384" s="730" t="s">
        <v>369</v>
      </c>
      <c r="O384" s="299">
        <f t="shared" si="73"/>
        <v>0</v>
      </c>
      <c r="P384" s="247">
        <f t="shared" si="71"/>
        <v>8975</v>
      </c>
      <c r="Q384" s="536">
        <v>818979</v>
      </c>
    </row>
    <row r="385" spans="2:17" ht="12.75" customHeight="1" x14ac:dyDescent="0.25">
      <c r="B385" s="729" t="s">
        <v>4459</v>
      </c>
      <c r="C385" s="782" t="s">
        <v>4460</v>
      </c>
      <c r="D385" s="836">
        <v>2000</v>
      </c>
      <c r="E385" s="299">
        <v>3.2</v>
      </c>
      <c r="F385" s="299">
        <f t="shared" si="69"/>
        <v>6400</v>
      </c>
      <c r="G385" s="730" t="s">
        <v>369</v>
      </c>
      <c r="O385" s="299">
        <f t="shared" ref="O385:O398" si="74">SUM(H385:N385)</f>
        <v>0</v>
      </c>
      <c r="P385" s="247">
        <f t="shared" si="71"/>
        <v>6400</v>
      </c>
      <c r="Q385" s="536">
        <v>830293</v>
      </c>
    </row>
    <row r="386" spans="2:17" ht="12.75" customHeight="1" x14ac:dyDescent="0.25">
      <c r="B386" s="729" t="s">
        <v>4459</v>
      </c>
      <c r="C386" s="782" t="s">
        <v>4460</v>
      </c>
      <c r="D386" s="836">
        <v>2000</v>
      </c>
      <c r="E386" s="299">
        <v>2.2999999999999998</v>
      </c>
      <c r="F386" s="299">
        <f t="shared" si="69"/>
        <v>4600</v>
      </c>
      <c r="G386" s="730" t="s">
        <v>369</v>
      </c>
      <c r="O386" s="299">
        <f t="shared" si="74"/>
        <v>0</v>
      </c>
      <c r="P386" s="247">
        <f t="shared" si="71"/>
        <v>4600</v>
      </c>
      <c r="Q386" s="536">
        <v>830293</v>
      </c>
    </row>
    <row r="387" spans="2:17" ht="12.75" customHeight="1" x14ac:dyDescent="0.25">
      <c r="B387" s="729" t="s">
        <v>4461</v>
      </c>
      <c r="C387" s="782" t="s">
        <v>4451</v>
      </c>
      <c r="D387" s="836">
        <v>2000</v>
      </c>
      <c r="E387" s="299">
        <v>1.95</v>
      </c>
      <c r="F387" s="299">
        <f t="shared" si="69"/>
        <v>3900</v>
      </c>
      <c r="G387" s="730" t="s">
        <v>369</v>
      </c>
      <c r="O387" s="299">
        <f t="shared" si="74"/>
        <v>0</v>
      </c>
      <c r="P387" s="247">
        <f t="shared" si="71"/>
        <v>3900</v>
      </c>
      <c r="Q387" s="536">
        <v>841006</v>
      </c>
    </row>
    <row r="388" spans="2:17" ht="12.75" customHeight="1" x14ac:dyDescent="0.25">
      <c r="B388" s="729" t="s">
        <v>4461</v>
      </c>
      <c r="C388" s="782" t="s">
        <v>4451</v>
      </c>
      <c r="D388" s="836">
        <v>2000</v>
      </c>
      <c r="E388" s="299">
        <v>1.95</v>
      </c>
      <c r="F388" s="299">
        <f t="shared" si="69"/>
        <v>3900</v>
      </c>
      <c r="G388" s="730" t="s">
        <v>369</v>
      </c>
      <c r="O388" s="299">
        <f t="shared" si="74"/>
        <v>0</v>
      </c>
      <c r="P388" s="247">
        <f t="shared" si="71"/>
        <v>3900</v>
      </c>
      <c r="Q388" s="536">
        <v>841006</v>
      </c>
    </row>
    <row r="389" spans="2:17" ht="12.75" customHeight="1" x14ac:dyDescent="0.25">
      <c r="B389" s="729" t="s">
        <v>4461</v>
      </c>
      <c r="C389" s="782" t="s">
        <v>4451</v>
      </c>
      <c r="D389" s="836">
        <v>2000</v>
      </c>
      <c r="E389" s="299">
        <v>1.95</v>
      </c>
      <c r="F389" s="299">
        <f t="shared" si="69"/>
        <v>3900</v>
      </c>
      <c r="G389" s="730" t="s">
        <v>369</v>
      </c>
      <c r="O389" s="299">
        <f t="shared" si="74"/>
        <v>0</v>
      </c>
      <c r="P389" s="247">
        <f t="shared" si="71"/>
        <v>3900</v>
      </c>
      <c r="Q389" s="536">
        <v>841006</v>
      </c>
    </row>
    <row r="390" spans="2:17" ht="12.75" customHeight="1" x14ac:dyDescent="0.25">
      <c r="B390" s="729" t="s">
        <v>4463</v>
      </c>
      <c r="C390" s="782" t="s">
        <v>4449</v>
      </c>
      <c r="D390" s="836">
        <v>250</v>
      </c>
      <c r="E390" s="299">
        <v>17</v>
      </c>
      <c r="F390" s="299">
        <f t="shared" ref="F390:F398" si="75">D390*E390</f>
        <v>4250</v>
      </c>
      <c r="G390" s="730" t="s">
        <v>369</v>
      </c>
      <c r="O390" s="299">
        <f t="shared" si="74"/>
        <v>0</v>
      </c>
      <c r="P390" s="247">
        <f t="shared" si="71"/>
        <v>4250</v>
      </c>
      <c r="Q390" s="536">
        <v>851969</v>
      </c>
    </row>
    <row r="391" spans="2:17" ht="12.75" customHeight="1" x14ac:dyDescent="0.25">
      <c r="B391" s="729" t="s">
        <v>4463</v>
      </c>
      <c r="C391" s="782" t="s">
        <v>4449</v>
      </c>
      <c r="D391" s="836">
        <v>250</v>
      </c>
      <c r="E391" s="299">
        <v>17</v>
      </c>
      <c r="F391" s="299">
        <f t="shared" si="75"/>
        <v>4250</v>
      </c>
      <c r="G391" s="730" t="s">
        <v>369</v>
      </c>
      <c r="O391" s="299">
        <f t="shared" si="74"/>
        <v>0</v>
      </c>
      <c r="P391" s="247">
        <f t="shared" si="71"/>
        <v>4250</v>
      </c>
      <c r="Q391" s="536">
        <v>851969</v>
      </c>
    </row>
    <row r="392" spans="2:17" ht="12.75" customHeight="1" x14ac:dyDescent="0.25">
      <c r="B392" s="729" t="s">
        <v>4463</v>
      </c>
      <c r="C392" s="782" t="s">
        <v>4449</v>
      </c>
      <c r="D392" s="836">
        <v>500</v>
      </c>
      <c r="E392" s="299">
        <v>17</v>
      </c>
      <c r="F392" s="299">
        <f t="shared" si="75"/>
        <v>8500</v>
      </c>
      <c r="G392" s="730" t="s">
        <v>369</v>
      </c>
      <c r="O392" s="299">
        <f t="shared" si="74"/>
        <v>0</v>
      </c>
      <c r="P392" s="247">
        <f t="shared" si="71"/>
        <v>8500</v>
      </c>
      <c r="Q392" s="536">
        <v>851969</v>
      </c>
    </row>
    <row r="393" spans="2:17" ht="12.75" customHeight="1" x14ac:dyDescent="0.25">
      <c r="B393" s="729" t="s">
        <v>4463</v>
      </c>
      <c r="C393" s="782" t="s">
        <v>4449</v>
      </c>
      <c r="D393" s="836">
        <v>500</v>
      </c>
      <c r="E393" s="299">
        <v>17</v>
      </c>
      <c r="F393" s="299">
        <f t="shared" si="75"/>
        <v>8500</v>
      </c>
      <c r="G393" s="730" t="s">
        <v>369</v>
      </c>
      <c r="O393" s="299">
        <f t="shared" si="74"/>
        <v>0</v>
      </c>
      <c r="P393" s="247">
        <f t="shared" si="71"/>
        <v>8500</v>
      </c>
      <c r="Q393" s="536">
        <v>851969</v>
      </c>
    </row>
    <row r="394" spans="2:17" ht="12.75" customHeight="1" x14ac:dyDescent="0.25">
      <c r="B394" s="729" t="s">
        <v>4463</v>
      </c>
      <c r="C394" s="782" t="s">
        <v>4449</v>
      </c>
      <c r="D394" s="836">
        <v>250</v>
      </c>
      <c r="E394" s="299">
        <v>17</v>
      </c>
      <c r="F394" s="299">
        <f t="shared" si="75"/>
        <v>4250</v>
      </c>
      <c r="G394" s="730" t="s">
        <v>369</v>
      </c>
      <c r="O394" s="299">
        <f t="shared" si="74"/>
        <v>0</v>
      </c>
      <c r="P394" s="247">
        <f t="shared" si="71"/>
        <v>4250</v>
      </c>
      <c r="Q394" s="536">
        <v>851969</v>
      </c>
    </row>
    <row r="395" spans="2:17" ht="12.75" customHeight="1" x14ac:dyDescent="0.25">
      <c r="B395" s="729" t="s">
        <v>4463</v>
      </c>
      <c r="C395" s="782" t="s">
        <v>4449</v>
      </c>
      <c r="D395" s="836">
        <v>750</v>
      </c>
      <c r="E395" s="299">
        <v>17</v>
      </c>
      <c r="F395" s="299">
        <f t="shared" si="75"/>
        <v>12750</v>
      </c>
      <c r="G395" s="730" t="s">
        <v>369</v>
      </c>
      <c r="O395" s="299">
        <f t="shared" si="74"/>
        <v>0</v>
      </c>
      <c r="P395" s="247">
        <f t="shared" si="71"/>
        <v>12750</v>
      </c>
      <c r="Q395" s="536">
        <v>851969</v>
      </c>
    </row>
    <row r="396" spans="2:17" ht="12.75" customHeight="1" x14ac:dyDescent="0.25">
      <c r="B396" s="729" t="s">
        <v>4463</v>
      </c>
      <c r="C396" s="782" t="s">
        <v>4462</v>
      </c>
      <c r="D396" s="836">
        <v>150</v>
      </c>
      <c r="E396" s="299">
        <v>59</v>
      </c>
      <c r="F396" s="299">
        <f t="shared" si="75"/>
        <v>8850</v>
      </c>
      <c r="G396" s="730" t="s">
        <v>369</v>
      </c>
      <c r="O396" s="299">
        <f t="shared" si="74"/>
        <v>0</v>
      </c>
      <c r="P396" s="247">
        <f t="shared" si="71"/>
        <v>8850</v>
      </c>
      <c r="Q396" s="536">
        <v>851969</v>
      </c>
    </row>
    <row r="397" spans="2:17" ht="12.75" customHeight="1" x14ac:dyDescent="0.25">
      <c r="B397" s="729" t="s">
        <v>4463</v>
      </c>
      <c r="C397" s="782" t="s">
        <v>4462</v>
      </c>
      <c r="D397" s="836">
        <v>25</v>
      </c>
      <c r="E397" s="299">
        <v>59</v>
      </c>
      <c r="F397" s="299">
        <f t="shared" si="75"/>
        <v>1475</v>
      </c>
      <c r="G397" s="730" t="s">
        <v>369</v>
      </c>
      <c r="O397" s="299">
        <f t="shared" si="74"/>
        <v>0</v>
      </c>
      <c r="P397" s="247">
        <f t="shared" si="71"/>
        <v>1475</v>
      </c>
      <c r="Q397" s="536">
        <v>851969</v>
      </c>
    </row>
    <row r="398" spans="2:17" ht="12.75" customHeight="1" x14ac:dyDescent="0.25">
      <c r="B398" s="729" t="s">
        <v>4463</v>
      </c>
      <c r="C398" s="782" t="s">
        <v>4462</v>
      </c>
      <c r="D398" s="836">
        <v>25</v>
      </c>
      <c r="E398" s="299">
        <v>59</v>
      </c>
      <c r="F398" s="299">
        <f t="shared" si="75"/>
        <v>1475</v>
      </c>
      <c r="G398" s="730" t="s">
        <v>369</v>
      </c>
      <c r="H398" s="326">
        <v>60</v>
      </c>
      <c r="I398" s="326">
        <v>35.22</v>
      </c>
      <c r="J398" s="326">
        <v>13.33</v>
      </c>
      <c r="K398" s="326">
        <v>0.14000000000000001</v>
      </c>
      <c r="L398" s="326">
        <v>3.99</v>
      </c>
      <c r="M398" s="326">
        <v>9</v>
      </c>
      <c r="O398" s="299">
        <f t="shared" si="74"/>
        <v>121.67999999999999</v>
      </c>
      <c r="P398" s="247">
        <f t="shared" si="71"/>
        <v>1353.32</v>
      </c>
      <c r="Q398" s="536">
        <v>851969</v>
      </c>
    </row>
    <row r="399" spans="2:17" ht="12.75" customHeight="1" x14ac:dyDescent="0.25">
      <c r="B399" s="729" t="s">
        <v>4465</v>
      </c>
      <c r="C399" s="782" t="s">
        <v>4464</v>
      </c>
      <c r="D399" s="836">
        <v>1000</v>
      </c>
      <c r="E399" s="299">
        <v>9.5500000000000007</v>
      </c>
      <c r="F399" s="299">
        <f t="shared" ref="F399:F417" si="76">D399*E399</f>
        <v>9550</v>
      </c>
      <c r="G399" s="730" t="s">
        <v>369</v>
      </c>
      <c r="O399" s="299">
        <f t="shared" ref="O399:O417" si="77">SUM(H399:N399)</f>
        <v>0</v>
      </c>
      <c r="P399" s="247">
        <f t="shared" si="71"/>
        <v>9550</v>
      </c>
      <c r="Q399" s="536">
        <v>862390</v>
      </c>
    </row>
    <row r="400" spans="2:17" ht="12.75" customHeight="1" x14ac:dyDescent="0.25">
      <c r="B400" s="729" t="s">
        <v>4465</v>
      </c>
      <c r="C400" s="782" t="s">
        <v>4466</v>
      </c>
      <c r="D400" s="836">
        <v>250</v>
      </c>
      <c r="E400" s="299">
        <v>13</v>
      </c>
      <c r="F400" s="299">
        <f t="shared" si="76"/>
        <v>3250</v>
      </c>
      <c r="G400" s="730" t="s">
        <v>369</v>
      </c>
      <c r="O400" s="299">
        <f t="shared" si="77"/>
        <v>0</v>
      </c>
      <c r="P400" s="247">
        <f t="shared" si="71"/>
        <v>3250</v>
      </c>
      <c r="Q400" s="536">
        <v>862390</v>
      </c>
    </row>
    <row r="401" spans="2:17" ht="12.75" customHeight="1" x14ac:dyDescent="0.25">
      <c r="B401" s="729" t="s">
        <v>4465</v>
      </c>
      <c r="C401" s="782" t="s">
        <v>4466</v>
      </c>
      <c r="D401" s="836">
        <v>500</v>
      </c>
      <c r="E401" s="299">
        <v>13</v>
      </c>
      <c r="F401" s="299">
        <f t="shared" si="76"/>
        <v>6500</v>
      </c>
      <c r="G401" s="730" t="s">
        <v>369</v>
      </c>
      <c r="O401" s="299">
        <f t="shared" si="77"/>
        <v>0</v>
      </c>
      <c r="P401" s="247">
        <f t="shared" si="71"/>
        <v>6500</v>
      </c>
      <c r="Q401" s="536">
        <v>862390</v>
      </c>
    </row>
    <row r="402" spans="2:17" ht="12.75" customHeight="1" x14ac:dyDescent="0.25">
      <c r="B402" s="729" t="s">
        <v>4467</v>
      </c>
      <c r="C402" s="782" t="s">
        <v>4464</v>
      </c>
      <c r="D402" s="836">
        <v>1000</v>
      </c>
      <c r="E402" s="299">
        <v>11.05</v>
      </c>
      <c r="F402" s="299">
        <f t="shared" si="76"/>
        <v>11050</v>
      </c>
      <c r="G402" s="730" t="s">
        <v>369</v>
      </c>
      <c r="O402" s="299">
        <f t="shared" si="77"/>
        <v>0</v>
      </c>
      <c r="P402" s="247">
        <f t="shared" si="71"/>
        <v>11050</v>
      </c>
      <c r="Q402" s="536">
        <v>872811</v>
      </c>
    </row>
    <row r="403" spans="2:17" ht="12.75" customHeight="1" x14ac:dyDescent="0.25">
      <c r="B403" s="729" t="s">
        <v>4467</v>
      </c>
      <c r="C403" s="782" t="s">
        <v>4464</v>
      </c>
      <c r="D403" s="836">
        <v>1000</v>
      </c>
      <c r="E403" s="299">
        <v>11.55</v>
      </c>
      <c r="F403" s="299">
        <f t="shared" si="76"/>
        <v>11550</v>
      </c>
      <c r="G403" s="730" t="s">
        <v>369</v>
      </c>
      <c r="O403" s="299">
        <f t="shared" si="77"/>
        <v>0</v>
      </c>
      <c r="P403" s="247">
        <f t="shared" si="71"/>
        <v>11550</v>
      </c>
      <c r="Q403" s="536">
        <v>872811</v>
      </c>
    </row>
    <row r="404" spans="2:17" ht="12.75" customHeight="1" x14ac:dyDescent="0.25">
      <c r="B404" s="729" t="s">
        <v>4467</v>
      </c>
      <c r="C404" s="782" t="s">
        <v>4470</v>
      </c>
      <c r="D404" s="836">
        <v>2000</v>
      </c>
      <c r="E404" s="299">
        <v>1.75</v>
      </c>
      <c r="F404" s="299">
        <f t="shared" si="76"/>
        <v>3500</v>
      </c>
      <c r="G404" s="730" t="s">
        <v>369</v>
      </c>
      <c r="O404" s="299">
        <f t="shared" si="77"/>
        <v>0</v>
      </c>
      <c r="P404" s="247">
        <f t="shared" si="71"/>
        <v>3500</v>
      </c>
      <c r="Q404" s="536">
        <v>872811</v>
      </c>
    </row>
    <row r="405" spans="2:17" ht="12.75" customHeight="1" x14ac:dyDescent="0.25">
      <c r="B405" s="729" t="s">
        <v>4467</v>
      </c>
      <c r="C405" s="782" t="s">
        <v>4470</v>
      </c>
      <c r="D405" s="836">
        <v>2000</v>
      </c>
      <c r="E405" s="299">
        <v>1.75</v>
      </c>
      <c r="F405" s="299">
        <f t="shared" si="76"/>
        <v>3500</v>
      </c>
      <c r="G405" s="730" t="s">
        <v>369</v>
      </c>
      <c r="O405" s="299">
        <f t="shared" si="77"/>
        <v>0</v>
      </c>
      <c r="P405" s="247">
        <f t="shared" si="71"/>
        <v>3500</v>
      </c>
      <c r="Q405" s="536">
        <v>872811</v>
      </c>
    </row>
    <row r="406" spans="2:17" ht="12.75" customHeight="1" x14ac:dyDescent="0.25">
      <c r="B406" s="729" t="s">
        <v>4467</v>
      </c>
      <c r="C406" s="782" t="s">
        <v>4470</v>
      </c>
      <c r="D406" s="836">
        <v>2000</v>
      </c>
      <c r="E406" s="299">
        <v>1.75</v>
      </c>
      <c r="F406" s="299">
        <f t="shared" si="76"/>
        <v>3500</v>
      </c>
      <c r="G406" s="730" t="s">
        <v>369</v>
      </c>
      <c r="O406" s="299">
        <f t="shared" si="77"/>
        <v>0</v>
      </c>
      <c r="P406" s="247">
        <f t="shared" si="71"/>
        <v>3500</v>
      </c>
      <c r="Q406" s="536">
        <v>872811</v>
      </c>
    </row>
    <row r="407" spans="2:17" ht="12.75" customHeight="1" x14ac:dyDescent="0.25">
      <c r="B407" s="729" t="s">
        <v>4467</v>
      </c>
      <c r="C407" s="782" t="s">
        <v>4470</v>
      </c>
      <c r="D407" s="836">
        <v>2000</v>
      </c>
      <c r="E407" s="299">
        <v>1.65</v>
      </c>
      <c r="F407" s="299">
        <f t="shared" si="76"/>
        <v>3300</v>
      </c>
      <c r="G407" s="730" t="s">
        <v>369</v>
      </c>
      <c r="O407" s="299">
        <f t="shared" si="77"/>
        <v>0</v>
      </c>
      <c r="P407" s="247">
        <f t="shared" si="71"/>
        <v>3300</v>
      </c>
      <c r="Q407" s="536">
        <v>872811</v>
      </c>
    </row>
    <row r="408" spans="2:17" ht="12.75" customHeight="1" x14ac:dyDescent="0.25">
      <c r="B408" s="729" t="s">
        <v>4467</v>
      </c>
      <c r="C408" s="782" t="s">
        <v>4466</v>
      </c>
      <c r="D408" s="836">
        <v>250</v>
      </c>
      <c r="E408" s="299">
        <v>10.6</v>
      </c>
      <c r="F408" s="299">
        <f t="shared" si="76"/>
        <v>2650</v>
      </c>
      <c r="G408" s="730" t="s">
        <v>369</v>
      </c>
      <c r="O408" s="299">
        <f t="shared" si="77"/>
        <v>0</v>
      </c>
      <c r="P408" s="247">
        <f t="shared" si="71"/>
        <v>2650</v>
      </c>
      <c r="Q408" s="536">
        <v>872811</v>
      </c>
    </row>
    <row r="409" spans="2:17" ht="12.75" customHeight="1" x14ac:dyDescent="0.25">
      <c r="B409" s="729" t="s">
        <v>4467</v>
      </c>
      <c r="C409" s="782" t="s">
        <v>4466</v>
      </c>
      <c r="D409" s="836">
        <v>250</v>
      </c>
      <c r="E409" s="299">
        <v>10.6</v>
      </c>
      <c r="F409" s="299">
        <f t="shared" si="76"/>
        <v>2650</v>
      </c>
      <c r="G409" s="730" t="s">
        <v>369</v>
      </c>
      <c r="O409" s="299">
        <f t="shared" si="77"/>
        <v>0</v>
      </c>
      <c r="P409" s="247">
        <f t="shared" si="71"/>
        <v>2650</v>
      </c>
      <c r="Q409" s="536">
        <v>872811</v>
      </c>
    </row>
    <row r="410" spans="2:17" ht="12.75" customHeight="1" x14ac:dyDescent="0.25">
      <c r="B410" s="729" t="s">
        <v>4467</v>
      </c>
      <c r="C410" s="782" t="s">
        <v>4466</v>
      </c>
      <c r="D410" s="836">
        <v>250</v>
      </c>
      <c r="E410" s="299">
        <v>10.6</v>
      </c>
      <c r="F410" s="299">
        <f t="shared" si="76"/>
        <v>2650</v>
      </c>
      <c r="G410" s="730" t="s">
        <v>369</v>
      </c>
      <c r="O410" s="299">
        <f t="shared" si="77"/>
        <v>0</v>
      </c>
      <c r="P410" s="247">
        <f t="shared" si="71"/>
        <v>2650</v>
      </c>
      <c r="Q410" s="536">
        <v>872811</v>
      </c>
    </row>
    <row r="411" spans="2:17" ht="12.75" customHeight="1" x14ac:dyDescent="0.25">
      <c r="B411" s="729" t="s">
        <v>4467</v>
      </c>
      <c r="C411" s="782" t="s">
        <v>4466</v>
      </c>
      <c r="D411" s="836">
        <v>250</v>
      </c>
      <c r="E411" s="299">
        <v>10.6</v>
      </c>
      <c r="F411" s="299">
        <f t="shared" si="76"/>
        <v>2650</v>
      </c>
      <c r="G411" s="730" t="s">
        <v>369</v>
      </c>
      <c r="O411" s="299">
        <f t="shared" si="77"/>
        <v>0</v>
      </c>
      <c r="P411" s="247">
        <f t="shared" si="71"/>
        <v>2650</v>
      </c>
      <c r="Q411" s="536">
        <v>872811</v>
      </c>
    </row>
    <row r="412" spans="2:17" ht="12.75" customHeight="1" x14ac:dyDescent="0.25">
      <c r="B412" s="729" t="s">
        <v>4467</v>
      </c>
      <c r="C412" s="782" t="s">
        <v>4466</v>
      </c>
      <c r="D412" s="836">
        <v>250</v>
      </c>
      <c r="E412" s="299">
        <v>10.6</v>
      </c>
      <c r="F412" s="299">
        <f t="shared" si="76"/>
        <v>2650</v>
      </c>
      <c r="G412" s="730" t="s">
        <v>369</v>
      </c>
      <c r="O412" s="299">
        <f t="shared" si="77"/>
        <v>0</v>
      </c>
      <c r="P412" s="247">
        <f t="shared" si="71"/>
        <v>2650</v>
      </c>
      <c r="Q412" s="536">
        <v>872811</v>
      </c>
    </row>
    <row r="413" spans="2:17" ht="12.75" customHeight="1" x14ac:dyDescent="0.25">
      <c r="B413" s="729" t="s">
        <v>4467</v>
      </c>
      <c r="C413" s="782" t="s">
        <v>4466</v>
      </c>
      <c r="D413" s="836">
        <v>250</v>
      </c>
      <c r="E413" s="299">
        <v>14.55</v>
      </c>
      <c r="F413" s="299">
        <f t="shared" si="76"/>
        <v>3637.5</v>
      </c>
      <c r="G413" s="730" t="s">
        <v>369</v>
      </c>
      <c r="O413" s="299">
        <f t="shared" si="77"/>
        <v>0</v>
      </c>
      <c r="P413" s="247">
        <f t="shared" si="71"/>
        <v>3637.5</v>
      </c>
      <c r="Q413" s="536">
        <v>872811</v>
      </c>
    </row>
    <row r="414" spans="2:17" ht="12.75" customHeight="1" x14ac:dyDescent="0.25">
      <c r="B414" s="729" t="s">
        <v>4467</v>
      </c>
      <c r="C414" s="782" t="s">
        <v>4466</v>
      </c>
      <c r="D414" s="836">
        <v>500</v>
      </c>
      <c r="E414" s="299">
        <v>14.5</v>
      </c>
      <c r="F414" s="299">
        <f t="shared" si="76"/>
        <v>7250</v>
      </c>
      <c r="G414" s="730" t="s">
        <v>369</v>
      </c>
      <c r="O414" s="299">
        <f t="shared" si="77"/>
        <v>0</v>
      </c>
      <c r="P414" s="247">
        <f t="shared" si="71"/>
        <v>7250</v>
      </c>
      <c r="Q414" s="536">
        <v>872811</v>
      </c>
    </row>
    <row r="415" spans="2:17" ht="12.75" customHeight="1" x14ac:dyDescent="0.25">
      <c r="B415" s="729" t="s">
        <v>4467</v>
      </c>
      <c r="C415" s="782" t="s">
        <v>4466</v>
      </c>
      <c r="D415" s="836">
        <v>250</v>
      </c>
      <c r="E415" s="299">
        <v>13</v>
      </c>
      <c r="F415" s="299">
        <f t="shared" si="76"/>
        <v>3250</v>
      </c>
      <c r="G415" s="730" t="s">
        <v>369</v>
      </c>
      <c r="O415" s="299">
        <f t="shared" si="77"/>
        <v>0</v>
      </c>
      <c r="P415" s="247">
        <f t="shared" si="71"/>
        <v>3250</v>
      </c>
      <c r="Q415" s="536">
        <v>872811</v>
      </c>
    </row>
    <row r="416" spans="2:17" ht="12.75" customHeight="1" x14ac:dyDescent="0.25">
      <c r="B416" s="729" t="s">
        <v>4467</v>
      </c>
      <c r="C416" s="782" t="s">
        <v>4466</v>
      </c>
      <c r="D416" s="836">
        <v>250</v>
      </c>
      <c r="E416" s="299">
        <v>13</v>
      </c>
      <c r="F416" s="299">
        <f t="shared" si="76"/>
        <v>3250</v>
      </c>
      <c r="G416" s="730" t="s">
        <v>369</v>
      </c>
      <c r="O416" s="299">
        <f t="shared" si="77"/>
        <v>0</v>
      </c>
      <c r="P416" s="247">
        <f t="shared" si="71"/>
        <v>3250</v>
      </c>
      <c r="Q416" s="536">
        <v>872811</v>
      </c>
    </row>
    <row r="417" spans="2:17" ht="12.75" customHeight="1" x14ac:dyDescent="0.25">
      <c r="B417" s="729" t="s">
        <v>4467</v>
      </c>
      <c r="C417" s="782" t="s">
        <v>4466</v>
      </c>
      <c r="D417" s="836">
        <v>500</v>
      </c>
      <c r="E417" s="299">
        <v>13</v>
      </c>
      <c r="F417" s="299">
        <f t="shared" si="76"/>
        <v>6500</v>
      </c>
      <c r="G417" s="730" t="s">
        <v>369</v>
      </c>
      <c r="O417" s="299">
        <f t="shared" si="77"/>
        <v>0</v>
      </c>
      <c r="P417" s="247">
        <f t="shared" si="71"/>
        <v>6500</v>
      </c>
      <c r="Q417" s="536">
        <v>872811</v>
      </c>
    </row>
    <row r="418" spans="2:17" ht="12.75" customHeight="1" x14ac:dyDescent="0.25">
      <c r="B418" s="729" t="s">
        <v>4471</v>
      </c>
      <c r="C418" s="782" t="s">
        <v>4466</v>
      </c>
      <c r="D418" s="836">
        <v>500</v>
      </c>
      <c r="E418" s="299">
        <v>19</v>
      </c>
      <c r="F418" s="299">
        <f t="shared" ref="F418:F462" si="78">D418*E418</f>
        <v>9500</v>
      </c>
      <c r="G418" s="730" t="s">
        <v>369</v>
      </c>
      <c r="H418" s="326">
        <v>60</v>
      </c>
      <c r="I418" s="326">
        <v>10.68</v>
      </c>
      <c r="J418" s="326">
        <v>9.9</v>
      </c>
      <c r="K418" s="326">
        <v>0.04</v>
      </c>
      <c r="L418" s="326">
        <v>1.21</v>
      </c>
      <c r="M418" s="326">
        <v>2</v>
      </c>
      <c r="N418" s="326">
        <v>0.01</v>
      </c>
      <c r="O418" s="299">
        <f t="shared" ref="O418:O436" si="79">SUM(H418:N418)</f>
        <v>83.840000000000018</v>
      </c>
      <c r="P418" s="247">
        <f t="shared" si="71"/>
        <v>9416.16</v>
      </c>
      <c r="Q418" s="536">
        <v>882929</v>
      </c>
    </row>
    <row r="419" spans="2:17" ht="12.75" customHeight="1" x14ac:dyDescent="0.25">
      <c r="B419" s="729" t="s">
        <v>4473</v>
      </c>
      <c r="C419" s="782" t="s">
        <v>4470</v>
      </c>
      <c r="D419" s="836">
        <v>2000</v>
      </c>
      <c r="E419" s="299">
        <v>0.9</v>
      </c>
      <c r="F419" s="299">
        <f t="shared" si="78"/>
        <v>1800</v>
      </c>
      <c r="G419" s="730" t="s">
        <v>369</v>
      </c>
      <c r="O419" s="299">
        <f t="shared" si="79"/>
        <v>0</v>
      </c>
      <c r="P419" s="247">
        <f t="shared" si="71"/>
        <v>1800</v>
      </c>
      <c r="Q419" s="536">
        <v>892227</v>
      </c>
    </row>
    <row r="420" spans="2:17" ht="12.75" customHeight="1" x14ac:dyDescent="0.25">
      <c r="B420" s="729" t="s">
        <v>4473</v>
      </c>
      <c r="C420" s="782" t="s">
        <v>4470</v>
      </c>
      <c r="D420" s="836">
        <v>2000</v>
      </c>
      <c r="E420" s="299">
        <v>0.9</v>
      </c>
      <c r="F420" s="299">
        <f t="shared" si="78"/>
        <v>1800</v>
      </c>
      <c r="G420" s="730" t="s">
        <v>369</v>
      </c>
      <c r="O420" s="299">
        <f t="shared" si="79"/>
        <v>0</v>
      </c>
      <c r="P420" s="247">
        <f t="shared" si="71"/>
        <v>1800</v>
      </c>
      <c r="Q420" s="536">
        <v>892227</v>
      </c>
    </row>
    <row r="421" spans="2:17" ht="12.75" customHeight="1" x14ac:dyDescent="0.25">
      <c r="B421" s="729" t="s">
        <v>4473</v>
      </c>
      <c r="C421" s="782" t="s">
        <v>4470</v>
      </c>
      <c r="D421" s="836">
        <v>6000</v>
      </c>
      <c r="E421" s="299">
        <v>0.9</v>
      </c>
      <c r="F421" s="299">
        <f t="shared" si="78"/>
        <v>5400</v>
      </c>
      <c r="G421" s="730" t="s">
        <v>369</v>
      </c>
      <c r="O421" s="299">
        <f t="shared" si="79"/>
        <v>0</v>
      </c>
      <c r="P421" s="247">
        <f t="shared" si="71"/>
        <v>5400</v>
      </c>
      <c r="Q421" s="536">
        <v>892227</v>
      </c>
    </row>
    <row r="422" spans="2:17" ht="12.75" customHeight="1" x14ac:dyDescent="0.25">
      <c r="B422" s="729" t="s">
        <v>4473</v>
      </c>
      <c r="C422" s="782" t="s">
        <v>4470</v>
      </c>
      <c r="D422" s="836">
        <v>2000</v>
      </c>
      <c r="E422" s="299">
        <v>0.6</v>
      </c>
      <c r="F422" s="299">
        <f t="shared" si="78"/>
        <v>1200</v>
      </c>
      <c r="G422" s="730" t="s">
        <v>369</v>
      </c>
      <c r="O422" s="299">
        <f t="shared" si="79"/>
        <v>0</v>
      </c>
      <c r="P422" s="247">
        <f t="shared" si="71"/>
        <v>1200</v>
      </c>
      <c r="Q422" s="536">
        <v>892227</v>
      </c>
    </row>
    <row r="423" spans="2:17" ht="12.75" customHeight="1" x14ac:dyDescent="0.25">
      <c r="B423" s="729" t="s">
        <v>4473</v>
      </c>
      <c r="C423" s="782" t="s">
        <v>4470</v>
      </c>
      <c r="D423" s="836">
        <v>4000</v>
      </c>
      <c r="E423" s="299">
        <v>0.6</v>
      </c>
      <c r="F423" s="299">
        <f t="shared" si="78"/>
        <v>2400</v>
      </c>
      <c r="G423" s="730" t="s">
        <v>369</v>
      </c>
      <c r="O423" s="299">
        <f t="shared" si="79"/>
        <v>0</v>
      </c>
      <c r="P423" s="247">
        <f t="shared" si="71"/>
        <v>2400</v>
      </c>
      <c r="Q423" s="536">
        <v>892227</v>
      </c>
    </row>
    <row r="424" spans="2:17" ht="12.75" customHeight="1" x14ac:dyDescent="0.25">
      <c r="B424" s="729" t="s">
        <v>4473</v>
      </c>
      <c r="C424" s="782" t="s">
        <v>4472</v>
      </c>
      <c r="D424" s="836">
        <v>250</v>
      </c>
      <c r="E424" s="299">
        <v>9.4</v>
      </c>
      <c r="F424" s="299">
        <f t="shared" si="78"/>
        <v>2350</v>
      </c>
      <c r="G424" s="730" t="s">
        <v>369</v>
      </c>
      <c r="O424" s="299">
        <f t="shared" si="79"/>
        <v>0</v>
      </c>
      <c r="P424" s="247">
        <f t="shared" si="71"/>
        <v>2350</v>
      </c>
      <c r="Q424" s="536">
        <v>892227</v>
      </c>
    </row>
    <row r="425" spans="2:17" ht="12.75" customHeight="1" x14ac:dyDescent="0.25">
      <c r="B425" s="729" t="s">
        <v>4473</v>
      </c>
      <c r="C425" s="782" t="s">
        <v>4472</v>
      </c>
      <c r="D425" s="836">
        <v>250</v>
      </c>
      <c r="E425" s="299">
        <v>9.4</v>
      </c>
      <c r="F425" s="299">
        <f t="shared" si="78"/>
        <v>2350</v>
      </c>
      <c r="G425" s="730" t="s">
        <v>369</v>
      </c>
      <c r="O425" s="299">
        <f t="shared" si="79"/>
        <v>0</v>
      </c>
      <c r="P425" s="247">
        <f t="shared" si="71"/>
        <v>2350</v>
      </c>
      <c r="Q425" s="536">
        <v>892227</v>
      </c>
    </row>
    <row r="426" spans="2:17" ht="12.75" customHeight="1" x14ac:dyDescent="0.25">
      <c r="B426" s="729" t="s">
        <v>4473</v>
      </c>
      <c r="C426" s="782" t="s">
        <v>4475</v>
      </c>
      <c r="D426" s="836">
        <v>25</v>
      </c>
      <c r="E426" s="299">
        <v>95</v>
      </c>
      <c r="F426" s="299">
        <f t="shared" si="78"/>
        <v>2375</v>
      </c>
      <c r="G426" s="730" t="s">
        <v>369</v>
      </c>
      <c r="O426" s="299">
        <f t="shared" si="79"/>
        <v>0</v>
      </c>
      <c r="P426" s="247">
        <f t="shared" si="71"/>
        <v>2375</v>
      </c>
      <c r="Q426" s="536">
        <v>892227</v>
      </c>
    </row>
    <row r="427" spans="2:17" ht="12.75" customHeight="1" x14ac:dyDescent="0.25">
      <c r="B427" s="729" t="s">
        <v>4473</v>
      </c>
      <c r="C427" s="782" t="s">
        <v>4475</v>
      </c>
      <c r="D427" s="836">
        <v>175</v>
      </c>
      <c r="E427" s="299">
        <v>95</v>
      </c>
      <c r="F427" s="299">
        <f t="shared" si="78"/>
        <v>16625</v>
      </c>
      <c r="G427" s="730" t="s">
        <v>369</v>
      </c>
      <c r="O427" s="299">
        <f t="shared" si="79"/>
        <v>0</v>
      </c>
      <c r="P427" s="247">
        <f t="shared" si="71"/>
        <v>16625</v>
      </c>
      <c r="Q427" s="536">
        <v>892227</v>
      </c>
    </row>
    <row r="428" spans="2:17" ht="12.75" customHeight="1" x14ac:dyDescent="0.25">
      <c r="B428" s="729" t="s">
        <v>4473</v>
      </c>
      <c r="C428" s="782" t="s">
        <v>4466</v>
      </c>
      <c r="D428" s="836">
        <v>250</v>
      </c>
      <c r="E428" s="299">
        <v>66</v>
      </c>
      <c r="F428" s="299">
        <f t="shared" si="78"/>
        <v>16500</v>
      </c>
      <c r="G428" s="730" t="s">
        <v>369</v>
      </c>
      <c r="O428" s="299">
        <f t="shared" si="79"/>
        <v>0</v>
      </c>
      <c r="P428" s="247">
        <f t="shared" si="71"/>
        <v>16500</v>
      </c>
      <c r="Q428" s="536">
        <v>892227</v>
      </c>
    </row>
    <row r="429" spans="2:17" ht="12.75" customHeight="1" x14ac:dyDescent="0.25">
      <c r="B429" s="729" t="s">
        <v>4473</v>
      </c>
      <c r="C429" s="782" t="s">
        <v>4466</v>
      </c>
      <c r="D429" s="836">
        <v>250</v>
      </c>
      <c r="E429" s="299">
        <v>66</v>
      </c>
      <c r="F429" s="299">
        <f t="shared" si="78"/>
        <v>16500</v>
      </c>
      <c r="G429" s="730" t="s">
        <v>369</v>
      </c>
      <c r="H429" s="326">
        <v>200</v>
      </c>
      <c r="I429" s="326">
        <v>59.2</v>
      </c>
      <c r="J429" s="326">
        <v>36.29</v>
      </c>
      <c r="K429" s="326">
        <v>0.22</v>
      </c>
      <c r="L429" s="326">
        <v>6.7</v>
      </c>
      <c r="M429" s="326">
        <v>12</v>
      </c>
      <c r="N429" s="326">
        <v>0.01</v>
      </c>
      <c r="O429" s="299">
        <f t="shared" si="79"/>
        <v>314.42</v>
      </c>
      <c r="P429" s="247">
        <f t="shared" si="71"/>
        <v>16185.58</v>
      </c>
      <c r="Q429" s="536">
        <v>892227</v>
      </c>
    </row>
    <row r="430" spans="2:17" ht="12.75" customHeight="1" x14ac:dyDescent="0.25">
      <c r="B430" s="729" t="s">
        <v>4476</v>
      </c>
      <c r="C430" s="782" t="s">
        <v>4449</v>
      </c>
      <c r="D430" s="836">
        <v>500</v>
      </c>
      <c r="E430" s="299">
        <v>9.6</v>
      </c>
      <c r="F430" s="299">
        <f t="shared" si="78"/>
        <v>4800</v>
      </c>
      <c r="G430" s="730" t="s">
        <v>369</v>
      </c>
      <c r="O430" s="299">
        <f t="shared" si="79"/>
        <v>0</v>
      </c>
      <c r="P430" s="247">
        <f t="shared" si="71"/>
        <v>4800</v>
      </c>
      <c r="Q430" s="536">
        <v>905683</v>
      </c>
    </row>
    <row r="431" spans="2:17" ht="12.75" customHeight="1" x14ac:dyDescent="0.25">
      <c r="B431" s="729" t="s">
        <v>4476</v>
      </c>
      <c r="C431" s="782" t="s">
        <v>4449</v>
      </c>
      <c r="D431" s="836">
        <v>500</v>
      </c>
      <c r="E431" s="299">
        <v>11.25</v>
      </c>
      <c r="F431" s="299">
        <f t="shared" si="78"/>
        <v>5625</v>
      </c>
      <c r="G431" s="730" t="s">
        <v>369</v>
      </c>
      <c r="O431" s="299">
        <f t="shared" si="79"/>
        <v>0</v>
      </c>
      <c r="P431" s="247">
        <f t="shared" si="71"/>
        <v>5625</v>
      </c>
      <c r="Q431" s="536">
        <v>905683</v>
      </c>
    </row>
    <row r="432" spans="2:17" ht="12.75" customHeight="1" x14ac:dyDescent="0.25">
      <c r="B432" s="729" t="s">
        <v>4476</v>
      </c>
      <c r="C432" s="782" t="s">
        <v>4449</v>
      </c>
      <c r="D432" s="836">
        <v>250</v>
      </c>
      <c r="E432" s="299">
        <v>11.4</v>
      </c>
      <c r="F432" s="299">
        <f t="shared" si="78"/>
        <v>2850</v>
      </c>
      <c r="G432" s="730" t="s">
        <v>369</v>
      </c>
      <c r="O432" s="299">
        <f t="shared" si="79"/>
        <v>0</v>
      </c>
      <c r="P432" s="247">
        <f t="shared" si="71"/>
        <v>2850</v>
      </c>
      <c r="Q432" s="536">
        <v>905683</v>
      </c>
    </row>
    <row r="433" spans="2:17" ht="12.75" customHeight="1" x14ac:dyDescent="0.25">
      <c r="B433" s="729" t="s">
        <v>4476</v>
      </c>
      <c r="C433" s="782" t="s">
        <v>4449</v>
      </c>
      <c r="D433" s="836">
        <v>250</v>
      </c>
      <c r="E433" s="299">
        <v>11.4</v>
      </c>
      <c r="F433" s="299">
        <f t="shared" si="78"/>
        <v>2850</v>
      </c>
      <c r="G433" s="730" t="s">
        <v>369</v>
      </c>
      <c r="O433" s="299">
        <f t="shared" si="79"/>
        <v>0</v>
      </c>
      <c r="P433" s="247">
        <f t="shared" si="71"/>
        <v>2850</v>
      </c>
      <c r="Q433" s="536">
        <v>905683</v>
      </c>
    </row>
    <row r="434" spans="2:17" ht="12.75" customHeight="1" x14ac:dyDescent="0.25">
      <c r="B434" s="729" t="s">
        <v>4476</v>
      </c>
      <c r="C434" s="782" t="s">
        <v>4474</v>
      </c>
      <c r="D434" s="836">
        <v>2000</v>
      </c>
      <c r="E434" s="299">
        <v>0.9</v>
      </c>
      <c r="F434" s="299">
        <f t="shared" si="78"/>
        <v>1800</v>
      </c>
      <c r="G434" s="730" t="s">
        <v>369</v>
      </c>
      <c r="O434" s="299">
        <f t="shared" si="79"/>
        <v>0</v>
      </c>
      <c r="P434" s="247">
        <f t="shared" si="71"/>
        <v>1800</v>
      </c>
      <c r="Q434" s="536">
        <v>905683</v>
      </c>
    </row>
    <row r="435" spans="2:17" ht="12.75" customHeight="1" x14ac:dyDescent="0.25">
      <c r="B435" s="729" t="s">
        <v>4476</v>
      </c>
      <c r="C435" s="782" t="s">
        <v>4474</v>
      </c>
      <c r="D435" s="836">
        <v>2000</v>
      </c>
      <c r="E435" s="299">
        <v>0.9</v>
      </c>
      <c r="F435" s="299">
        <f t="shared" si="78"/>
        <v>1800</v>
      </c>
      <c r="G435" s="730" t="s">
        <v>369</v>
      </c>
      <c r="O435" s="299">
        <f t="shared" si="79"/>
        <v>0</v>
      </c>
      <c r="P435" s="247">
        <f t="shared" si="71"/>
        <v>1800</v>
      </c>
      <c r="Q435" s="536">
        <v>905683</v>
      </c>
    </row>
    <row r="436" spans="2:17" ht="12.75" customHeight="1" x14ac:dyDescent="0.25">
      <c r="B436" s="729" t="s">
        <v>4476</v>
      </c>
      <c r="C436" s="782" t="s">
        <v>4474</v>
      </c>
      <c r="D436" s="836">
        <v>2000</v>
      </c>
      <c r="E436" s="299">
        <v>0.9</v>
      </c>
      <c r="F436" s="299">
        <f t="shared" si="78"/>
        <v>1800</v>
      </c>
      <c r="G436" s="730" t="s">
        <v>369</v>
      </c>
      <c r="H436" s="326">
        <v>220</v>
      </c>
      <c r="I436" s="326">
        <v>30.01</v>
      </c>
      <c r="J436" s="326">
        <v>35</v>
      </c>
      <c r="K436" s="326">
        <v>0.12</v>
      </c>
      <c r="L436" s="326">
        <v>3.4</v>
      </c>
      <c r="M436" s="326">
        <v>4</v>
      </c>
      <c r="N436" s="326">
        <v>-0.01</v>
      </c>
      <c r="O436" s="299">
        <f t="shared" si="79"/>
        <v>292.52</v>
      </c>
      <c r="P436" s="247">
        <f t="shared" si="71"/>
        <v>1507.48</v>
      </c>
      <c r="Q436" s="536">
        <v>905683</v>
      </c>
    </row>
    <row r="437" spans="2:17" ht="12.75" customHeight="1" x14ac:dyDescent="0.25">
      <c r="B437" s="729" t="s">
        <v>4478</v>
      </c>
      <c r="C437" s="782" t="s">
        <v>4449</v>
      </c>
      <c r="D437" s="836">
        <v>250</v>
      </c>
      <c r="E437" s="299">
        <v>3.55</v>
      </c>
      <c r="F437" s="299">
        <f t="shared" si="78"/>
        <v>887.5</v>
      </c>
      <c r="G437" s="730" t="s">
        <v>369</v>
      </c>
      <c r="O437" s="299">
        <f t="shared" ref="O437" si="80">SUM(H437:N437)</f>
        <v>0</v>
      </c>
      <c r="P437" s="247">
        <f t="shared" ref="P437:P478" si="81">F437-O437</f>
        <v>887.5</v>
      </c>
      <c r="Q437" s="536">
        <v>918440</v>
      </c>
    </row>
    <row r="438" spans="2:17" ht="12.75" customHeight="1" x14ac:dyDescent="0.25">
      <c r="B438" s="729" t="s">
        <v>4478</v>
      </c>
      <c r="C438" s="782" t="s">
        <v>4449</v>
      </c>
      <c r="D438" s="836">
        <v>250</v>
      </c>
      <c r="E438" s="299">
        <v>3.55</v>
      </c>
      <c r="F438" s="299">
        <f t="shared" si="78"/>
        <v>887.5</v>
      </c>
      <c r="G438" s="730" t="s">
        <v>369</v>
      </c>
      <c r="O438" s="299">
        <f t="shared" ref="O438:O462" si="82">SUM(H438:N438)</f>
        <v>0</v>
      </c>
      <c r="P438" s="247">
        <f t="shared" si="81"/>
        <v>887.5</v>
      </c>
      <c r="Q438" s="536">
        <v>918441</v>
      </c>
    </row>
    <row r="439" spans="2:17" ht="12.75" customHeight="1" x14ac:dyDescent="0.25">
      <c r="B439" s="729" t="s">
        <v>4478</v>
      </c>
      <c r="C439" s="782" t="s">
        <v>4449</v>
      </c>
      <c r="D439" s="836">
        <v>500</v>
      </c>
      <c r="E439" s="299">
        <v>3.55</v>
      </c>
      <c r="F439" s="299">
        <f t="shared" si="78"/>
        <v>1775</v>
      </c>
      <c r="G439" s="730" t="s">
        <v>369</v>
      </c>
      <c r="O439" s="299">
        <f t="shared" si="82"/>
        <v>0</v>
      </c>
      <c r="P439" s="247">
        <f t="shared" si="81"/>
        <v>1775</v>
      </c>
      <c r="Q439" s="536">
        <v>918442</v>
      </c>
    </row>
    <row r="440" spans="2:17" ht="12.75" customHeight="1" x14ac:dyDescent="0.25">
      <c r="B440" s="729" t="s">
        <v>4478</v>
      </c>
      <c r="C440" s="782" t="s">
        <v>4474</v>
      </c>
      <c r="D440" s="836">
        <v>2000</v>
      </c>
      <c r="E440" s="299">
        <v>0.6</v>
      </c>
      <c r="F440" s="299">
        <f t="shared" si="78"/>
        <v>1200</v>
      </c>
      <c r="G440" s="730" t="s">
        <v>369</v>
      </c>
      <c r="O440" s="299">
        <f t="shared" si="82"/>
        <v>0</v>
      </c>
      <c r="P440" s="247">
        <f t="shared" si="81"/>
        <v>1200</v>
      </c>
      <c r="Q440" s="536">
        <v>918443</v>
      </c>
    </row>
    <row r="441" spans="2:17" ht="12.75" customHeight="1" x14ac:dyDescent="0.25">
      <c r="B441" s="729" t="s">
        <v>4478</v>
      </c>
      <c r="C441" s="782" t="s">
        <v>4474</v>
      </c>
      <c r="D441" s="836">
        <v>2000</v>
      </c>
      <c r="E441" s="299">
        <v>0.6</v>
      </c>
      <c r="F441" s="299">
        <f t="shared" si="78"/>
        <v>1200</v>
      </c>
      <c r="G441" s="730" t="s">
        <v>369</v>
      </c>
      <c r="O441" s="299">
        <f t="shared" si="82"/>
        <v>0</v>
      </c>
      <c r="P441" s="247">
        <f t="shared" si="81"/>
        <v>1200</v>
      </c>
      <c r="Q441" s="536">
        <v>918444</v>
      </c>
    </row>
    <row r="442" spans="2:17" ht="12.75" customHeight="1" x14ac:dyDescent="0.25">
      <c r="B442" s="729" t="s">
        <v>4478</v>
      </c>
      <c r="C442" s="782" t="s">
        <v>4474</v>
      </c>
      <c r="D442" s="836">
        <v>2000</v>
      </c>
      <c r="E442" s="299">
        <v>0.6</v>
      </c>
      <c r="F442" s="299">
        <f t="shared" si="78"/>
        <v>1200</v>
      </c>
      <c r="G442" s="730" t="s">
        <v>369</v>
      </c>
      <c r="O442" s="299">
        <f t="shared" si="82"/>
        <v>0</v>
      </c>
      <c r="P442" s="247">
        <f t="shared" si="81"/>
        <v>1200</v>
      </c>
      <c r="Q442" s="536">
        <v>918445</v>
      </c>
    </row>
    <row r="443" spans="2:17" ht="12.75" customHeight="1" x14ac:dyDescent="0.25">
      <c r="B443" s="729" t="s">
        <v>4478</v>
      </c>
      <c r="C443" s="782" t="s">
        <v>4474</v>
      </c>
      <c r="D443" s="836">
        <v>2000</v>
      </c>
      <c r="E443" s="299">
        <v>0.6</v>
      </c>
      <c r="F443" s="299">
        <f t="shared" si="78"/>
        <v>1200</v>
      </c>
      <c r="G443" s="730" t="s">
        <v>369</v>
      </c>
      <c r="O443" s="299">
        <f t="shared" si="82"/>
        <v>0</v>
      </c>
      <c r="P443" s="247">
        <f t="shared" si="81"/>
        <v>1200</v>
      </c>
      <c r="Q443" s="536">
        <v>918446</v>
      </c>
    </row>
    <row r="444" spans="2:17" ht="12.75" customHeight="1" x14ac:dyDescent="0.25">
      <c r="B444" s="729" t="s">
        <v>4478</v>
      </c>
      <c r="C444" s="782" t="s">
        <v>4474</v>
      </c>
      <c r="D444" s="836">
        <v>2000</v>
      </c>
      <c r="E444" s="299">
        <v>0.6</v>
      </c>
      <c r="F444" s="299">
        <f t="shared" si="78"/>
        <v>1200</v>
      </c>
      <c r="G444" s="730" t="s">
        <v>369</v>
      </c>
      <c r="O444" s="299">
        <f t="shared" si="82"/>
        <v>0</v>
      </c>
      <c r="P444" s="247">
        <f t="shared" si="81"/>
        <v>1200</v>
      </c>
      <c r="Q444" s="536">
        <v>918447</v>
      </c>
    </row>
    <row r="445" spans="2:17" ht="12.75" customHeight="1" x14ac:dyDescent="0.25">
      <c r="B445" s="729" t="s">
        <v>4478</v>
      </c>
      <c r="C445" s="782" t="s">
        <v>4474</v>
      </c>
      <c r="D445" s="836">
        <v>2000</v>
      </c>
      <c r="E445" s="299">
        <v>0.6</v>
      </c>
      <c r="F445" s="299">
        <f t="shared" si="78"/>
        <v>1200</v>
      </c>
      <c r="G445" s="730" t="s">
        <v>369</v>
      </c>
      <c r="O445" s="299">
        <f t="shared" si="82"/>
        <v>0</v>
      </c>
      <c r="P445" s="247">
        <f t="shared" si="81"/>
        <v>1200</v>
      </c>
      <c r="Q445" s="536">
        <v>918447</v>
      </c>
    </row>
    <row r="446" spans="2:17" ht="12.75" customHeight="1" x14ac:dyDescent="0.25">
      <c r="B446" s="729" t="s">
        <v>4478</v>
      </c>
      <c r="C446" s="782" t="s">
        <v>4481</v>
      </c>
      <c r="D446" s="836">
        <v>25</v>
      </c>
      <c r="E446" s="299">
        <v>35.200000000000003</v>
      </c>
      <c r="F446" s="299">
        <f t="shared" si="78"/>
        <v>880.00000000000011</v>
      </c>
      <c r="G446" s="730" t="s">
        <v>369</v>
      </c>
      <c r="O446" s="299">
        <f t="shared" si="82"/>
        <v>0</v>
      </c>
      <c r="P446" s="247">
        <f t="shared" si="81"/>
        <v>880.00000000000011</v>
      </c>
      <c r="Q446" s="536">
        <v>918453</v>
      </c>
    </row>
    <row r="447" spans="2:17" ht="12.75" customHeight="1" x14ac:dyDescent="0.25">
      <c r="B447" s="729" t="s">
        <v>4478</v>
      </c>
      <c r="C447" s="782" t="s">
        <v>4481</v>
      </c>
      <c r="D447" s="836">
        <v>150</v>
      </c>
      <c r="E447" s="299">
        <v>35.15</v>
      </c>
      <c r="F447" s="299">
        <f t="shared" si="78"/>
        <v>5272.5</v>
      </c>
      <c r="G447" s="730" t="s">
        <v>369</v>
      </c>
      <c r="O447" s="299">
        <f t="shared" si="82"/>
        <v>0</v>
      </c>
      <c r="P447" s="247">
        <f t="shared" si="81"/>
        <v>5272.5</v>
      </c>
      <c r="Q447" s="536">
        <v>918454</v>
      </c>
    </row>
    <row r="448" spans="2:17" ht="12.75" customHeight="1" x14ac:dyDescent="0.25">
      <c r="B448" s="729" t="s">
        <v>4478</v>
      </c>
      <c r="C448" s="782" t="s">
        <v>4481</v>
      </c>
      <c r="D448" s="836">
        <v>25</v>
      </c>
      <c r="E448" s="299">
        <v>35.1</v>
      </c>
      <c r="F448" s="299">
        <f t="shared" si="78"/>
        <v>877.5</v>
      </c>
      <c r="G448" s="730" t="s">
        <v>369</v>
      </c>
      <c r="O448" s="299">
        <f t="shared" si="82"/>
        <v>0</v>
      </c>
      <c r="P448" s="247">
        <f t="shared" si="81"/>
        <v>877.5</v>
      </c>
      <c r="Q448" s="536">
        <v>918455</v>
      </c>
    </row>
    <row r="449" spans="2:17" ht="12.75" customHeight="1" x14ac:dyDescent="0.25">
      <c r="B449" s="729" t="s">
        <v>4478</v>
      </c>
      <c r="C449" s="782" t="s">
        <v>4481</v>
      </c>
      <c r="D449" s="836">
        <v>125</v>
      </c>
      <c r="E449" s="299">
        <v>35.1</v>
      </c>
      <c r="F449" s="299">
        <f t="shared" si="78"/>
        <v>4387.5</v>
      </c>
      <c r="G449" s="730" t="s">
        <v>369</v>
      </c>
      <c r="O449" s="299">
        <f t="shared" si="82"/>
        <v>0</v>
      </c>
      <c r="P449" s="247">
        <f t="shared" si="81"/>
        <v>4387.5</v>
      </c>
      <c r="Q449" s="536">
        <v>918456</v>
      </c>
    </row>
    <row r="450" spans="2:17" ht="12.75" customHeight="1" x14ac:dyDescent="0.25">
      <c r="B450" s="729" t="s">
        <v>4478</v>
      </c>
      <c r="C450" s="782" t="s">
        <v>4481</v>
      </c>
      <c r="D450" s="836">
        <v>175</v>
      </c>
      <c r="E450" s="299">
        <v>35.1</v>
      </c>
      <c r="F450" s="299">
        <f t="shared" si="78"/>
        <v>6142.5</v>
      </c>
      <c r="G450" s="730" t="s">
        <v>369</v>
      </c>
      <c r="O450" s="299">
        <f t="shared" si="82"/>
        <v>0</v>
      </c>
      <c r="P450" s="247">
        <f t="shared" si="81"/>
        <v>6142.5</v>
      </c>
      <c r="Q450" s="536">
        <v>918457</v>
      </c>
    </row>
    <row r="451" spans="2:17" ht="12.75" customHeight="1" x14ac:dyDescent="0.25">
      <c r="B451" s="729" t="s">
        <v>4478</v>
      </c>
      <c r="C451" s="782" t="s">
        <v>4477</v>
      </c>
      <c r="D451" s="836">
        <v>50</v>
      </c>
      <c r="E451" s="299">
        <v>11.45</v>
      </c>
      <c r="F451" s="299">
        <f t="shared" si="78"/>
        <v>572.5</v>
      </c>
      <c r="G451" s="730" t="s">
        <v>369</v>
      </c>
      <c r="O451" s="299">
        <f t="shared" si="82"/>
        <v>0</v>
      </c>
      <c r="P451" s="247">
        <f t="shared" si="81"/>
        <v>572.5</v>
      </c>
      <c r="Q451" s="536">
        <v>918458</v>
      </c>
    </row>
    <row r="452" spans="2:17" ht="12.75" customHeight="1" x14ac:dyDescent="0.25">
      <c r="B452" s="729" t="s">
        <v>4478</v>
      </c>
      <c r="C452" s="782" t="s">
        <v>4477</v>
      </c>
      <c r="D452" s="836">
        <v>25</v>
      </c>
      <c r="E452" s="299">
        <v>11.45</v>
      </c>
      <c r="F452" s="299">
        <f t="shared" si="78"/>
        <v>286.25</v>
      </c>
      <c r="G452" s="730" t="s">
        <v>369</v>
      </c>
      <c r="O452" s="299">
        <f t="shared" si="82"/>
        <v>0</v>
      </c>
      <c r="P452" s="247">
        <f t="shared" si="81"/>
        <v>286.25</v>
      </c>
      <c r="Q452" s="536">
        <v>918459</v>
      </c>
    </row>
    <row r="453" spans="2:17" ht="12.75" customHeight="1" x14ac:dyDescent="0.25">
      <c r="B453" s="729" t="s">
        <v>4478</v>
      </c>
      <c r="C453" s="782" t="s">
        <v>4477</v>
      </c>
      <c r="D453" s="836">
        <v>175</v>
      </c>
      <c r="E453" s="299">
        <v>11.45</v>
      </c>
      <c r="F453" s="299">
        <f t="shared" si="78"/>
        <v>2003.7499999999998</v>
      </c>
      <c r="G453" s="730" t="s">
        <v>369</v>
      </c>
      <c r="O453" s="299">
        <f t="shared" si="82"/>
        <v>0</v>
      </c>
      <c r="P453" s="247">
        <f t="shared" si="81"/>
        <v>2003.7499999999998</v>
      </c>
      <c r="Q453" s="536">
        <v>918460</v>
      </c>
    </row>
    <row r="454" spans="2:17" ht="12.75" customHeight="1" x14ac:dyDescent="0.25">
      <c r="B454" s="729" t="s">
        <v>4486</v>
      </c>
      <c r="C454" s="782" t="s">
        <v>4485</v>
      </c>
      <c r="D454" s="836">
        <v>500</v>
      </c>
      <c r="E454" s="299">
        <v>5.0999999999999996</v>
      </c>
      <c r="F454" s="299">
        <f t="shared" si="78"/>
        <v>2550</v>
      </c>
      <c r="G454" s="730" t="s">
        <v>369</v>
      </c>
      <c r="O454" s="299">
        <f t="shared" si="82"/>
        <v>0</v>
      </c>
      <c r="P454" s="247">
        <f t="shared" si="81"/>
        <v>2550</v>
      </c>
      <c r="Q454" s="536">
        <v>941598</v>
      </c>
    </row>
    <row r="455" spans="2:17" ht="12.75" customHeight="1" x14ac:dyDescent="0.25">
      <c r="B455" s="729" t="s">
        <v>4486</v>
      </c>
      <c r="C455" s="782" t="s">
        <v>4485</v>
      </c>
      <c r="D455" s="836">
        <v>500</v>
      </c>
      <c r="E455" s="299">
        <v>5.0999999999999996</v>
      </c>
      <c r="F455" s="299">
        <f t="shared" si="78"/>
        <v>2550</v>
      </c>
      <c r="G455" s="730" t="s">
        <v>369</v>
      </c>
      <c r="O455" s="299">
        <f t="shared" si="82"/>
        <v>0</v>
      </c>
      <c r="P455" s="247">
        <f t="shared" si="81"/>
        <v>2550</v>
      </c>
      <c r="Q455" s="536">
        <v>941598</v>
      </c>
    </row>
    <row r="456" spans="2:17" ht="12.75" customHeight="1" x14ac:dyDescent="0.25">
      <c r="B456" s="729" t="s">
        <v>4486</v>
      </c>
      <c r="C456" s="782" t="s">
        <v>4485</v>
      </c>
      <c r="D456" s="836">
        <v>500</v>
      </c>
      <c r="E456" s="299">
        <v>5.0999999999999996</v>
      </c>
      <c r="F456" s="299">
        <f t="shared" si="78"/>
        <v>2550</v>
      </c>
      <c r="G456" s="730" t="s">
        <v>369</v>
      </c>
      <c r="O456" s="299">
        <f t="shared" si="82"/>
        <v>0</v>
      </c>
      <c r="P456" s="247">
        <f t="shared" si="81"/>
        <v>2550</v>
      </c>
      <c r="Q456" s="536">
        <v>941598</v>
      </c>
    </row>
    <row r="457" spans="2:17" ht="12.75" customHeight="1" x14ac:dyDescent="0.25">
      <c r="B457" s="729" t="s">
        <v>4486</v>
      </c>
      <c r="C457" s="782" t="s">
        <v>4482</v>
      </c>
      <c r="D457" s="836">
        <v>250</v>
      </c>
      <c r="E457" s="299">
        <v>9.1</v>
      </c>
      <c r="F457" s="299">
        <f t="shared" si="78"/>
        <v>2275</v>
      </c>
      <c r="G457" s="730" t="s">
        <v>369</v>
      </c>
      <c r="O457" s="299">
        <f t="shared" si="82"/>
        <v>0</v>
      </c>
      <c r="P457" s="247">
        <f t="shared" si="81"/>
        <v>2275</v>
      </c>
      <c r="Q457" s="536">
        <v>941598</v>
      </c>
    </row>
    <row r="458" spans="2:17" ht="12.75" customHeight="1" x14ac:dyDescent="0.25">
      <c r="B458" s="729" t="s">
        <v>4486</v>
      </c>
      <c r="C458" s="782" t="s">
        <v>4482</v>
      </c>
      <c r="D458" s="836">
        <v>750</v>
      </c>
      <c r="E458" s="299">
        <v>9.1</v>
      </c>
      <c r="F458" s="299">
        <f t="shared" si="78"/>
        <v>6825</v>
      </c>
      <c r="G458" s="730" t="s">
        <v>369</v>
      </c>
      <c r="O458" s="299">
        <f t="shared" si="82"/>
        <v>0</v>
      </c>
      <c r="P458" s="247">
        <f t="shared" si="81"/>
        <v>6825</v>
      </c>
      <c r="Q458" s="536">
        <v>941598</v>
      </c>
    </row>
    <row r="459" spans="2:17" ht="12.75" customHeight="1" x14ac:dyDescent="0.25">
      <c r="B459" s="729" t="s">
        <v>4486</v>
      </c>
      <c r="C459" s="782" t="s">
        <v>4482</v>
      </c>
      <c r="D459" s="836">
        <v>250</v>
      </c>
      <c r="E459" s="299">
        <v>8.5</v>
      </c>
      <c r="F459" s="299">
        <f t="shared" si="78"/>
        <v>2125</v>
      </c>
      <c r="G459" s="730" t="s">
        <v>369</v>
      </c>
      <c r="O459" s="299">
        <f t="shared" si="82"/>
        <v>0</v>
      </c>
      <c r="P459" s="247">
        <f t="shared" si="81"/>
        <v>2125</v>
      </c>
      <c r="Q459" s="536">
        <v>941598</v>
      </c>
    </row>
    <row r="460" spans="2:17" ht="12.75" customHeight="1" x14ac:dyDescent="0.25">
      <c r="B460" s="729" t="s">
        <v>4486</v>
      </c>
      <c r="C460" s="782" t="s">
        <v>4482</v>
      </c>
      <c r="D460" s="836">
        <v>250</v>
      </c>
      <c r="E460" s="299">
        <v>8.1999999999999993</v>
      </c>
      <c r="F460" s="299">
        <f t="shared" si="78"/>
        <v>2050</v>
      </c>
      <c r="G460" s="730" t="s">
        <v>369</v>
      </c>
      <c r="O460" s="299">
        <f t="shared" si="82"/>
        <v>0</v>
      </c>
      <c r="P460" s="247">
        <f t="shared" si="81"/>
        <v>2050</v>
      </c>
      <c r="Q460" s="536">
        <v>941598</v>
      </c>
    </row>
    <row r="461" spans="2:17" ht="12.75" customHeight="1" x14ac:dyDescent="0.25">
      <c r="B461" s="729" t="s">
        <v>4486</v>
      </c>
      <c r="C461" s="782" t="s">
        <v>4482</v>
      </c>
      <c r="D461" s="836">
        <v>250</v>
      </c>
      <c r="E461" s="299">
        <v>8.1999999999999993</v>
      </c>
      <c r="F461" s="299">
        <f t="shared" si="78"/>
        <v>2050</v>
      </c>
      <c r="G461" s="730" t="s">
        <v>369</v>
      </c>
      <c r="O461" s="299">
        <f t="shared" si="82"/>
        <v>0</v>
      </c>
      <c r="P461" s="247">
        <f t="shared" si="81"/>
        <v>2050</v>
      </c>
      <c r="Q461" s="536">
        <v>941598</v>
      </c>
    </row>
    <row r="462" spans="2:17" ht="12.75" customHeight="1" x14ac:dyDescent="0.25">
      <c r="B462" s="729" t="s">
        <v>4486</v>
      </c>
      <c r="C462" s="782" t="s">
        <v>4482</v>
      </c>
      <c r="D462" s="836">
        <v>250</v>
      </c>
      <c r="E462" s="299">
        <v>8.1999999999999993</v>
      </c>
      <c r="F462" s="299">
        <f t="shared" si="78"/>
        <v>2050</v>
      </c>
      <c r="G462" s="730" t="s">
        <v>369</v>
      </c>
      <c r="H462" s="326">
        <v>100</v>
      </c>
      <c r="I462" s="326">
        <v>21.75</v>
      </c>
      <c r="J462" s="326">
        <v>17.04</v>
      </c>
      <c r="K462" s="326">
        <v>0.08</v>
      </c>
      <c r="L462" s="326">
        <v>2.46</v>
      </c>
      <c r="M462" s="326">
        <v>4</v>
      </c>
      <c r="O462" s="299">
        <f t="shared" si="82"/>
        <v>145.33000000000001</v>
      </c>
      <c r="P462" s="247">
        <f t="shared" si="81"/>
        <v>1904.67</v>
      </c>
      <c r="Q462" s="536">
        <v>941598</v>
      </c>
    </row>
    <row r="463" spans="2:17" ht="12.75" customHeight="1" x14ac:dyDescent="0.25">
      <c r="B463" s="729" t="s">
        <v>4487</v>
      </c>
      <c r="C463" s="782" t="s">
        <v>4488</v>
      </c>
      <c r="D463" s="836">
        <v>175</v>
      </c>
      <c r="E463" s="299">
        <v>39</v>
      </c>
      <c r="F463" s="299">
        <f t="shared" ref="F463:F471" si="83">D463*E463</f>
        <v>6825</v>
      </c>
      <c r="G463" s="730" t="s">
        <v>369</v>
      </c>
      <c r="O463" s="299">
        <f t="shared" ref="O463:O471" si="84">SUM(H463:N463)</f>
        <v>0</v>
      </c>
      <c r="P463" s="247">
        <f t="shared" si="81"/>
        <v>6825</v>
      </c>
      <c r="Q463" s="536">
        <v>952506</v>
      </c>
    </row>
    <row r="464" spans="2:17" ht="12.75" customHeight="1" x14ac:dyDescent="0.25">
      <c r="B464" s="729" t="s">
        <v>4487</v>
      </c>
      <c r="C464" s="782" t="s">
        <v>4489</v>
      </c>
      <c r="D464" s="836">
        <v>200</v>
      </c>
      <c r="E464" s="299">
        <v>9.85</v>
      </c>
      <c r="F464" s="299">
        <f t="shared" si="83"/>
        <v>1970</v>
      </c>
      <c r="G464" s="730" t="s">
        <v>369</v>
      </c>
      <c r="O464" s="299">
        <f t="shared" si="84"/>
        <v>0</v>
      </c>
      <c r="P464" s="247">
        <f t="shared" si="81"/>
        <v>1970</v>
      </c>
      <c r="Q464" s="536">
        <v>952515</v>
      </c>
    </row>
    <row r="465" spans="2:17" ht="12.75" customHeight="1" x14ac:dyDescent="0.25">
      <c r="B465" s="729" t="s">
        <v>4487</v>
      </c>
      <c r="C465" s="782" t="s">
        <v>4489</v>
      </c>
      <c r="D465" s="836">
        <v>500</v>
      </c>
      <c r="E465" s="299">
        <v>9.8000000000000007</v>
      </c>
      <c r="F465" s="299">
        <f t="shared" si="83"/>
        <v>4900</v>
      </c>
      <c r="G465" s="730" t="s">
        <v>369</v>
      </c>
      <c r="H465" s="326">
        <v>120</v>
      </c>
      <c r="I465" s="326">
        <v>15.82</v>
      </c>
      <c r="J465" s="326">
        <v>19.02</v>
      </c>
      <c r="K465" s="326">
        <v>0.06</v>
      </c>
      <c r="L465" s="326">
        <v>1.79</v>
      </c>
      <c r="M465" s="326">
        <v>2</v>
      </c>
      <c r="N465" s="326">
        <v>-0.01</v>
      </c>
      <c r="O465" s="299">
        <f t="shared" si="84"/>
        <v>158.68</v>
      </c>
      <c r="P465" s="247">
        <f t="shared" si="81"/>
        <v>4741.32</v>
      </c>
      <c r="Q465" s="536">
        <v>952516</v>
      </c>
    </row>
    <row r="466" spans="2:17" ht="12.75" customHeight="1" x14ac:dyDescent="0.25">
      <c r="B466" s="729" t="s">
        <v>4492</v>
      </c>
      <c r="C466" s="782" t="s">
        <v>4493</v>
      </c>
      <c r="D466" s="836">
        <v>2000</v>
      </c>
      <c r="E466" s="299">
        <v>2.5499999999999998</v>
      </c>
      <c r="F466" s="299">
        <f t="shared" si="83"/>
        <v>5100</v>
      </c>
      <c r="G466" s="730" t="s">
        <v>369</v>
      </c>
      <c r="O466" s="299">
        <f t="shared" si="84"/>
        <v>0</v>
      </c>
      <c r="P466" s="247">
        <f t="shared" si="81"/>
        <v>5100</v>
      </c>
      <c r="Q466" s="536">
        <v>973074</v>
      </c>
    </row>
    <row r="467" spans="2:17" ht="12.75" customHeight="1" x14ac:dyDescent="0.25">
      <c r="B467" s="729" t="s">
        <v>4492</v>
      </c>
      <c r="C467" s="782" t="s">
        <v>4493</v>
      </c>
      <c r="D467" s="836">
        <v>2000</v>
      </c>
      <c r="E467" s="299">
        <v>2.5499999999999998</v>
      </c>
      <c r="F467" s="299">
        <f t="shared" si="83"/>
        <v>5100</v>
      </c>
      <c r="G467" s="730" t="s">
        <v>369</v>
      </c>
      <c r="O467" s="299">
        <f t="shared" si="84"/>
        <v>0</v>
      </c>
      <c r="P467" s="247">
        <f t="shared" si="81"/>
        <v>5100</v>
      </c>
      <c r="Q467" s="536">
        <v>973074</v>
      </c>
    </row>
    <row r="468" spans="2:17" ht="12.75" customHeight="1" x14ac:dyDescent="0.25">
      <c r="B468" s="729" t="s">
        <v>4492</v>
      </c>
      <c r="C468" s="782" t="s">
        <v>4491</v>
      </c>
      <c r="D468" s="836">
        <v>125</v>
      </c>
      <c r="E468" s="299">
        <v>35.6</v>
      </c>
      <c r="F468" s="299">
        <f t="shared" si="83"/>
        <v>4450</v>
      </c>
      <c r="G468" s="730" t="s">
        <v>369</v>
      </c>
      <c r="O468" s="299">
        <f t="shared" si="84"/>
        <v>0</v>
      </c>
      <c r="P468" s="247">
        <f t="shared" si="81"/>
        <v>4450</v>
      </c>
      <c r="Q468" s="536">
        <v>973074</v>
      </c>
    </row>
    <row r="469" spans="2:17" ht="12.75" customHeight="1" x14ac:dyDescent="0.25">
      <c r="B469" s="729" t="s">
        <v>4492</v>
      </c>
      <c r="C469" s="782" t="s">
        <v>4494</v>
      </c>
      <c r="D469" s="836">
        <v>50</v>
      </c>
      <c r="E469" s="299">
        <v>126.35</v>
      </c>
      <c r="F469" s="299">
        <f t="shared" si="83"/>
        <v>6317.5</v>
      </c>
      <c r="G469" s="730" t="s">
        <v>369</v>
      </c>
      <c r="O469" s="299">
        <f t="shared" si="84"/>
        <v>0</v>
      </c>
      <c r="P469" s="247">
        <f t="shared" si="81"/>
        <v>6317.5</v>
      </c>
      <c r="Q469" s="536">
        <v>973074</v>
      </c>
    </row>
    <row r="470" spans="2:17" ht="12.75" customHeight="1" x14ac:dyDescent="0.25">
      <c r="B470" s="729" t="s">
        <v>4492</v>
      </c>
      <c r="C470" s="782" t="s">
        <v>4494</v>
      </c>
      <c r="D470" s="836">
        <v>25</v>
      </c>
      <c r="E470" s="299">
        <v>129</v>
      </c>
      <c r="F470" s="299">
        <f t="shared" si="83"/>
        <v>3225</v>
      </c>
      <c r="G470" s="730" t="s">
        <v>369</v>
      </c>
      <c r="O470" s="299">
        <f t="shared" si="84"/>
        <v>0</v>
      </c>
      <c r="P470" s="247">
        <f t="shared" si="81"/>
        <v>3225</v>
      </c>
      <c r="Q470" s="536">
        <v>973074</v>
      </c>
    </row>
    <row r="471" spans="2:17" ht="12.75" customHeight="1" x14ac:dyDescent="0.25">
      <c r="B471" s="729" t="s">
        <v>4492</v>
      </c>
      <c r="C471" s="782" t="s">
        <v>4494</v>
      </c>
      <c r="D471" s="836">
        <v>25</v>
      </c>
      <c r="E471" s="299">
        <v>129</v>
      </c>
      <c r="F471" s="299">
        <f t="shared" si="83"/>
        <v>3225</v>
      </c>
      <c r="G471" s="730" t="s">
        <v>369</v>
      </c>
      <c r="O471" s="299">
        <f t="shared" si="84"/>
        <v>0</v>
      </c>
      <c r="P471" s="247">
        <f t="shared" si="81"/>
        <v>3225</v>
      </c>
      <c r="Q471" s="536">
        <v>973074</v>
      </c>
    </row>
    <row r="472" spans="2:17" ht="12.75" customHeight="1" x14ac:dyDescent="0.25">
      <c r="B472" s="729" t="s">
        <v>4502</v>
      </c>
      <c r="C472" s="782" t="s">
        <v>4491</v>
      </c>
      <c r="D472" s="836">
        <v>125</v>
      </c>
      <c r="E472" s="299">
        <v>38.5</v>
      </c>
      <c r="F472" s="299">
        <f t="shared" ref="F472:F514" si="85">D472*E472</f>
        <v>4812.5</v>
      </c>
      <c r="G472" s="730" t="s">
        <v>369</v>
      </c>
      <c r="O472" s="299">
        <f t="shared" ref="O472:O478" si="86">SUM(H472:N472)</f>
        <v>0</v>
      </c>
      <c r="P472" s="247">
        <f t="shared" si="81"/>
        <v>4812.5</v>
      </c>
      <c r="Q472" s="536">
        <v>985435</v>
      </c>
    </row>
    <row r="473" spans="2:17" ht="12.75" customHeight="1" x14ac:dyDescent="0.25">
      <c r="B473" s="729" t="s">
        <v>4502</v>
      </c>
      <c r="C473" s="782" t="s">
        <v>4494</v>
      </c>
      <c r="D473" s="836">
        <v>25</v>
      </c>
      <c r="E473" s="299">
        <v>153.44999999999999</v>
      </c>
      <c r="F473" s="299">
        <f t="shared" si="85"/>
        <v>3836.2499999999995</v>
      </c>
      <c r="G473" s="730" t="s">
        <v>369</v>
      </c>
      <c r="O473" s="299">
        <f t="shared" si="86"/>
        <v>0</v>
      </c>
      <c r="P473" s="247">
        <f t="shared" si="81"/>
        <v>3836.2499999999995</v>
      </c>
      <c r="Q473" s="536">
        <v>985435</v>
      </c>
    </row>
    <row r="474" spans="2:17" ht="12.75" customHeight="1" x14ac:dyDescent="0.25">
      <c r="B474" s="729" t="s">
        <v>4502</v>
      </c>
      <c r="C474" s="782" t="s">
        <v>4494</v>
      </c>
      <c r="D474" s="836">
        <v>25</v>
      </c>
      <c r="E474" s="299">
        <v>156.15</v>
      </c>
      <c r="F474" s="299">
        <f t="shared" si="85"/>
        <v>3903.75</v>
      </c>
      <c r="G474" s="730" t="s">
        <v>369</v>
      </c>
      <c r="O474" s="299">
        <f t="shared" si="86"/>
        <v>0</v>
      </c>
      <c r="P474" s="247">
        <f t="shared" si="81"/>
        <v>3903.75</v>
      </c>
      <c r="Q474" s="536">
        <v>985435</v>
      </c>
    </row>
    <row r="475" spans="2:17" ht="12.75" customHeight="1" x14ac:dyDescent="0.25">
      <c r="B475" s="729" t="s">
        <v>4502</v>
      </c>
      <c r="C475" s="782" t="s">
        <v>4494</v>
      </c>
      <c r="D475" s="836">
        <v>100</v>
      </c>
      <c r="E475" s="299">
        <v>220</v>
      </c>
      <c r="F475" s="299">
        <f t="shared" si="85"/>
        <v>22000</v>
      </c>
      <c r="G475" s="730" t="s">
        <v>369</v>
      </c>
      <c r="O475" s="299">
        <f t="shared" si="86"/>
        <v>0</v>
      </c>
      <c r="P475" s="247">
        <f t="shared" si="81"/>
        <v>22000</v>
      </c>
      <c r="Q475" s="536">
        <v>985435</v>
      </c>
    </row>
    <row r="476" spans="2:17" ht="12.75" customHeight="1" x14ac:dyDescent="0.25">
      <c r="B476" s="729" t="s">
        <v>4502</v>
      </c>
      <c r="C476" s="782" t="s">
        <v>4495</v>
      </c>
      <c r="D476" s="836">
        <v>500</v>
      </c>
      <c r="E476" s="299">
        <v>5</v>
      </c>
      <c r="F476" s="299">
        <f t="shared" si="85"/>
        <v>2500</v>
      </c>
      <c r="G476" s="730" t="s">
        <v>369</v>
      </c>
      <c r="O476" s="299">
        <f t="shared" si="86"/>
        <v>0</v>
      </c>
      <c r="P476" s="247">
        <f t="shared" si="81"/>
        <v>2500</v>
      </c>
      <c r="Q476" s="536">
        <v>985435</v>
      </c>
    </row>
    <row r="477" spans="2:17" ht="12.75" customHeight="1" x14ac:dyDescent="0.25">
      <c r="B477" s="729" t="s">
        <v>4502</v>
      </c>
      <c r="C477" s="782" t="s">
        <v>4495</v>
      </c>
      <c r="D477" s="836">
        <v>500</v>
      </c>
      <c r="E477" s="299">
        <v>5</v>
      </c>
      <c r="F477" s="299">
        <f t="shared" si="85"/>
        <v>2500</v>
      </c>
      <c r="G477" s="730" t="s">
        <v>369</v>
      </c>
      <c r="O477" s="299">
        <f t="shared" si="86"/>
        <v>0</v>
      </c>
      <c r="P477" s="247">
        <f t="shared" si="81"/>
        <v>2500</v>
      </c>
      <c r="Q477" s="536">
        <v>985435</v>
      </c>
    </row>
    <row r="478" spans="2:17" ht="12.75" customHeight="1" x14ac:dyDescent="0.25">
      <c r="B478" s="729" t="s">
        <v>4502</v>
      </c>
      <c r="C478" s="782" t="s">
        <v>4495</v>
      </c>
      <c r="D478" s="836">
        <v>500</v>
      </c>
      <c r="E478" s="299">
        <v>5</v>
      </c>
      <c r="F478" s="299">
        <f t="shared" si="85"/>
        <v>2500</v>
      </c>
      <c r="G478" s="730" t="s">
        <v>369</v>
      </c>
      <c r="H478" s="326">
        <v>159.77000000000001</v>
      </c>
      <c r="I478" s="326">
        <v>35.54</v>
      </c>
      <c r="J478" s="326">
        <v>27.34</v>
      </c>
      <c r="K478" s="326">
        <v>0.14000000000000001</v>
      </c>
      <c r="L478" s="326">
        <v>4.0199999999999996</v>
      </c>
      <c r="M478" s="326">
        <v>7</v>
      </c>
      <c r="O478" s="299">
        <f t="shared" si="86"/>
        <v>233.81</v>
      </c>
      <c r="P478" s="247">
        <f t="shared" si="81"/>
        <v>2266.19</v>
      </c>
      <c r="Q478" s="536">
        <v>985435</v>
      </c>
    </row>
    <row r="479" spans="2:17" ht="12.75" customHeight="1" x14ac:dyDescent="0.25">
      <c r="B479" s="729" t="s">
        <v>4505</v>
      </c>
      <c r="C479" s="782" t="s">
        <v>4503</v>
      </c>
      <c r="D479" s="836">
        <v>2000</v>
      </c>
      <c r="E479" s="299">
        <v>8.6</v>
      </c>
      <c r="F479" s="299">
        <f t="shared" si="85"/>
        <v>17200</v>
      </c>
      <c r="G479" s="730" t="s">
        <v>369</v>
      </c>
      <c r="O479" s="299">
        <f t="shared" ref="O479:O483" si="87">SUM(H479:N479)</f>
        <v>0</v>
      </c>
      <c r="P479" s="247">
        <f t="shared" ref="P479:P542" si="88">F479-O479</f>
        <v>17200</v>
      </c>
      <c r="Q479" s="536">
        <v>994574</v>
      </c>
    </row>
    <row r="480" spans="2:17" ht="12.75" customHeight="1" x14ac:dyDescent="0.25">
      <c r="B480" s="729" t="s">
        <v>4505</v>
      </c>
      <c r="C480" s="782" t="s">
        <v>4503</v>
      </c>
      <c r="D480" s="836">
        <v>2000</v>
      </c>
      <c r="E480" s="299">
        <v>8.6</v>
      </c>
      <c r="F480" s="299">
        <f t="shared" si="85"/>
        <v>17200</v>
      </c>
      <c r="G480" s="730" t="s">
        <v>369</v>
      </c>
      <c r="O480" s="299">
        <f t="shared" si="87"/>
        <v>0</v>
      </c>
      <c r="P480" s="247">
        <f t="shared" si="88"/>
        <v>17200</v>
      </c>
      <c r="Q480" s="536">
        <v>994574</v>
      </c>
    </row>
    <row r="481" spans="2:17" ht="12.75" customHeight="1" x14ac:dyDescent="0.25">
      <c r="B481" s="729" t="s">
        <v>4505</v>
      </c>
      <c r="C481" s="782" t="s">
        <v>4504</v>
      </c>
      <c r="D481" s="836">
        <v>11000</v>
      </c>
      <c r="E481" s="299">
        <v>0.2</v>
      </c>
      <c r="F481" s="299">
        <f t="shared" si="85"/>
        <v>2200</v>
      </c>
      <c r="G481" s="730" t="s">
        <v>369</v>
      </c>
      <c r="O481" s="299">
        <f t="shared" si="87"/>
        <v>0</v>
      </c>
      <c r="P481" s="247">
        <f t="shared" si="88"/>
        <v>2200</v>
      </c>
      <c r="Q481" s="536">
        <v>994574</v>
      </c>
    </row>
    <row r="482" spans="2:17" ht="12.75" customHeight="1" x14ac:dyDescent="0.25">
      <c r="B482" s="729" t="s">
        <v>4505</v>
      </c>
      <c r="C482" s="782" t="s">
        <v>4504</v>
      </c>
      <c r="D482" s="836">
        <v>11000</v>
      </c>
      <c r="E482" s="299">
        <v>0.2</v>
      </c>
      <c r="F482" s="299">
        <f t="shared" si="85"/>
        <v>2200</v>
      </c>
      <c r="G482" s="730" t="s">
        <v>369</v>
      </c>
      <c r="O482" s="299">
        <f t="shared" si="87"/>
        <v>0</v>
      </c>
      <c r="P482" s="247">
        <f t="shared" si="88"/>
        <v>2200</v>
      </c>
      <c r="Q482" s="536">
        <v>994574</v>
      </c>
    </row>
    <row r="483" spans="2:17" ht="12.75" customHeight="1" x14ac:dyDescent="0.25">
      <c r="B483" s="729" t="s">
        <v>4505</v>
      </c>
      <c r="C483" s="782" t="s">
        <v>4504</v>
      </c>
      <c r="D483" s="836">
        <v>11000</v>
      </c>
      <c r="E483" s="299">
        <v>0.2</v>
      </c>
      <c r="F483" s="299">
        <f t="shared" si="85"/>
        <v>2200</v>
      </c>
      <c r="G483" s="730" t="s">
        <v>369</v>
      </c>
      <c r="H483" s="326">
        <v>60</v>
      </c>
      <c r="I483" s="326">
        <v>26.1</v>
      </c>
      <c r="J483" s="326">
        <v>12.05</v>
      </c>
      <c r="K483" s="326">
        <v>0.1</v>
      </c>
      <c r="L483" s="326">
        <v>2.96</v>
      </c>
      <c r="M483" s="326">
        <v>7</v>
      </c>
      <c r="O483" s="299">
        <f t="shared" si="87"/>
        <v>108.20999999999998</v>
      </c>
      <c r="P483" s="247">
        <f t="shared" si="88"/>
        <v>2091.79</v>
      </c>
      <c r="Q483" s="536">
        <v>994574</v>
      </c>
    </row>
    <row r="484" spans="2:17" ht="12.75" customHeight="1" x14ac:dyDescent="0.25">
      <c r="B484" s="729" t="s">
        <v>4509</v>
      </c>
      <c r="C484" s="782" t="s">
        <v>4515</v>
      </c>
      <c r="D484" s="836">
        <v>500</v>
      </c>
      <c r="E484" s="299">
        <v>18</v>
      </c>
      <c r="F484" s="299">
        <f t="shared" si="85"/>
        <v>9000</v>
      </c>
      <c r="G484" s="730" t="s">
        <v>369</v>
      </c>
      <c r="O484" s="299">
        <f t="shared" ref="O484:O504" si="89">SUM(H484:N484)</f>
        <v>0</v>
      </c>
      <c r="P484" s="247">
        <f t="shared" si="88"/>
        <v>9000</v>
      </c>
      <c r="Q484" s="536">
        <v>1004700</v>
      </c>
    </row>
    <row r="485" spans="2:17" ht="12.75" customHeight="1" x14ac:dyDescent="0.25">
      <c r="B485" s="729" t="s">
        <v>4509</v>
      </c>
      <c r="C485" s="782" t="s">
        <v>4515</v>
      </c>
      <c r="D485" s="836">
        <v>500</v>
      </c>
      <c r="E485" s="299">
        <v>18</v>
      </c>
      <c r="F485" s="299">
        <f t="shared" si="85"/>
        <v>9000</v>
      </c>
      <c r="G485" s="730" t="s">
        <v>369</v>
      </c>
      <c r="O485" s="299">
        <f t="shared" si="89"/>
        <v>0</v>
      </c>
      <c r="P485" s="247">
        <f t="shared" si="88"/>
        <v>9000</v>
      </c>
      <c r="Q485" s="536">
        <v>1004700</v>
      </c>
    </row>
    <row r="486" spans="2:17" ht="12.75" customHeight="1" x14ac:dyDescent="0.25">
      <c r="B486" s="729" t="s">
        <v>4509</v>
      </c>
      <c r="C486" s="782" t="s">
        <v>4513</v>
      </c>
      <c r="D486" s="836">
        <v>2000</v>
      </c>
      <c r="E486" s="299">
        <v>5.0999999999999996</v>
      </c>
      <c r="F486" s="299">
        <f t="shared" si="85"/>
        <v>10200</v>
      </c>
      <c r="G486" s="730" t="s">
        <v>369</v>
      </c>
      <c r="O486" s="299">
        <f t="shared" si="89"/>
        <v>0</v>
      </c>
      <c r="P486" s="247">
        <f t="shared" si="88"/>
        <v>10200</v>
      </c>
      <c r="Q486" s="536">
        <v>1004700</v>
      </c>
    </row>
    <row r="487" spans="2:17" ht="12.75" customHeight="1" x14ac:dyDescent="0.25">
      <c r="B487" s="729" t="s">
        <v>4509</v>
      </c>
      <c r="C487" s="782" t="s">
        <v>4513</v>
      </c>
      <c r="D487" s="836">
        <v>2000</v>
      </c>
      <c r="E487" s="299">
        <v>5.0999999999999996</v>
      </c>
      <c r="F487" s="299">
        <f t="shared" si="85"/>
        <v>10200</v>
      </c>
      <c r="G487" s="730" t="s">
        <v>369</v>
      </c>
      <c r="O487" s="299">
        <f t="shared" si="89"/>
        <v>0</v>
      </c>
      <c r="P487" s="247">
        <f t="shared" si="88"/>
        <v>10200</v>
      </c>
      <c r="Q487" s="536">
        <v>1004700</v>
      </c>
    </row>
    <row r="488" spans="2:17" ht="12.75" customHeight="1" x14ac:dyDescent="0.25">
      <c r="B488" s="729" t="s">
        <v>4509</v>
      </c>
      <c r="C488" s="782" t="s">
        <v>4514</v>
      </c>
      <c r="D488" s="836">
        <v>25</v>
      </c>
      <c r="E488" s="299">
        <v>159.15</v>
      </c>
      <c r="F488" s="299">
        <f t="shared" si="85"/>
        <v>3978.75</v>
      </c>
      <c r="G488" s="730" t="s">
        <v>369</v>
      </c>
      <c r="O488" s="299">
        <f t="shared" si="89"/>
        <v>0</v>
      </c>
      <c r="P488" s="247">
        <f t="shared" si="88"/>
        <v>3978.75</v>
      </c>
      <c r="Q488" s="536">
        <v>1004700</v>
      </c>
    </row>
    <row r="489" spans="2:17" ht="12.75" customHeight="1" x14ac:dyDescent="0.25">
      <c r="B489" s="729" t="s">
        <v>4509</v>
      </c>
      <c r="C489" s="782" t="s">
        <v>4514</v>
      </c>
      <c r="D489" s="836">
        <v>25</v>
      </c>
      <c r="E489" s="299">
        <v>156.15</v>
      </c>
      <c r="F489" s="299">
        <f t="shared" si="85"/>
        <v>3903.75</v>
      </c>
      <c r="G489" s="730" t="s">
        <v>369</v>
      </c>
      <c r="O489" s="299">
        <f t="shared" si="89"/>
        <v>0</v>
      </c>
      <c r="P489" s="247">
        <f t="shared" si="88"/>
        <v>3903.75</v>
      </c>
      <c r="Q489" s="536">
        <v>1004700</v>
      </c>
    </row>
    <row r="490" spans="2:17" ht="12.75" customHeight="1" x14ac:dyDescent="0.25">
      <c r="B490" s="729" t="s">
        <v>4509</v>
      </c>
      <c r="C490" s="782" t="s">
        <v>4516</v>
      </c>
      <c r="D490" s="836">
        <v>1000</v>
      </c>
      <c r="E490" s="299">
        <v>5</v>
      </c>
      <c r="F490" s="299">
        <f t="shared" si="85"/>
        <v>5000</v>
      </c>
      <c r="G490" s="730" t="s">
        <v>369</v>
      </c>
      <c r="O490" s="299">
        <f t="shared" si="89"/>
        <v>0</v>
      </c>
      <c r="P490" s="247">
        <f t="shared" si="88"/>
        <v>5000</v>
      </c>
      <c r="Q490" s="536">
        <v>1004700</v>
      </c>
    </row>
    <row r="491" spans="2:17" ht="12.75" customHeight="1" x14ac:dyDescent="0.25">
      <c r="B491" s="729" t="s">
        <v>4509</v>
      </c>
      <c r="C491" s="782" t="s">
        <v>4516</v>
      </c>
      <c r="D491" s="836">
        <v>1000</v>
      </c>
      <c r="E491" s="299">
        <v>5</v>
      </c>
      <c r="F491" s="299">
        <f t="shared" si="85"/>
        <v>5000</v>
      </c>
      <c r="G491" s="730" t="s">
        <v>369</v>
      </c>
      <c r="O491" s="299">
        <f t="shared" si="89"/>
        <v>0</v>
      </c>
      <c r="P491" s="247">
        <f t="shared" si="88"/>
        <v>5000</v>
      </c>
      <c r="Q491" s="536">
        <v>1004700</v>
      </c>
    </row>
    <row r="492" spans="2:17" ht="12.75" customHeight="1" x14ac:dyDescent="0.25">
      <c r="B492" s="729" t="s">
        <v>4506</v>
      </c>
      <c r="C492" s="782" t="s">
        <v>4517</v>
      </c>
      <c r="D492" s="836">
        <v>2000</v>
      </c>
      <c r="E492" s="299">
        <v>3.3</v>
      </c>
      <c r="F492" s="299">
        <f t="shared" si="85"/>
        <v>6600</v>
      </c>
      <c r="G492" s="730" t="s">
        <v>369</v>
      </c>
      <c r="O492" s="299">
        <f t="shared" si="89"/>
        <v>0</v>
      </c>
      <c r="P492" s="247">
        <f t="shared" si="88"/>
        <v>6600</v>
      </c>
      <c r="Q492" s="536">
        <v>1015774</v>
      </c>
    </row>
    <row r="493" spans="2:17" ht="12.75" customHeight="1" x14ac:dyDescent="0.25">
      <c r="B493" s="729" t="s">
        <v>4506</v>
      </c>
      <c r="C493" s="782" t="s">
        <v>4513</v>
      </c>
      <c r="D493" s="836">
        <v>2000</v>
      </c>
      <c r="E493" s="299">
        <v>4.8</v>
      </c>
      <c r="F493" s="299">
        <f t="shared" si="85"/>
        <v>9600</v>
      </c>
      <c r="G493" s="730" t="s">
        <v>369</v>
      </c>
      <c r="O493" s="299">
        <f t="shared" si="89"/>
        <v>0</v>
      </c>
      <c r="P493" s="247">
        <f t="shared" si="88"/>
        <v>9600</v>
      </c>
      <c r="Q493" s="536">
        <v>1015774</v>
      </c>
    </row>
    <row r="494" spans="2:17" ht="12.75" customHeight="1" x14ac:dyDescent="0.25">
      <c r="B494" s="729" t="s">
        <v>4506</v>
      </c>
      <c r="C494" s="782" t="s">
        <v>4514</v>
      </c>
      <c r="D494" s="836">
        <v>75</v>
      </c>
      <c r="E494" s="299">
        <v>98.3</v>
      </c>
      <c r="F494" s="299">
        <f t="shared" si="85"/>
        <v>7372.5</v>
      </c>
      <c r="G494" s="762" t="s">
        <v>369</v>
      </c>
      <c r="O494" s="299">
        <f t="shared" si="89"/>
        <v>0</v>
      </c>
      <c r="P494" s="247">
        <f t="shared" si="88"/>
        <v>7372.5</v>
      </c>
      <c r="Q494" s="536">
        <v>1015774</v>
      </c>
    </row>
    <row r="495" spans="2:17" ht="12.75" customHeight="1" x14ac:dyDescent="0.25">
      <c r="B495" s="729" t="s">
        <v>4506</v>
      </c>
      <c r="C495" s="782" t="s">
        <v>4514</v>
      </c>
      <c r="D495" s="836">
        <v>25</v>
      </c>
      <c r="E495" s="299">
        <v>98.25</v>
      </c>
      <c r="F495" s="299">
        <f t="shared" si="85"/>
        <v>2456.25</v>
      </c>
      <c r="G495" s="762" t="s">
        <v>369</v>
      </c>
      <c r="O495" s="299">
        <f t="shared" si="89"/>
        <v>0</v>
      </c>
      <c r="P495" s="247">
        <f t="shared" si="88"/>
        <v>2456.25</v>
      </c>
      <c r="Q495" s="536">
        <v>1015774</v>
      </c>
    </row>
    <row r="496" spans="2:17" ht="12.75" customHeight="1" x14ac:dyDescent="0.25">
      <c r="B496" s="729" t="s">
        <v>4506</v>
      </c>
      <c r="C496" s="782" t="s">
        <v>4514</v>
      </c>
      <c r="D496" s="836">
        <v>50</v>
      </c>
      <c r="E496" s="299">
        <v>98.2</v>
      </c>
      <c r="F496" s="299">
        <f t="shared" si="85"/>
        <v>4910</v>
      </c>
      <c r="G496" s="762" t="s">
        <v>369</v>
      </c>
      <c r="O496" s="299">
        <f t="shared" si="89"/>
        <v>0</v>
      </c>
      <c r="P496" s="247">
        <f t="shared" si="88"/>
        <v>4910</v>
      </c>
      <c r="Q496" s="536">
        <v>1015774</v>
      </c>
    </row>
    <row r="497" spans="2:17" ht="12.75" customHeight="1" x14ac:dyDescent="0.25">
      <c r="B497" s="729" t="s">
        <v>4506</v>
      </c>
      <c r="C497" s="782" t="s">
        <v>4514</v>
      </c>
      <c r="D497" s="836">
        <v>25</v>
      </c>
      <c r="E497" s="299">
        <v>98.1</v>
      </c>
      <c r="F497" s="299">
        <f t="shared" si="85"/>
        <v>2452.5</v>
      </c>
      <c r="G497" s="762" t="s">
        <v>369</v>
      </c>
      <c r="O497" s="299">
        <f t="shared" si="89"/>
        <v>0</v>
      </c>
      <c r="P497" s="247">
        <f t="shared" si="88"/>
        <v>2452.5</v>
      </c>
      <c r="Q497" s="536">
        <v>1015774</v>
      </c>
    </row>
    <row r="498" spans="2:17" ht="12.75" customHeight="1" x14ac:dyDescent="0.25">
      <c r="B498" s="729" t="s">
        <v>4506</v>
      </c>
      <c r="C498" s="782" t="s">
        <v>4493</v>
      </c>
      <c r="D498" s="836">
        <v>2000</v>
      </c>
      <c r="E498" s="299">
        <v>1.45</v>
      </c>
      <c r="F498" s="299">
        <f t="shared" si="85"/>
        <v>2900</v>
      </c>
      <c r="G498" s="762" t="s">
        <v>369</v>
      </c>
      <c r="O498" s="299">
        <f t="shared" si="89"/>
        <v>0</v>
      </c>
      <c r="P498" s="247">
        <f t="shared" si="88"/>
        <v>2900</v>
      </c>
      <c r="Q498" s="536">
        <v>1015774</v>
      </c>
    </row>
    <row r="499" spans="2:17" ht="12.75" customHeight="1" x14ac:dyDescent="0.25">
      <c r="B499" s="729" t="s">
        <v>4506</v>
      </c>
      <c r="C499" s="782" t="s">
        <v>4493</v>
      </c>
      <c r="D499" s="836">
        <v>2000</v>
      </c>
      <c r="E499" s="299">
        <v>1.45</v>
      </c>
      <c r="F499" s="299">
        <f t="shared" si="85"/>
        <v>2900</v>
      </c>
      <c r="G499" s="762" t="s">
        <v>369</v>
      </c>
      <c r="O499" s="299">
        <f t="shared" si="89"/>
        <v>0</v>
      </c>
      <c r="P499" s="247">
        <f t="shared" si="88"/>
        <v>2900</v>
      </c>
      <c r="Q499" s="536">
        <v>1015774</v>
      </c>
    </row>
    <row r="500" spans="2:17" ht="12.75" customHeight="1" x14ac:dyDescent="0.25">
      <c r="B500" s="729" t="s">
        <v>4506</v>
      </c>
      <c r="C500" s="782" t="s">
        <v>4493</v>
      </c>
      <c r="D500" s="836">
        <v>2000</v>
      </c>
      <c r="E500" s="299">
        <v>1.45</v>
      </c>
      <c r="F500" s="299">
        <f t="shared" si="85"/>
        <v>2900</v>
      </c>
      <c r="G500" s="762" t="s">
        <v>369</v>
      </c>
      <c r="O500" s="299">
        <f t="shared" si="89"/>
        <v>0</v>
      </c>
      <c r="P500" s="247">
        <f t="shared" si="88"/>
        <v>2900</v>
      </c>
      <c r="Q500" s="536">
        <v>1015774</v>
      </c>
    </row>
    <row r="501" spans="2:17" ht="12.75" customHeight="1" x14ac:dyDescent="0.25">
      <c r="B501" s="729" t="s">
        <v>4506</v>
      </c>
      <c r="C501" s="782" t="s">
        <v>4493</v>
      </c>
      <c r="D501" s="836">
        <v>2000</v>
      </c>
      <c r="E501" s="299">
        <v>1.45</v>
      </c>
      <c r="F501" s="299">
        <f t="shared" si="85"/>
        <v>2900</v>
      </c>
      <c r="G501" s="762" t="s">
        <v>369</v>
      </c>
      <c r="O501" s="299">
        <f t="shared" si="89"/>
        <v>0</v>
      </c>
      <c r="P501" s="247">
        <f t="shared" si="88"/>
        <v>2900</v>
      </c>
      <c r="Q501" s="536">
        <v>1015774</v>
      </c>
    </row>
    <row r="502" spans="2:17" ht="12.75" customHeight="1" x14ac:dyDescent="0.25">
      <c r="B502" s="729" t="s">
        <v>4506</v>
      </c>
      <c r="C502" s="782" t="s">
        <v>4516</v>
      </c>
      <c r="D502" s="836">
        <v>1000</v>
      </c>
      <c r="E502" s="299">
        <v>3.3</v>
      </c>
      <c r="F502" s="299">
        <f t="shared" si="85"/>
        <v>3300</v>
      </c>
      <c r="G502" s="762" t="s">
        <v>369</v>
      </c>
      <c r="O502" s="299">
        <f t="shared" si="89"/>
        <v>0</v>
      </c>
      <c r="P502" s="247">
        <f t="shared" si="88"/>
        <v>3300</v>
      </c>
      <c r="Q502" s="536">
        <v>1015774</v>
      </c>
    </row>
    <row r="503" spans="2:17" ht="12.75" customHeight="1" x14ac:dyDescent="0.25">
      <c r="B503" s="729" t="s">
        <v>4506</v>
      </c>
      <c r="C503" s="782" t="s">
        <v>4516</v>
      </c>
      <c r="D503" s="836">
        <v>1000</v>
      </c>
      <c r="E503" s="299">
        <v>3.3</v>
      </c>
      <c r="F503" s="299">
        <f t="shared" si="85"/>
        <v>3300</v>
      </c>
      <c r="G503" s="762" t="s">
        <v>369</v>
      </c>
      <c r="O503" s="299">
        <f t="shared" si="89"/>
        <v>0</v>
      </c>
      <c r="P503" s="247">
        <f t="shared" si="88"/>
        <v>3300</v>
      </c>
      <c r="Q503" s="536">
        <v>1015774</v>
      </c>
    </row>
    <row r="504" spans="2:17" ht="12.75" customHeight="1" x14ac:dyDescent="0.25">
      <c r="B504" s="729" t="s">
        <v>4506</v>
      </c>
      <c r="C504" s="782" t="s">
        <v>4516</v>
      </c>
      <c r="D504" s="836">
        <v>1000</v>
      </c>
      <c r="E504" s="299">
        <v>3.3</v>
      </c>
      <c r="F504" s="299">
        <f t="shared" si="85"/>
        <v>3300</v>
      </c>
      <c r="G504" s="762" t="s">
        <v>369</v>
      </c>
      <c r="O504" s="299">
        <f t="shared" si="89"/>
        <v>0</v>
      </c>
      <c r="P504" s="247">
        <f t="shared" si="88"/>
        <v>3300</v>
      </c>
      <c r="Q504" s="536">
        <v>1015774</v>
      </c>
    </row>
    <row r="505" spans="2:17" ht="12.75" customHeight="1" x14ac:dyDescent="0.25">
      <c r="B505" s="729" t="s">
        <v>4521</v>
      </c>
      <c r="C505" s="782" t="s">
        <v>4515</v>
      </c>
      <c r="D505" s="836">
        <v>500</v>
      </c>
      <c r="E505" s="299">
        <v>15.5</v>
      </c>
      <c r="F505" s="299">
        <f t="shared" si="85"/>
        <v>7750</v>
      </c>
      <c r="G505" s="730" t="s">
        <v>369</v>
      </c>
      <c r="O505" s="299">
        <f>SUM(H505:N505)</f>
        <v>0</v>
      </c>
      <c r="P505" s="247">
        <f t="shared" si="88"/>
        <v>7750</v>
      </c>
      <c r="Q505" s="536">
        <v>1025469</v>
      </c>
    </row>
    <row r="506" spans="2:17" ht="12.75" customHeight="1" x14ac:dyDescent="0.25">
      <c r="B506" s="729" t="s">
        <v>4521</v>
      </c>
      <c r="C506" s="782" t="s">
        <v>4515</v>
      </c>
      <c r="D506" s="836">
        <v>500</v>
      </c>
      <c r="E506" s="299">
        <v>13.05</v>
      </c>
      <c r="F506" s="299">
        <f t="shared" si="85"/>
        <v>6525</v>
      </c>
      <c r="G506" s="730" t="s">
        <v>369</v>
      </c>
      <c r="O506" s="299">
        <f>SUM(H506:N506)</f>
        <v>0</v>
      </c>
      <c r="P506" s="247">
        <f t="shared" si="88"/>
        <v>6525</v>
      </c>
      <c r="Q506" s="536">
        <v>1025469</v>
      </c>
    </row>
    <row r="507" spans="2:17" ht="12.75" customHeight="1" x14ac:dyDescent="0.25">
      <c r="B507" s="729" t="s">
        <v>4521</v>
      </c>
      <c r="C507" s="782" t="s">
        <v>4515</v>
      </c>
      <c r="D507" s="836">
        <v>500</v>
      </c>
      <c r="E507" s="299">
        <v>13.05</v>
      </c>
      <c r="F507" s="299">
        <f t="shared" si="85"/>
        <v>6525</v>
      </c>
      <c r="G507" s="730" t="s">
        <v>369</v>
      </c>
      <c r="O507" s="299">
        <f>SUM(H507:N507)</f>
        <v>0</v>
      </c>
      <c r="P507" s="247">
        <f t="shared" si="88"/>
        <v>6525</v>
      </c>
      <c r="Q507" s="536">
        <v>1025469</v>
      </c>
    </row>
    <row r="508" spans="2:17" ht="12.75" customHeight="1" x14ac:dyDescent="0.25">
      <c r="B508" s="729" t="s">
        <v>4521</v>
      </c>
      <c r="C508" s="782" t="s">
        <v>4518</v>
      </c>
      <c r="D508" s="836">
        <v>250</v>
      </c>
      <c r="E508" s="299">
        <v>41</v>
      </c>
      <c r="F508" s="299">
        <f t="shared" si="85"/>
        <v>10250</v>
      </c>
      <c r="G508" s="730" t="s">
        <v>369</v>
      </c>
      <c r="H508" s="326">
        <v>140</v>
      </c>
      <c r="I508" s="326">
        <v>32.880000000000003</v>
      </c>
      <c r="J508" s="326">
        <v>24.2</v>
      </c>
      <c r="K508" s="326">
        <v>0.13</v>
      </c>
      <c r="L508" s="326">
        <v>3.72</v>
      </c>
      <c r="M508" s="326">
        <v>5</v>
      </c>
      <c r="N508" s="326">
        <v>0.01</v>
      </c>
      <c r="O508" s="299">
        <f>SUM(H508:N508)</f>
        <v>205.93999999999997</v>
      </c>
      <c r="P508" s="247">
        <f t="shared" si="88"/>
        <v>10044.06</v>
      </c>
      <c r="Q508" s="536">
        <v>1025469</v>
      </c>
    </row>
    <row r="509" spans="2:17" ht="12.75" customHeight="1" x14ac:dyDescent="0.25">
      <c r="B509" s="729" t="s">
        <v>4524</v>
      </c>
      <c r="C509" s="782" t="s">
        <v>4522</v>
      </c>
      <c r="D509" s="836">
        <v>4000</v>
      </c>
      <c r="E509" s="299">
        <v>1.55</v>
      </c>
      <c r="F509" s="299">
        <f t="shared" si="85"/>
        <v>6200</v>
      </c>
      <c r="G509" s="730" t="s">
        <v>369</v>
      </c>
      <c r="O509" s="299">
        <f>SUM(H509:N509)</f>
        <v>0</v>
      </c>
      <c r="P509" s="247">
        <f t="shared" si="88"/>
        <v>6200</v>
      </c>
      <c r="Q509" s="536">
        <v>1038585</v>
      </c>
    </row>
    <row r="510" spans="2:17" ht="12.75" customHeight="1" x14ac:dyDescent="0.25">
      <c r="B510" s="729" t="s">
        <v>4526</v>
      </c>
      <c r="C510" s="782" t="s">
        <v>4513</v>
      </c>
      <c r="D510" s="836">
        <v>2000</v>
      </c>
      <c r="E510" s="299">
        <v>2.5499999999999998</v>
      </c>
      <c r="F510" s="299">
        <f t="shared" si="85"/>
        <v>5100</v>
      </c>
      <c r="G510" s="730" t="s">
        <v>369</v>
      </c>
      <c r="O510" s="299">
        <f t="shared" ref="O510:O514" si="90">SUM(H510:N510)</f>
        <v>0</v>
      </c>
      <c r="P510" s="247">
        <f t="shared" si="88"/>
        <v>5100</v>
      </c>
      <c r="Q510" s="536">
        <v>1049154</v>
      </c>
    </row>
    <row r="511" spans="2:17" ht="12.75" customHeight="1" x14ac:dyDescent="0.25">
      <c r="B511" s="729" t="s">
        <v>4526</v>
      </c>
      <c r="C511" s="782" t="s">
        <v>4513</v>
      </c>
      <c r="D511" s="836">
        <v>2000</v>
      </c>
      <c r="E511" s="299">
        <v>2.2999999999999998</v>
      </c>
      <c r="F511" s="299">
        <f t="shared" si="85"/>
        <v>4600</v>
      </c>
      <c r="G511" s="730" t="s">
        <v>369</v>
      </c>
      <c r="O511" s="299">
        <f t="shared" si="90"/>
        <v>0</v>
      </c>
      <c r="P511" s="247">
        <f t="shared" si="88"/>
        <v>4600</v>
      </c>
      <c r="Q511" s="536">
        <v>1049154</v>
      </c>
    </row>
    <row r="512" spans="2:17" ht="12.75" customHeight="1" x14ac:dyDescent="0.25">
      <c r="B512" s="729" t="s">
        <v>4526</v>
      </c>
      <c r="C512" s="782" t="s">
        <v>4513</v>
      </c>
      <c r="D512" s="836">
        <v>2000</v>
      </c>
      <c r="E512" s="299">
        <v>2.2999999999999998</v>
      </c>
      <c r="F512" s="299">
        <f t="shared" si="85"/>
        <v>4600</v>
      </c>
      <c r="G512" s="730" t="s">
        <v>369</v>
      </c>
      <c r="O512" s="299">
        <f t="shared" si="90"/>
        <v>0</v>
      </c>
      <c r="P512" s="247">
        <f t="shared" si="88"/>
        <v>4600</v>
      </c>
      <c r="Q512" s="536">
        <v>1049154</v>
      </c>
    </row>
    <row r="513" spans="2:21" ht="12.75" customHeight="1" x14ac:dyDescent="0.25">
      <c r="B513" s="729" t="s">
        <v>4526</v>
      </c>
      <c r="C513" s="711" t="s">
        <v>4528</v>
      </c>
      <c r="D513" s="836">
        <v>100</v>
      </c>
      <c r="E513" s="299">
        <v>54</v>
      </c>
      <c r="F513" s="299">
        <f t="shared" si="85"/>
        <v>5400</v>
      </c>
      <c r="G513" s="730" t="s">
        <v>369</v>
      </c>
      <c r="O513" s="299">
        <f t="shared" si="90"/>
        <v>0</v>
      </c>
      <c r="P513" s="247">
        <f t="shared" si="88"/>
        <v>5400</v>
      </c>
      <c r="Q513" s="536">
        <v>1049154</v>
      </c>
    </row>
    <row r="514" spans="2:21" ht="12.75" customHeight="1" x14ac:dyDescent="0.25">
      <c r="B514" s="729" t="s">
        <v>4526</v>
      </c>
      <c r="C514" s="711" t="s">
        <v>4528</v>
      </c>
      <c r="D514" s="836">
        <v>50</v>
      </c>
      <c r="E514" s="299">
        <v>54</v>
      </c>
      <c r="F514" s="299">
        <f t="shared" si="85"/>
        <v>2700</v>
      </c>
      <c r="G514" s="730" t="s">
        <v>369</v>
      </c>
      <c r="H514" s="326">
        <v>220</v>
      </c>
      <c r="I514" s="326">
        <v>28.93</v>
      </c>
      <c r="J514" s="326">
        <v>34.85</v>
      </c>
      <c r="K514" s="326">
        <v>0.11</v>
      </c>
      <c r="L514" s="326">
        <v>3.28</v>
      </c>
      <c r="M514" s="326">
        <v>4</v>
      </c>
      <c r="O514" s="299">
        <f t="shared" si="90"/>
        <v>291.17</v>
      </c>
      <c r="P514" s="247">
        <f t="shared" si="88"/>
        <v>2408.83</v>
      </c>
      <c r="Q514" s="536">
        <v>1049154</v>
      </c>
    </row>
    <row r="515" spans="2:21" ht="12.75" customHeight="1" x14ac:dyDescent="0.25">
      <c r="B515" s="729" t="s">
        <v>4530</v>
      </c>
      <c r="C515" s="782" t="s">
        <v>4532</v>
      </c>
      <c r="D515" s="836">
        <v>500</v>
      </c>
      <c r="E515" s="299">
        <v>12.15</v>
      </c>
      <c r="F515" s="299">
        <f t="shared" ref="F515:F520" si="91">D515*E515</f>
        <v>6075</v>
      </c>
      <c r="G515" s="730" t="s">
        <v>369</v>
      </c>
      <c r="O515" s="299">
        <f>SUM(H515:N515)</f>
        <v>0</v>
      </c>
      <c r="P515" s="247">
        <f t="shared" si="88"/>
        <v>6075</v>
      </c>
      <c r="Q515" s="536">
        <v>1060195</v>
      </c>
      <c r="S515" s="247"/>
    </row>
    <row r="516" spans="2:21" ht="12.75" customHeight="1" x14ac:dyDescent="0.25">
      <c r="B516" s="729" t="s">
        <v>4530</v>
      </c>
      <c r="C516" s="782" t="s">
        <v>4532</v>
      </c>
      <c r="D516" s="836">
        <v>500</v>
      </c>
      <c r="E516" s="299">
        <v>12.15</v>
      </c>
      <c r="F516" s="299">
        <f t="shared" si="91"/>
        <v>6075</v>
      </c>
      <c r="G516" s="730" t="s">
        <v>369</v>
      </c>
      <c r="O516" s="299">
        <f t="shared" ref="O516:O521" si="92">SUM(H516:N516)</f>
        <v>0</v>
      </c>
      <c r="P516" s="247">
        <f t="shared" si="88"/>
        <v>6075</v>
      </c>
      <c r="Q516" s="536">
        <v>1060195</v>
      </c>
    </row>
    <row r="517" spans="2:21" ht="12.75" customHeight="1" x14ac:dyDescent="0.25">
      <c r="B517" s="729" t="s">
        <v>4530</v>
      </c>
      <c r="C517" s="782" t="s">
        <v>4518</v>
      </c>
      <c r="D517" s="836">
        <v>125</v>
      </c>
      <c r="E517" s="299">
        <v>41.5</v>
      </c>
      <c r="F517" s="299">
        <f t="shared" si="91"/>
        <v>5187.5</v>
      </c>
      <c r="G517" s="730" t="s">
        <v>369</v>
      </c>
      <c r="O517" s="299">
        <f t="shared" si="92"/>
        <v>0</v>
      </c>
      <c r="P517" s="247">
        <f t="shared" si="88"/>
        <v>5187.5</v>
      </c>
      <c r="Q517" s="536">
        <v>1060195</v>
      </c>
      <c r="T517" s="247"/>
    </row>
    <row r="518" spans="2:21" ht="12.75" customHeight="1" x14ac:dyDescent="0.25">
      <c r="B518" s="729" t="s">
        <v>4530</v>
      </c>
      <c r="C518" s="782" t="s">
        <v>4518</v>
      </c>
      <c r="D518" s="836">
        <v>125</v>
      </c>
      <c r="E518" s="299">
        <v>41.2</v>
      </c>
      <c r="F518" s="299">
        <f t="shared" si="91"/>
        <v>5150</v>
      </c>
      <c r="G518" s="730" t="s">
        <v>369</v>
      </c>
      <c r="O518" s="299">
        <f t="shared" si="92"/>
        <v>0</v>
      </c>
      <c r="P518" s="247">
        <f t="shared" si="88"/>
        <v>5150</v>
      </c>
      <c r="Q518" s="536">
        <v>1060195</v>
      </c>
      <c r="U518" s="247"/>
    </row>
    <row r="519" spans="2:21" ht="12.75" customHeight="1" x14ac:dyDescent="0.25">
      <c r="B519" s="729" t="s">
        <v>4530</v>
      </c>
      <c r="C519" s="782" t="s">
        <v>4527</v>
      </c>
      <c r="D519" s="836">
        <v>1000</v>
      </c>
      <c r="E519" s="299">
        <v>5.95</v>
      </c>
      <c r="F519" s="299">
        <f t="shared" si="91"/>
        <v>5950</v>
      </c>
      <c r="G519" s="730" t="s">
        <v>369</v>
      </c>
      <c r="O519" s="299">
        <f t="shared" si="92"/>
        <v>0</v>
      </c>
      <c r="P519" s="247">
        <f t="shared" si="88"/>
        <v>5950</v>
      </c>
      <c r="Q519" s="536">
        <v>1060195</v>
      </c>
    </row>
    <row r="520" spans="2:21" ht="12.75" customHeight="1" x14ac:dyDescent="0.25">
      <c r="B520" s="729" t="s">
        <v>4530</v>
      </c>
      <c r="C520" s="782" t="s">
        <v>4527</v>
      </c>
      <c r="D520" s="836">
        <v>1000</v>
      </c>
      <c r="E520" s="299">
        <v>5.95</v>
      </c>
      <c r="F520" s="299">
        <f t="shared" si="91"/>
        <v>5950</v>
      </c>
      <c r="G520" s="730" t="s">
        <v>369</v>
      </c>
      <c r="O520" s="299">
        <f t="shared" si="92"/>
        <v>0</v>
      </c>
      <c r="P520" s="247">
        <f t="shared" si="88"/>
        <v>5950</v>
      </c>
      <c r="Q520" s="536">
        <v>1060195</v>
      </c>
    </row>
    <row r="521" spans="2:21" ht="12.75" customHeight="1" x14ac:dyDescent="0.25">
      <c r="B521" s="729" t="s">
        <v>4530</v>
      </c>
      <c r="C521" s="782" t="s">
        <v>4513</v>
      </c>
      <c r="D521" s="836">
        <v>2000</v>
      </c>
      <c r="E521" s="299">
        <v>2.8</v>
      </c>
      <c r="F521" s="299">
        <f t="shared" ref="F521:F524" si="93">D521*E521</f>
        <v>5600</v>
      </c>
      <c r="G521" s="730" t="s">
        <v>369</v>
      </c>
      <c r="O521" s="299">
        <f t="shared" si="92"/>
        <v>0</v>
      </c>
      <c r="P521" s="247">
        <f t="shared" si="88"/>
        <v>5600</v>
      </c>
      <c r="Q521" s="536">
        <v>1060195</v>
      </c>
    </row>
    <row r="522" spans="2:21" ht="12.75" customHeight="1" x14ac:dyDescent="0.25">
      <c r="B522" s="729" t="s">
        <v>4530</v>
      </c>
      <c r="C522" s="782" t="s">
        <v>4513</v>
      </c>
      <c r="D522" s="836">
        <v>4000</v>
      </c>
      <c r="E522" s="299">
        <v>2.8</v>
      </c>
      <c r="F522" s="299">
        <f t="shared" si="93"/>
        <v>11200</v>
      </c>
      <c r="G522" s="730" t="s">
        <v>369</v>
      </c>
      <c r="O522" s="299">
        <f t="shared" ref="O522:O550" si="94">SUM(H522:N522)</f>
        <v>0</v>
      </c>
      <c r="P522" s="247">
        <f t="shared" si="88"/>
        <v>11200</v>
      </c>
      <c r="Q522" s="536">
        <v>1060195</v>
      </c>
    </row>
    <row r="523" spans="2:21" ht="12.75" customHeight="1" x14ac:dyDescent="0.25">
      <c r="B523" s="729" t="s">
        <v>4530</v>
      </c>
      <c r="C523" s="782" t="s">
        <v>4531</v>
      </c>
      <c r="D523" s="836">
        <v>75</v>
      </c>
      <c r="E523" s="299">
        <v>125</v>
      </c>
      <c r="F523" s="299">
        <f t="shared" si="93"/>
        <v>9375</v>
      </c>
      <c r="G523" s="730" t="s">
        <v>369</v>
      </c>
      <c r="O523" s="299">
        <f t="shared" si="94"/>
        <v>0</v>
      </c>
      <c r="P523" s="247">
        <f t="shared" si="88"/>
        <v>9375</v>
      </c>
      <c r="Q523" s="536">
        <v>1060195</v>
      </c>
    </row>
    <row r="524" spans="2:21" ht="12.75" customHeight="1" x14ac:dyDescent="0.25">
      <c r="B524" s="729" t="s">
        <v>4530</v>
      </c>
      <c r="C524" s="782" t="s">
        <v>4531</v>
      </c>
      <c r="D524" s="836">
        <v>25</v>
      </c>
      <c r="E524" s="299">
        <v>125</v>
      </c>
      <c r="F524" s="299">
        <f t="shared" si="93"/>
        <v>3125</v>
      </c>
      <c r="G524" s="730" t="s">
        <v>369</v>
      </c>
      <c r="O524" s="299">
        <f t="shared" si="94"/>
        <v>0</v>
      </c>
      <c r="P524" s="247">
        <f t="shared" si="88"/>
        <v>3125</v>
      </c>
      <c r="Q524" s="536">
        <v>1060195</v>
      </c>
    </row>
    <row r="525" spans="2:21" ht="12.75" customHeight="1" x14ac:dyDescent="0.25">
      <c r="B525" s="729" t="s">
        <v>4534</v>
      </c>
      <c r="C525" s="782" t="s">
        <v>4535</v>
      </c>
      <c r="D525" s="836">
        <v>4000</v>
      </c>
      <c r="E525" s="299">
        <v>1.65</v>
      </c>
      <c r="F525" s="299">
        <f t="shared" ref="F525:F550" si="95">D525*E525</f>
        <v>6600</v>
      </c>
      <c r="G525" s="730" t="s">
        <v>369</v>
      </c>
      <c r="O525" s="299">
        <f t="shared" si="94"/>
        <v>0</v>
      </c>
      <c r="P525" s="247">
        <f t="shared" si="88"/>
        <v>6600</v>
      </c>
      <c r="Q525" s="536">
        <v>1070168</v>
      </c>
    </row>
    <row r="526" spans="2:21" ht="12.75" customHeight="1" x14ac:dyDescent="0.25">
      <c r="B526" s="729" t="s">
        <v>4534</v>
      </c>
      <c r="C526" s="782" t="s">
        <v>4535</v>
      </c>
      <c r="D526" s="836">
        <v>4000</v>
      </c>
      <c r="E526" s="299">
        <v>1.65</v>
      </c>
      <c r="F526" s="299">
        <f t="shared" si="95"/>
        <v>6600</v>
      </c>
      <c r="G526" s="730" t="s">
        <v>369</v>
      </c>
      <c r="O526" s="299">
        <f t="shared" si="94"/>
        <v>0</v>
      </c>
      <c r="P526" s="247">
        <f t="shared" si="88"/>
        <v>6600</v>
      </c>
      <c r="Q526" s="536">
        <v>1070168</v>
      </c>
    </row>
    <row r="527" spans="2:21" ht="12.75" customHeight="1" x14ac:dyDescent="0.25">
      <c r="B527" s="729" t="s">
        <v>4534</v>
      </c>
      <c r="C527" s="782" t="s">
        <v>4536</v>
      </c>
      <c r="D527" s="836">
        <v>2000</v>
      </c>
      <c r="E527" s="299">
        <v>2.0499999999999998</v>
      </c>
      <c r="F527" s="299">
        <f t="shared" si="95"/>
        <v>4100</v>
      </c>
      <c r="G527" s="730" t="s">
        <v>369</v>
      </c>
      <c r="O527" s="299">
        <f t="shared" si="94"/>
        <v>0</v>
      </c>
      <c r="P527" s="247">
        <f t="shared" si="88"/>
        <v>4100</v>
      </c>
      <c r="Q527" s="536">
        <v>1070168</v>
      </c>
    </row>
    <row r="528" spans="2:21" ht="12.75" customHeight="1" x14ac:dyDescent="0.25">
      <c r="B528" s="729" t="s">
        <v>4534</v>
      </c>
      <c r="C528" s="782" t="s">
        <v>4536</v>
      </c>
      <c r="D528" s="836">
        <v>2000</v>
      </c>
      <c r="E528" s="299">
        <v>2.0499999999999998</v>
      </c>
      <c r="F528" s="299">
        <f t="shared" si="95"/>
        <v>4100</v>
      </c>
      <c r="G528" s="730" t="s">
        <v>369</v>
      </c>
      <c r="O528" s="299">
        <f t="shared" si="94"/>
        <v>0</v>
      </c>
      <c r="P528" s="247">
        <f t="shared" si="88"/>
        <v>4100</v>
      </c>
      <c r="Q528" s="536">
        <v>1070168</v>
      </c>
    </row>
    <row r="529" spans="2:17" ht="12.75" customHeight="1" x14ac:dyDescent="0.25">
      <c r="B529" s="729" t="s">
        <v>4534</v>
      </c>
      <c r="C529" s="782" t="s">
        <v>4518</v>
      </c>
      <c r="D529" s="836">
        <v>125</v>
      </c>
      <c r="E529" s="299">
        <v>30.9</v>
      </c>
      <c r="F529" s="299">
        <f t="shared" si="95"/>
        <v>3862.5</v>
      </c>
      <c r="G529" s="730" t="s">
        <v>369</v>
      </c>
      <c r="O529" s="299">
        <f t="shared" si="94"/>
        <v>0</v>
      </c>
      <c r="P529" s="247">
        <f t="shared" si="88"/>
        <v>3862.5</v>
      </c>
      <c r="Q529" s="536">
        <v>1070168</v>
      </c>
    </row>
    <row r="530" spans="2:17" ht="12.75" customHeight="1" x14ac:dyDescent="0.25">
      <c r="B530" s="729" t="s">
        <v>4534</v>
      </c>
      <c r="C530" s="782" t="s">
        <v>4518</v>
      </c>
      <c r="D530" s="836">
        <v>125</v>
      </c>
      <c r="E530" s="299">
        <v>30.9</v>
      </c>
      <c r="F530" s="299">
        <f t="shared" si="95"/>
        <v>3862.5</v>
      </c>
      <c r="G530" s="730" t="s">
        <v>369</v>
      </c>
      <c r="O530" s="299">
        <f t="shared" si="94"/>
        <v>0</v>
      </c>
      <c r="P530" s="247">
        <f t="shared" si="88"/>
        <v>3862.5</v>
      </c>
      <c r="Q530" s="536">
        <v>1070168</v>
      </c>
    </row>
    <row r="531" spans="2:17" ht="12.75" customHeight="1" x14ac:dyDescent="0.25">
      <c r="B531" s="729" t="s">
        <v>4534</v>
      </c>
      <c r="C531" s="782" t="s">
        <v>4518</v>
      </c>
      <c r="D531" s="836">
        <v>125</v>
      </c>
      <c r="E531" s="299">
        <v>30.9</v>
      </c>
      <c r="F531" s="299">
        <f t="shared" si="95"/>
        <v>3862.5</v>
      </c>
      <c r="G531" s="730" t="s">
        <v>369</v>
      </c>
      <c r="O531" s="299">
        <f t="shared" si="94"/>
        <v>0</v>
      </c>
      <c r="P531" s="247">
        <f t="shared" si="88"/>
        <v>3862.5</v>
      </c>
      <c r="Q531" s="536">
        <v>1070168</v>
      </c>
    </row>
    <row r="532" spans="2:17" ht="12.75" customHeight="1" x14ac:dyDescent="0.25">
      <c r="B532" s="729" t="s">
        <v>4534</v>
      </c>
      <c r="C532" s="782" t="s">
        <v>4518</v>
      </c>
      <c r="D532" s="836">
        <v>125</v>
      </c>
      <c r="E532" s="299">
        <v>30.9</v>
      </c>
      <c r="F532" s="299">
        <f t="shared" si="95"/>
        <v>3862.5</v>
      </c>
      <c r="G532" s="730" t="s">
        <v>369</v>
      </c>
      <c r="O532" s="299">
        <f t="shared" si="94"/>
        <v>0</v>
      </c>
      <c r="P532" s="247">
        <f t="shared" si="88"/>
        <v>3862.5</v>
      </c>
      <c r="Q532" s="536">
        <v>1070168</v>
      </c>
    </row>
    <row r="533" spans="2:17" ht="12.75" customHeight="1" x14ac:dyDescent="0.25">
      <c r="B533" s="729" t="s">
        <v>4534</v>
      </c>
      <c r="C533" s="782" t="s">
        <v>4518</v>
      </c>
      <c r="D533" s="836">
        <v>125</v>
      </c>
      <c r="E533" s="299">
        <v>30.9</v>
      </c>
      <c r="F533" s="299">
        <f t="shared" si="95"/>
        <v>3862.5</v>
      </c>
      <c r="G533" s="730" t="s">
        <v>369</v>
      </c>
      <c r="O533" s="299">
        <f t="shared" si="94"/>
        <v>0</v>
      </c>
      <c r="P533" s="247">
        <f t="shared" si="88"/>
        <v>3862.5</v>
      </c>
      <c r="Q533" s="536">
        <v>1070168</v>
      </c>
    </row>
    <row r="534" spans="2:17" ht="12.75" customHeight="1" x14ac:dyDescent="0.25">
      <c r="B534" s="729" t="s">
        <v>4534</v>
      </c>
      <c r="C534" s="782" t="s">
        <v>4518</v>
      </c>
      <c r="D534" s="836">
        <v>125</v>
      </c>
      <c r="E534" s="299">
        <v>30.9</v>
      </c>
      <c r="F534" s="299">
        <f t="shared" si="95"/>
        <v>3862.5</v>
      </c>
      <c r="G534" s="730" t="s">
        <v>369</v>
      </c>
      <c r="O534" s="299">
        <f t="shared" si="94"/>
        <v>0</v>
      </c>
      <c r="P534" s="247">
        <f t="shared" si="88"/>
        <v>3862.5</v>
      </c>
      <c r="Q534" s="536">
        <v>1070168</v>
      </c>
    </row>
    <row r="535" spans="2:17" ht="12.75" customHeight="1" x14ac:dyDescent="0.25">
      <c r="B535" s="729" t="s">
        <v>4534</v>
      </c>
      <c r="C535" s="782" t="s">
        <v>4518</v>
      </c>
      <c r="D535" s="836">
        <v>125</v>
      </c>
      <c r="E535" s="299">
        <v>30.9</v>
      </c>
      <c r="F535" s="299">
        <f t="shared" si="95"/>
        <v>3862.5</v>
      </c>
      <c r="G535" s="730" t="s">
        <v>369</v>
      </c>
      <c r="O535" s="299">
        <f t="shared" si="94"/>
        <v>0</v>
      </c>
      <c r="P535" s="247">
        <f t="shared" si="88"/>
        <v>3862.5</v>
      </c>
      <c r="Q535" s="536">
        <v>1070168</v>
      </c>
    </row>
    <row r="536" spans="2:17" ht="12.75" customHeight="1" x14ac:dyDescent="0.25">
      <c r="B536" s="729" t="s">
        <v>4534</v>
      </c>
      <c r="C536" s="782" t="s">
        <v>4537</v>
      </c>
      <c r="D536" s="836">
        <v>750</v>
      </c>
      <c r="E536" s="299">
        <v>6.75</v>
      </c>
      <c r="F536" s="299">
        <f t="shared" si="95"/>
        <v>5062.5</v>
      </c>
      <c r="G536" s="730" t="s">
        <v>369</v>
      </c>
      <c r="O536" s="299">
        <f t="shared" si="94"/>
        <v>0</v>
      </c>
      <c r="P536" s="247">
        <f t="shared" si="88"/>
        <v>5062.5</v>
      </c>
      <c r="Q536" s="536">
        <v>1070168</v>
      </c>
    </row>
    <row r="537" spans="2:17" ht="12.75" customHeight="1" x14ac:dyDescent="0.25">
      <c r="B537" s="729" t="s">
        <v>4534</v>
      </c>
      <c r="C537" s="782" t="s">
        <v>4537</v>
      </c>
      <c r="D537" s="836">
        <v>750</v>
      </c>
      <c r="E537" s="299">
        <v>6.75</v>
      </c>
      <c r="F537" s="299">
        <f t="shared" si="95"/>
        <v>5062.5</v>
      </c>
      <c r="G537" s="730" t="s">
        <v>369</v>
      </c>
      <c r="O537" s="299">
        <f t="shared" si="94"/>
        <v>0</v>
      </c>
      <c r="P537" s="247">
        <f t="shared" si="88"/>
        <v>5062.5</v>
      </c>
      <c r="Q537" s="536">
        <v>1070168</v>
      </c>
    </row>
    <row r="538" spans="2:17" ht="12.75" customHeight="1" x14ac:dyDescent="0.25">
      <c r="B538" s="729" t="s">
        <v>4534</v>
      </c>
      <c r="C538" s="782" t="s">
        <v>4537</v>
      </c>
      <c r="D538" s="836">
        <v>750</v>
      </c>
      <c r="E538" s="299">
        <v>6.5</v>
      </c>
      <c r="F538" s="299">
        <f t="shared" si="95"/>
        <v>4875</v>
      </c>
      <c r="G538" s="730" t="s">
        <v>369</v>
      </c>
      <c r="O538" s="299">
        <f t="shared" si="94"/>
        <v>0</v>
      </c>
      <c r="P538" s="247">
        <f t="shared" si="88"/>
        <v>4875</v>
      </c>
      <c r="Q538" s="536">
        <v>1070168</v>
      </c>
    </row>
    <row r="539" spans="2:17" ht="12.75" customHeight="1" x14ac:dyDescent="0.25">
      <c r="B539" s="729" t="s">
        <v>4539</v>
      </c>
      <c r="C539" s="782" t="s">
        <v>4513</v>
      </c>
      <c r="D539" s="836">
        <v>2000</v>
      </c>
      <c r="E539" s="299">
        <v>1.45</v>
      </c>
      <c r="F539" s="299">
        <f t="shared" si="95"/>
        <v>2900</v>
      </c>
      <c r="G539" s="730" t="s">
        <v>369</v>
      </c>
      <c r="O539" s="299">
        <f t="shared" si="94"/>
        <v>0</v>
      </c>
      <c r="P539" s="247">
        <f t="shared" si="88"/>
        <v>2900</v>
      </c>
      <c r="Q539" s="536">
        <v>1080438</v>
      </c>
    </row>
    <row r="540" spans="2:17" ht="12.75" customHeight="1" x14ac:dyDescent="0.25">
      <c r="B540" s="729" t="s">
        <v>4539</v>
      </c>
      <c r="C540" s="782" t="s">
        <v>4513</v>
      </c>
      <c r="D540" s="836">
        <v>2000</v>
      </c>
      <c r="E540" s="299">
        <v>1.35</v>
      </c>
      <c r="F540" s="299">
        <f t="shared" si="95"/>
        <v>2700</v>
      </c>
      <c r="G540" s="730" t="s">
        <v>369</v>
      </c>
      <c r="O540" s="299">
        <f t="shared" si="94"/>
        <v>0</v>
      </c>
      <c r="P540" s="247">
        <f t="shared" si="88"/>
        <v>2700</v>
      </c>
      <c r="Q540" s="536">
        <v>1080438</v>
      </c>
    </row>
    <row r="541" spans="2:17" ht="12.75" customHeight="1" x14ac:dyDescent="0.25">
      <c r="B541" s="729" t="s">
        <v>4539</v>
      </c>
      <c r="C541" s="782" t="s">
        <v>4513</v>
      </c>
      <c r="D541" s="836">
        <v>2000</v>
      </c>
      <c r="E541" s="299">
        <v>1.35</v>
      </c>
      <c r="F541" s="299">
        <f t="shared" si="95"/>
        <v>2700</v>
      </c>
      <c r="G541" s="730" t="s">
        <v>369</v>
      </c>
      <c r="O541" s="299">
        <f t="shared" si="94"/>
        <v>0</v>
      </c>
      <c r="P541" s="247">
        <f t="shared" si="88"/>
        <v>2700</v>
      </c>
      <c r="Q541" s="536">
        <v>1080438</v>
      </c>
    </row>
    <row r="542" spans="2:17" ht="12.75" customHeight="1" x14ac:dyDescent="0.25">
      <c r="B542" s="729" t="s">
        <v>4539</v>
      </c>
      <c r="C542" s="782" t="s">
        <v>4513</v>
      </c>
      <c r="D542" s="836">
        <v>2000</v>
      </c>
      <c r="E542" s="299">
        <v>1.35</v>
      </c>
      <c r="F542" s="299">
        <f t="shared" si="95"/>
        <v>2700</v>
      </c>
      <c r="G542" s="730" t="s">
        <v>369</v>
      </c>
      <c r="O542" s="299">
        <f t="shared" si="94"/>
        <v>0</v>
      </c>
      <c r="P542" s="247">
        <f t="shared" si="88"/>
        <v>2700</v>
      </c>
      <c r="Q542" s="536">
        <v>1080438</v>
      </c>
    </row>
    <row r="543" spans="2:17" ht="12.75" customHeight="1" x14ac:dyDescent="0.25">
      <c r="B543" s="729" t="s">
        <v>4539</v>
      </c>
      <c r="C543" s="782" t="s">
        <v>4540</v>
      </c>
      <c r="D543" s="836">
        <v>250</v>
      </c>
      <c r="E543" s="299">
        <v>15.1</v>
      </c>
      <c r="F543" s="299">
        <f t="shared" si="95"/>
        <v>3775</v>
      </c>
      <c r="G543" s="730" t="s">
        <v>369</v>
      </c>
      <c r="O543" s="299">
        <f t="shared" si="94"/>
        <v>0</v>
      </c>
      <c r="P543" s="247">
        <f t="shared" ref="P543:P561" si="96">F543-O543</f>
        <v>3775</v>
      </c>
      <c r="Q543" s="536">
        <v>1080438</v>
      </c>
    </row>
    <row r="544" spans="2:17" ht="12.75" customHeight="1" x14ac:dyDescent="0.25">
      <c r="B544" s="729" t="s">
        <v>4539</v>
      </c>
      <c r="C544" s="782" t="s">
        <v>4540</v>
      </c>
      <c r="D544" s="836">
        <v>250</v>
      </c>
      <c r="E544" s="299">
        <v>15.05</v>
      </c>
      <c r="F544" s="299">
        <f t="shared" si="95"/>
        <v>3762.5</v>
      </c>
      <c r="G544" s="730" t="s">
        <v>369</v>
      </c>
      <c r="O544" s="299">
        <f t="shared" si="94"/>
        <v>0</v>
      </c>
      <c r="P544" s="247">
        <f t="shared" si="96"/>
        <v>3762.5</v>
      </c>
      <c r="Q544" s="536">
        <v>1080438</v>
      </c>
    </row>
    <row r="545" spans="2:17" ht="12.75" customHeight="1" x14ac:dyDescent="0.25">
      <c r="B545" s="729" t="s">
        <v>4539</v>
      </c>
      <c r="C545" s="782" t="s">
        <v>4541</v>
      </c>
      <c r="D545" s="836">
        <v>1000</v>
      </c>
      <c r="E545" s="299">
        <v>9.1</v>
      </c>
      <c r="F545" s="299">
        <f t="shared" si="95"/>
        <v>9100</v>
      </c>
      <c r="G545" s="730" t="s">
        <v>369</v>
      </c>
      <c r="O545" s="299">
        <f t="shared" si="94"/>
        <v>0</v>
      </c>
      <c r="P545" s="247">
        <f t="shared" si="96"/>
        <v>9100</v>
      </c>
      <c r="Q545" s="536">
        <v>1080438</v>
      </c>
    </row>
    <row r="546" spans="2:17" ht="12.75" customHeight="1" x14ac:dyDescent="0.25">
      <c r="B546" s="729" t="s">
        <v>4539</v>
      </c>
      <c r="C546" s="782" t="s">
        <v>4542</v>
      </c>
      <c r="D546" s="836">
        <v>1000</v>
      </c>
      <c r="E546" s="299">
        <v>3.25</v>
      </c>
      <c r="F546" s="299">
        <f t="shared" si="95"/>
        <v>3250</v>
      </c>
      <c r="G546" s="730" t="s">
        <v>369</v>
      </c>
      <c r="O546" s="299">
        <f t="shared" si="94"/>
        <v>0</v>
      </c>
      <c r="P546" s="247">
        <f t="shared" si="96"/>
        <v>3250</v>
      </c>
      <c r="Q546" s="536">
        <v>1080438</v>
      </c>
    </row>
    <row r="547" spans="2:17" ht="12.75" customHeight="1" x14ac:dyDescent="0.25">
      <c r="B547" s="729" t="s">
        <v>4539</v>
      </c>
      <c r="C547" s="782" t="s">
        <v>4542</v>
      </c>
      <c r="D547" s="836">
        <v>1000</v>
      </c>
      <c r="E547" s="299">
        <v>3.15</v>
      </c>
      <c r="F547" s="299">
        <f t="shared" si="95"/>
        <v>3150</v>
      </c>
      <c r="G547" s="730" t="s">
        <v>369</v>
      </c>
      <c r="O547" s="299">
        <f t="shared" si="94"/>
        <v>0</v>
      </c>
      <c r="P547" s="247">
        <f t="shared" si="96"/>
        <v>3150</v>
      </c>
      <c r="Q547" s="536">
        <v>1080438</v>
      </c>
    </row>
    <row r="548" spans="2:17" ht="12.75" customHeight="1" x14ac:dyDescent="0.25">
      <c r="B548" s="729" t="s">
        <v>4539</v>
      </c>
      <c r="C548" s="782" t="s">
        <v>4543</v>
      </c>
      <c r="D548" s="836">
        <v>2000</v>
      </c>
      <c r="E548" s="299">
        <v>2.7</v>
      </c>
      <c r="F548" s="299">
        <f t="shared" si="95"/>
        <v>5400</v>
      </c>
      <c r="G548" s="730" t="s">
        <v>369</v>
      </c>
      <c r="O548" s="299">
        <f t="shared" si="94"/>
        <v>0</v>
      </c>
      <c r="P548" s="247">
        <f t="shared" si="96"/>
        <v>5400</v>
      </c>
      <c r="Q548" s="536">
        <v>1080438</v>
      </c>
    </row>
    <row r="549" spans="2:17" ht="12.75" customHeight="1" x14ac:dyDescent="0.25">
      <c r="B549" s="729" t="s">
        <v>4539</v>
      </c>
      <c r="C549" s="782" t="s">
        <v>4538</v>
      </c>
      <c r="D549" s="836">
        <v>250</v>
      </c>
      <c r="E549" s="299">
        <v>15.35</v>
      </c>
      <c r="F549" s="299">
        <f t="shared" si="95"/>
        <v>3837.5</v>
      </c>
      <c r="G549" s="730" t="s">
        <v>369</v>
      </c>
      <c r="O549" s="299">
        <f t="shared" si="94"/>
        <v>0</v>
      </c>
      <c r="P549" s="247">
        <f t="shared" si="96"/>
        <v>3837.5</v>
      </c>
      <c r="Q549" s="536">
        <v>1080438</v>
      </c>
    </row>
    <row r="550" spans="2:17" ht="12.75" customHeight="1" x14ac:dyDescent="0.25">
      <c r="B550" s="729" t="s">
        <v>4539</v>
      </c>
      <c r="C550" s="782" t="s">
        <v>4538</v>
      </c>
      <c r="D550" s="836">
        <v>500</v>
      </c>
      <c r="E550" s="299">
        <v>11</v>
      </c>
      <c r="F550" s="299">
        <f t="shared" si="95"/>
        <v>5500</v>
      </c>
      <c r="G550" s="730" t="s">
        <v>369</v>
      </c>
      <c r="H550" s="326">
        <v>337.38</v>
      </c>
      <c r="I550" s="326">
        <v>50.72</v>
      </c>
      <c r="J550" s="326">
        <v>54.34</v>
      </c>
      <c r="K550" s="326">
        <v>0.19</v>
      </c>
      <c r="L550" s="326">
        <v>5.74</v>
      </c>
      <c r="M550" s="326">
        <v>8</v>
      </c>
      <c r="O550" s="299">
        <f t="shared" si="94"/>
        <v>456.37000000000006</v>
      </c>
      <c r="P550" s="247">
        <f t="shared" si="96"/>
        <v>5043.63</v>
      </c>
      <c r="Q550" s="536">
        <v>1080438</v>
      </c>
    </row>
    <row r="551" spans="2:17" ht="12.75" customHeight="1" x14ac:dyDescent="0.25">
      <c r="B551" s="729" t="s">
        <v>4544</v>
      </c>
      <c r="C551" s="832" t="s">
        <v>4543</v>
      </c>
      <c r="D551" s="844">
        <v>2000</v>
      </c>
      <c r="E551" s="455">
        <v>2.4500000000000002</v>
      </c>
      <c r="F551" s="454">
        <f t="shared" ref="F551:F557" si="97">D551*E551</f>
        <v>4900</v>
      </c>
      <c r="G551" s="873" t="s">
        <v>369</v>
      </c>
      <c r="H551" s="326">
        <v>60</v>
      </c>
      <c r="I551" s="326">
        <v>6.58</v>
      </c>
      <c r="J551" s="326">
        <v>9.32</v>
      </c>
      <c r="K551" s="326">
        <v>0.03</v>
      </c>
      <c r="L551" s="326">
        <v>1</v>
      </c>
      <c r="M551" s="326">
        <v>1</v>
      </c>
      <c r="O551" s="299">
        <f t="shared" ref="O551:O557" si="98">SUM(H551:N551)</f>
        <v>77.930000000000007</v>
      </c>
      <c r="P551" s="247">
        <f t="shared" si="96"/>
        <v>4822.07</v>
      </c>
      <c r="Q551" s="536">
        <v>1090595</v>
      </c>
    </row>
    <row r="552" spans="2:17" ht="12.75" customHeight="1" x14ac:dyDescent="0.25">
      <c r="B552" s="729" t="s">
        <v>4545</v>
      </c>
      <c r="C552" s="782" t="s">
        <v>4546</v>
      </c>
      <c r="D552" s="836">
        <v>25</v>
      </c>
      <c r="E552" s="299">
        <v>89</v>
      </c>
      <c r="F552" s="299">
        <f t="shared" si="97"/>
        <v>2225</v>
      </c>
      <c r="G552" s="730" t="s">
        <v>369</v>
      </c>
      <c r="O552" s="299">
        <f t="shared" si="98"/>
        <v>0</v>
      </c>
      <c r="P552" s="247">
        <f t="shared" si="96"/>
        <v>2225</v>
      </c>
      <c r="Q552" s="536">
        <v>1100918</v>
      </c>
    </row>
    <row r="553" spans="2:17" ht="12.75" customHeight="1" x14ac:dyDescent="0.25">
      <c r="B553" s="729" t="s">
        <v>4545</v>
      </c>
      <c r="C553" s="782" t="s">
        <v>4546</v>
      </c>
      <c r="D553" s="836">
        <v>50</v>
      </c>
      <c r="E553" s="299">
        <v>89</v>
      </c>
      <c r="F553" s="299">
        <f t="shared" si="97"/>
        <v>4450</v>
      </c>
      <c r="G553" s="730" t="s">
        <v>369</v>
      </c>
      <c r="O553" s="299">
        <f t="shared" si="98"/>
        <v>0</v>
      </c>
      <c r="P553" s="247">
        <f t="shared" si="96"/>
        <v>4450</v>
      </c>
      <c r="Q553" s="536">
        <v>1100918</v>
      </c>
    </row>
    <row r="554" spans="2:17" ht="12.75" customHeight="1" x14ac:dyDescent="0.25">
      <c r="B554" s="729" t="s">
        <v>4545</v>
      </c>
      <c r="C554" s="782" t="s">
        <v>4540</v>
      </c>
      <c r="D554" s="836">
        <v>250</v>
      </c>
      <c r="E554" s="299">
        <v>12</v>
      </c>
      <c r="F554" s="299">
        <f t="shared" si="97"/>
        <v>3000</v>
      </c>
      <c r="G554" s="730" t="s">
        <v>369</v>
      </c>
      <c r="O554" s="299">
        <f t="shared" si="98"/>
        <v>0</v>
      </c>
      <c r="P554" s="247">
        <f t="shared" si="96"/>
        <v>3000</v>
      </c>
      <c r="Q554" s="536">
        <v>1100918</v>
      </c>
    </row>
    <row r="555" spans="2:17" ht="12.75" customHeight="1" x14ac:dyDescent="0.25">
      <c r="B555" s="729" t="s">
        <v>4545</v>
      </c>
      <c r="C555" s="782" t="s">
        <v>4540</v>
      </c>
      <c r="D555" s="836">
        <v>250</v>
      </c>
      <c r="E555" s="299">
        <v>11.8</v>
      </c>
      <c r="F555" s="299">
        <f t="shared" si="97"/>
        <v>2950</v>
      </c>
      <c r="G555" s="730" t="s">
        <v>369</v>
      </c>
      <c r="O555" s="299">
        <f t="shared" si="98"/>
        <v>0</v>
      </c>
      <c r="P555" s="247">
        <f t="shared" si="96"/>
        <v>2950</v>
      </c>
      <c r="Q555" s="536">
        <v>1100918</v>
      </c>
    </row>
    <row r="556" spans="2:17" ht="12.75" customHeight="1" x14ac:dyDescent="0.25">
      <c r="B556" s="729" t="s">
        <v>4545</v>
      </c>
      <c r="C556" s="782" t="s">
        <v>4540</v>
      </c>
      <c r="D556" s="836">
        <v>250</v>
      </c>
      <c r="E556" s="299">
        <v>11.8</v>
      </c>
      <c r="F556" s="299">
        <f t="shared" si="97"/>
        <v>2950</v>
      </c>
      <c r="G556" s="730" t="s">
        <v>369</v>
      </c>
      <c r="O556" s="299">
        <f t="shared" si="98"/>
        <v>0</v>
      </c>
      <c r="P556" s="247">
        <f t="shared" si="96"/>
        <v>2950</v>
      </c>
      <c r="Q556" s="536">
        <v>1100918</v>
      </c>
    </row>
    <row r="557" spans="2:17" ht="12.75" customHeight="1" x14ac:dyDescent="0.25">
      <c r="B557" s="729" t="s">
        <v>4545</v>
      </c>
      <c r="C557" s="782" t="s">
        <v>4540</v>
      </c>
      <c r="D557" s="836">
        <v>250</v>
      </c>
      <c r="E557" s="299">
        <v>11.8</v>
      </c>
      <c r="F557" s="299">
        <f t="shared" si="97"/>
        <v>2950</v>
      </c>
      <c r="G557" s="730" t="s">
        <v>369</v>
      </c>
      <c r="O557" s="299">
        <f t="shared" si="98"/>
        <v>0</v>
      </c>
      <c r="P557" s="247">
        <f t="shared" si="96"/>
        <v>2950</v>
      </c>
      <c r="Q557" s="536">
        <v>1100918</v>
      </c>
    </row>
    <row r="558" spans="2:17" ht="12.75" customHeight="1" x14ac:dyDescent="0.25">
      <c r="B558" s="729" t="s">
        <v>4553</v>
      </c>
      <c r="C558" s="782" t="s">
        <v>4547</v>
      </c>
      <c r="D558" s="836">
        <v>25</v>
      </c>
      <c r="E558" s="299">
        <v>12</v>
      </c>
      <c r="F558" s="299">
        <f t="shared" ref="F558:F568" si="99">D558*E558</f>
        <v>300</v>
      </c>
      <c r="G558" s="730" t="s">
        <v>369</v>
      </c>
      <c r="O558" s="299">
        <f>SUM(H558:N558)</f>
        <v>0</v>
      </c>
      <c r="P558" s="247">
        <f t="shared" si="96"/>
        <v>300</v>
      </c>
      <c r="Q558" s="536">
        <v>1123027</v>
      </c>
    </row>
    <row r="559" spans="2:17" ht="12.75" customHeight="1" x14ac:dyDescent="0.25">
      <c r="B559" s="729" t="s">
        <v>4553</v>
      </c>
      <c r="C559" s="782" t="s">
        <v>4547</v>
      </c>
      <c r="D559" s="836">
        <v>25</v>
      </c>
      <c r="E559" s="299">
        <v>12</v>
      </c>
      <c r="F559" s="299">
        <f t="shared" si="99"/>
        <v>300</v>
      </c>
      <c r="G559" s="730" t="s">
        <v>369</v>
      </c>
      <c r="O559" s="299">
        <f>SUM(H559:N559)</f>
        <v>0</v>
      </c>
      <c r="P559" s="247">
        <f t="shared" si="96"/>
        <v>300</v>
      </c>
      <c r="Q559" s="536">
        <v>1123027</v>
      </c>
    </row>
    <row r="560" spans="2:17" ht="12.75" customHeight="1" x14ac:dyDescent="0.25">
      <c r="B560" s="729" t="s">
        <v>4553</v>
      </c>
      <c r="C560" s="782" t="s">
        <v>4547</v>
      </c>
      <c r="D560" s="836">
        <v>50</v>
      </c>
      <c r="E560" s="299">
        <v>12</v>
      </c>
      <c r="F560" s="299">
        <f t="shared" si="99"/>
        <v>600</v>
      </c>
      <c r="G560" s="730" t="s">
        <v>369</v>
      </c>
      <c r="O560" s="299">
        <f>SUM(H560:N560)</f>
        <v>0</v>
      </c>
      <c r="P560" s="247">
        <f t="shared" si="96"/>
        <v>600</v>
      </c>
      <c r="Q560" s="536">
        <v>1123027</v>
      </c>
    </row>
    <row r="561" spans="2:17" ht="12.75" customHeight="1" x14ac:dyDescent="0.25">
      <c r="B561" s="729" t="s">
        <v>4553</v>
      </c>
      <c r="C561" s="782" t="s">
        <v>4547</v>
      </c>
      <c r="D561" s="836">
        <v>100</v>
      </c>
      <c r="E561" s="299">
        <v>12</v>
      </c>
      <c r="F561" s="299">
        <f t="shared" si="99"/>
        <v>1200</v>
      </c>
      <c r="G561" s="730" t="s">
        <v>369</v>
      </c>
      <c r="H561" s="326">
        <v>60</v>
      </c>
      <c r="I561" s="326">
        <v>3.94</v>
      </c>
      <c r="J561" s="326">
        <v>8.9499999999999993</v>
      </c>
      <c r="K561" s="326">
        <v>0.02</v>
      </c>
      <c r="L561" s="326">
        <v>1</v>
      </c>
      <c r="M561" s="326">
        <v>0</v>
      </c>
      <c r="O561" s="299">
        <f>SUM(H561:N561)</f>
        <v>73.91</v>
      </c>
      <c r="P561" s="247">
        <f t="shared" si="96"/>
        <v>1126.0899999999999</v>
      </c>
      <c r="Q561" s="536">
        <v>1123027</v>
      </c>
    </row>
    <row r="562" spans="2:17" ht="12.75" customHeight="1" x14ac:dyDescent="0.25">
      <c r="B562" s="729" t="s">
        <v>4556</v>
      </c>
      <c r="C562" s="782" t="s">
        <v>4546</v>
      </c>
      <c r="D562" s="836">
        <v>50</v>
      </c>
      <c r="E562" s="299">
        <v>17.5</v>
      </c>
      <c r="F562" s="299">
        <f t="shared" si="99"/>
        <v>875</v>
      </c>
      <c r="G562" s="730" t="s">
        <v>369</v>
      </c>
      <c r="O562" s="299">
        <f>SUM(H562:N562)</f>
        <v>0</v>
      </c>
      <c r="P562" s="247">
        <f t="shared" ref="P562" si="100">F562-O562</f>
        <v>875</v>
      </c>
      <c r="Q562" s="536">
        <v>1135151</v>
      </c>
    </row>
    <row r="563" spans="2:17" ht="12.75" customHeight="1" x14ac:dyDescent="0.25">
      <c r="B563" s="729" t="s">
        <v>4556</v>
      </c>
      <c r="C563" s="782" t="s">
        <v>4546</v>
      </c>
      <c r="D563" s="836">
        <v>25</v>
      </c>
      <c r="E563" s="299">
        <v>12.9</v>
      </c>
      <c r="F563" s="299">
        <f t="shared" si="99"/>
        <v>322.5</v>
      </c>
      <c r="G563" s="730" t="s">
        <v>369</v>
      </c>
      <c r="O563" s="299">
        <f t="shared" ref="O563:O569" si="101">SUM(H563:N563)</f>
        <v>0</v>
      </c>
      <c r="P563" s="247">
        <f t="shared" ref="P563:P569" si="102">F563-O563</f>
        <v>322.5</v>
      </c>
      <c r="Q563" s="536">
        <v>1135151</v>
      </c>
    </row>
    <row r="564" spans="2:17" ht="12.75" customHeight="1" x14ac:dyDescent="0.25">
      <c r="B564" s="729" t="s">
        <v>4556</v>
      </c>
      <c r="C564" s="782" t="s">
        <v>4546</v>
      </c>
      <c r="D564" s="836">
        <v>50</v>
      </c>
      <c r="E564" s="299">
        <v>12.9</v>
      </c>
      <c r="F564" s="299">
        <f t="shared" si="99"/>
        <v>645</v>
      </c>
      <c r="G564" s="730" t="s">
        <v>369</v>
      </c>
      <c r="O564" s="299">
        <f t="shared" si="101"/>
        <v>0</v>
      </c>
      <c r="P564" s="247">
        <f t="shared" si="102"/>
        <v>645</v>
      </c>
      <c r="Q564" s="536">
        <v>1135151</v>
      </c>
    </row>
    <row r="565" spans="2:17" ht="12.75" customHeight="1" x14ac:dyDescent="0.25">
      <c r="B565" s="729" t="s">
        <v>4556</v>
      </c>
      <c r="C565" s="782" t="s">
        <v>4546</v>
      </c>
      <c r="D565" s="836">
        <v>25</v>
      </c>
      <c r="E565" s="299">
        <v>12.85</v>
      </c>
      <c r="F565" s="299">
        <f t="shared" si="99"/>
        <v>321.25</v>
      </c>
      <c r="G565" s="730" t="s">
        <v>369</v>
      </c>
      <c r="O565" s="299">
        <f t="shared" si="101"/>
        <v>0</v>
      </c>
      <c r="P565" s="247">
        <f t="shared" si="102"/>
        <v>321.25</v>
      </c>
      <c r="Q565" s="536">
        <v>1135151</v>
      </c>
    </row>
    <row r="566" spans="2:17" ht="12.75" customHeight="1" x14ac:dyDescent="0.25">
      <c r="B566" s="729" t="s">
        <v>4556</v>
      </c>
      <c r="C566" s="782" t="s">
        <v>4546</v>
      </c>
      <c r="D566" s="836">
        <v>25</v>
      </c>
      <c r="E566" s="299">
        <v>12.85</v>
      </c>
      <c r="F566" s="299">
        <f t="shared" si="99"/>
        <v>321.25</v>
      </c>
      <c r="G566" s="730" t="s">
        <v>369</v>
      </c>
      <c r="O566" s="299">
        <f t="shared" si="101"/>
        <v>0</v>
      </c>
      <c r="P566" s="247">
        <f t="shared" si="102"/>
        <v>321.25</v>
      </c>
      <c r="Q566" s="536">
        <v>1135151</v>
      </c>
    </row>
    <row r="567" spans="2:17" ht="12.75" customHeight="1" x14ac:dyDescent="0.25">
      <c r="B567" s="729" t="s">
        <v>4556</v>
      </c>
      <c r="C567" s="782" t="s">
        <v>4546</v>
      </c>
      <c r="D567" s="836">
        <v>25</v>
      </c>
      <c r="E567" s="299">
        <v>12.85</v>
      </c>
      <c r="F567" s="299">
        <f t="shared" si="99"/>
        <v>321.25</v>
      </c>
      <c r="G567" s="730" t="s">
        <v>369</v>
      </c>
      <c r="O567" s="299">
        <f t="shared" si="101"/>
        <v>0</v>
      </c>
      <c r="P567" s="247">
        <f t="shared" si="102"/>
        <v>321.25</v>
      </c>
      <c r="Q567" s="536">
        <v>1135151</v>
      </c>
    </row>
    <row r="568" spans="2:17" ht="12.75" customHeight="1" x14ac:dyDescent="0.25">
      <c r="B568" s="729" t="s">
        <v>4556</v>
      </c>
      <c r="C568" s="782" t="s">
        <v>4546</v>
      </c>
      <c r="D568" s="836">
        <v>25</v>
      </c>
      <c r="E568" s="299">
        <v>12.85</v>
      </c>
      <c r="F568" s="299">
        <f t="shared" si="99"/>
        <v>321.25</v>
      </c>
      <c r="G568" s="730" t="s">
        <v>369</v>
      </c>
      <c r="O568" s="299">
        <f t="shared" si="101"/>
        <v>0</v>
      </c>
      <c r="P568" s="247">
        <f t="shared" si="102"/>
        <v>321.25</v>
      </c>
      <c r="Q568" s="536">
        <v>1135151</v>
      </c>
    </row>
    <row r="569" spans="2:17" ht="12.75" customHeight="1" x14ac:dyDescent="0.25">
      <c r="B569" s="729" t="s">
        <v>4556</v>
      </c>
      <c r="C569" s="782" t="s">
        <v>4546</v>
      </c>
      <c r="D569" s="836">
        <v>25</v>
      </c>
      <c r="E569" s="299">
        <v>12.85</v>
      </c>
      <c r="F569" s="299">
        <f t="shared" ref="F569" si="103">D569*E569</f>
        <v>321.25</v>
      </c>
      <c r="G569" s="730" t="s">
        <v>369</v>
      </c>
      <c r="H569" s="326">
        <v>20</v>
      </c>
      <c r="I569" s="326">
        <v>1.83</v>
      </c>
      <c r="J569" s="326">
        <v>3.06</v>
      </c>
      <c r="K569" s="326">
        <v>0.01</v>
      </c>
      <c r="L569" s="326">
        <v>1</v>
      </c>
      <c r="M569" s="326">
        <v>1</v>
      </c>
      <c r="O569" s="299">
        <f t="shared" si="101"/>
        <v>26.9</v>
      </c>
      <c r="P569" s="247">
        <f t="shared" si="102"/>
        <v>294.35000000000002</v>
      </c>
      <c r="Q569" s="536">
        <v>1135151</v>
      </c>
    </row>
    <row r="570" spans="2:17" ht="12.75" customHeight="1" x14ac:dyDescent="0.25">
      <c r="D570" s="836"/>
    </row>
    <row r="571" spans="2:17" ht="12.75" customHeight="1" x14ac:dyDescent="0.25">
      <c r="D571" s="836"/>
    </row>
    <row r="572" spans="2:17" ht="12.75" customHeight="1" x14ac:dyDescent="0.25">
      <c r="D572" s="836"/>
    </row>
    <row r="573" spans="2:17" ht="12.75" customHeight="1" x14ac:dyDescent="0.25">
      <c r="D573" s="836"/>
    </row>
    <row r="574" spans="2:17" ht="12.75" customHeight="1" x14ac:dyDescent="0.25">
      <c r="D574" s="836"/>
    </row>
    <row r="575" spans="2:17" ht="12.75" customHeight="1" x14ac:dyDescent="0.25">
      <c r="D575" s="836"/>
    </row>
    <row r="576" spans="2:17" ht="12.75" customHeight="1" x14ac:dyDescent="0.25">
      <c r="D576" s="836"/>
    </row>
    <row r="577" spans="1:19" ht="12.75" customHeight="1" x14ac:dyDescent="0.25">
      <c r="D577" s="836"/>
    </row>
    <row r="578" spans="1:19" ht="12.75" customHeight="1" x14ac:dyDescent="0.25">
      <c r="D578" s="836"/>
    </row>
    <row r="579" spans="1:19" ht="12.75" customHeight="1" x14ac:dyDescent="0.25">
      <c r="D579" s="836"/>
    </row>
    <row r="580" spans="1:19" ht="12.75" customHeight="1" x14ac:dyDescent="0.25">
      <c r="D580" s="836"/>
    </row>
    <row r="581" spans="1:19" ht="12.75" customHeight="1" x14ac:dyDescent="0.25">
      <c r="D581" s="836"/>
    </row>
    <row r="582" spans="1:19" ht="12.75" customHeight="1" x14ac:dyDescent="0.25">
      <c r="B582" s="729"/>
      <c r="C582" s="782"/>
      <c r="D582" s="836"/>
      <c r="G582" s="730"/>
    </row>
    <row r="583" spans="1:19" ht="12.75" customHeight="1" x14ac:dyDescent="0.25">
      <c r="B583" s="729"/>
      <c r="C583" s="782"/>
      <c r="D583" s="836"/>
      <c r="G583" s="730"/>
    </row>
    <row r="584" spans="1:19" ht="12.75" customHeight="1" x14ac:dyDescent="0.25">
      <c r="A584" s="747"/>
      <c r="B584" s="729"/>
      <c r="C584" s="832"/>
      <c r="D584" s="844"/>
      <c r="E584" s="455"/>
      <c r="F584" s="454"/>
      <c r="G584" s="873"/>
      <c r="H584" s="863"/>
      <c r="I584" s="864"/>
      <c r="J584" s="863"/>
      <c r="K584" s="865"/>
      <c r="L584" s="865"/>
      <c r="M584" s="865"/>
      <c r="N584" s="865"/>
      <c r="O584" s="457"/>
      <c r="P584" s="451"/>
      <c r="Q584" s="537"/>
      <c r="R584" s="451"/>
    </row>
    <row r="585" spans="1:19" ht="12.75" customHeight="1" x14ac:dyDescent="0.25">
      <c r="C585" s="527"/>
      <c r="D585" s="844"/>
      <c r="E585" s="455"/>
      <c r="F585" s="454"/>
      <c r="H585" s="863"/>
      <c r="I585" s="386"/>
      <c r="P585" s="456"/>
    </row>
    <row r="586" spans="1:19" ht="12.75" customHeight="1" x14ac:dyDescent="0.25">
      <c r="A586" s="747"/>
      <c r="C586" s="785"/>
      <c r="D586" s="844"/>
      <c r="E586" s="455"/>
      <c r="F586" s="454"/>
      <c r="G586" s="459"/>
      <c r="H586" s="863"/>
      <c r="I586" s="386"/>
      <c r="J586" s="863"/>
      <c r="K586" s="865"/>
      <c r="L586" s="865"/>
      <c r="M586" s="865"/>
      <c r="N586" s="865"/>
      <c r="O586" s="455"/>
      <c r="P586" s="456"/>
      <c r="Q586" s="537"/>
      <c r="R586" s="451"/>
    </row>
    <row r="587" spans="1:19" ht="12.75" customHeight="1" x14ac:dyDescent="0.25">
      <c r="A587" s="747"/>
      <c r="C587" s="785"/>
      <c r="D587" s="844"/>
      <c r="E587" s="455"/>
      <c r="F587" s="454"/>
      <c r="G587" s="459"/>
      <c r="H587" s="863"/>
      <c r="I587" s="386"/>
      <c r="J587" s="863"/>
      <c r="K587" s="865"/>
      <c r="L587" s="865"/>
      <c r="M587" s="865"/>
      <c r="N587" s="865"/>
      <c r="O587" s="455"/>
      <c r="P587" s="456"/>
      <c r="Q587" s="537"/>
      <c r="R587" s="451"/>
    </row>
    <row r="588" spans="1:19" ht="12.75" customHeight="1" x14ac:dyDescent="0.25">
      <c r="A588" s="747"/>
      <c r="C588" s="785"/>
      <c r="D588" s="844"/>
      <c r="E588" s="455"/>
      <c r="F588" s="454"/>
      <c r="G588" s="459"/>
      <c r="H588" s="863"/>
      <c r="I588" s="386"/>
      <c r="J588" s="863"/>
      <c r="K588" s="865"/>
      <c r="L588" s="865"/>
      <c r="M588" s="865"/>
      <c r="N588" s="865"/>
      <c r="O588" s="455"/>
      <c r="P588" s="456"/>
      <c r="Q588" s="537"/>
      <c r="R588" s="451"/>
    </row>
    <row r="589" spans="1:19" ht="12.75" customHeight="1" x14ac:dyDescent="0.25">
      <c r="A589" s="747"/>
      <c r="C589" s="785"/>
      <c r="D589" s="844"/>
      <c r="E589" s="455"/>
      <c r="F589" s="454"/>
      <c r="G589" s="459"/>
      <c r="H589" s="863"/>
      <c r="I589" s="386"/>
      <c r="J589" s="863"/>
      <c r="K589" s="865"/>
      <c r="L589" s="865"/>
      <c r="M589" s="865"/>
      <c r="N589" s="865"/>
      <c r="O589" s="455"/>
      <c r="P589" s="456"/>
      <c r="Q589" s="537"/>
      <c r="R589" s="451"/>
    </row>
    <row r="590" spans="1:19" ht="12.75" customHeight="1" x14ac:dyDescent="0.25">
      <c r="C590" s="785"/>
      <c r="D590" s="844"/>
      <c r="E590" s="455"/>
      <c r="F590" s="454"/>
      <c r="G590" s="263"/>
      <c r="H590" s="863"/>
      <c r="I590" s="386"/>
      <c r="J590" s="863"/>
      <c r="O590" s="60"/>
      <c r="P590" s="299"/>
    </row>
    <row r="591" spans="1:19" ht="12.75" customHeight="1" x14ac:dyDescent="0.25">
      <c r="B591" s="325"/>
      <c r="C591" s="778"/>
      <c r="D591" s="844"/>
      <c r="E591" s="455"/>
      <c r="F591" s="454"/>
      <c r="H591" s="294"/>
      <c r="I591" s="386"/>
      <c r="J591" s="294"/>
      <c r="O591" s="257" t="s">
        <v>2127</v>
      </c>
      <c r="P591" s="257">
        <f>SUM(P371:P590)</f>
        <v>920296.69999999984</v>
      </c>
      <c r="Q591" s="299"/>
      <c r="S591" s="874"/>
    </row>
    <row r="592" spans="1:19" ht="12.75" customHeight="1" x14ac:dyDescent="0.25">
      <c r="B592" s="325"/>
      <c r="C592" s="778"/>
      <c r="D592" s="255"/>
      <c r="E592" s="60"/>
      <c r="F592" s="2"/>
      <c r="H592" s="294"/>
      <c r="I592" s="386"/>
      <c r="J592" s="294"/>
      <c r="O592" s="257"/>
      <c r="P592" s="257"/>
    </row>
    <row r="593" spans="1:16" ht="13.8" thickBot="1" x14ac:dyDescent="0.3">
      <c r="O593" s="257" t="s">
        <v>2139</v>
      </c>
      <c r="P593" s="257">
        <f>P591-P367</f>
        <v>-119718.13000000035</v>
      </c>
    </row>
    <row r="594" spans="1:16" ht="12.75" customHeight="1" thickBot="1" x14ac:dyDescent="0.3">
      <c r="A594" s="351" t="s">
        <v>2143</v>
      </c>
      <c r="B594" s="578"/>
      <c r="C594" s="784"/>
      <c r="D594" s="705"/>
      <c r="E594" s="825"/>
      <c r="F594" s="808"/>
      <c r="H594" s="847"/>
    </row>
    <row r="595" spans="1:16" ht="12.75" customHeight="1" x14ac:dyDescent="0.25">
      <c r="A595" s="358" t="s">
        <v>184</v>
      </c>
      <c r="B595" s="358" t="s">
        <v>193</v>
      </c>
      <c r="C595" s="819" t="s">
        <v>2079</v>
      </c>
      <c r="D595" s="820" t="s">
        <v>668</v>
      </c>
      <c r="E595" s="820" t="s">
        <v>667</v>
      </c>
    </row>
    <row r="596" spans="1:16" ht="39.6" x14ac:dyDescent="0.25">
      <c r="A596" s="729" t="s">
        <v>4437</v>
      </c>
      <c r="B596" s="760" t="s">
        <v>4438</v>
      </c>
      <c r="C596" s="711" t="s">
        <v>4439</v>
      </c>
      <c r="D596" s="299">
        <v>0</v>
      </c>
      <c r="E596" s="299">
        <v>45000</v>
      </c>
    </row>
    <row r="597" spans="1:16" ht="39.6" x14ac:dyDescent="0.25">
      <c r="A597" s="295" t="s">
        <v>4467</v>
      </c>
      <c r="B597" s="295" t="s">
        <v>4438</v>
      </c>
      <c r="C597" s="48" t="s">
        <v>4469</v>
      </c>
      <c r="D597" s="299">
        <v>0</v>
      </c>
      <c r="E597" s="299">
        <v>2100</v>
      </c>
    </row>
    <row r="598" spans="1:16" ht="39.6" x14ac:dyDescent="0.25">
      <c r="A598" s="295" t="s">
        <v>4467</v>
      </c>
      <c r="B598" s="295" t="s">
        <v>4438</v>
      </c>
      <c r="C598" s="48" t="s">
        <v>4468</v>
      </c>
      <c r="D598" s="299">
        <v>0</v>
      </c>
      <c r="E598" s="299">
        <v>2900</v>
      </c>
    </row>
    <row r="599" spans="1:16" ht="39.6" x14ac:dyDescent="0.25">
      <c r="A599" s="249" t="s">
        <v>4478</v>
      </c>
      <c r="B599" s="295" t="s">
        <v>4438</v>
      </c>
      <c r="C599" s="782" t="s">
        <v>4479</v>
      </c>
      <c r="D599" s="299">
        <v>0</v>
      </c>
      <c r="E599" s="299">
        <v>10000</v>
      </c>
    </row>
    <row r="600" spans="1:16" ht="39.6" x14ac:dyDescent="0.25">
      <c r="A600" s="295" t="s">
        <v>4476</v>
      </c>
      <c r="B600" s="711" t="s">
        <v>4438</v>
      </c>
      <c r="C600" s="845" t="s">
        <v>4480</v>
      </c>
      <c r="D600" s="299">
        <v>10000</v>
      </c>
      <c r="E600" s="299">
        <v>0</v>
      </c>
    </row>
    <row r="601" spans="1:16" ht="39.6" x14ac:dyDescent="0.25">
      <c r="A601" s="295" t="s">
        <v>4483</v>
      </c>
      <c r="B601" s="711" t="s">
        <v>4438</v>
      </c>
      <c r="C601" s="528" t="s">
        <v>4484</v>
      </c>
      <c r="D601" s="299">
        <v>0</v>
      </c>
      <c r="E601" s="299">
        <v>5000</v>
      </c>
    </row>
    <row r="602" spans="1:16" ht="39.6" x14ac:dyDescent="0.25">
      <c r="A602" s="295" t="s">
        <v>4492</v>
      </c>
      <c r="B602" s="711" t="s">
        <v>4438</v>
      </c>
      <c r="C602" s="528" t="s">
        <v>4496</v>
      </c>
      <c r="D602" s="299">
        <v>0</v>
      </c>
      <c r="E602" s="299">
        <v>1000</v>
      </c>
      <c r="G602" s="224"/>
    </row>
    <row r="603" spans="1:16" ht="39.6" x14ac:dyDescent="0.25">
      <c r="A603" s="295" t="s">
        <v>4492</v>
      </c>
      <c r="B603" s="711" t="s">
        <v>4438</v>
      </c>
      <c r="C603" s="528" t="s">
        <v>4497</v>
      </c>
      <c r="D603" s="299">
        <v>0</v>
      </c>
      <c r="E603" s="299">
        <v>1000</v>
      </c>
      <c r="G603" s="224"/>
    </row>
    <row r="604" spans="1:16" ht="39.6" x14ac:dyDescent="0.25">
      <c r="A604" s="295" t="s">
        <v>4492</v>
      </c>
      <c r="B604" s="711" t="s">
        <v>4438</v>
      </c>
      <c r="C604" s="528" t="s">
        <v>4498</v>
      </c>
      <c r="D604" s="299">
        <v>0</v>
      </c>
      <c r="E604" s="299">
        <v>10000</v>
      </c>
      <c r="G604" s="224"/>
    </row>
    <row r="605" spans="1:16" ht="39.6" x14ac:dyDescent="0.25">
      <c r="A605" s="295" t="s">
        <v>4492</v>
      </c>
      <c r="B605" s="711" t="s">
        <v>4438</v>
      </c>
      <c r="C605" s="528" t="s">
        <v>4499</v>
      </c>
      <c r="D605" s="299">
        <v>0</v>
      </c>
      <c r="E605" s="299">
        <v>3000</v>
      </c>
      <c r="G605" s="224"/>
    </row>
    <row r="606" spans="1:16" ht="39.6" x14ac:dyDescent="0.25">
      <c r="A606" s="295" t="s">
        <v>4492</v>
      </c>
      <c r="B606" s="711" t="s">
        <v>4438</v>
      </c>
      <c r="C606" s="528" t="s">
        <v>4500</v>
      </c>
      <c r="D606" s="299">
        <v>0</v>
      </c>
      <c r="E606" s="299">
        <v>22000</v>
      </c>
      <c r="G606" s="247"/>
    </row>
    <row r="607" spans="1:16" ht="39.6" x14ac:dyDescent="0.25">
      <c r="A607" s="295" t="s">
        <v>4492</v>
      </c>
      <c r="B607" s="711" t="s">
        <v>4438</v>
      </c>
      <c r="C607" s="528" t="s">
        <v>4501</v>
      </c>
      <c r="D607" s="299">
        <v>0</v>
      </c>
      <c r="E607" s="299">
        <v>10000</v>
      </c>
    </row>
    <row r="608" spans="1:16" ht="39.6" x14ac:dyDescent="0.25">
      <c r="A608" s="295" t="s">
        <v>4505</v>
      </c>
      <c r="B608" s="711" t="s">
        <v>4438</v>
      </c>
      <c r="C608" s="528" t="s">
        <v>4512</v>
      </c>
      <c r="D608" s="299">
        <v>22000</v>
      </c>
      <c r="E608" s="299">
        <v>0</v>
      </c>
      <c r="F608" s="249"/>
      <c r="G608" s="224"/>
    </row>
    <row r="609" spans="1:8" ht="39.6" x14ac:dyDescent="0.25">
      <c r="A609" s="295" t="s">
        <v>4509</v>
      </c>
      <c r="B609" s="711" t="s">
        <v>4438</v>
      </c>
      <c r="C609" s="845" t="s">
        <v>4510</v>
      </c>
      <c r="D609" s="299">
        <v>0</v>
      </c>
      <c r="E609" s="299">
        <v>10000</v>
      </c>
      <c r="F609" s="249"/>
      <c r="G609" s="224"/>
    </row>
    <row r="610" spans="1:8" ht="39.6" x14ac:dyDescent="0.25">
      <c r="A610" s="295" t="s">
        <v>4509</v>
      </c>
      <c r="B610" s="711" t="s">
        <v>4438</v>
      </c>
      <c r="C610" s="528" t="s">
        <v>4511</v>
      </c>
      <c r="D610" s="299">
        <v>0</v>
      </c>
      <c r="E610" s="299">
        <v>2000</v>
      </c>
      <c r="F610" s="249"/>
      <c r="G610" s="224"/>
    </row>
    <row r="611" spans="1:8" ht="39.6" x14ac:dyDescent="0.25">
      <c r="A611" s="295" t="s">
        <v>4506</v>
      </c>
      <c r="B611" s="711" t="s">
        <v>4438</v>
      </c>
      <c r="C611" s="528" t="s">
        <v>4507</v>
      </c>
      <c r="D611" s="299">
        <v>0</v>
      </c>
      <c r="E611" s="299">
        <v>3000</v>
      </c>
      <c r="F611" s="249"/>
      <c r="G611" s="224"/>
    </row>
    <row r="612" spans="1:8" ht="39.6" x14ac:dyDescent="0.25">
      <c r="A612" s="295" t="s">
        <v>4506</v>
      </c>
      <c r="B612" s="711" t="s">
        <v>4438</v>
      </c>
      <c r="C612" s="528" t="s">
        <v>4508</v>
      </c>
      <c r="D612" s="299">
        <v>0</v>
      </c>
      <c r="E612" s="299">
        <v>1000</v>
      </c>
      <c r="F612" s="249"/>
      <c r="G612" s="224"/>
    </row>
    <row r="613" spans="1:8" ht="39.6" x14ac:dyDescent="0.25">
      <c r="A613" s="729" t="s">
        <v>4521</v>
      </c>
      <c r="B613" s="295" t="s">
        <v>4438</v>
      </c>
      <c r="C613" s="711" t="s">
        <v>4523</v>
      </c>
      <c r="D613" s="299">
        <v>0</v>
      </c>
      <c r="E613" s="299">
        <v>1000</v>
      </c>
    </row>
    <row r="614" spans="1:8" ht="39.6" x14ac:dyDescent="0.25">
      <c r="A614" s="295" t="s">
        <v>4524</v>
      </c>
      <c r="B614" s="711" t="s">
        <v>4438</v>
      </c>
      <c r="C614" s="711" t="s">
        <v>4525</v>
      </c>
      <c r="D614" s="299">
        <v>0</v>
      </c>
      <c r="E614" s="299">
        <v>2000</v>
      </c>
      <c r="F614" s="249"/>
    </row>
    <row r="615" spans="1:8" ht="39.6" x14ac:dyDescent="0.25">
      <c r="A615" s="295" t="s">
        <v>4526</v>
      </c>
      <c r="B615" s="711" t="s">
        <v>4438</v>
      </c>
      <c r="C615" s="711" t="s">
        <v>4529</v>
      </c>
      <c r="D615" s="299">
        <v>0</v>
      </c>
      <c r="E615" s="299">
        <v>10000</v>
      </c>
      <c r="F615" s="224"/>
    </row>
    <row r="616" spans="1:8" ht="39.6" x14ac:dyDescent="0.25">
      <c r="A616" s="295" t="s">
        <v>4530</v>
      </c>
      <c r="B616" s="711" t="s">
        <v>4438</v>
      </c>
      <c r="C616" s="711" t="s">
        <v>4533</v>
      </c>
      <c r="D616" s="299">
        <v>0</v>
      </c>
      <c r="E616" s="299">
        <v>1000</v>
      </c>
      <c r="F616" s="249"/>
      <c r="G616" s="326"/>
    </row>
    <row r="617" spans="1:8" ht="39.6" x14ac:dyDescent="0.25">
      <c r="A617" s="295" t="s">
        <v>4545</v>
      </c>
      <c r="B617" s="711" t="s">
        <v>4438</v>
      </c>
      <c r="C617" s="711" t="s">
        <v>4548</v>
      </c>
      <c r="D617" s="299">
        <v>0</v>
      </c>
      <c r="E617" s="299">
        <v>7000</v>
      </c>
      <c r="F617" s="249"/>
      <c r="G617" s="224"/>
      <c r="H617" s="224"/>
    </row>
    <row r="618" spans="1:8" ht="39.6" x14ac:dyDescent="0.25">
      <c r="A618" s="295" t="s">
        <v>4545</v>
      </c>
      <c r="B618" s="711" t="s">
        <v>4438</v>
      </c>
      <c r="C618" s="711" t="s">
        <v>4549</v>
      </c>
      <c r="D618" s="299">
        <v>0</v>
      </c>
      <c r="E618" s="299">
        <v>700</v>
      </c>
      <c r="F618" s="249"/>
      <c r="G618" s="224"/>
      <c r="H618" s="224"/>
    </row>
    <row r="619" spans="1:8" ht="39.6" x14ac:dyDescent="0.25">
      <c r="A619" s="295" t="s">
        <v>4545</v>
      </c>
      <c r="B619" s="711" t="s">
        <v>4438</v>
      </c>
      <c r="C619" s="711" t="s">
        <v>4550</v>
      </c>
      <c r="D619" s="299">
        <v>0</v>
      </c>
      <c r="E619" s="299">
        <v>100</v>
      </c>
      <c r="F619" s="249"/>
      <c r="G619" s="224"/>
      <c r="H619" s="224"/>
    </row>
    <row r="620" spans="1:8" ht="39.6" x14ac:dyDescent="0.25">
      <c r="A620" s="295" t="s">
        <v>4545</v>
      </c>
      <c r="B620" s="711" t="s">
        <v>4438</v>
      </c>
      <c r="C620" s="711" t="s">
        <v>4551</v>
      </c>
      <c r="D620" s="299">
        <v>0</v>
      </c>
      <c r="E620" s="299">
        <v>300</v>
      </c>
      <c r="F620" s="249"/>
      <c r="G620" s="224"/>
      <c r="H620" s="224"/>
    </row>
    <row r="621" spans="1:8" ht="39.6" x14ac:dyDescent="0.25">
      <c r="A621" s="295" t="s">
        <v>4544</v>
      </c>
      <c r="B621" s="711" t="s">
        <v>4438</v>
      </c>
      <c r="C621" s="711" t="s">
        <v>4552</v>
      </c>
      <c r="D621" s="299">
        <v>0</v>
      </c>
      <c r="E621" s="299">
        <v>2000</v>
      </c>
      <c r="F621" s="249"/>
      <c r="G621" s="224"/>
      <c r="H621" s="224"/>
    </row>
    <row r="622" spans="1:8" ht="39.6" x14ac:dyDescent="0.25">
      <c r="A622" s="295" t="s">
        <v>4553</v>
      </c>
      <c r="B622" s="711" t="s">
        <v>4438</v>
      </c>
      <c r="C622" s="711" t="s">
        <v>4554</v>
      </c>
      <c r="D622" s="299">
        <v>0</v>
      </c>
      <c r="E622" s="299">
        <v>2500</v>
      </c>
      <c r="F622" s="249"/>
      <c r="G622" s="224"/>
    </row>
    <row r="623" spans="1:8" ht="39.6" x14ac:dyDescent="0.25">
      <c r="A623" s="295" t="s">
        <v>4553</v>
      </c>
      <c r="B623" s="711" t="s">
        <v>4438</v>
      </c>
      <c r="C623" s="711" t="s">
        <v>4555</v>
      </c>
      <c r="D623" s="299">
        <v>0</v>
      </c>
      <c r="E623" s="299">
        <v>400</v>
      </c>
      <c r="F623" s="249"/>
    </row>
    <row r="624" spans="1:8" ht="39.6" x14ac:dyDescent="0.25">
      <c r="A624" s="295" t="s">
        <v>4557</v>
      </c>
      <c r="B624" s="711" t="s">
        <v>4438</v>
      </c>
      <c r="C624" s="711" t="s">
        <v>4512</v>
      </c>
      <c r="D624" s="299">
        <v>3000</v>
      </c>
      <c r="E624" s="299">
        <v>0</v>
      </c>
    </row>
    <row r="625" spans="1:17" ht="39.6" x14ac:dyDescent="0.25">
      <c r="A625" s="295" t="s">
        <v>4560</v>
      </c>
      <c r="B625" s="711" t="s">
        <v>4438</v>
      </c>
      <c r="C625" s="528" t="s">
        <v>4561</v>
      </c>
      <c r="D625" s="299">
        <v>0</v>
      </c>
      <c r="E625" s="299">
        <v>20000</v>
      </c>
      <c r="F625" s="249"/>
    </row>
    <row r="626" spans="1:17" ht="39.6" x14ac:dyDescent="0.25">
      <c r="A626" s="295" t="s">
        <v>4566</v>
      </c>
      <c r="B626" s="711" t="s">
        <v>4438</v>
      </c>
      <c r="C626" s="528" t="s">
        <v>4512</v>
      </c>
      <c r="D626" s="299">
        <v>10000</v>
      </c>
      <c r="E626" s="299">
        <v>0</v>
      </c>
    </row>
    <row r="627" spans="1:17" ht="39.6" x14ac:dyDescent="0.25">
      <c r="A627" s="295" t="s">
        <v>4567</v>
      </c>
      <c r="B627" s="711" t="s">
        <v>4438</v>
      </c>
      <c r="C627" s="528" t="s">
        <v>4512</v>
      </c>
      <c r="D627" s="299">
        <v>25000</v>
      </c>
      <c r="E627" s="299">
        <v>0</v>
      </c>
    </row>
    <row r="628" spans="1:17" ht="39.6" x14ac:dyDescent="0.25">
      <c r="A628" s="295" t="s">
        <v>4571</v>
      </c>
      <c r="B628" s="711" t="s">
        <v>4438</v>
      </c>
      <c r="C628" s="528" t="s">
        <v>4572</v>
      </c>
      <c r="D628" s="299">
        <v>0</v>
      </c>
      <c r="E628" s="299">
        <v>15000</v>
      </c>
      <c r="F628" s="249"/>
      <c r="G628" s="326"/>
    </row>
    <row r="629" spans="1:17" ht="39.6" x14ac:dyDescent="0.25">
      <c r="A629" s="295" t="s">
        <v>4571</v>
      </c>
      <c r="B629" s="711" t="s">
        <v>4438</v>
      </c>
      <c r="C629" s="528" t="s">
        <v>4573</v>
      </c>
      <c r="D629" s="299">
        <v>0</v>
      </c>
      <c r="E629" s="299">
        <v>1000</v>
      </c>
      <c r="F629" s="249"/>
      <c r="G629" s="326"/>
    </row>
    <row r="630" spans="1:17" ht="12.75" customHeight="1" x14ac:dyDescent="0.25">
      <c r="A630" s="295"/>
      <c r="B630" s="711"/>
      <c r="C630" s="299"/>
    </row>
    <row r="631" spans="1:17" ht="12.75" customHeight="1" x14ac:dyDescent="0.25">
      <c r="A631" s="295"/>
      <c r="B631" s="711"/>
      <c r="C631" s="299"/>
    </row>
    <row r="635" spans="1:17" ht="12.75" customHeight="1" x14ac:dyDescent="0.25">
      <c r="A635" s="387"/>
      <c r="C635" s="48"/>
      <c r="G635" s="224"/>
      <c r="Q635" s="405"/>
    </row>
    <row r="636" spans="1:17" ht="12.75" customHeight="1" x14ac:dyDescent="0.25">
      <c r="A636" s="387"/>
      <c r="C636" s="787"/>
      <c r="D636" s="362">
        <f>SUM(D596:D635)</f>
        <v>70000</v>
      </c>
      <c r="E636" s="362">
        <f>SUM(E596:E635)</f>
        <v>191000</v>
      </c>
      <c r="F636" s="267"/>
      <c r="G636" s="224"/>
      <c r="J636" s="292"/>
      <c r="K636" s="292"/>
      <c r="Q636" s="405"/>
    </row>
    <row r="637" spans="1:17" ht="13.8" thickBot="1" x14ac:dyDescent="0.3">
      <c r="A637" s="387"/>
      <c r="C637" s="787"/>
      <c r="D637" s="255"/>
      <c r="E637" s="255"/>
      <c r="F637" s="679"/>
      <c r="G637" s="224"/>
      <c r="Q637" s="405"/>
    </row>
    <row r="638" spans="1:17" ht="13.8" thickBot="1" x14ac:dyDescent="0.3">
      <c r="B638" s="325"/>
      <c r="C638" s="787"/>
      <c r="E638" s="255" t="s">
        <v>2141</v>
      </c>
      <c r="F638" s="276">
        <f>E636-D636</f>
        <v>121000</v>
      </c>
      <c r="G638" s="224"/>
      <c r="Q638" s="405"/>
    </row>
    <row r="639" spans="1:17" ht="13.2" x14ac:dyDescent="0.25">
      <c r="B639" s="325"/>
      <c r="C639" s="787"/>
      <c r="D639" s="255"/>
      <c r="E639" s="255"/>
      <c r="F639" s="255"/>
      <c r="G639" s="224"/>
      <c r="H639" s="292"/>
      <c r="I639" s="861"/>
      <c r="Q639" s="405"/>
    </row>
    <row r="640" spans="1:17" ht="13.2" x14ac:dyDescent="0.25">
      <c r="B640" s="325"/>
      <c r="C640" s="787"/>
      <c r="D640" s="255"/>
      <c r="E640" s="255"/>
      <c r="F640" s="255"/>
      <c r="G640" s="224"/>
      <c r="H640" s="292"/>
      <c r="I640" s="861"/>
      <c r="Q640" s="405"/>
    </row>
    <row r="641" spans="1:17" ht="12.75" customHeight="1" thickBot="1" x14ac:dyDescent="0.3">
      <c r="B641" s="325"/>
      <c r="C641" s="788"/>
      <c r="D641" s="255"/>
      <c r="F641" s="249"/>
      <c r="G641" s="224"/>
      <c r="I641" s="860"/>
      <c r="Q641" s="405"/>
    </row>
    <row r="642" spans="1:17" ht="12.75" customHeight="1" thickBot="1" x14ac:dyDescent="0.3">
      <c r="A642" s="351" t="s">
        <v>4442</v>
      </c>
      <c r="B642" s="578"/>
      <c r="C642" s="784"/>
      <c r="D642" s="705"/>
      <c r="E642" s="826"/>
      <c r="F642" s="810"/>
      <c r="H642" s="847"/>
    </row>
    <row r="643" spans="1:17" ht="12.75" customHeight="1" x14ac:dyDescent="0.25">
      <c r="A643" s="358" t="s">
        <v>184</v>
      </c>
      <c r="B643" s="358" t="s">
        <v>193</v>
      </c>
      <c r="C643" s="819" t="s">
        <v>2079</v>
      </c>
      <c r="D643" s="820" t="s">
        <v>668</v>
      </c>
      <c r="E643" s="820" t="s">
        <v>667</v>
      </c>
      <c r="F643" s="809"/>
    </row>
    <row r="644" spans="1:17" ht="13.2" x14ac:dyDescent="0.25">
      <c r="A644" s="760" t="s">
        <v>4452</v>
      </c>
      <c r="B644" s="760" t="s">
        <v>4438</v>
      </c>
      <c r="C644" s="711" t="s">
        <v>4454</v>
      </c>
      <c r="D644" s="299">
        <v>14</v>
      </c>
      <c r="F644" s="760"/>
      <c r="G644" s="224"/>
      <c r="H644" s="860"/>
      <c r="I644" s="860"/>
      <c r="Q644" s="405"/>
    </row>
    <row r="645" spans="1:17" ht="12.75" customHeight="1" x14ac:dyDescent="0.25">
      <c r="A645" s="760" t="s">
        <v>4564</v>
      </c>
      <c r="B645" s="760" t="s">
        <v>204</v>
      </c>
      <c r="C645" s="711" t="s">
        <v>4565</v>
      </c>
      <c r="D645" s="299">
        <v>14.25</v>
      </c>
      <c r="F645" s="760"/>
      <c r="H645" s="860"/>
      <c r="I645" s="860"/>
    </row>
    <row r="646" spans="1:17" ht="13.2" x14ac:dyDescent="0.25">
      <c r="A646" s="760" t="s">
        <v>4568</v>
      </c>
      <c r="B646" s="760" t="s">
        <v>204</v>
      </c>
      <c r="C646" s="711" t="s">
        <v>4569</v>
      </c>
      <c r="D646" s="299">
        <v>14.31</v>
      </c>
      <c r="F646" s="249"/>
      <c r="G646" s="326"/>
    </row>
    <row r="647" spans="1:17" ht="12.75" customHeight="1" x14ac:dyDescent="0.25">
      <c r="A647" s="760"/>
      <c r="B647" s="760"/>
      <c r="F647" s="760"/>
    </row>
    <row r="648" spans="1:17" ht="12.75" customHeight="1" x14ac:dyDescent="0.25">
      <c r="A648" s="760"/>
      <c r="B648" s="760"/>
      <c r="F648" s="760"/>
      <c r="I648" s="294"/>
      <c r="P648" s="254"/>
    </row>
    <row r="649" spans="1:17" ht="12.75" customHeight="1" x14ac:dyDescent="0.25">
      <c r="A649" s="760"/>
      <c r="B649" s="760"/>
      <c r="F649" s="760"/>
      <c r="I649" s="294"/>
      <c r="P649" s="254"/>
    </row>
    <row r="650" spans="1:17" s="1" customFormat="1" ht="13.2" x14ac:dyDescent="0.25">
      <c r="A650" s="760"/>
      <c r="B650" s="760"/>
      <c r="C650" s="711"/>
      <c r="D650" s="299"/>
      <c r="E650" s="299"/>
      <c r="F650" s="760"/>
      <c r="G650" s="2"/>
      <c r="H650" s="294"/>
      <c r="I650" s="294"/>
      <c r="J650" s="294"/>
      <c r="K650" s="294"/>
      <c r="L650" s="294"/>
      <c r="M650" s="294"/>
      <c r="N650" s="294"/>
      <c r="O650" s="60"/>
      <c r="Q650" s="320"/>
    </row>
    <row r="651" spans="1:17" ht="30" customHeight="1" x14ac:dyDescent="0.25">
      <c r="A651" s="760"/>
      <c r="B651" s="760"/>
      <c r="F651" s="760"/>
      <c r="G651" s="224"/>
      <c r="H651" s="866"/>
      <c r="Q651" s="405"/>
    </row>
    <row r="652" spans="1:17" ht="13.2" x14ac:dyDescent="0.25">
      <c r="A652" s="760"/>
      <c r="B652" s="760"/>
      <c r="F652" s="760"/>
      <c r="G652" s="224"/>
      <c r="Q652" s="405"/>
    </row>
    <row r="653" spans="1:17" ht="13.2" x14ac:dyDescent="0.25">
      <c r="A653" s="760"/>
      <c r="B653" s="760"/>
      <c r="F653" s="760"/>
    </row>
    <row r="654" spans="1:17" ht="13.2" x14ac:dyDescent="0.25">
      <c r="A654" s="760"/>
      <c r="B654" s="760"/>
      <c r="F654" s="760"/>
      <c r="G654" s="224"/>
      <c r="Q654" s="405"/>
    </row>
    <row r="655" spans="1:17" ht="12.75" customHeight="1" x14ac:dyDescent="0.25">
      <c r="A655" s="760"/>
      <c r="B655" s="760"/>
      <c r="F655" s="760"/>
    </row>
    <row r="656" spans="1:17" ht="13.2" x14ac:dyDescent="0.25">
      <c r="A656" s="760"/>
      <c r="B656" s="760"/>
      <c r="F656" s="760"/>
      <c r="I656" s="294"/>
      <c r="P656" s="254"/>
    </row>
    <row r="657" spans="1:17" ht="13.2" x14ac:dyDescent="0.25">
      <c r="A657" s="760"/>
      <c r="B657" s="760"/>
      <c r="F657" s="760"/>
      <c r="I657" s="294"/>
      <c r="P657" s="254"/>
    </row>
    <row r="658" spans="1:17" ht="13.2" x14ac:dyDescent="0.25">
      <c r="A658" s="760"/>
      <c r="B658" s="760"/>
      <c r="F658" s="760"/>
    </row>
    <row r="659" spans="1:17" ht="12.75" customHeight="1" x14ac:dyDescent="0.25">
      <c r="A659" s="760"/>
      <c r="B659" s="760"/>
      <c r="F659" s="760"/>
      <c r="G659" s="224"/>
      <c r="Q659" s="405"/>
    </row>
    <row r="660" spans="1:17" ht="13.2" x14ac:dyDescent="0.25">
      <c r="A660" s="760"/>
      <c r="B660" s="760"/>
      <c r="F660" s="760"/>
      <c r="I660" s="292"/>
    </row>
    <row r="661" spans="1:17" ht="13.2" x14ac:dyDescent="0.25">
      <c r="A661" s="760"/>
      <c r="B661" s="760"/>
      <c r="F661" s="760"/>
      <c r="I661" s="292"/>
    </row>
    <row r="662" spans="1:17" ht="12.75" customHeight="1" x14ac:dyDescent="0.25">
      <c r="A662" s="760"/>
      <c r="B662" s="760"/>
      <c r="F662" s="760"/>
      <c r="I662" s="292"/>
    </row>
    <row r="663" spans="1:17" ht="12.75" customHeight="1" x14ac:dyDescent="0.25">
      <c r="A663" s="760"/>
      <c r="B663" s="760"/>
      <c r="F663" s="760"/>
      <c r="I663" s="292"/>
    </row>
    <row r="664" spans="1:17" ht="12.75" customHeight="1" x14ac:dyDescent="0.25">
      <c r="A664" s="760"/>
      <c r="B664" s="760"/>
      <c r="F664" s="760"/>
      <c r="I664" s="292"/>
    </row>
    <row r="665" spans="1:17" ht="12.75" customHeight="1" x14ac:dyDescent="0.25">
      <c r="A665" s="760"/>
      <c r="B665" s="760"/>
      <c r="F665" s="760"/>
      <c r="I665" s="292"/>
    </row>
    <row r="666" spans="1:17" ht="12.75" customHeight="1" thickBot="1" x14ac:dyDescent="0.3">
      <c r="A666" s="760"/>
      <c r="B666" s="760"/>
      <c r="F666" s="760"/>
    </row>
    <row r="667" spans="1:17" s="1" customFormat="1" ht="13.8" thickBot="1" x14ac:dyDescent="0.3">
      <c r="A667" s="293"/>
      <c r="B667" s="16"/>
      <c r="C667" s="2" t="s">
        <v>536</v>
      </c>
      <c r="D667" s="682">
        <f>SUM(D644:D666)</f>
        <v>42.56</v>
      </c>
      <c r="E667" s="59"/>
      <c r="G667" s="2"/>
      <c r="H667" s="294"/>
      <c r="I667" s="294"/>
      <c r="J667" s="294"/>
      <c r="K667" s="294"/>
      <c r="L667" s="294"/>
      <c r="M667" s="294"/>
      <c r="N667" s="294"/>
      <c r="O667" s="60"/>
      <c r="Q667" s="320"/>
    </row>
    <row r="668" spans="1:17" s="1" customFormat="1" ht="13.2" x14ac:dyDescent="0.25">
      <c r="A668" s="293"/>
      <c r="B668" s="16"/>
      <c r="C668" s="31"/>
      <c r="D668" s="60"/>
      <c r="E668" s="60"/>
      <c r="F668" s="60"/>
      <c r="G668" s="2"/>
      <c r="H668" s="294"/>
      <c r="I668" s="294"/>
      <c r="J668" s="294"/>
      <c r="K668" s="294"/>
      <c r="L668" s="294"/>
      <c r="M668" s="294"/>
      <c r="N668" s="294"/>
      <c r="O668" s="60"/>
      <c r="Q668" s="320"/>
    </row>
    <row r="670" spans="1:17" ht="12.75" customHeight="1" thickBot="1" x14ac:dyDescent="0.3"/>
    <row r="671" spans="1:17" ht="12.75" customHeight="1" thickBot="1" x14ac:dyDescent="0.3">
      <c r="A671" s="351" t="s">
        <v>344</v>
      </c>
      <c r="B671" s="413"/>
      <c r="C671" s="789"/>
      <c r="D671" s="680"/>
      <c r="E671" s="812"/>
      <c r="F671" s="809"/>
      <c r="G671" s="224"/>
      <c r="H671" s="813"/>
      <c r="I671" s="813"/>
      <c r="Q671" s="405"/>
    </row>
    <row r="672" spans="1:17" ht="12.75" customHeight="1" x14ac:dyDescent="0.25">
      <c r="A672" s="358" t="s">
        <v>184</v>
      </c>
      <c r="B672" s="358" t="s">
        <v>193</v>
      </c>
      <c r="C672" s="819" t="s">
        <v>2079</v>
      </c>
      <c r="D672" s="820" t="s">
        <v>668</v>
      </c>
      <c r="E672" s="820" t="s">
        <v>667</v>
      </c>
      <c r="F672" s="811"/>
      <c r="G672" s="224"/>
      <c r="H672" s="867"/>
      <c r="I672" s="813"/>
      <c r="Q672" s="405"/>
    </row>
    <row r="673" spans="1:17" ht="13.2" x14ac:dyDescent="0.25">
      <c r="A673" s="387"/>
      <c r="C673" s="48"/>
      <c r="E673" s="809"/>
      <c r="F673" s="811"/>
      <c r="G673" s="224"/>
      <c r="H673" s="813"/>
      <c r="I673" s="813"/>
      <c r="Q673" s="405"/>
    </row>
    <row r="674" spans="1:17" ht="13.2" x14ac:dyDescent="0.25">
      <c r="A674" s="387"/>
      <c r="C674" s="48"/>
      <c r="E674" s="809"/>
      <c r="F674" s="811"/>
      <c r="G674" s="224"/>
      <c r="H674" s="813"/>
      <c r="I674" s="857"/>
      <c r="Q674" s="405"/>
    </row>
    <row r="675" spans="1:17" ht="13.2" x14ac:dyDescent="0.25">
      <c r="A675" s="387"/>
      <c r="C675" s="48"/>
      <c r="E675" s="809"/>
      <c r="F675" s="811"/>
      <c r="G675" s="224"/>
      <c r="H675" s="813"/>
      <c r="I675" s="813"/>
      <c r="J675" s="292"/>
      <c r="Q675" s="405"/>
    </row>
    <row r="676" spans="1:17" ht="13.2" x14ac:dyDescent="0.25">
      <c r="A676" s="387"/>
      <c r="C676" s="53"/>
      <c r="F676" s="224"/>
      <c r="G676" s="224"/>
      <c r="Q676" s="405"/>
    </row>
    <row r="677" spans="1:17" ht="13.2" x14ac:dyDescent="0.25">
      <c r="A677" s="387"/>
      <c r="C677" s="53"/>
      <c r="F677" s="224"/>
      <c r="G677" s="224"/>
      <c r="Q677" s="405"/>
    </row>
    <row r="678" spans="1:17" ht="13.2" x14ac:dyDescent="0.25">
      <c r="A678" s="387"/>
      <c r="C678" s="53"/>
      <c r="F678" s="224"/>
      <c r="G678" s="224"/>
      <c r="Q678" s="405"/>
    </row>
    <row r="679" spans="1:17" ht="13.2" x14ac:dyDescent="0.25">
      <c r="A679" s="387"/>
      <c r="C679" s="53"/>
      <c r="F679" s="224"/>
      <c r="G679" s="224"/>
      <c r="Q679" s="405"/>
    </row>
    <row r="680" spans="1:17" ht="12.75" customHeight="1" x14ac:dyDescent="0.25">
      <c r="A680" s="387"/>
      <c r="C680" s="48"/>
      <c r="F680" s="224"/>
      <c r="G680" s="224"/>
      <c r="Q680" s="405"/>
    </row>
    <row r="681" spans="1:17" ht="12.75" customHeight="1" x14ac:dyDescent="0.25">
      <c r="A681" s="387"/>
      <c r="C681" s="48"/>
      <c r="F681" s="224"/>
      <c r="G681" s="224"/>
      <c r="K681" s="868"/>
      <c r="Q681" s="405"/>
    </row>
    <row r="682" spans="1:17" ht="12.75" customHeight="1" x14ac:dyDescent="0.25">
      <c r="A682" s="387"/>
      <c r="C682" s="48"/>
      <c r="F682" s="224"/>
      <c r="G682" s="224"/>
      <c r="K682" s="868"/>
      <c r="Q682" s="405"/>
    </row>
    <row r="683" spans="1:17" ht="12.75" customHeight="1" x14ac:dyDescent="0.25">
      <c r="A683" s="387"/>
      <c r="C683" s="48"/>
      <c r="F683" s="224"/>
      <c r="G683" s="224"/>
      <c r="K683" s="868"/>
      <c r="Q683" s="405"/>
    </row>
    <row r="684" spans="1:17" ht="12.75" customHeight="1" x14ac:dyDescent="0.25">
      <c r="A684" s="387"/>
      <c r="C684" s="23"/>
      <c r="E684" s="60"/>
      <c r="F684" s="224"/>
    </row>
    <row r="685" spans="1:17" ht="12.75" customHeight="1" x14ac:dyDescent="0.25">
      <c r="A685" s="387"/>
      <c r="C685" s="23"/>
      <c r="E685" s="60"/>
      <c r="F685" s="224"/>
    </row>
    <row r="686" spans="1:17" ht="12.75" customHeight="1" x14ac:dyDescent="0.25">
      <c r="A686" s="387"/>
      <c r="F686" s="224"/>
    </row>
    <row r="687" spans="1:17" ht="12.75" customHeight="1" x14ac:dyDescent="0.25">
      <c r="A687" s="387"/>
      <c r="F687" s="224"/>
    </row>
    <row r="688" spans="1:17" ht="12.75" customHeight="1" x14ac:dyDescent="0.25">
      <c r="A688" s="387"/>
      <c r="F688" s="224"/>
    </row>
    <row r="689" spans="1:17" ht="12.75" customHeight="1" x14ac:dyDescent="0.25">
      <c r="A689" s="387"/>
      <c r="F689" s="224"/>
    </row>
    <row r="690" spans="1:17" ht="12.75" customHeight="1" x14ac:dyDescent="0.25">
      <c r="A690" s="387"/>
      <c r="F690" s="224"/>
    </row>
    <row r="691" spans="1:17" ht="12.75" customHeight="1" x14ac:dyDescent="0.25">
      <c r="A691" s="387"/>
      <c r="F691" s="224"/>
    </row>
    <row r="692" spans="1:17" ht="12.75" customHeight="1" x14ac:dyDescent="0.25">
      <c r="A692" s="387"/>
      <c r="F692" s="224"/>
    </row>
    <row r="693" spans="1:17" ht="12.75" customHeight="1" x14ac:dyDescent="0.25">
      <c r="A693" s="387"/>
      <c r="F693" s="224"/>
    </row>
    <row r="694" spans="1:17" ht="12.75" customHeight="1" x14ac:dyDescent="0.25">
      <c r="A694" s="387"/>
      <c r="F694" s="224"/>
    </row>
    <row r="695" spans="1:17" ht="12.75" customHeight="1" x14ac:dyDescent="0.25">
      <c r="A695" s="387"/>
      <c r="F695" s="224"/>
    </row>
    <row r="696" spans="1:17" ht="12.75" customHeight="1" x14ac:dyDescent="0.25">
      <c r="A696" s="387"/>
      <c r="F696" s="224"/>
    </row>
    <row r="697" spans="1:17" ht="12.75" customHeight="1" thickBot="1" x14ac:dyDescent="0.3">
      <c r="A697" s="385"/>
      <c r="B697" s="16"/>
      <c r="C697" s="23"/>
      <c r="D697" s="60"/>
      <c r="E697" s="60"/>
      <c r="F697" s="224"/>
      <c r="G697" s="224"/>
      <c r="Q697" s="405"/>
    </row>
    <row r="698" spans="1:17" ht="12.75" customHeight="1" thickBot="1" x14ac:dyDescent="0.3">
      <c r="C698" s="2" t="s">
        <v>946</v>
      </c>
      <c r="D698" s="423">
        <f>SUM(D673:D697)</f>
        <v>0</v>
      </c>
      <c r="E698" s="247"/>
      <c r="F698" s="224"/>
      <c r="G698" s="224"/>
      <c r="Q698" s="405"/>
    </row>
    <row r="699" spans="1:17" ht="12.75" customHeight="1" x14ac:dyDescent="0.25">
      <c r="E699" s="60"/>
    </row>
    <row r="700" spans="1:17" ht="12.75" customHeight="1" x14ac:dyDescent="0.25">
      <c r="F700" s="249"/>
      <c r="G700" s="224"/>
      <c r="Q700" s="405"/>
    </row>
    <row r="701" spans="1:17" ht="12.75" customHeight="1" x14ac:dyDescent="0.25">
      <c r="F701" s="249"/>
      <c r="G701" s="224"/>
      <c r="Q701" s="405"/>
    </row>
    <row r="702" spans="1:17" ht="12.75" customHeight="1" thickBot="1" x14ac:dyDescent="0.3">
      <c r="F702" s="249"/>
      <c r="G702" s="224"/>
      <c r="Q702" s="405"/>
    </row>
    <row r="703" spans="1:17" ht="12.75" customHeight="1" thickBot="1" x14ac:dyDescent="0.3">
      <c r="A703" s="351" t="s">
        <v>895</v>
      </c>
      <c r="B703" s="413"/>
      <c r="C703" s="789"/>
      <c r="D703" s="680"/>
      <c r="E703" s="812"/>
      <c r="F703" s="809"/>
      <c r="G703" s="224"/>
      <c r="H703" s="813"/>
      <c r="I703" s="813"/>
      <c r="Q703" s="405"/>
    </row>
    <row r="704" spans="1:17" ht="12.75" customHeight="1" x14ac:dyDescent="0.25">
      <c r="A704" s="358" t="s">
        <v>184</v>
      </c>
      <c r="B704" s="358" t="s">
        <v>193</v>
      </c>
      <c r="C704" s="819" t="s">
        <v>2079</v>
      </c>
      <c r="D704" s="706" t="s">
        <v>668</v>
      </c>
      <c r="E704" s="820" t="s">
        <v>667</v>
      </c>
      <c r="F704" s="811"/>
      <c r="G704" s="224"/>
      <c r="H704" s="867"/>
      <c r="I704" s="813"/>
      <c r="Q704" s="405"/>
    </row>
    <row r="705" spans="1:17" ht="26.4" x14ac:dyDescent="0.25">
      <c r="A705" s="295" t="s">
        <v>4437</v>
      </c>
      <c r="B705" s="295" t="s">
        <v>4438</v>
      </c>
      <c r="C705" s="48" t="s">
        <v>4441</v>
      </c>
      <c r="D705" s="255">
        <v>10.26</v>
      </c>
      <c r="F705" s="809"/>
      <c r="H705" s="813"/>
      <c r="I705" s="813"/>
    </row>
    <row r="706" spans="1:17" ht="26.4" x14ac:dyDescent="0.25">
      <c r="A706" s="295" t="s">
        <v>4467</v>
      </c>
      <c r="B706" s="295" t="s">
        <v>4438</v>
      </c>
      <c r="C706" s="48" t="s">
        <v>4441</v>
      </c>
      <c r="D706" s="255">
        <v>10.26</v>
      </c>
      <c r="F706" s="809"/>
      <c r="G706" s="224"/>
      <c r="H706" s="813"/>
      <c r="I706" s="813"/>
      <c r="Q706" s="405"/>
    </row>
    <row r="707" spans="1:17" ht="26.4" x14ac:dyDescent="0.25">
      <c r="A707" s="295" t="s">
        <v>4467</v>
      </c>
      <c r="B707" s="295" t="s">
        <v>4438</v>
      </c>
      <c r="C707" s="48" t="s">
        <v>4441</v>
      </c>
      <c r="D707" s="255">
        <v>10.26</v>
      </c>
      <c r="I707" s="292"/>
    </row>
    <row r="708" spans="1:17" ht="26.4" x14ac:dyDescent="0.25">
      <c r="A708" s="295" t="s">
        <v>4478</v>
      </c>
      <c r="B708" s="295" t="s">
        <v>4438</v>
      </c>
      <c r="C708" s="48" t="s">
        <v>4441</v>
      </c>
      <c r="D708" s="255">
        <v>10.26</v>
      </c>
    </row>
    <row r="709" spans="1:17" ht="26.4" x14ac:dyDescent="0.25">
      <c r="A709" s="295" t="s">
        <v>4483</v>
      </c>
      <c r="B709" s="295" t="s">
        <v>4438</v>
      </c>
      <c r="C709" s="48" t="s">
        <v>4441</v>
      </c>
      <c r="D709" s="255">
        <v>10.26</v>
      </c>
    </row>
    <row r="710" spans="1:17" ht="26.4" x14ac:dyDescent="0.25">
      <c r="A710" s="295" t="s">
        <v>4492</v>
      </c>
      <c r="B710" s="711" t="s">
        <v>4438</v>
      </c>
      <c r="C710" s="48" t="s">
        <v>4441</v>
      </c>
      <c r="D710" s="299">
        <v>10.26</v>
      </c>
    </row>
    <row r="711" spans="1:17" ht="26.4" x14ac:dyDescent="0.25">
      <c r="A711" s="295" t="s">
        <v>4492</v>
      </c>
      <c r="B711" s="711" t="s">
        <v>4438</v>
      </c>
      <c r="C711" s="48" t="s">
        <v>4441</v>
      </c>
      <c r="D711" s="299">
        <v>10.26</v>
      </c>
      <c r="F711" s="249"/>
      <c r="G711" s="224"/>
    </row>
    <row r="712" spans="1:17" ht="26.4" x14ac:dyDescent="0.25">
      <c r="A712" s="295" t="s">
        <v>4492</v>
      </c>
      <c r="B712" s="711" t="s">
        <v>4438</v>
      </c>
      <c r="C712" s="48" t="s">
        <v>4441</v>
      </c>
      <c r="D712" s="299">
        <v>10.26</v>
      </c>
      <c r="F712" s="249"/>
      <c r="G712" s="224"/>
    </row>
    <row r="713" spans="1:17" ht="26.4" x14ac:dyDescent="0.25">
      <c r="A713" s="295" t="s">
        <v>4492</v>
      </c>
      <c r="B713" s="711" t="s">
        <v>4438</v>
      </c>
      <c r="C713" s="48" t="s">
        <v>4441</v>
      </c>
      <c r="D713" s="299">
        <v>10.26</v>
      </c>
      <c r="F713" s="249"/>
      <c r="G713" s="224"/>
    </row>
    <row r="714" spans="1:17" ht="26.4" x14ac:dyDescent="0.25">
      <c r="A714" s="295" t="s">
        <v>4492</v>
      </c>
      <c r="B714" s="711" t="s">
        <v>4438</v>
      </c>
      <c r="C714" s="48" t="s">
        <v>4441</v>
      </c>
      <c r="D714" s="299">
        <v>10.26</v>
      </c>
      <c r="F714" s="249"/>
      <c r="G714" s="224"/>
    </row>
    <row r="715" spans="1:17" ht="26.4" x14ac:dyDescent="0.25">
      <c r="A715" s="295" t="s">
        <v>4492</v>
      </c>
      <c r="B715" s="711" t="s">
        <v>4438</v>
      </c>
      <c r="C715" s="48" t="s">
        <v>4441</v>
      </c>
      <c r="D715" s="299">
        <v>10.26</v>
      </c>
      <c r="F715" s="249"/>
      <c r="G715" s="224"/>
    </row>
    <row r="716" spans="1:17" ht="26.4" x14ac:dyDescent="0.25">
      <c r="A716" s="295" t="s">
        <v>4509</v>
      </c>
      <c r="B716" s="711" t="s">
        <v>4438</v>
      </c>
      <c r="C716" s="528" t="s">
        <v>4441</v>
      </c>
      <c r="D716" s="299">
        <v>10.26</v>
      </c>
      <c r="F716" s="249"/>
      <c r="G716" s="224"/>
    </row>
    <row r="717" spans="1:17" ht="26.4" x14ac:dyDescent="0.25">
      <c r="A717" s="295" t="s">
        <v>4509</v>
      </c>
      <c r="B717" s="711" t="s">
        <v>4438</v>
      </c>
      <c r="C717" s="528" t="s">
        <v>4441</v>
      </c>
      <c r="D717" s="299">
        <v>10.26</v>
      </c>
      <c r="F717" s="249"/>
      <c r="G717" s="224"/>
    </row>
    <row r="718" spans="1:17" ht="26.4" x14ac:dyDescent="0.25">
      <c r="A718" s="295" t="s">
        <v>4506</v>
      </c>
      <c r="B718" s="711" t="s">
        <v>4438</v>
      </c>
      <c r="C718" s="528" t="s">
        <v>4441</v>
      </c>
      <c r="D718" s="299">
        <v>10.26</v>
      </c>
      <c r="F718" s="249"/>
      <c r="G718" s="224"/>
    </row>
    <row r="719" spans="1:17" ht="26.4" x14ac:dyDescent="0.25">
      <c r="A719" s="295" t="s">
        <v>4506</v>
      </c>
      <c r="B719" s="711" t="s">
        <v>4438</v>
      </c>
      <c r="C719" s="528" t="s">
        <v>4441</v>
      </c>
      <c r="D719" s="299">
        <v>10.26</v>
      </c>
      <c r="F719" s="249"/>
      <c r="G719" s="224"/>
    </row>
    <row r="720" spans="1:17" ht="26.4" x14ac:dyDescent="0.25">
      <c r="A720" s="295" t="s">
        <v>4521</v>
      </c>
      <c r="B720" s="711" t="s">
        <v>4438</v>
      </c>
      <c r="C720" s="528" t="s">
        <v>4441</v>
      </c>
      <c r="D720" s="299">
        <v>10.26</v>
      </c>
      <c r="F720" s="249"/>
      <c r="G720" s="224"/>
    </row>
    <row r="721" spans="1:8" ht="26.4" x14ac:dyDescent="0.25">
      <c r="A721" s="295" t="s">
        <v>4524</v>
      </c>
      <c r="B721" s="295" t="s">
        <v>4438</v>
      </c>
      <c r="C721" s="711" t="s">
        <v>4441</v>
      </c>
      <c r="D721" s="299">
        <v>10.26</v>
      </c>
    </row>
    <row r="722" spans="1:8" ht="26.4" x14ac:dyDescent="0.25">
      <c r="A722" s="295" t="s">
        <v>4526</v>
      </c>
      <c r="B722" s="295" t="s">
        <v>4438</v>
      </c>
      <c r="C722" s="711" t="s">
        <v>4441</v>
      </c>
      <c r="D722" s="299">
        <v>10.26</v>
      </c>
    </row>
    <row r="723" spans="1:8" ht="26.4" x14ac:dyDescent="0.25">
      <c r="A723" s="295" t="s">
        <v>4530</v>
      </c>
      <c r="B723" s="711" t="s">
        <v>4438</v>
      </c>
      <c r="C723" s="711" t="s">
        <v>4441</v>
      </c>
      <c r="D723" s="299">
        <v>10.26</v>
      </c>
      <c r="F723" s="249"/>
      <c r="G723" s="326"/>
    </row>
    <row r="724" spans="1:8" ht="26.4" x14ac:dyDescent="0.25">
      <c r="A724" s="295" t="s">
        <v>4545</v>
      </c>
      <c r="B724" s="711" t="s">
        <v>4438</v>
      </c>
      <c r="C724" s="711" t="s">
        <v>4441</v>
      </c>
      <c r="D724" s="299">
        <v>10.26</v>
      </c>
      <c r="F724" s="249"/>
    </row>
    <row r="725" spans="1:8" ht="26.4" x14ac:dyDescent="0.25">
      <c r="A725" s="295" t="s">
        <v>4545</v>
      </c>
      <c r="B725" s="711" t="s">
        <v>4438</v>
      </c>
      <c r="C725" s="711" t="s">
        <v>4441</v>
      </c>
      <c r="D725" s="299">
        <v>10.26</v>
      </c>
      <c r="F725" s="249"/>
      <c r="G725" s="224"/>
      <c r="H725" s="224"/>
    </row>
    <row r="726" spans="1:8" ht="26.4" x14ac:dyDescent="0.25">
      <c r="A726" s="295" t="s">
        <v>4545</v>
      </c>
      <c r="B726" s="711" t="s">
        <v>4438</v>
      </c>
      <c r="C726" s="711" t="s">
        <v>4441</v>
      </c>
      <c r="D726" s="299">
        <v>10.26</v>
      </c>
      <c r="F726" s="249"/>
      <c r="G726" s="224"/>
      <c r="H726" s="224"/>
    </row>
    <row r="727" spans="1:8" ht="26.4" x14ac:dyDescent="0.25">
      <c r="A727" s="295" t="s">
        <v>4545</v>
      </c>
      <c r="B727" s="711" t="s">
        <v>4438</v>
      </c>
      <c r="C727" s="711" t="s">
        <v>4441</v>
      </c>
      <c r="D727" s="299">
        <v>10.26</v>
      </c>
      <c r="F727" s="249"/>
      <c r="G727" s="224"/>
      <c r="H727" s="224"/>
    </row>
    <row r="728" spans="1:8" ht="26.4" x14ac:dyDescent="0.25">
      <c r="A728" s="295" t="s">
        <v>4544</v>
      </c>
      <c r="B728" s="711" t="s">
        <v>4438</v>
      </c>
      <c r="C728" s="711" t="s">
        <v>4441</v>
      </c>
      <c r="D728" s="299">
        <v>10.26</v>
      </c>
      <c r="F728" s="249"/>
      <c r="G728" s="224"/>
      <c r="H728" s="224"/>
    </row>
    <row r="729" spans="1:8" ht="26.4" x14ac:dyDescent="0.25">
      <c r="A729" s="295" t="s">
        <v>4553</v>
      </c>
      <c r="B729" s="711" t="s">
        <v>4438</v>
      </c>
      <c r="C729" s="711" t="s">
        <v>4441</v>
      </c>
      <c r="D729" s="299">
        <v>10.26</v>
      </c>
      <c r="F729" s="249"/>
      <c r="G729" s="224"/>
    </row>
    <row r="730" spans="1:8" ht="26.4" x14ac:dyDescent="0.25">
      <c r="A730" s="295" t="s">
        <v>4553</v>
      </c>
      <c r="B730" s="711" t="s">
        <v>4438</v>
      </c>
      <c r="C730" s="711" t="s">
        <v>4441</v>
      </c>
      <c r="D730" s="299">
        <v>10.26</v>
      </c>
      <c r="E730" s="249"/>
      <c r="F730" s="224"/>
      <c r="G730" s="224"/>
      <c r="H730" s="224"/>
    </row>
    <row r="731" spans="1:8" ht="26.4" x14ac:dyDescent="0.25">
      <c r="A731" s="295" t="s">
        <v>4560</v>
      </c>
      <c r="B731" s="711" t="s">
        <v>4438</v>
      </c>
      <c r="C731" s="528" t="s">
        <v>4441</v>
      </c>
      <c r="D731" s="299">
        <v>10.26</v>
      </c>
      <c r="F731" s="249"/>
    </row>
    <row r="732" spans="1:8" ht="26.4" x14ac:dyDescent="0.25">
      <c r="A732" s="295" t="s">
        <v>4571</v>
      </c>
      <c r="B732" s="711" t="s">
        <v>4438</v>
      </c>
      <c r="C732" s="528" t="s">
        <v>4441</v>
      </c>
      <c r="D732" s="299">
        <v>10.26</v>
      </c>
      <c r="F732" s="249"/>
      <c r="G732" s="326"/>
    </row>
    <row r="733" spans="1:8" ht="26.4" x14ac:dyDescent="0.25">
      <c r="A733" s="295" t="s">
        <v>4571</v>
      </c>
      <c r="B733" s="711" t="s">
        <v>4438</v>
      </c>
      <c r="C733" s="528" t="s">
        <v>4441</v>
      </c>
      <c r="D733" s="299">
        <v>10.26</v>
      </c>
      <c r="F733" s="249"/>
      <c r="G733" s="326"/>
    </row>
    <row r="734" spans="1:8" ht="13.2" x14ac:dyDescent="0.25">
      <c r="A734" s="295"/>
      <c r="C734" s="48"/>
      <c r="D734" s="255"/>
    </row>
    <row r="751" spans="1:17" ht="12.75" customHeight="1" thickBot="1" x14ac:dyDescent="0.3"/>
    <row r="752" spans="1:17" ht="12.75" customHeight="1" thickBot="1" x14ac:dyDescent="0.3">
      <c r="A752" s="387"/>
      <c r="C752" s="2" t="s">
        <v>1040</v>
      </c>
      <c r="D752" s="423">
        <f>SUM(D705:D751)</f>
        <v>297.53999999999991</v>
      </c>
      <c r="E752" s="247"/>
      <c r="F752" s="224"/>
      <c r="G752" s="224"/>
      <c r="Q752" s="405"/>
    </row>
    <row r="753" spans="1:17" ht="12.75" customHeight="1" x14ac:dyDescent="0.25">
      <c r="A753" s="387"/>
      <c r="C753" s="23"/>
      <c r="E753" s="60"/>
      <c r="F753" s="3"/>
      <c r="G753" s="224"/>
      <c r="Q753" s="405"/>
    </row>
    <row r="754" spans="1:17" ht="12.75" customHeight="1" x14ac:dyDescent="0.25">
      <c r="A754" s="387"/>
      <c r="E754" s="60"/>
      <c r="F754" s="3"/>
      <c r="G754" s="224"/>
      <c r="Q754" s="405"/>
    </row>
    <row r="755" spans="1:17" ht="12.75" customHeight="1" x14ac:dyDescent="0.25">
      <c r="A755" s="387"/>
      <c r="G755" s="224"/>
      <c r="Q755" s="405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1"/>
  <sheetViews>
    <sheetView topLeftCell="A514" zoomScaleNormal="100" workbookViewId="0">
      <selection activeCell="G522" sqref="G522"/>
    </sheetView>
  </sheetViews>
  <sheetFormatPr defaultColWidth="9.21875" defaultRowHeight="12.75" customHeight="1" x14ac:dyDescent="0.25"/>
  <cols>
    <col min="1" max="1" width="10.77734375" style="225" customWidth="1"/>
    <col min="2" max="2" width="10.77734375" style="295" customWidth="1"/>
    <col min="3" max="3" width="40.5546875" style="711" bestFit="1" customWidth="1"/>
    <col min="4" max="4" width="24.21875" style="231" bestFit="1" customWidth="1"/>
    <col min="5" max="5" width="13.5546875" style="249" customWidth="1"/>
    <col min="6" max="7" width="10.77734375" style="299" customWidth="1"/>
    <col min="8" max="8" width="9.77734375" style="235" customWidth="1"/>
    <col min="9" max="9" width="9.21875" style="299" customWidth="1"/>
    <col min="10" max="10" width="10.77734375" style="299" bestFit="1" customWidth="1"/>
    <col min="11" max="11" width="13.5546875" style="299" bestFit="1" customWidth="1"/>
    <col min="12" max="12" width="14.77734375" style="299" customWidth="1"/>
    <col min="13" max="13" width="11.77734375" style="299" customWidth="1"/>
    <col min="14" max="14" width="13.21875" style="224" bestFit="1" customWidth="1"/>
    <col min="15" max="15" width="19.21875" style="299" bestFit="1" customWidth="1"/>
    <col min="16" max="16" width="12.77734375" style="249" customWidth="1"/>
    <col min="17" max="17" width="8.5546875" style="224" bestFit="1" customWidth="1"/>
    <col min="18" max="18" width="10.21875" style="224" bestFit="1" customWidth="1"/>
    <col min="19" max="16384" width="9.21875" style="224"/>
  </cols>
  <sheetData>
    <row r="1" spans="2:19" ht="13.2" x14ac:dyDescent="0.25">
      <c r="B1" s="752" t="s">
        <v>2174</v>
      </c>
      <c r="C1" s="776"/>
      <c r="D1" s="673"/>
      <c r="E1" s="539"/>
      <c r="F1" s="539"/>
      <c r="G1" s="257"/>
      <c r="H1" s="262"/>
      <c r="I1" s="257"/>
      <c r="J1" s="257"/>
      <c r="K1" s="257"/>
      <c r="L1" s="257"/>
      <c r="M1" s="257"/>
      <c r="N1" s="223"/>
    </row>
    <row r="2" spans="2:19" ht="13.2" x14ac:dyDescent="0.25">
      <c r="B2" s="752" t="s">
        <v>4250</v>
      </c>
      <c r="F2" s="249"/>
      <c r="N2" s="225"/>
    </row>
    <row r="3" spans="2:19" ht="13.2" x14ac:dyDescent="0.25">
      <c r="B3" s="753" t="s">
        <v>2078</v>
      </c>
      <c r="C3" s="777"/>
      <c r="D3" s="674"/>
      <c r="E3" s="540"/>
      <c r="F3" s="540"/>
      <c r="G3" s="568"/>
      <c r="H3" s="691"/>
      <c r="I3" s="568"/>
      <c r="J3" s="568"/>
      <c r="K3" s="568"/>
      <c r="L3" s="568"/>
      <c r="M3" s="568"/>
      <c r="N3" s="226"/>
    </row>
    <row r="4" spans="2:19" ht="12.75" customHeight="1" x14ac:dyDescent="0.25">
      <c r="B4" s="325"/>
      <c r="C4" s="778"/>
      <c r="D4" s="683"/>
      <c r="E4" s="2"/>
      <c r="F4" s="2"/>
      <c r="G4" s="60"/>
      <c r="H4" s="675"/>
      <c r="I4" s="60"/>
      <c r="M4" s="255"/>
      <c r="N4" s="255"/>
      <c r="S4" s="247"/>
    </row>
    <row r="5" spans="2:19" ht="12.75" customHeight="1" x14ac:dyDescent="0.25">
      <c r="B5" s="325"/>
      <c r="C5" s="778"/>
      <c r="D5" s="683"/>
      <c r="E5" s="2"/>
      <c r="F5" s="2"/>
      <c r="G5" s="60"/>
      <c r="H5" s="675"/>
      <c r="I5" s="60"/>
      <c r="M5" s="257" t="s">
        <v>2139</v>
      </c>
      <c r="N5" s="257">
        <f>N517-N487</f>
        <v>-17262.010000000002</v>
      </c>
      <c r="P5" s="299"/>
    </row>
    <row r="6" spans="2:19" ht="12.75" customHeight="1" x14ac:dyDescent="0.25">
      <c r="B6" s="325"/>
      <c r="C6" s="778"/>
      <c r="D6" s="683"/>
      <c r="E6" s="2"/>
      <c r="F6" s="2"/>
      <c r="G6" s="60"/>
      <c r="H6" s="675"/>
      <c r="I6" s="60"/>
      <c r="K6" s="60"/>
    </row>
    <row r="7" spans="2:19" ht="12.75" customHeight="1" x14ac:dyDescent="0.25">
      <c r="B7" s="16"/>
      <c r="C7" s="23"/>
      <c r="D7" s="91"/>
      <c r="E7" s="2"/>
      <c r="F7" s="2"/>
      <c r="G7" s="60"/>
      <c r="H7" s="675"/>
      <c r="I7" s="60"/>
      <c r="K7" s="60"/>
      <c r="L7" s="695"/>
      <c r="M7" s="696" t="s">
        <v>538</v>
      </c>
      <c r="N7" s="282" t="s">
        <v>537</v>
      </c>
    </row>
    <row r="8" spans="2:19" ht="12.75" customHeight="1" x14ac:dyDescent="0.25">
      <c r="B8" s="16"/>
      <c r="C8" s="779"/>
      <c r="D8" s="91"/>
      <c r="E8" s="2"/>
      <c r="F8" s="2"/>
      <c r="G8" s="60"/>
      <c r="H8" s="675"/>
      <c r="I8" s="60"/>
      <c r="K8" s="60"/>
      <c r="L8" s="279" t="s">
        <v>1046</v>
      </c>
      <c r="M8" s="424">
        <f>N5</f>
        <v>-17262.010000000002</v>
      </c>
      <c r="N8" s="425">
        <f>O443+P26</f>
        <v>2512.5100000011735</v>
      </c>
    </row>
    <row r="9" spans="2:19" ht="12.75" customHeight="1" x14ac:dyDescent="0.25">
      <c r="B9" s="16"/>
      <c r="C9" s="23"/>
      <c r="D9" s="91"/>
      <c r="E9" s="2"/>
      <c r="F9" s="2"/>
      <c r="G9" s="60"/>
      <c r="H9" s="675"/>
      <c r="I9" s="60"/>
      <c r="K9" s="60"/>
      <c r="L9" s="280" t="s">
        <v>1140</v>
      </c>
      <c r="N9" s="426">
        <f>F600+F619+F657+F708</f>
        <v>3901.1699999999992</v>
      </c>
    </row>
    <row r="10" spans="2:19" ht="12.75" customHeight="1" x14ac:dyDescent="0.25">
      <c r="B10" s="16"/>
      <c r="C10" s="779"/>
      <c r="D10" s="91"/>
      <c r="E10" s="2"/>
      <c r="F10" s="2"/>
      <c r="G10" s="60"/>
      <c r="H10" s="675"/>
      <c r="I10" s="60"/>
      <c r="K10" s="60"/>
      <c r="L10" s="281" t="s">
        <v>1262</v>
      </c>
      <c r="M10" s="428">
        <f>M8-M9</f>
        <v>-17262.010000000002</v>
      </c>
      <c r="N10" s="428">
        <f>N8-N9</f>
        <v>-1388.6599999988257</v>
      </c>
    </row>
    <row r="11" spans="2:19" ht="12.75" customHeight="1" x14ac:dyDescent="0.25">
      <c r="B11" s="16"/>
      <c r="C11" s="23"/>
      <c r="D11" s="91"/>
      <c r="E11" s="2"/>
      <c r="F11" s="2"/>
      <c r="G11" s="60"/>
      <c r="H11" s="675"/>
      <c r="I11" s="60"/>
      <c r="K11" s="60"/>
      <c r="M11" s="255"/>
      <c r="N11" s="255"/>
    </row>
    <row r="12" spans="2:19" ht="12.75" customHeight="1" x14ac:dyDescent="0.25">
      <c r="I12" s="60"/>
      <c r="K12" s="60"/>
      <c r="M12" s="257"/>
      <c r="N12" s="257"/>
    </row>
    <row r="13" spans="2:19" ht="20.100000000000001" customHeight="1" x14ac:dyDescent="0.25">
      <c r="B13" s="16"/>
      <c r="E13" s="2"/>
      <c r="F13" s="2"/>
      <c r="G13" s="60"/>
      <c r="H13" s="234"/>
      <c r="I13" s="60"/>
      <c r="K13" s="60"/>
      <c r="L13" s="255"/>
      <c r="M13" s="762" t="s">
        <v>4258</v>
      </c>
      <c r="N13" s="364">
        <f>N10+M10</f>
        <v>-18650.669999998827</v>
      </c>
      <c r="O13" s="255"/>
      <c r="P13" s="263"/>
    </row>
    <row r="14" spans="2:19" ht="12.75" customHeight="1" x14ac:dyDescent="0.25">
      <c r="I14" s="60"/>
      <c r="K14" s="60"/>
      <c r="L14" s="255"/>
      <c r="M14" s="255"/>
      <c r="N14" s="255"/>
      <c r="O14" s="255"/>
      <c r="P14" s="263"/>
    </row>
    <row r="15" spans="2:19" ht="12.75" customHeight="1" x14ac:dyDescent="0.25">
      <c r="I15" s="60"/>
      <c r="K15" s="60"/>
      <c r="L15" s="255"/>
      <c r="M15" s="255" t="s">
        <v>2141</v>
      </c>
      <c r="N15" s="383">
        <f>H591</f>
        <v>18724.230000000272</v>
      </c>
      <c r="O15" s="255"/>
      <c r="P15" s="263"/>
    </row>
    <row r="16" spans="2:19" ht="12.75" customHeight="1" x14ac:dyDescent="0.25">
      <c r="B16" s="16"/>
      <c r="E16" s="2"/>
      <c r="F16" s="2"/>
      <c r="G16" s="60"/>
      <c r="H16" s="234"/>
      <c r="L16" s="255"/>
      <c r="M16" s="255"/>
      <c r="N16" s="255"/>
      <c r="O16" s="255"/>
      <c r="P16" s="263"/>
    </row>
    <row r="17" spans="6:18" ht="12.75" customHeight="1" thickBot="1" x14ac:dyDescent="0.3">
      <c r="L17" s="255"/>
      <c r="M17" s="290"/>
      <c r="N17" s="290" t="s">
        <v>539</v>
      </c>
      <c r="O17" s="255"/>
      <c r="P17" s="263"/>
    </row>
    <row r="18" spans="6:18" ht="12.75" customHeight="1" thickBot="1" x14ac:dyDescent="0.3">
      <c r="L18" s="255"/>
      <c r="M18" s="255" t="s">
        <v>1568</v>
      </c>
      <c r="N18" s="384">
        <f>SUM(N13:N17)</f>
        <v>73.560000001445587</v>
      </c>
      <c r="O18" s="255"/>
      <c r="P18" s="730" t="s">
        <v>4430</v>
      </c>
    </row>
    <row r="19" spans="6:18" ht="12.75" customHeight="1" x14ac:dyDescent="0.25">
      <c r="M19" s="257"/>
      <c r="N19" s="257"/>
      <c r="Q19" s="259"/>
    </row>
    <row r="20" spans="6:18" ht="12.75" customHeight="1" x14ac:dyDescent="0.25">
      <c r="N20" s="247"/>
    </row>
    <row r="21" spans="6:18" ht="12.75" customHeight="1" x14ac:dyDescent="0.25">
      <c r="M21" s="255" t="s">
        <v>458</v>
      </c>
      <c r="N21" s="477" t="s">
        <v>4431</v>
      </c>
      <c r="O21" s="255"/>
      <c r="P21" s="337"/>
      <c r="R21" s="247"/>
    </row>
    <row r="23" spans="6:18" ht="12.75" customHeight="1" x14ac:dyDescent="0.25">
      <c r="M23" s="257"/>
      <c r="N23" s="289"/>
    </row>
    <row r="24" spans="6:18" ht="12.75" customHeight="1" x14ac:dyDescent="0.25">
      <c r="L24" s="697"/>
      <c r="M24" s="742" t="s">
        <v>4253</v>
      </c>
      <c r="N24" s="360">
        <f>'FY15-Equ-FNO-RKG'!N28</f>
        <v>-996375.77000000258</v>
      </c>
      <c r="Q24" s="247"/>
      <c r="R24" s="247"/>
    </row>
    <row r="25" spans="6:18" ht="12.75" customHeight="1" x14ac:dyDescent="0.25">
      <c r="L25" s="698"/>
      <c r="M25" s="362" t="s">
        <v>1503</v>
      </c>
      <c r="N25" s="366">
        <f>N15-N24</f>
        <v>1015100.0000000028</v>
      </c>
      <c r="O25" s="713" t="s">
        <v>73</v>
      </c>
      <c r="P25" s="433">
        <f>N15</f>
        <v>18724.230000000272</v>
      </c>
      <c r="R25" s="247"/>
    </row>
    <row r="26" spans="6:18" ht="12.75" customHeight="1" x14ac:dyDescent="0.25">
      <c r="F26" s="546"/>
      <c r="G26" s="568"/>
      <c r="H26" s="691"/>
      <c r="I26" s="568"/>
      <c r="J26" s="568"/>
      <c r="L26" s="699"/>
      <c r="M26" s="364" t="s">
        <v>4109</v>
      </c>
      <c r="N26" s="367"/>
      <c r="O26" s="364" t="s">
        <v>4110</v>
      </c>
      <c r="P26" s="371"/>
      <c r="R26" s="254"/>
    </row>
    <row r="27" spans="6:18" ht="13.2" x14ac:dyDescent="0.25">
      <c r="L27" s="699"/>
      <c r="M27" s="364"/>
      <c r="N27" s="367"/>
      <c r="O27" s="364"/>
      <c r="P27" s="367"/>
    </row>
    <row r="28" spans="6:18" ht="13.2" x14ac:dyDescent="0.25">
      <c r="L28" s="382"/>
      <c r="M28" s="380" t="s">
        <v>948</v>
      </c>
      <c r="N28" s="381">
        <f>N26+N18-N25</f>
        <v>-1015026.4400000013</v>
      </c>
      <c r="O28" s="382" t="s">
        <v>383</v>
      </c>
      <c r="P28" s="434">
        <f>P26+N18-P25</f>
        <v>-18650.669999998827</v>
      </c>
      <c r="R28" s="247"/>
    </row>
    <row r="29" spans="6:18" ht="13.2" x14ac:dyDescent="0.25">
      <c r="R29" s="247"/>
    </row>
    <row r="32" spans="6:18" ht="12.75" customHeight="1" x14ac:dyDescent="0.25">
      <c r="L32" s="697"/>
      <c r="M32" s="375" t="s">
        <v>1505</v>
      </c>
      <c r="N32" s="377">
        <v>99921.29</v>
      </c>
      <c r="O32" s="376" t="s">
        <v>2169</v>
      </c>
      <c r="P32" s="435">
        <f>N32-N28</f>
        <v>1114947.7300000014</v>
      </c>
      <c r="Q32" s="259"/>
    </row>
    <row r="37" spans="1:18" ht="13.8" thickBot="1" x14ac:dyDescent="0.3">
      <c r="B37" s="575"/>
      <c r="C37" s="777"/>
      <c r="D37" s="674"/>
      <c r="E37" s="540"/>
      <c r="F37" s="540"/>
      <c r="G37" s="568"/>
      <c r="H37" s="691"/>
      <c r="I37" s="568"/>
      <c r="J37" s="568"/>
      <c r="K37" s="568"/>
      <c r="L37" s="568"/>
      <c r="M37" s="568"/>
      <c r="N37" s="226"/>
    </row>
    <row r="38" spans="1:18" ht="13.8" thickBot="1" x14ac:dyDescent="0.3">
      <c r="B38" s="576" t="s">
        <v>1255</v>
      </c>
      <c r="C38" s="780"/>
      <c r="D38" s="676"/>
      <c r="E38" s="541"/>
      <c r="F38" s="541"/>
      <c r="G38" s="704"/>
      <c r="H38" s="692"/>
      <c r="I38" s="704"/>
      <c r="J38" s="704"/>
      <c r="K38" s="704"/>
      <c r="L38" s="704"/>
      <c r="M38" s="704"/>
      <c r="N38" s="227"/>
      <c r="O38" s="714"/>
      <c r="P38" s="228"/>
    </row>
    <row r="39" spans="1:18" s="231" customFormat="1" ht="13.2" x14ac:dyDescent="0.25">
      <c r="A39" s="225"/>
      <c r="B39" s="411" t="s">
        <v>184</v>
      </c>
      <c r="C39" s="781" t="s">
        <v>2079</v>
      </c>
      <c r="D39" s="171" t="s">
        <v>186</v>
      </c>
      <c r="E39" s="204" t="s">
        <v>469</v>
      </c>
      <c r="F39" s="412" t="s">
        <v>188</v>
      </c>
      <c r="G39" s="412" t="s">
        <v>470</v>
      </c>
      <c r="H39" s="530" t="s">
        <v>471</v>
      </c>
      <c r="I39" s="700" t="s">
        <v>3368</v>
      </c>
      <c r="J39" s="700" t="s">
        <v>3367</v>
      </c>
      <c r="K39" s="700" t="s">
        <v>893</v>
      </c>
      <c r="L39" s="700" t="s">
        <v>3370</v>
      </c>
      <c r="M39" s="700" t="s">
        <v>2247</v>
      </c>
      <c r="N39" s="530" t="s">
        <v>3371</v>
      </c>
      <c r="O39" s="530" t="s">
        <v>3372</v>
      </c>
      <c r="P39" s="171" t="s">
        <v>1212</v>
      </c>
    </row>
    <row r="40" spans="1:18" s="231" customFormat="1" ht="13.2" x14ac:dyDescent="0.25">
      <c r="A40" s="225"/>
      <c r="B40" s="729" t="s">
        <v>4254</v>
      </c>
      <c r="C40" s="782" t="s">
        <v>4224</v>
      </c>
      <c r="D40" s="731" t="s">
        <v>197</v>
      </c>
      <c r="E40" s="249">
        <v>2</v>
      </c>
      <c r="F40" s="299">
        <v>956.95</v>
      </c>
      <c r="G40" s="299">
        <f t="shared" ref="G40:G76" si="0">E40*F40</f>
        <v>1913.9</v>
      </c>
      <c r="H40" s="235">
        <v>9</v>
      </c>
      <c r="I40" s="299"/>
      <c r="J40" s="299"/>
      <c r="K40" s="299"/>
      <c r="L40" s="299"/>
      <c r="M40" s="299"/>
      <c r="N40" s="224">
        <f t="shared" ref="N40:N42" si="1">SUM(H40:M40)</f>
        <v>9</v>
      </c>
      <c r="O40" s="299">
        <f t="shared" ref="O40:O42" si="2">G40+N40</f>
        <v>1922.9</v>
      </c>
      <c r="P40" s="730" t="s">
        <v>4241</v>
      </c>
      <c r="Q40" s="91"/>
      <c r="R40" s="91"/>
    </row>
    <row r="41" spans="1:18" s="231" customFormat="1" ht="13.2" x14ac:dyDescent="0.25">
      <c r="A41" s="225"/>
      <c r="B41" s="729" t="s">
        <v>4254</v>
      </c>
      <c r="C41" s="782" t="s">
        <v>4224</v>
      </c>
      <c r="D41" s="731" t="s">
        <v>197</v>
      </c>
      <c r="E41" s="249">
        <v>15</v>
      </c>
      <c r="F41" s="299">
        <v>956</v>
      </c>
      <c r="G41" s="299">
        <f t="shared" si="0"/>
        <v>14340</v>
      </c>
      <c r="H41" s="235">
        <v>9</v>
      </c>
      <c r="I41" s="299"/>
      <c r="J41" s="299"/>
      <c r="K41" s="299"/>
      <c r="L41" s="299"/>
      <c r="M41" s="299"/>
      <c r="N41" s="224">
        <f t="shared" si="1"/>
        <v>9</v>
      </c>
      <c r="O41" s="299">
        <f t="shared" si="2"/>
        <v>14349</v>
      </c>
      <c r="P41" s="730" t="s">
        <v>4241</v>
      </c>
      <c r="Q41" s="91"/>
      <c r="R41" s="91"/>
    </row>
    <row r="42" spans="1:18" s="231" customFormat="1" ht="13.2" x14ac:dyDescent="0.25">
      <c r="A42" s="225"/>
      <c r="B42" s="729" t="s">
        <v>4254</v>
      </c>
      <c r="C42" s="782" t="s">
        <v>4224</v>
      </c>
      <c r="D42" s="731" t="s">
        <v>197</v>
      </c>
      <c r="E42" s="249">
        <v>133</v>
      </c>
      <c r="F42" s="299">
        <v>959.95</v>
      </c>
      <c r="G42" s="299">
        <f t="shared" si="0"/>
        <v>127673.35</v>
      </c>
      <c r="H42" s="235">
        <v>9</v>
      </c>
      <c r="I42" s="299">
        <v>3.92</v>
      </c>
      <c r="J42" s="299">
        <v>4.68</v>
      </c>
      <c r="K42" s="299">
        <v>144</v>
      </c>
      <c r="L42" s="299">
        <v>0.14000000000000001</v>
      </c>
      <c r="M42" s="299">
        <v>8.64</v>
      </c>
      <c r="N42" s="224">
        <f t="shared" si="1"/>
        <v>170.38</v>
      </c>
      <c r="O42" s="299">
        <f t="shared" si="2"/>
        <v>127843.73000000001</v>
      </c>
      <c r="P42" s="730" t="s">
        <v>4241</v>
      </c>
    </row>
    <row r="43" spans="1:18" s="231" customFormat="1" ht="13.2" x14ac:dyDescent="0.25">
      <c r="A43" s="225"/>
      <c r="B43" s="477" t="s">
        <v>4260</v>
      </c>
      <c r="C43" s="29" t="s">
        <v>4263</v>
      </c>
      <c r="D43" s="768" t="s">
        <v>197</v>
      </c>
      <c r="E43" s="2">
        <v>80</v>
      </c>
      <c r="F43" s="60">
        <v>305</v>
      </c>
      <c r="G43" s="299">
        <f t="shared" si="0"/>
        <v>24400</v>
      </c>
      <c r="H43" s="235">
        <v>9</v>
      </c>
      <c r="I43" s="299"/>
      <c r="J43" s="299"/>
      <c r="K43" s="299"/>
      <c r="L43" s="299"/>
      <c r="M43" s="299"/>
      <c r="N43" s="224">
        <f t="shared" ref="N43:N48" si="3">SUM(H43:M43)</f>
        <v>9</v>
      </c>
      <c r="O43" s="299">
        <f t="shared" ref="O43:O48" si="4">G43+N43</f>
        <v>24409</v>
      </c>
      <c r="P43" s="37" t="s">
        <v>4265</v>
      </c>
      <c r="Q43" s="91"/>
      <c r="R43" s="91"/>
    </row>
    <row r="44" spans="1:18" s="231" customFormat="1" ht="13.2" x14ac:dyDescent="0.25">
      <c r="A44" s="225"/>
      <c r="B44" s="477" t="s">
        <v>4260</v>
      </c>
      <c r="C44" s="29" t="s">
        <v>4224</v>
      </c>
      <c r="D44" s="731" t="s">
        <v>197</v>
      </c>
      <c r="E44" s="2">
        <v>1</v>
      </c>
      <c r="F44" s="529">
        <v>979.55</v>
      </c>
      <c r="G44" s="299">
        <f t="shared" si="0"/>
        <v>979.55</v>
      </c>
      <c r="H44" s="235">
        <v>9</v>
      </c>
      <c r="I44" s="299"/>
      <c r="J44" s="299"/>
      <c r="K44" s="299"/>
      <c r="L44" s="299"/>
      <c r="M44" s="299"/>
      <c r="N44" s="224">
        <f t="shared" si="3"/>
        <v>9</v>
      </c>
      <c r="O44" s="299">
        <f t="shared" si="4"/>
        <v>988.55</v>
      </c>
      <c r="P44" s="37" t="s">
        <v>4265</v>
      </c>
    </row>
    <row r="45" spans="1:18" s="231" customFormat="1" ht="13.2" x14ac:dyDescent="0.25">
      <c r="A45" s="225"/>
      <c r="B45" s="477" t="s">
        <v>4260</v>
      </c>
      <c r="C45" s="29" t="s">
        <v>4224</v>
      </c>
      <c r="D45" s="768" t="s">
        <v>197</v>
      </c>
      <c r="E45" s="2">
        <v>49</v>
      </c>
      <c r="F45" s="60">
        <v>981</v>
      </c>
      <c r="G45" s="299">
        <f t="shared" si="0"/>
        <v>48069</v>
      </c>
      <c r="H45" s="235">
        <v>9</v>
      </c>
      <c r="I45" s="299"/>
      <c r="J45" s="299"/>
      <c r="K45" s="299"/>
      <c r="L45" s="299"/>
      <c r="M45" s="299"/>
      <c r="N45" s="224">
        <f t="shared" si="3"/>
        <v>9</v>
      </c>
      <c r="O45" s="299">
        <f t="shared" si="4"/>
        <v>48078</v>
      </c>
      <c r="P45" s="37" t="s">
        <v>4265</v>
      </c>
    </row>
    <row r="46" spans="1:18" ht="12.75" customHeight="1" x14ac:dyDescent="0.25">
      <c r="B46" s="477" t="s">
        <v>4260</v>
      </c>
      <c r="C46" s="782" t="s">
        <v>3460</v>
      </c>
      <c r="D46" s="731" t="s">
        <v>197</v>
      </c>
      <c r="E46" s="249">
        <v>4</v>
      </c>
      <c r="F46" s="299">
        <v>413.15</v>
      </c>
      <c r="G46" s="299">
        <f t="shared" si="0"/>
        <v>1652.6</v>
      </c>
      <c r="H46" s="235">
        <v>9</v>
      </c>
      <c r="N46" s="224">
        <f t="shared" si="3"/>
        <v>9</v>
      </c>
      <c r="O46" s="299">
        <f t="shared" si="4"/>
        <v>1661.6</v>
      </c>
      <c r="P46" s="37" t="s">
        <v>4265</v>
      </c>
    </row>
    <row r="47" spans="1:18" ht="12.75" customHeight="1" x14ac:dyDescent="0.25">
      <c r="B47" s="477" t="s">
        <v>4260</v>
      </c>
      <c r="C47" s="782" t="s">
        <v>3460</v>
      </c>
      <c r="D47" s="731" t="s">
        <v>197</v>
      </c>
      <c r="E47" s="249">
        <v>56</v>
      </c>
      <c r="F47" s="299">
        <v>413.15</v>
      </c>
      <c r="G47" s="299">
        <f t="shared" si="0"/>
        <v>23136.399999999998</v>
      </c>
      <c r="N47" s="224">
        <f t="shared" si="3"/>
        <v>0</v>
      </c>
      <c r="O47" s="299">
        <f t="shared" si="4"/>
        <v>23136.399999999998</v>
      </c>
      <c r="P47" s="37" t="s">
        <v>4265</v>
      </c>
    </row>
    <row r="48" spans="1:18" s="231" customFormat="1" ht="13.2" x14ac:dyDescent="0.25">
      <c r="A48" s="225"/>
      <c r="B48" s="477" t="s">
        <v>4260</v>
      </c>
      <c r="C48" s="29" t="s">
        <v>4264</v>
      </c>
      <c r="D48" s="768" t="s">
        <v>197</v>
      </c>
      <c r="E48" s="2">
        <v>20</v>
      </c>
      <c r="F48" s="60">
        <v>1238.95</v>
      </c>
      <c r="G48" s="60">
        <f t="shared" si="0"/>
        <v>24779</v>
      </c>
      <c r="H48" s="235">
        <v>9</v>
      </c>
      <c r="I48" s="299">
        <v>9.8800000000000008</v>
      </c>
      <c r="J48" s="299">
        <v>8.01</v>
      </c>
      <c r="K48" s="299">
        <v>116</v>
      </c>
      <c r="L48" s="299">
        <v>0.25</v>
      </c>
      <c r="M48" s="299">
        <v>14.79</v>
      </c>
      <c r="N48" s="224">
        <f t="shared" si="3"/>
        <v>157.92999999999998</v>
      </c>
      <c r="O48" s="299">
        <f t="shared" si="4"/>
        <v>24936.93</v>
      </c>
      <c r="P48" s="37" t="s">
        <v>4265</v>
      </c>
    </row>
    <row r="49" spans="1:18" s="231" customFormat="1" ht="13.2" x14ac:dyDescent="0.25">
      <c r="A49" s="225"/>
      <c r="B49" s="477" t="s">
        <v>4267</v>
      </c>
      <c r="C49" s="29" t="s">
        <v>4266</v>
      </c>
      <c r="D49" s="768" t="s">
        <v>197</v>
      </c>
      <c r="E49" s="2">
        <v>25</v>
      </c>
      <c r="F49" s="60">
        <v>644</v>
      </c>
      <c r="G49" s="60">
        <f t="shared" si="0"/>
        <v>16100</v>
      </c>
      <c r="H49" s="235">
        <v>9</v>
      </c>
      <c r="I49" s="299"/>
      <c r="J49" s="299"/>
      <c r="K49" s="299"/>
      <c r="L49" s="299"/>
      <c r="M49" s="299"/>
      <c r="N49" s="224">
        <f t="shared" ref="N49:N58" si="5">SUM(H49:M49)</f>
        <v>9</v>
      </c>
      <c r="O49" s="299">
        <f t="shared" ref="O49:O58" si="6">G49+N49</f>
        <v>16109</v>
      </c>
      <c r="P49" s="2" t="s">
        <v>4268</v>
      </c>
      <c r="Q49" s="91"/>
      <c r="R49" s="91"/>
    </row>
    <row r="50" spans="1:18" s="231" customFormat="1" ht="13.2" x14ac:dyDescent="0.25">
      <c r="A50" s="225"/>
      <c r="B50" s="477" t="s">
        <v>4267</v>
      </c>
      <c r="C50" s="29" t="s">
        <v>4266</v>
      </c>
      <c r="D50" s="768" t="s">
        <v>197</v>
      </c>
      <c r="E50" s="2">
        <v>50</v>
      </c>
      <c r="F50" s="60">
        <v>644.4</v>
      </c>
      <c r="G50" s="60">
        <f t="shared" si="0"/>
        <v>32220</v>
      </c>
      <c r="H50" s="235"/>
      <c r="I50" s="299"/>
      <c r="J50" s="299"/>
      <c r="K50" s="299"/>
      <c r="L50" s="299"/>
      <c r="M50" s="299"/>
      <c r="N50" s="224">
        <f t="shared" si="5"/>
        <v>0</v>
      </c>
      <c r="O50" s="299">
        <f t="shared" si="6"/>
        <v>32220</v>
      </c>
      <c r="P50" s="2" t="s">
        <v>4268</v>
      </c>
    </row>
    <row r="51" spans="1:18" s="231" customFormat="1" ht="13.2" x14ac:dyDescent="0.25">
      <c r="A51" s="225"/>
      <c r="B51" s="477" t="s">
        <v>4267</v>
      </c>
      <c r="C51" s="29" t="s">
        <v>4266</v>
      </c>
      <c r="D51" s="768" t="s">
        <v>197</v>
      </c>
      <c r="E51" s="2">
        <v>25</v>
      </c>
      <c r="F51" s="60">
        <v>645.20000000000005</v>
      </c>
      <c r="G51" s="60">
        <f t="shared" si="0"/>
        <v>16130.000000000002</v>
      </c>
      <c r="H51" s="235">
        <v>9</v>
      </c>
      <c r="I51" s="299"/>
      <c r="J51" s="299"/>
      <c r="K51" s="299"/>
      <c r="L51" s="299"/>
      <c r="M51" s="299"/>
      <c r="N51" s="224">
        <f t="shared" si="5"/>
        <v>9</v>
      </c>
      <c r="O51" s="299">
        <f t="shared" si="6"/>
        <v>16139.000000000002</v>
      </c>
      <c r="P51" s="2" t="s">
        <v>4268</v>
      </c>
    </row>
    <row r="52" spans="1:18" ht="12.75" customHeight="1" x14ac:dyDescent="0.25">
      <c r="B52" s="477" t="s">
        <v>4270</v>
      </c>
      <c r="C52" s="782" t="s">
        <v>4269</v>
      </c>
      <c r="D52" s="731" t="s">
        <v>197</v>
      </c>
      <c r="E52" s="249">
        <v>25</v>
      </c>
      <c r="F52" s="299">
        <v>849</v>
      </c>
      <c r="G52" s="299">
        <f t="shared" si="0"/>
        <v>21225</v>
      </c>
      <c r="H52" s="235">
        <v>9</v>
      </c>
      <c r="N52" s="224">
        <f t="shared" si="5"/>
        <v>9</v>
      </c>
      <c r="O52" s="299">
        <f t="shared" si="6"/>
        <v>21234</v>
      </c>
      <c r="P52" s="37" t="s">
        <v>4272</v>
      </c>
    </row>
    <row r="53" spans="1:18" ht="12.75" customHeight="1" x14ac:dyDescent="0.25">
      <c r="B53" s="477" t="s">
        <v>4270</v>
      </c>
      <c r="C53" s="782" t="s">
        <v>4271</v>
      </c>
      <c r="D53" s="731" t="s">
        <v>197</v>
      </c>
      <c r="E53" s="249">
        <v>25</v>
      </c>
      <c r="F53" s="299">
        <v>477.6</v>
      </c>
      <c r="G53" s="299">
        <f t="shared" si="0"/>
        <v>11940</v>
      </c>
      <c r="H53" s="235">
        <v>9</v>
      </c>
      <c r="N53" s="224">
        <f t="shared" si="5"/>
        <v>9</v>
      </c>
      <c r="O53" s="299">
        <f t="shared" si="6"/>
        <v>11949</v>
      </c>
      <c r="P53" s="37" t="s">
        <v>4272</v>
      </c>
    </row>
    <row r="54" spans="1:18" ht="12.75" customHeight="1" x14ac:dyDescent="0.25">
      <c r="B54" s="477" t="s">
        <v>4270</v>
      </c>
      <c r="C54" s="782" t="s">
        <v>4271</v>
      </c>
      <c r="D54" s="731" t="s">
        <v>197</v>
      </c>
      <c r="E54" s="249">
        <v>25</v>
      </c>
      <c r="F54" s="299">
        <v>477.8</v>
      </c>
      <c r="G54" s="299">
        <f t="shared" si="0"/>
        <v>11945</v>
      </c>
      <c r="H54" s="235">
        <v>9</v>
      </c>
      <c r="N54" s="224">
        <f t="shared" si="5"/>
        <v>9</v>
      </c>
      <c r="O54" s="299">
        <f t="shared" si="6"/>
        <v>11954</v>
      </c>
      <c r="P54" s="37" t="s">
        <v>4272</v>
      </c>
    </row>
    <row r="55" spans="1:18" ht="12.75" customHeight="1" x14ac:dyDescent="0.25">
      <c r="B55" s="477" t="s">
        <v>4270</v>
      </c>
      <c r="C55" s="782" t="s">
        <v>4266</v>
      </c>
      <c r="D55" s="731" t="s">
        <v>197</v>
      </c>
      <c r="E55" s="249">
        <v>40</v>
      </c>
      <c r="F55" s="299">
        <v>658.85</v>
      </c>
      <c r="G55" s="299">
        <f t="shared" si="0"/>
        <v>26354</v>
      </c>
      <c r="H55" s="235">
        <v>9</v>
      </c>
      <c r="N55" s="224">
        <f t="shared" si="5"/>
        <v>9</v>
      </c>
      <c r="O55" s="299">
        <f t="shared" si="6"/>
        <v>26363</v>
      </c>
      <c r="P55" s="37" t="s">
        <v>4272</v>
      </c>
    </row>
    <row r="56" spans="1:18" ht="12.75" customHeight="1" x14ac:dyDescent="0.25">
      <c r="B56" s="477" t="s">
        <v>4270</v>
      </c>
      <c r="C56" s="782" t="s">
        <v>4091</v>
      </c>
      <c r="D56" s="731" t="s">
        <v>197</v>
      </c>
      <c r="E56" s="249">
        <v>100</v>
      </c>
      <c r="F56" s="299">
        <v>268</v>
      </c>
      <c r="G56" s="299">
        <f t="shared" si="0"/>
        <v>26800</v>
      </c>
      <c r="H56" s="235">
        <v>9</v>
      </c>
      <c r="N56" s="224">
        <f t="shared" si="5"/>
        <v>9</v>
      </c>
      <c r="O56" s="299">
        <f t="shared" si="6"/>
        <v>26809</v>
      </c>
      <c r="P56" s="37" t="s">
        <v>4272</v>
      </c>
    </row>
    <row r="57" spans="1:18" ht="12.75" customHeight="1" x14ac:dyDescent="0.25">
      <c r="B57" s="477" t="s">
        <v>4270</v>
      </c>
      <c r="C57" s="782" t="s">
        <v>4224</v>
      </c>
      <c r="D57" s="731" t="s">
        <v>197</v>
      </c>
      <c r="E57" s="249">
        <v>25</v>
      </c>
      <c r="F57" s="299">
        <v>993</v>
      </c>
      <c r="G57" s="299">
        <f t="shared" si="0"/>
        <v>24825</v>
      </c>
      <c r="H57" s="235">
        <v>9</v>
      </c>
      <c r="N57" s="224">
        <f t="shared" si="5"/>
        <v>9</v>
      </c>
      <c r="O57" s="299">
        <f t="shared" si="6"/>
        <v>24834</v>
      </c>
      <c r="P57" s="37" t="s">
        <v>4272</v>
      </c>
    </row>
    <row r="58" spans="1:18" ht="12.75" customHeight="1" x14ac:dyDescent="0.25">
      <c r="B58" s="477" t="s">
        <v>4273</v>
      </c>
      <c r="C58" s="782" t="s">
        <v>4271</v>
      </c>
      <c r="D58" s="731" t="s">
        <v>197</v>
      </c>
      <c r="E58" s="249">
        <v>20</v>
      </c>
      <c r="F58" s="299">
        <v>469.5</v>
      </c>
      <c r="G58" s="299">
        <f t="shared" si="0"/>
        <v>9390</v>
      </c>
      <c r="H58" s="235">
        <v>9</v>
      </c>
      <c r="N58" s="224">
        <f t="shared" si="5"/>
        <v>9</v>
      </c>
      <c r="O58" s="299">
        <f t="shared" si="6"/>
        <v>9399</v>
      </c>
      <c r="P58" s="730" t="s">
        <v>4274</v>
      </c>
    </row>
    <row r="59" spans="1:18" ht="12.75" customHeight="1" x14ac:dyDescent="0.25">
      <c r="B59" s="477" t="s">
        <v>4273</v>
      </c>
      <c r="C59" s="782" t="s">
        <v>4091</v>
      </c>
      <c r="D59" s="731" t="s">
        <v>197</v>
      </c>
      <c r="E59" s="249">
        <v>75</v>
      </c>
      <c r="F59" s="299">
        <v>272</v>
      </c>
      <c r="G59" s="299">
        <f t="shared" si="0"/>
        <v>20400</v>
      </c>
      <c r="H59" s="235">
        <v>9</v>
      </c>
      <c r="N59" s="224">
        <f t="shared" ref="N59:N60" si="7">SUM(H59:M59)</f>
        <v>9</v>
      </c>
      <c r="O59" s="299">
        <f t="shared" ref="O59:O60" si="8">G59+N59</f>
        <v>20409</v>
      </c>
      <c r="P59" s="730" t="s">
        <v>4274</v>
      </c>
    </row>
    <row r="60" spans="1:18" ht="12.75" customHeight="1" x14ac:dyDescent="0.25">
      <c r="B60" s="477" t="s">
        <v>4273</v>
      </c>
      <c r="C60" s="782" t="s">
        <v>4224</v>
      </c>
      <c r="D60" s="731" t="s">
        <v>197</v>
      </c>
      <c r="E60" s="249">
        <v>20</v>
      </c>
      <c r="F60" s="299">
        <v>988.25</v>
      </c>
      <c r="G60" s="299">
        <f t="shared" si="0"/>
        <v>19765</v>
      </c>
      <c r="H60" s="235">
        <v>9</v>
      </c>
      <c r="N60" s="224">
        <f t="shared" si="7"/>
        <v>9</v>
      </c>
      <c r="O60" s="299">
        <f t="shared" si="8"/>
        <v>19774</v>
      </c>
      <c r="P60" s="730" t="s">
        <v>4274</v>
      </c>
    </row>
    <row r="61" spans="1:18" ht="12.75" customHeight="1" x14ac:dyDescent="0.25">
      <c r="A61" s="387"/>
      <c r="B61" s="729" t="s">
        <v>4276</v>
      </c>
      <c r="C61" s="48" t="s">
        <v>4277</v>
      </c>
      <c r="D61" s="769" t="s">
        <v>197</v>
      </c>
      <c r="E61" s="249">
        <v>100</v>
      </c>
      <c r="F61" s="299">
        <v>152</v>
      </c>
      <c r="G61" s="299">
        <f t="shared" si="0"/>
        <v>15200</v>
      </c>
      <c r="H61" s="235">
        <v>9</v>
      </c>
      <c r="N61" s="224">
        <f t="shared" ref="N61:N63" si="9">SUM(H61:M61)</f>
        <v>9</v>
      </c>
      <c r="O61" s="299">
        <f t="shared" ref="O61:O63" si="10">G61+N61</f>
        <v>15209</v>
      </c>
      <c r="P61" s="730" t="s">
        <v>4279</v>
      </c>
    </row>
    <row r="62" spans="1:18" ht="12.75" customHeight="1" x14ac:dyDescent="0.25">
      <c r="A62" s="387"/>
      <c r="B62" s="729" t="s">
        <v>4276</v>
      </c>
      <c r="C62" s="48" t="s">
        <v>4278</v>
      </c>
      <c r="D62" s="769" t="s">
        <v>197</v>
      </c>
      <c r="E62" s="249">
        <v>6</v>
      </c>
      <c r="F62" s="299">
        <v>478</v>
      </c>
      <c r="G62" s="299">
        <f t="shared" si="0"/>
        <v>2868</v>
      </c>
      <c r="N62" s="224">
        <f t="shared" si="9"/>
        <v>0</v>
      </c>
      <c r="O62" s="299">
        <f t="shared" si="10"/>
        <v>2868</v>
      </c>
      <c r="P62" s="730" t="s">
        <v>4279</v>
      </c>
    </row>
    <row r="63" spans="1:18" ht="12.75" customHeight="1" x14ac:dyDescent="0.25">
      <c r="A63" s="387"/>
      <c r="B63" s="729" t="s">
        <v>4276</v>
      </c>
      <c r="C63" s="48" t="s">
        <v>4278</v>
      </c>
      <c r="D63" s="769" t="s">
        <v>197</v>
      </c>
      <c r="E63" s="249">
        <v>29</v>
      </c>
      <c r="F63" s="299">
        <v>480</v>
      </c>
      <c r="G63" s="299">
        <f t="shared" si="0"/>
        <v>13920</v>
      </c>
      <c r="H63" s="235">
        <v>9</v>
      </c>
      <c r="N63" s="224">
        <f t="shared" si="9"/>
        <v>9</v>
      </c>
      <c r="O63" s="299">
        <f t="shared" si="10"/>
        <v>13929</v>
      </c>
      <c r="P63" s="730" t="s">
        <v>4279</v>
      </c>
    </row>
    <row r="64" spans="1:18" ht="12.75" customHeight="1" x14ac:dyDescent="0.25">
      <c r="A64" s="387"/>
      <c r="B64" s="729" t="s">
        <v>4280</v>
      </c>
      <c r="C64" s="48" t="s">
        <v>4281</v>
      </c>
      <c r="D64" s="770" t="s">
        <v>197</v>
      </c>
      <c r="E64" s="249">
        <v>55</v>
      </c>
      <c r="F64" s="299">
        <v>262.3</v>
      </c>
      <c r="G64" s="299">
        <f t="shared" si="0"/>
        <v>14426.5</v>
      </c>
      <c r="H64" s="235">
        <v>9</v>
      </c>
      <c r="N64" s="224">
        <f t="shared" ref="N64:N65" si="11">SUM(H64:M64)</f>
        <v>9</v>
      </c>
      <c r="O64" s="299">
        <f t="shared" ref="O64:O65" si="12">G64+N64</f>
        <v>14435.5</v>
      </c>
      <c r="P64" s="730" t="s">
        <v>4283</v>
      </c>
    </row>
    <row r="65" spans="1:16" ht="12.75" customHeight="1" x14ac:dyDescent="0.25">
      <c r="A65" s="387"/>
      <c r="B65" s="729" t="s">
        <v>4280</v>
      </c>
      <c r="C65" s="48" t="s">
        <v>4282</v>
      </c>
      <c r="D65" s="770" t="s">
        <v>197</v>
      </c>
      <c r="E65" s="249">
        <v>35</v>
      </c>
      <c r="F65" s="299">
        <v>474.45</v>
      </c>
      <c r="G65" s="299">
        <f t="shared" si="0"/>
        <v>16605.75</v>
      </c>
      <c r="H65" s="235">
        <v>9</v>
      </c>
      <c r="I65" s="299">
        <v>4.6900000000000004</v>
      </c>
      <c r="J65" s="299">
        <v>2</v>
      </c>
      <c r="K65" s="299">
        <v>62</v>
      </c>
      <c r="L65" s="299">
        <v>0.06</v>
      </c>
      <c r="M65" s="299">
        <v>3.69</v>
      </c>
      <c r="N65" s="224">
        <f t="shared" si="11"/>
        <v>81.44</v>
      </c>
      <c r="O65" s="299">
        <f t="shared" si="12"/>
        <v>16687.189999999999</v>
      </c>
      <c r="P65" s="730" t="s">
        <v>4283</v>
      </c>
    </row>
    <row r="66" spans="1:16" ht="12.75" customHeight="1" x14ac:dyDescent="0.25">
      <c r="A66" s="387"/>
      <c r="B66" s="729" t="s">
        <v>4284</v>
      </c>
      <c r="C66" s="782" t="s">
        <v>219</v>
      </c>
      <c r="D66" s="731" t="s">
        <v>197</v>
      </c>
      <c r="E66" s="249">
        <v>200</v>
      </c>
      <c r="F66" s="299">
        <v>82.15</v>
      </c>
      <c r="G66" s="299">
        <f t="shared" si="0"/>
        <v>16430</v>
      </c>
      <c r="H66" s="235">
        <v>9</v>
      </c>
      <c r="N66" s="224">
        <f t="shared" ref="N66:N67" si="13">SUM(H66:M66)</f>
        <v>9</v>
      </c>
      <c r="O66" s="299">
        <f t="shared" ref="O66:O67" si="14">G66+N66</f>
        <v>16439</v>
      </c>
      <c r="P66" s="730" t="s">
        <v>4286</v>
      </c>
    </row>
    <row r="67" spans="1:16" ht="12.75" customHeight="1" x14ac:dyDescent="0.25">
      <c r="A67" s="387"/>
      <c r="B67" s="729" t="s">
        <v>4284</v>
      </c>
      <c r="C67" s="53" t="s">
        <v>4285</v>
      </c>
      <c r="D67" s="769" t="s">
        <v>197</v>
      </c>
      <c r="E67" s="249">
        <v>330</v>
      </c>
      <c r="F67" s="299">
        <v>38.6</v>
      </c>
      <c r="G67" s="299">
        <f t="shared" si="0"/>
        <v>12738</v>
      </c>
      <c r="H67" s="235">
        <v>9</v>
      </c>
      <c r="I67" s="299">
        <v>4.68</v>
      </c>
      <c r="J67" s="299">
        <v>1.91</v>
      </c>
      <c r="K67" s="299">
        <v>59</v>
      </c>
      <c r="L67" s="299">
        <v>0.06</v>
      </c>
      <c r="M67" s="299">
        <v>3.53</v>
      </c>
      <c r="N67" s="224">
        <f t="shared" si="13"/>
        <v>78.180000000000007</v>
      </c>
      <c r="O67" s="299">
        <f t="shared" si="14"/>
        <v>12816.18</v>
      </c>
      <c r="P67" s="730" t="s">
        <v>4286</v>
      </c>
    </row>
    <row r="68" spans="1:16" ht="12.75" customHeight="1" x14ac:dyDescent="0.25">
      <c r="A68" s="387"/>
      <c r="B68" s="729" t="s">
        <v>4290</v>
      </c>
      <c r="C68" s="48" t="s">
        <v>219</v>
      </c>
      <c r="D68" s="769" t="s">
        <v>197</v>
      </c>
      <c r="E68" s="249">
        <v>100</v>
      </c>
      <c r="F68" s="299">
        <v>82.9</v>
      </c>
      <c r="G68" s="299">
        <f t="shared" si="0"/>
        <v>8290</v>
      </c>
      <c r="H68" s="235">
        <v>9</v>
      </c>
      <c r="N68" s="224">
        <f t="shared" ref="N68:N73" si="15">SUM(H68:M68)</f>
        <v>9</v>
      </c>
      <c r="O68" s="299">
        <f t="shared" ref="O68:O73" si="16">G68+N68</f>
        <v>8299</v>
      </c>
      <c r="P68" s="730" t="s">
        <v>4289</v>
      </c>
    </row>
    <row r="69" spans="1:16" ht="12.75" customHeight="1" x14ac:dyDescent="0.25">
      <c r="A69" s="387"/>
      <c r="B69" s="729" t="s">
        <v>4290</v>
      </c>
      <c r="C69" s="48" t="s">
        <v>4281</v>
      </c>
      <c r="D69" s="769" t="s">
        <v>197</v>
      </c>
      <c r="E69" s="249">
        <v>35</v>
      </c>
      <c r="F69" s="299">
        <v>251.8</v>
      </c>
      <c r="G69" s="299">
        <f t="shared" si="0"/>
        <v>8813</v>
      </c>
      <c r="H69" s="235">
        <v>9</v>
      </c>
      <c r="N69" s="224">
        <f t="shared" si="15"/>
        <v>9</v>
      </c>
      <c r="O69" s="299">
        <f t="shared" si="16"/>
        <v>8822</v>
      </c>
      <c r="P69" s="730" t="s">
        <v>4289</v>
      </c>
    </row>
    <row r="70" spans="1:16" ht="12.75" customHeight="1" x14ac:dyDescent="0.25">
      <c r="A70" s="387"/>
      <c r="B70" s="729" t="s">
        <v>4290</v>
      </c>
      <c r="C70" s="48" t="s">
        <v>4282</v>
      </c>
      <c r="D70" s="769" t="s">
        <v>197</v>
      </c>
      <c r="E70" s="249">
        <v>15</v>
      </c>
      <c r="F70" s="299">
        <v>463</v>
      </c>
      <c r="G70" s="299">
        <f t="shared" si="0"/>
        <v>6945</v>
      </c>
      <c r="H70" s="235">
        <v>9</v>
      </c>
      <c r="N70" s="224">
        <f t="shared" si="15"/>
        <v>9</v>
      </c>
      <c r="O70" s="299">
        <f t="shared" si="16"/>
        <v>6954</v>
      </c>
      <c r="P70" s="730" t="s">
        <v>4289</v>
      </c>
    </row>
    <row r="71" spans="1:16" ht="12.75" customHeight="1" x14ac:dyDescent="0.25">
      <c r="A71" s="387"/>
      <c r="B71" s="729" t="s">
        <v>4290</v>
      </c>
      <c r="C71" s="48" t="s">
        <v>4285</v>
      </c>
      <c r="D71" s="769" t="s">
        <v>197</v>
      </c>
      <c r="E71" s="249">
        <v>25</v>
      </c>
      <c r="F71" s="299">
        <v>36.9</v>
      </c>
      <c r="G71" s="299">
        <f t="shared" si="0"/>
        <v>922.5</v>
      </c>
      <c r="H71" s="235">
        <v>9</v>
      </c>
      <c r="N71" s="224">
        <f t="shared" si="15"/>
        <v>9</v>
      </c>
      <c r="O71" s="299">
        <f t="shared" si="16"/>
        <v>931.5</v>
      </c>
      <c r="P71" s="730" t="s">
        <v>4289</v>
      </c>
    </row>
    <row r="72" spans="1:16" ht="12.75" customHeight="1" x14ac:dyDescent="0.25">
      <c r="A72" s="387"/>
      <c r="B72" s="729" t="s">
        <v>4290</v>
      </c>
      <c r="C72" s="48" t="s">
        <v>4285</v>
      </c>
      <c r="D72" s="769" t="s">
        <v>197</v>
      </c>
      <c r="E72" s="249">
        <v>100</v>
      </c>
      <c r="F72" s="299">
        <v>37.65</v>
      </c>
      <c r="G72" s="299">
        <f t="shared" si="0"/>
        <v>3765</v>
      </c>
      <c r="H72" s="235">
        <v>9</v>
      </c>
      <c r="N72" s="224">
        <f t="shared" si="15"/>
        <v>9</v>
      </c>
      <c r="O72" s="299">
        <f t="shared" si="16"/>
        <v>3774</v>
      </c>
      <c r="P72" s="730" t="s">
        <v>4289</v>
      </c>
    </row>
    <row r="73" spans="1:16" ht="12.75" customHeight="1" x14ac:dyDescent="0.25">
      <c r="A73" s="387"/>
      <c r="B73" s="729" t="s">
        <v>4290</v>
      </c>
      <c r="C73" s="48" t="s">
        <v>4285</v>
      </c>
      <c r="D73" s="769" t="s">
        <v>197</v>
      </c>
      <c r="E73" s="249">
        <v>170</v>
      </c>
      <c r="F73" s="299">
        <v>37.450000000000003</v>
      </c>
      <c r="G73" s="299">
        <f t="shared" si="0"/>
        <v>6366.5000000000009</v>
      </c>
      <c r="H73" s="235">
        <v>9</v>
      </c>
      <c r="I73" s="299">
        <v>7.98</v>
      </c>
      <c r="J73" s="299">
        <v>1.65</v>
      </c>
      <c r="K73" s="299">
        <v>51</v>
      </c>
      <c r="L73" s="299">
        <v>0.05</v>
      </c>
      <c r="M73" s="299">
        <v>3.05</v>
      </c>
      <c r="N73" s="224">
        <f t="shared" si="15"/>
        <v>72.72999999999999</v>
      </c>
      <c r="O73" s="299">
        <f t="shared" si="16"/>
        <v>6439.2300000000005</v>
      </c>
      <c r="P73" s="730" t="s">
        <v>4289</v>
      </c>
    </row>
    <row r="74" spans="1:16" ht="12.75" customHeight="1" x14ac:dyDescent="0.25">
      <c r="A74" s="387"/>
      <c r="B74" s="729" t="s">
        <v>4291</v>
      </c>
      <c r="C74" s="48" t="s">
        <v>4091</v>
      </c>
      <c r="D74" s="769" t="s">
        <v>197</v>
      </c>
      <c r="E74" s="249">
        <v>50</v>
      </c>
      <c r="F74" s="299">
        <v>278.60000000000002</v>
      </c>
      <c r="G74" s="299">
        <f t="shared" si="0"/>
        <v>13930.000000000002</v>
      </c>
      <c r="H74" s="235">
        <v>9</v>
      </c>
      <c r="N74" s="224">
        <f t="shared" ref="N74:N75" si="17">SUM(H74:M74)</f>
        <v>9</v>
      </c>
      <c r="O74" s="299">
        <f t="shared" ref="O74:O75" si="18">G74+N74</f>
        <v>13939.000000000002</v>
      </c>
      <c r="P74" s="730" t="s">
        <v>4292</v>
      </c>
    </row>
    <row r="75" spans="1:16" ht="12.75" customHeight="1" x14ac:dyDescent="0.25">
      <c r="A75" s="387"/>
      <c r="B75" s="729" t="s">
        <v>4291</v>
      </c>
      <c r="C75" s="48" t="s">
        <v>4091</v>
      </c>
      <c r="D75" s="769" t="s">
        <v>197</v>
      </c>
      <c r="E75" s="249">
        <v>30</v>
      </c>
      <c r="F75" s="299">
        <v>278.64999999999998</v>
      </c>
      <c r="G75" s="299">
        <f t="shared" si="0"/>
        <v>8359.5</v>
      </c>
      <c r="N75" s="224">
        <f t="shared" si="17"/>
        <v>0</v>
      </c>
      <c r="O75" s="299">
        <f t="shared" si="18"/>
        <v>8359.5</v>
      </c>
      <c r="P75" s="730" t="s">
        <v>4292</v>
      </c>
    </row>
    <row r="76" spans="1:16" ht="12.75" customHeight="1" x14ac:dyDescent="0.25">
      <c r="A76" s="387"/>
      <c r="B76" s="729" t="s">
        <v>4295</v>
      </c>
      <c r="C76" s="48" t="s">
        <v>4091</v>
      </c>
      <c r="D76" s="769" t="s">
        <v>197</v>
      </c>
      <c r="E76" s="249">
        <v>50</v>
      </c>
      <c r="F76" s="299">
        <v>281.45</v>
      </c>
      <c r="G76" s="299">
        <f t="shared" si="0"/>
        <v>14072.5</v>
      </c>
      <c r="H76" s="235">
        <v>9</v>
      </c>
      <c r="N76" s="224">
        <f t="shared" ref="N76" si="19">SUM(H76:M76)</f>
        <v>9</v>
      </c>
      <c r="O76" s="299">
        <f t="shared" ref="O76" si="20">G76+N76</f>
        <v>14081.5</v>
      </c>
      <c r="P76" s="730" t="s">
        <v>4296</v>
      </c>
    </row>
    <row r="77" spans="1:16" ht="12.75" customHeight="1" x14ac:dyDescent="0.25">
      <c r="A77" s="387"/>
      <c r="B77" s="729" t="s">
        <v>4295</v>
      </c>
      <c r="C77" s="48" t="s">
        <v>1096</v>
      </c>
      <c r="D77" s="769" t="s">
        <v>197</v>
      </c>
      <c r="E77" s="249">
        <v>100</v>
      </c>
      <c r="F77" s="299">
        <v>74.45</v>
      </c>
      <c r="G77" s="299">
        <f t="shared" ref="G77:G146" si="21">E77*F77</f>
        <v>7445</v>
      </c>
      <c r="H77" s="235">
        <v>9</v>
      </c>
      <c r="N77" s="224">
        <f>SUM(H77:M77)</f>
        <v>9</v>
      </c>
      <c r="O77" s="299">
        <f>G77+N77</f>
        <v>7454</v>
      </c>
      <c r="P77" s="730" t="s">
        <v>4296</v>
      </c>
    </row>
    <row r="78" spans="1:16" ht="12.75" customHeight="1" x14ac:dyDescent="0.25">
      <c r="A78" s="387"/>
      <c r="B78" s="729" t="s">
        <v>4295</v>
      </c>
      <c r="C78" s="48" t="s">
        <v>1096</v>
      </c>
      <c r="D78" s="769" t="s">
        <v>197</v>
      </c>
      <c r="E78" s="249">
        <v>15</v>
      </c>
      <c r="F78" s="299">
        <v>74.2</v>
      </c>
      <c r="G78" s="299">
        <f t="shared" si="21"/>
        <v>1113</v>
      </c>
      <c r="H78" s="235">
        <v>9</v>
      </c>
      <c r="N78" s="224">
        <f>SUM(H78:M78)</f>
        <v>9</v>
      </c>
      <c r="O78" s="299">
        <f>G78+N78</f>
        <v>1122</v>
      </c>
      <c r="P78" s="730" t="s">
        <v>4296</v>
      </c>
    </row>
    <row r="79" spans="1:16" ht="12.75" customHeight="1" x14ac:dyDescent="0.25">
      <c r="A79" s="387"/>
      <c r="B79" s="729" t="s">
        <v>4295</v>
      </c>
      <c r="C79" s="48" t="s">
        <v>1096</v>
      </c>
      <c r="D79" s="769" t="s">
        <v>197</v>
      </c>
      <c r="E79" s="249">
        <v>280</v>
      </c>
      <c r="F79" s="299">
        <v>74.05</v>
      </c>
      <c r="G79" s="299">
        <f t="shared" si="21"/>
        <v>20734</v>
      </c>
      <c r="H79" s="235">
        <v>9</v>
      </c>
      <c r="N79" s="224">
        <f>SUM(H79:M79)</f>
        <v>9</v>
      </c>
      <c r="O79" s="299">
        <f>G79+N79</f>
        <v>20743</v>
      </c>
      <c r="P79" s="730" t="s">
        <v>4296</v>
      </c>
    </row>
    <row r="80" spans="1:16" ht="12.75" customHeight="1" x14ac:dyDescent="0.25">
      <c r="A80" s="387"/>
      <c r="B80" s="729" t="s">
        <v>4295</v>
      </c>
      <c r="C80" s="48" t="s">
        <v>1096</v>
      </c>
      <c r="D80" s="769" t="s">
        <v>197</v>
      </c>
      <c r="E80" s="249">
        <v>100</v>
      </c>
      <c r="F80" s="299">
        <v>74.400000000000006</v>
      </c>
      <c r="G80" s="299">
        <f t="shared" si="21"/>
        <v>7440.0000000000009</v>
      </c>
      <c r="H80" s="235">
        <v>9</v>
      </c>
      <c r="N80" s="224">
        <f>SUM(H80:M80)</f>
        <v>9</v>
      </c>
      <c r="O80" s="299">
        <f>G80+N80</f>
        <v>7449.0000000000009</v>
      </c>
      <c r="P80" s="730" t="s">
        <v>4296</v>
      </c>
    </row>
    <row r="81" spans="1:16" ht="12.75" customHeight="1" x14ac:dyDescent="0.25">
      <c r="A81" s="387"/>
      <c r="B81" s="729" t="s">
        <v>4302</v>
      </c>
      <c r="C81" s="48" t="s">
        <v>1096</v>
      </c>
      <c r="D81" s="769" t="s">
        <v>197</v>
      </c>
      <c r="E81" s="249">
        <v>205</v>
      </c>
      <c r="F81" s="299">
        <v>73.7</v>
      </c>
      <c r="G81" s="299">
        <f t="shared" si="21"/>
        <v>15108.5</v>
      </c>
      <c r="H81" s="235">
        <v>9</v>
      </c>
      <c r="N81" s="224">
        <f t="shared" ref="N81:N83" si="22">SUM(H81:M81)</f>
        <v>9</v>
      </c>
      <c r="O81" s="299">
        <f t="shared" ref="O81:O83" si="23">G81+N81</f>
        <v>15117.5</v>
      </c>
      <c r="P81" s="730" t="s">
        <v>4298</v>
      </c>
    </row>
    <row r="82" spans="1:16" ht="12.75" customHeight="1" x14ac:dyDescent="0.25">
      <c r="A82" s="387"/>
      <c r="B82" s="729" t="s">
        <v>4302</v>
      </c>
      <c r="C82" s="48" t="s">
        <v>1096</v>
      </c>
      <c r="D82" s="769" t="s">
        <v>197</v>
      </c>
      <c r="E82" s="249">
        <v>240</v>
      </c>
      <c r="F82" s="299">
        <v>74</v>
      </c>
      <c r="G82" s="299">
        <f t="shared" si="21"/>
        <v>17760</v>
      </c>
      <c r="H82" s="235">
        <v>9</v>
      </c>
      <c r="N82" s="224">
        <f t="shared" si="22"/>
        <v>9</v>
      </c>
      <c r="O82" s="299">
        <f t="shared" si="23"/>
        <v>17769</v>
      </c>
      <c r="P82" s="730" t="s">
        <v>4298</v>
      </c>
    </row>
    <row r="83" spans="1:16" ht="12.75" customHeight="1" x14ac:dyDescent="0.25">
      <c r="A83" s="387"/>
      <c r="B83" s="729" t="s">
        <v>4302</v>
      </c>
      <c r="C83" s="48" t="s">
        <v>4285</v>
      </c>
      <c r="D83" s="769" t="s">
        <v>197</v>
      </c>
      <c r="E83" s="249">
        <v>550</v>
      </c>
      <c r="F83" s="299">
        <v>35.4</v>
      </c>
      <c r="G83" s="299">
        <f t="shared" si="21"/>
        <v>19470</v>
      </c>
      <c r="H83" s="235">
        <v>9</v>
      </c>
      <c r="I83" s="299">
        <v>7.08</v>
      </c>
      <c r="J83" s="299">
        <v>3.4</v>
      </c>
      <c r="K83" s="299">
        <v>105</v>
      </c>
      <c r="L83" s="299">
        <v>0.1</v>
      </c>
      <c r="M83" s="299">
        <v>6.28</v>
      </c>
      <c r="N83" s="224">
        <f t="shared" si="22"/>
        <v>130.85999999999999</v>
      </c>
      <c r="O83" s="299">
        <f t="shared" si="23"/>
        <v>19600.86</v>
      </c>
      <c r="P83" s="730" t="s">
        <v>4298</v>
      </c>
    </row>
    <row r="84" spans="1:16" ht="12.75" customHeight="1" x14ac:dyDescent="0.25">
      <c r="A84" s="387"/>
      <c r="B84" s="729" t="s">
        <v>4301</v>
      </c>
      <c r="C84" s="48" t="s">
        <v>4299</v>
      </c>
      <c r="D84" s="769" t="s">
        <v>197</v>
      </c>
      <c r="E84" s="249">
        <v>40</v>
      </c>
      <c r="F84" s="299">
        <v>654</v>
      </c>
      <c r="G84" s="299">
        <f t="shared" si="21"/>
        <v>26160</v>
      </c>
      <c r="H84" s="235">
        <v>9</v>
      </c>
      <c r="N84" s="224">
        <f t="shared" ref="N84:N87" si="24">SUM(H84:M84)</f>
        <v>9</v>
      </c>
      <c r="O84" s="299">
        <f t="shared" ref="O84:O87" si="25">G84+N84</f>
        <v>26169</v>
      </c>
      <c r="P84" s="730" t="s">
        <v>4303</v>
      </c>
    </row>
    <row r="85" spans="1:16" ht="12.75" customHeight="1" x14ac:dyDescent="0.25">
      <c r="A85" s="387"/>
      <c r="B85" s="729" t="s">
        <v>4301</v>
      </c>
      <c r="C85" s="48" t="s">
        <v>4299</v>
      </c>
      <c r="D85" s="769" t="s">
        <v>197</v>
      </c>
      <c r="E85" s="249">
        <v>30</v>
      </c>
      <c r="F85" s="299">
        <v>631</v>
      </c>
      <c r="G85" s="299">
        <f t="shared" si="21"/>
        <v>18930</v>
      </c>
      <c r="N85" s="224">
        <f t="shared" si="24"/>
        <v>0</v>
      </c>
      <c r="O85" s="299">
        <f t="shared" si="25"/>
        <v>18930</v>
      </c>
      <c r="P85" s="730" t="s">
        <v>4303</v>
      </c>
    </row>
    <row r="86" spans="1:16" ht="12.75" customHeight="1" x14ac:dyDescent="0.25">
      <c r="A86" s="387"/>
      <c r="B86" s="729" t="s">
        <v>4301</v>
      </c>
      <c r="C86" s="48" t="s">
        <v>4299</v>
      </c>
      <c r="D86" s="769" t="s">
        <v>197</v>
      </c>
      <c r="E86" s="249">
        <v>50</v>
      </c>
      <c r="F86" s="299">
        <v>653.75</v>
      </c>
      <c r="G86" s="299">
        <f t="shared" si="21"/>
        <v>32687.5</v>
      </c>
      <c r="N86" s="224">
        <f t="shared" si="24"/>
        <v>0</v>
      </c>
      <c r="O86" s="299">
        <f t="shared" si="25"/>
        <v>32687.5</v>
      </c>
      <c r="P86" s="730" t="s">
        <v>4303</v>
      </c>
    </row>
    <row r="87" spans="1:16" ht="12.75" customHeight="1" x14ac:dyDescent="0.25">
      <c r="A87" s="387"/>
      <c r="B87" s="729" t="s">
        <v>4301</v>
      </c>
      <c r="C87" s="48" t="s">
        <v>4299</v>
      </c>
      <c r="D87" s="769" t="s">
        <v>197</v>
      </c>
      <c r="E87" s="249">
        <v>10</v>
      </c>
      <c r="F87" s="299">
        <v>652</v>
      </c>
      <c r="G87" s="299">
        <f t="shared" si="21"/>
        <v>6520</v>
      </c>
      <c r="I87" s="299">
        <v>2.74</v>
      </c>
      <c r="J87" s="299">
        <v>4.24</v>
      </c>
      <c r="K87" s="299">
        <v>121</v>
      </c>
      <c r="L87" s="299">
        <v>0.12</v>
      </c>
      <c r="M87" s="299">
        <v>7.27</v>
      </c>
      <c r="N87" s="224">
        <f t="shared" si="24"/>
        <v>135.37</v>
      </c>
      <c r="O87" s="299">
        <f t="shared" si="25"/>
        <v>6655.37</v>
      </c>
      <c r="P87" s="730" t="s">
        <v>4303</v>
      </c>
    </row>
    <row r="88" spans="1:16" ht="12.75" customHeight="1" x14ac:dyDescent="0.25">
      <c r="A88" s="387"/>
      <c r="B88" s="729" t="s">
        <v>4300</v>
      </c>
      <c r="C88" s="53" t="s">
        <v>4299</v>
      </c>
      <c r="D88" s="769" t="s">
        <v>197</v>
      </c>
      <c r="E88" s="249">
        <v>10</v>
      </c>
      <c r="F88" s="762">
        <v>693</v>
      </c>
      <c r="G88" s="299">
        <f t="shared" si="21"/>
        <v>6930</v>
      </c>
      <c r="N88" s="224">
        <f t="shared" ref="N88:N89" si="26">SUM(H88:M88)</f>
        <v>0</v>
      </c>
      <c r="O88" s="299">
        <f t="shared" ref="O88:O89" si="27">G88+N88</f>
        <v>6930</v>
      </c>
      <c r="P88" s="730" t="s">
        <v>4307</v>
      </c>
    </row>
    <row r="89" spans="1:16" ht="12.75" customHeight="1" x14ac:dyDescent="0.25">
      <c r="A89" s="387"/>
      <c r="B89" s="729" t="s">
        <v>4300</v>
      </c>
      <c r="C89" s="53" t="s">
        <v>4299</v>
      </c>
      <c r="D89" s="769" t="s">
        <v>197</v>
      </c>
      <c r="E89" s="249">
        <v>60</v>
      </c>
      <c r="F89" s="299">
        <v>693.75</v>
      </c>
      <c r="G89" s="299">
        <f t="shared" si="21"/>
        <v>41625</v>
      </c>
      <c r="H89" s="235">
        <v>9</v>
      </c>
      <c r="I89" s="299">
        <v>1.32</v>
      </c>
      <c r="J89" s="299">
        <v>1.7</v>
      </c>
      <c r="K89" s="299">
        <v>49</v>
      </c>
      <c r="L89" s="299">
        <v>0.05</v>
      </c>
      <c r="M89" s="299">
        <v>2.91</v>
      </c>
      <c r="N89" s="224">
        <f t="shared" si="26"/>
        <v>63.97999999999999</v>
      </c>
      <c r="O89" s="299">
        <f t="shared" si="27"/>
        <v>41688.980000000003</v>
      </c>
      <c r="P89" s="730" t="s">
        <v>4307</v>
      </c>
    </row>
    <row r="90" spans="1:16" ht="12.75" customHeight="1" x14ac:dyDescent="0.25">
      <c r="A90" s="387"/>
      <c r="B90" s="729" t="s">
        <v>4317</v>
      </c>
      <c r="C90" s="53" t="s">
        <v>310</v>
      </c>
      <c r="D90" s="769" t="s">
        <v>197</v>
      </c>
      <c r="E90" s="249">
        <v>41</v>
      </c>
      <c r="F90" s="299">
        <v>397.45</v>
      </c>
      <c r="G90" s="299">
        <f t="shared" si="21"/>
        <v>16295.449999999999</v>
      </c>
      <c r="N90" s="224">
        <f t="shared" ref="N90:N98" si="28">SUM(H90:M90)</f>
        <v>0</v>
      </c>
      <c r="O90" s="299">
        <f t="shared" ref="O90:O101" si="29">G90+N90</f>
        <v>16295.449999999999</v>
      </c>
      <c r="P90" s="730" t="s">
        <v>4314</v>
      </c>
    </row>
    <row r="91" spans="1:16" ht="12.75" customHeight="1" x14ac:dyDescent="0.25">
      <c r="A91" s="387"/>
      <c r="B91" s="729" t="s">
        <v>4317</v>
      </c>
      <c r="C91" s="53" t="s">
        <v>310</v>
      </c>
      <c r="D91" s="769" t="s">
        <v>197</v>
      </c>
      <c r="E91" s="249">
        <v>31</v>
      </c>
      <c r="F91" s="299">
        <v>396.6</v>
      </c>
      <c r="G91" s="299">
        <f t="shared" si="21"/>
        <v>12294.6</v>
      </c>
      <c r="H91" s="235">
        <v>9</v>
      </c>
      <c r="N91" s="224">
        <f t="shared" si="28"/>
        <v>9</v>
      </c>
      <c r="O91" s="299">
        <f t="shared" si="29"/>
        <v>12303.6</v>
      </c>
      <c r="P91" s="730" t="s">
        <v>4314</v>
      </c>
    </row>
    <row r="92" spans="1:16" ht="12.75" customHeight="1" x14ac:dyDescent="0.25">
      <c r="A92" s="387"/>
      <c r="B92" s="729" t="s">
        <v>4317</v>
      </c>
      <c r="C92" s="53" t="s">
        <v>310</v>
      </c>
      <c r="D92" s="769" t="s">
        <v>197</v>
      </c>
      <c r="E92" s="249">
        <v>4</v>
      </c>
      <c r="F92" s="299">
        <v>399</v>
      </c>
      <c r="G92" s="299">
        <f t="shared" si="21"/>
        <v>1596</v>
      </c>
      <c r="H92" s="235">
        <v>9</v>
      </c>
      <c r="N92" s="224">
        <f t="shared" si="28"/>
        <v>9</v>
      </c>
      <c r="O92" s="299">
        <f t="shared" si="29"/>
        <v>1605</v>
      </c>
      <c r="P92" s="730" t="s">
        <v>4314</v>
      </c>
    </row>
    <row r="93" spans="1:16" ht="12.75" customHeight="1" x14ac:dyDescent="0.25">
      <c r="A93" s="387"/>
      <c r="B93" s="729" t="s">
        <v>4317</v>
      </c>
      <c r="C93" s="53" t="s">
        <v>310</v>
      </c>
      <c r="D93" s="769" t="s">
        <v>197</v>
      </c>
      <c r="E93" s="249">
        <v>26</v>
      </c>
      <c r="F93" s="299">
        <v>398.95</v>
      </c>
      <c r="G93" s="299">
        <f t="shared" si="21"/>
        <v>10372.699999999999</v>
      </c>
      <c r="H93" s="235">
        <v>9</v>
      </c>
      <c r="N93" s="224">
        <f t="shared" si="28"/>
        <v>9</v>
      </c>
      <c r="O93" s="299">
        <f t="shared" si="29"/>
        <v>10381.699999999999</v>
      </c>
      <c r="P93" s="730" t="s">
        <v>4314</v>
      </c>
    </row>
    <row r="94" spans="1:16" ht="12.75" customHeight="1" x14ac:dyDescent="0.25">
      <c r="A94" s="387"/>
      <c r="B94" s="729" t="s">
        <v>4317</v>
      </c>
      <c r="C94" s="53" t="s">
        <v>310</v>
      </c>
      <c r="D94" s="769" t="s">
        <v>197</v>
      </c>
      <c r="E94" s="249">
        <v>8</v>
      </c>
      <c r="F94" s="299">
        <v>396.75</v>
      </c>
      <c r="G94" s="299">
        <f t="shared" si="21"/>
        <v>3174</v>
      </c>
      <c r="H94" s="235">
        <v>9</v>
      </c>
      <c r="N94" s="224">
        <f t="shared" si="28"/>
        <v>9</v>
      </c>
      <c r="O94" s="299">
        <f t="shared" si="29"/>
        <v>3183</v>
      </c>
      <c r="P94" s="730" t="s">
        <v>4314</v>
      </c>
    </row>
    <row r="95" spans="1:16" ht="12.75" customHeight="1" x14ac:dyDescent="0.25">
      <c r="A95" s="387"/>
      <c r="B95" s="729" t="s">
        <v>4317</v>
      </c>
      <c r="C95" s="53" t="s">
        <v>4281</v>
      </c>
      <c r="D95" s="769" t="s">
        <v>197</v>
      </c>
      <c r="E95" s="249">
        <v>50</v>
      </c>
      <c r="F95" s="299">
        <v>245.95</v>
      </c>
      <c r="G95" s="299">
        <f t="shared" si="21"/>
        <v>12297.5</v>
      </c>
      <c r="N95" s="224">
        <f t="shared" si="28"/>
        <v>0</v>
      </c>
      <c r="O95" s="299">
        <f t="shared" si="29"/>
        <v>12297.5</v>
      </c>
      <c r="P95" s="730" t="s">
        <v>4314</v>
      </c>
    </row>
    <row r="96" spans="1:16" ht="12.75" customHeight="1" x14ac:dyDescent="0.25">
      <c r="A96" s="387"/>
      <c r="B96" s="729" t="s">
        <v>4317</v>
      </c>
      <c r="C96" s="53" t="s">
        <v>4281</v>
      </c>
      <c r="D96" s="769" t="s">
        <v>197</v>
      </c>
      <c r="E96" s="249">
        <v>130</v>
      </c>
      <c r="F96" s="299">
        <v>245.6</v>
      </c>
      <c r="G96" s="299">
        <f t="shared" si="21"/>
        <v>31928</v>
      </c>
      <c r="H96" s="235">
        <v>9</v>
      </c>
      <c r="N96" s="224">
        <f t="shared" si="28"/>
        <v>9</v>
      </c>
      <c r="O96" s="299">
        <f t="shared" si="29"/>
        <v>31937</v>
      </c>
      <c r="P96" s="730" t="s">
        <v>4314</v>
      </c>
    </row>
    <row r="97" spans="1:16" ht="12.75" customHeight="1" x14ac:dyDescent="0.25">
      <c r="A97" s="387"/>
      <c r="B97" s="729" t="s">
        <v>4317</v>
      </c>
      <c r="C97" s="53" t="s">
        <v>4224</v>
      </c>
      <c r="D97" s="769" t="s">
        <v>197</v>
      </c>
      <c r="E97" s="249">
        <v>3</v>
      </c>
      <c r="F97" s="299">
        <v>768.5</v>
      </c>
      <c r="G97" s="299">
        <f t="shared" si="21"/>
        <v>2305.5</v>
      </c>
      <c r="N97" s="224">
        <f t="shared" si="28"/>
        <v>0</v>
      </c>
      <c r="O97" s="299">
        <f t="shared" si="29"/>
        <v>2305.5</v>
      </c>
      <c r="P97" s="730" t="s">
        <v>4314</v>
      </c>
    </row>
    <row r="98" spans="1:16" ht="12.75" customHeight="1" x14ac:dyDescent="0.25">
      <c r="A98" s="387"/>
      <c r="B98" s="729" t="s">
        <v>4317</v>
      </c>
      <c r="C98" s="53" t="s">
        <v>4224</v>
      </c>
      <c r="D98" s="769" t="s">
        <v>197</v>
      </c>
      <c r="E98" s="249">
        <v>50</v>
      </c>
      <c r="F98" s="299">
        <v>768</v>
      </c>
      <c r="G98" s="299">
        <f t="shared" si="21"/>
        <v>38400</v>
      </c>
      <c r="H98" s="235">
        <v>9</v>
      </c>
      <c r="I98" s="299">
        <v>7.18</v>
      </c>
      <c r="J98" s="299">
        <v>4.18</v>
      </c>
      <c r="K98" s="299">
        <v>129</v>
      </c>
      <c r="L98" s="299">
        <v>0.13</v>
      </c>
      <c r="M98" s="299">
        <v>7.72</v>
      </c>
      <c r="N98" s="224">
        <f t="shared" si="28"/>
        <v>157.21</v>
      </c>
      <c r="O98" s="299">
        <f t="shared" si="29"/>
        <v>38557.21</v>
      </c>
      <c r="P98" s="730" t="s">
        <v>4314</v>
      </c>
    </row>
    <row r="99" spans="1:16" ht="12.75" customHeight="1" x14ac:dyDescent="0.25">
      <c r="B99" s="477" t="s">
        <v>4313</v>
      </c>
      <c r="C99" s="782" t="s">
        <v>4281</v>
      </c>
      <c r="D99" s="731" t="s">
        <v>197</v>
      </c>
      <c r="E99" s="249">
        <v>20</v>
      </c>
      <c r="F99" s="299">
        <v>242.1</v>
      </c>
      <c r="G99" s="299">
        <f t="shared" si="21"/>
        <v>4842</v>
      </c>
      <c r="H99" s="235">
        <v>9</v>
      </c>
      <c r="N99" s="224">
        <f t="shared" ref="N99:N100" si="30">SUM(H99:M99)</f>
        <v>9</v>
      </c>
      <c r="O99" s="299">
        <f t="shared" si="29"/>
        <v>4851</v>
      </c>
      <c r="P99" s="730" t="s">
        <v>4316</v>
      </c>
    </row>
    <row r="100" spans="1:16" ht="12.75" customHeight="1" x14ac:dyDescent="0.25">
      <c r="B100" s="477" t="s">
        <v>4313</v>
      </c>
      <c r="C100" s="782" t="s">
        <v>4315</v>
      </c>
      <c r="D100" s="731" t="s">
        <v>197</v>
      </c>
      <c r="E100" s="249">
        <v>100</v>
      </c>
      <c r="F100" s="299">
        <v>447</v>
      </c>
      <c r="G100" s="299">
        <f t="shared" si="21"/>
        <v>44700</v>
      </c>
      <c r="H100" s="235">
        <v>9</v>
      </c>
      <c r="I100" s="299">
        <v>4.97</v>
      </c>
      <c r="J100" s="299">
        <v>4.32</v>
      </c>
      <c r="K100" s="299">
        <v>133</v>
      </c>
      <c r="L100" s="299">
        <v>0.13</v>
      </c>
      <c r="M100" s="299">
        <v>7.98</v>
      </c>
      <c r="N100" s="224">
        <f t="shared" si="30"/>
        <v>159.39999999999998</v>
      </c>
      <c r="O100" s="299">
        <f t="shared" si="29"/>
        <v>44859.4</v>
      </c>
      <c r="P100" s="730" t="s">
        <v>4316</v>
      </c>
    </row>
    <row r="101" spans="1:16" ht="12.75" customHeight="1" x14ac:dyDescent="0.25">
      <c r="B101" s="729" t="s">
        <v>4318</v>
      </c>
      <c r="C101" s="782" t="s">
        <v>4315</v>
      </c>
      <c r="D101" s="731" t="s">
        <v>197</v>
      </c>
      <c r="E101" s="249">
        <v>40</v>
      </c>
      <c r="F101" s="299">
        <v>448</v>
      </c>
      <c r="G101" s="299">
        <f t="shared" si="21"/>
        <v>17920</v>
      </c>
      <c r="H101" s="235">
        <v>9</v>
      </c>
      <c r="I101" s="299">
        <v>1.18</v>
      </c>
      <c r="J101" s="299">
        <v>0.57999999999999996</v>
      </c>
      <c r="K101" s="299">
        <v>18</v>
      </c>
      <c r="L101" s="299">
        <v>0.02</v>
      </c>
      <c r="M101" s="299">
        <v>1.08</v>
      </c>
      <c r="N101" s="224">
        <f t="shared" ref="N101" si="31">SUM(H101:M101)</f>
        <v>29.86</v>
      </c>
      <c r="O101" s="299">
        <f t="shared" si="29"/>
        <v>17949.86</v>
      </c>
      <c r="P101" s="730" t="s">
        <v>4319</v>
      </c>
    </row>
    <row r="102" spans="1:16" ht="12.75" customHeight="1" x14ac:dyDescent="0.25">
      <c r="B102" s="729" t="s">
        <v>4320</v>
      </c>
      <c r="C102" s="782" t="s">
        <v>4299</v>
      </c>
      <c r="D102" s="731" t="s">
        <v>197</v>
      </c>
      <c r="E102" s="249">
        <v>60</v>
      </c>
      <c r="F102" s="299">
        <v>797.25</v>
      </c>
      <c r="G102" s="299">
        <f t="shared" si="21"/>
        <v>47835</v>
      </c>
      <c r="H102" s="235">
        <v>9</v>
      </c>
      <c r="I102" s="299">
        <v>1.32</v>
      </c>
      <c r="J102" s="299">
        <v>1.67</v>
      </c>
      <c r="K102" s="299">
        <v>48</v>
      </c>
      <c r="L102" s="299">
        <v>0.05</v>
      </c>
      <c r="M102" s="299">
        <v>2.87</v>
      </c>
      <c r="N102" s="224">
        <f t="shared" ref="N102:N106" si="32">SUM(H102:M102)</f>
        <v>62.91</v>
      </c>
      <c r="O102" s="299">
        <f t="shared" ref="O102:O123" si="33">G102+N102</f>
        <v>47897.91</v>
      </c>
      <c r="P102" s="730" t="s">
        <v>4322</v>
      </c>
    </row>
    <row r="103" spans="1:16" ht="12.75" customHeight="1" x14ac:dyDescent="0.25">
      <c r="B103" s="729" t="s">
        <v>4323</v>
      </c>
      <c r="C103" s="782" t="s">
        <v>4224</v>
      </c>
      <c r="D103" s="731" t="s">
        <v>197</v>
      </c>
      <c r="E103" s="249">
        <v>58</v>
      </c>
      <c r="F103" s="299">
        <v>822</v>
      </c>
      <c r="G103" s="299">
        <f t="shared" si="21"/>
        <v>47676</v>
      </c>
      <c r="H103" s="235">
        <v>9</v>
      </c>
      <c r="N103" s="224">
        <f t="shared" si="32"/>
        <v>9</v>
      </c>
      <c r="O103" s="299">
        <f t="shared" si="33"/>
        <v>47685</v>
      </c>
      <c r="P103" s="730" t="s">
        <v>4327</v>
      </c>
    </row>
    <row r="104" spans="1:16" ht="12.75" customHeight="1" x14ac:dyDescent="0.25">
      <c r="B104" s="729" t="s">
        <v>4323</v>
      </c>
      <c r="C104" s="782" t="s">
        <v>4224</v>
      </c>
      <c r="D104" s="731" t="s">
        <v>197</v>
      </c>
      <c r="E104" s="249">
        <v>102</v>
      </c>
      <c r="F104" s="299">
        <v>820</v>
      </c>
      <c r="G104" s="299">
        <f t="shared" si="21"/>
        <v>83640</v>
      </c>
      <c r="H104" s="235">
        <v>9</v>
      </c>
      <c r="N104" s="224">
        <f t="shared" si="32"/>
        <v>9</v>
      </c>
      <c r="O104" s="299">
        <f t="shared" si="33"/>
        <v>83649</v>
      </c>
      <c r="P104" s="730" t="s">
        <v>4327</v>
      </c>
    </row>
    <row r="105" spans="1:16" ht="12.75" customHeight="1" x14ac:dyDescent="0.25">
      <c r="B105" s="729" t="s">
        <v>4329</v>
      </c>
      <c r="C105" s="782" t="s">
        <v>4330</v>
      </c>
      <c r="D105" s="731" t="s">
        <v>197</v>
      </c>
      <c r="E105" s="249">
        <v>144</v>
      </c>
      <c r="F105" s="299">
        <v>353</v>
      </c>
      <c r="G105" s="299">
        <f t="shared" si="21"/>
        <v>50832</v>
      </c>
      <c r="H105" s="235">
        <v>9</v>
      </c>
      <c r="N105" s="60">
        <f t="shared" si="32"/>
        <v>9</v>
      </c>
      <c r="O105" s="531">
        <f t="shared" si="33"/>
        <v>50841</v>
      </c>
      <c r="P105" s="730" t="s">
        <v>4331</v>
      </c>
    </row>
    <row r="106" spans="1:16" ht="12.75" customHeight="1" x14ac:dyDescent="0.25">
      <c r="B106" s="729" t="s">
        <v>4328</v>
      </c>
      <c r="C106" s="782" t="s">
        <v>4224</v>
      </c>
      <c r="D106" s="731" t="s">
        <v>197</v>
      </c>
      <c r="E106" s="249">
        <v>50</v>
      </c>
      <c r="F106" s="299">
        <v>812.5</v>
      </c>
      <c r="G106" s="299">
        <f t="shared" si="21"/>
        <v>40625</v>
      </c>
      <c r="H106" s="235">
        <v>9</v>
      </c>
      <c r="N106" s="60">
        <f t="shared" si="32"/>
        <v>9</v>
      </c>
      <c r="O106" s="531">
        <f t="shared" si="33"/>
        <v>40634</v>
      </c>
      <c r="P106" s="730" t="s">
        <v>4332</v>
      </c>
    </row>
    <row r="107" spans="1:16" ht="12.75" customHeight="1" x14ac:dyDescent="0.25">
      <c r="B107" s="729" t="s">
        <v>4328</v>
      </c>
      <c r="C107" s="782" t="s">
        <v>4224</v>
      </c>
      <c r="D107" s="731" t="s">
        <v>197</v>
      </c>
      <c r="E107" s="249">
        <v>10</v>
      </c>
      <c r="F107" s="299">
        <v>811.3</v>
      </c>
      <c r="G107" s="299">
        <f t="shared" si="21"/>
        <v>8113</v>
      </c>
      <c r="I107" s="299">
        <v>2.61</v>
      </c>
      <c r="J107" s="299">
        <v>3.19</v>
      </c>
      <c r="K107" s="299">
        <v>98</v>
      </c>
      <c r="L107" s="299">
        <v>0.1</v>
      </c>
      <c r="M107" s="299">
        <v>5.89</v>
      </c>
      <c r="N107" s="60">
        <f t="shared" ref="N107" si="34">SUM(H107:M107)</f>
        <v>109.78999999999999</v>
      </c>
      <c r="O107" s="531">
        <f t="shared" si="33"/>
        <v>8222.7900000000009</v>
      </c>
      <c r="P107" s="730" t="s">
        <v>4332</v>
      </c>
    </row>
    <row r="108" spans="1:16" ht="12.75" customHeight="1" x14ac:dyDescent="0.25">
      <c r="B108" s="729" t="s">
        <v>4333</v>
      </c>
      <c r="C108" s="782" t="s">
        <v>4224</v>
      </c>
      <c r="D108" s="731" t="s">
        <v>197</v>
      </c>
      <c r="E108" s="249">
        <v>59</v>
      </c>
      <c r="F108" s="299">
        <v>781.65</v>
      </c>
      <c r="G108" s="299">
        <f>E108*F108</f>
        <v>46117.35</v>
      </c>
      <c r="H108" s="235">
        <v>9</v>
      </c>
      <c r="N108" s="60">
        <f>SUM(H108:M108)</f>
        <v>9</v>
      </c>
      <c r="O108" s="531">
        <f t="shared" si="33"/>
        <v>46126.35</v>
      </c>
      <c r="P108" s="730" t="s">
        <v>4334</v>
      </c>
    </row>
    <row r="109" spans="1:16" ht="12.75" customHeight="1" x14ac:dyDescent="0.25">
      <c r="B109" s="729" t="s">
        <v>4333</v>
      </c>
      <c r="C109" s="782" t="s">
        <v>4285</v>
      </c>
      <c r="D109" s="731" t="s">
        <v>197</v>
      </c>
      <c r="E109" s="249">
        <v>1440</v>
      </c>
      <c r="F109" s="299">
        <v>32.700000000000003</v>
      </c>
      <c r="G109" s="299">
        <f t="shared" si="21"/>
        <v>47088.000000000007</v>
      </c>
      <c r="H109" s="235">
        <v>9</v>
      </c>
      <c r="I109" s="299">
        <v>5.19</v>
      </c>
      <c r="J109" s="299">
        <v>6.04</v>
      </c>
      <c r="K109" s="299">
        <v>24</v>
      </c>
      <c r="L109" s="299">
        <v>0.19</v>
      </c>
      <c r="M109" s="299">
        <v>11.15</v>
      </c>
      <c r="N109" s="60">
        <f t="shared" ref="N109" si="35">SUM(H109:M109)</f>
        <v>55.57</v>
      </c>
      <c r="O109" s="531">
        <f t="shared" si="33"/>
        <v>47143.570000000007</v>
      </c>
      <c r="P109" s="730" t="s">
        <v>4334</v>
      </c>
    </row>
    <row r="110" spans="1:16" ht="12.75" customHeight="1" x14ac:dyDescent="0.25">
      <c r="B110" s="729" t="s">
        <v>4335</v>
      </c>
      <c r="C110" s="782" t="s">
        <v>4315</v>
      </c>
      <c r="D110" s="731" t="s">
        <v>197</v>
      </c>
      <c r="E110" s="249">
        <v>130</v>
      </c>
      <c r="F110" s="299">
        <v>467.15</v>
      </c>
      <c r="G110" s="299">
        <f t="shared" si="21"/>
        <v>60729.5</v>
      </c>
      <c r="H110" s="235">
        <v>9</v>
      </c>
      <c r="I110" s="299">
        <v>2.71</v>
      </c>
      <c r="J110" s="299">
        <v>3.96</v>
      </c>
      <c r="K110" s="299">
        <v>122</v>
      </c>
      <c r="L110" s="299">
        <v>0.12</v>
      </c>
      <c r="M110" s="299">
        <v>7.31</v>
      </c>
      <c r="N110" s="60">
        <f t="shared" ref="N110" si="36">SUM(H110:M110)</f>
        <v>145.10000000000002</v>
      </c>
      <c r="O110" s="531">
        <f t="shared" si="33"/>
        <v>60874.6</v>
      </c>
      <c r="P110" s="730" t="s">
        <v>4336</v>
      </c>
    </row>
    <row r="111" spans="1:16" ht="12.75" customHeight="1" x14ac:dyDescent="0.25">
      <c r="A111" s="387"/>
      <c r="B111" s="729" t="s">
        <v>4337</v>
      </c>
      <c r="C111" s="53" t="s">
        <v>4285</v>
      </c>
      <c r="D111" s="769" t="s">
        <v>197</v>
      </c>
      <c r="E111" s="249">
        <v>1300</v>
      </c>
      <c r="F111" s="299">
        <v>32.15</v>
      </c>
      <c r="G111" s="299">
        <f t="shared" si="21"/>
        <v>41795</v>
      </c>
      <c r="H111" s="235">
        <v>9</v>
      </c>
      <c r="N111" s="60">
        <f t="shared" ref="N111:N116" si="37">SUM(H111:M111)</f>
        <v>9</v>
      </c>
      <c r="O111" s="531">
        <f t="shared" si="33"/>
        <v>41804</v>
      </c>
      <c r="P111" s="730" t="s">
        <v>4340</v>
      </c>
    </row>
    <row r="112" spans="1:16" ht="12.75" customHeight="1" x14ac:dyDescent="0.25">
      <c r="A112" s="387"/>
      <c r="B112" s="729" t="s">
        <v>4337</v>
      </c>
      <c r="C112" s="53" t="s">
        <v>4285</v>
      </c>
      <c r="D112" s="769" t="s">
        <v>197</v>
      </c>
      <c r="E112" s="249">
        <v>1850</v>
      </c>
      <c r="F112" s="299">
        <v>33.700000000000003</v>
      </c>
      <c r="G112" s="299">
        <f t="shared" si="21"/>
        <v>62345.000000000007</v>
      </c>
      <c r="N112" s="60">
        <f t="shared" si="37"/>
        <v>0</v>
      </c>
      <c r="O112" s="531">
        <f t="shared" si="33"/>
        <v>62345.000000000007</v>
      </c>
      <c r="P112" s="730" t="s">
        <v>4340</v>
      </c>
    </row>
    <row r="113" spans="1:16" ht="12.75" customHeight="1" x14ac:dyDescent="0.25">
      <c r="A113" s="387"/>
      <c r="B113" s="729" t="s">
        <v>4337</v>
      </c>
      <c r="C113" s="53" t="s">
        <v>4285</v>
      </c>
      <c r="D113" s="769" t="s">
        <v>197</v>
      </c>
      <c r="E113" s="249">
        <v>500</v>
      </c>
      <c r="F113" s="299">
        <v>32.1</v>
      </c>
      <c r="G113" s="299">
        <f t="shared" si="21"/>
        <v>16050</v>
      </c>
      <c r="H113" s="235">
        <v>9</v>
      </c>
      <c r="I113" s="299">
        <v>6.13</v>
      </c>
      <c r="J113" s="299">
        <v>7.82</v>
      </c>
      <c r="K113" s="299">
        <v>241</v>
      </c>
      <c r="L113" s="299">
        <v>0.24</v>
      </c>
      <c r="M113" s="299">
        <v>14.44</v>
      </c>
      <c r="N113" s="60">
        <f t="shared" si="37"/>
        <v>278.63</v>
      </c>
      <c r="O113" s="531">
        <f t="shared" si="33"/>
        <v>16328.63</v>
      </c>
      <c r="P113" s="730" t="s">
        <v>4340</v>
      </c>
    </row>
    <row r="114" spans="1:16" ht="12.75" customHeight="1" x14ac:dyDescent="0.25">
      <c r="A114" s="387"/>
      <c r="B114" s="729" t="s">
        <v>4338</v>
      </c>
      <c r="C114" s="53" t="s">
        <v>4315</v>
      </c>
      <c r="D114" s="769" t="s">
        <v>197</v>
      </c>
      <c r="E114" s="249">
        <v>250</v>
      </c>
      <c r="F114" s="299">
        <v>477</v>
      </c>
      <c r="G114" s="299">
        <f t="shared" si="21"/>
        <v>119250</v>
      </c>
      <c r="H114" s="235">
        <v>9</v>
      </c>
      <c r="N114" s="60">
        <f t="shared" si="37"/>
        <v>9</v>
      </c>
      <c r="O114" s="531">
        <f t="shared" si="33"/>
        <v>119259</v>
      </c>
      <c r="P114" s="730" t="s">
        <v>4339</v>
      </c>
    </row>
    <row r="115" spans="1:16" ht="12.75" customHeight="1" x14ac:dyDescent="0.25">
      <c r="A115" s="387"/>
      <c r="B115" s="729" t="s">
        <v>4341</v>
      </c>
      <c r="C115" s="48" t="s">
        <v>4342</v>
      </c>
      <c r="D115" s="769" t="s">
        <v>197</v>
      </c>
      <c r="E115" s="249">
        <v>140</v>
      </c>
      <c r="F115" s="299">
        <v>209.9</v>
      </c>
      <c r="G115" s="299">
        <f t="shared" si="21"/>
        <v>29386</v>
      </c>
      <c r="H115" s="235">
        <v>9</v>
      </c>
      <c r="N115" s="224">
        <f t="shared" si="37"/>
        <v>9</v>
      </c>
      <c r="O115" s="531">
        <f t="shared" si="33"/>
        <v>29395</v>
      </c>
      <c r="P115" s="730" t="s">
        <v>4343</v>
      </c>
    </row>
    <row r="116" spans="1:16" ht="12.75" customHeight="1" x14ac:dyDescent="0.25">
      <c r="A116" s="387"/>
      <c r="B116" s="729" t="s">
        <v>4341</v>
      </c>
      <c r="C116" s="48" t="s">
        <v>4344</v>
      </c>
      <c r="D116" s="769" t="s">
        <v>197</v>
      </c>
      <c r="E116" s="249">
        <v>230</v>
      </c>
      <c r="F116" s="299">
        <v>131</v>
      </c>
      <c r="G116" s="299">
        <f t="shared" si="21"/>
        <v>30130</v>
      </c>
      <c r="H116" s="235">
        <v>9</v>
      </c>
      <c r="I116" s="299">
        <v>1.41</v>
      </c>
      <c r="J116" s="299">
        <v>1.05</v>
      </c>
      <c r="K116" s="299">
        <v>30</v>
      </c>
      <c r="L116" s="299">
        <v>0.03</v>
      </c>
      <c r="M116" s="299">
        <v>1.81</v>
      </c>
      <c r="N116" s="224">
        <f t="shared" si="37"/>
        <v>43.300000000000004</v>
      </c>
      <c r="O116" s="531">
        <f t="shared" si="33"/>
        <v>30173.3</v>
      </c>
      <c r="P116" s="730" t="s">
        <v>4345</v>
      </c>
    </row>
    <row r="117" spans="1:16" ht="12.75" customHeight="1" x14ac:dyDescent="0.25">
      <c r="A117" s="387"/>
      <c r="B117" s="729" t="s">
        <v>4350</v>
      </c>
      <c r="C117" s="53" t="s">
        <v>4224</v>
      </c>
      <c r="D117" s="769" t="s">
        <v>197</v>
      </c>
      <c r="E117" s="249">
        <v>15</v>
      </c>
      <c r="F117" s="299">
        <v>726</v>
      </c>
      <c r="G117" s="299">
        <f t="shared" si="21"/>
        <v>10890</v>
      </c>
      <c r="N117" s="224">
        <f t="shared" ref="N117:N123" si="38">SUM(H117:M117)</f>
        <v>0</v>
      </c>
      <c r="O117" s="531">
        <f t="shared" si="33"/>
        <v>10890</v>
      </c>
      <c r="P117" s="730" t="s">
        <v>4352</v>
      </c>
    </row>
    <row r="118" spans="1:16" ht="12.75" customHeight="1" x14ac:dyDescent="0.25">
      <c r="A118" s="387"/>
      <c r="B118" s="729" t="s">
        <v>4350</v>
      </c>
      <c r="C118" s="53" t="s">
        <v>4224</v>
      </c>
      <c r="D118" s="769" t="s">
        <v>197</v>
      </c>
      <c r="E118" s="249">
        <v>25</v>
      </c>
      <c r="F118" s="299">
        <v>725.8</v>
      </c>
      <c r="G118" s="299">
        <f t="shared" si="21"/>
        <v>18145</v>
      </c>
      <c r="H118" s="235">
        <v>9</v>
      </c>
      <c r="N118" s="224">
        <f t="shared" si="38"/>
        <v>9</v>
      </c>
      <c r="O118" s="531">
        <f t="shared" si="33"/>
        <v>18154</v>
      </c>
      <c r="P118" s="730" t="s">
        <v>4352</v>
      </c>
    </row>
    <row r="119" spans="1:16" ht="12.75" customHeight="1" x14ac:dyDescent="0.25">
      <c r="A119" s="387"/>
      <c r="B119" s="729" t="s">
        <v>4350</v>
      </c>
      <c r="C119" s="53" t="s">
        <v>4315</v>
      </c>
      <c r="D119" s="769" t="s">
        <v>197</v>
      </c>
      <c r="E119" s="249">
        <v>8</v>
      </c>
      <c r="F119" s="299">
        <v>466</v>
      </c>
      <c r="G119" s="299">
        <f t="shared" si="21"/>
        <v>3728</v>
      </c>
      <c r="H119" s="235">
        <v>9</v>
      </c>
      <c r="N119" s="224">
        <f t="shared" si="38"/>
        <v>9</v>
      </c>
      <c r="O119" s="531">
        <f t="shared" si="33"/>
        <v>3737</v>
      </c>
      <c r="P119" s="730" t="s">
        <v>4352</v>
      </c>
    </row>
    <row r="120" spans="1:16" ht="12.75" customHeight="1" x14ac:dyDescent="0.25">
      <c r="B120" s="729" t="s">
        <v>4350</v>
      </c>
      <c r="C120" s="782" t="s">
        <v>4315</v>
      </c>
      <c r="D120" s="731" t="s">
        <v>197</v>
      </c>
      <c r="E120" s="249">
        <v>40</v>
      </c>
      <c r="F120" s="299">
        <v>468.9</v>
      </c>
      <c r="G120" s="299">
        <f t="shared" ref="G120" si="39">E120*F120</f>
        <v>18756</v>
      </c>
      <c r="H120" s="235">
        <v>9</v>
      </c>
      <c r="N120" s="224">
        <f t="shared" ref="N120" si="40">SUM(H120:M120)</f>
        <v>9</v>
      </c>
      <c r="O120" s="531">
        <f t="shared" ref="O120" si="41">G120+N120</f>
        <v>18765</v>
      </c>
      <c r="P120" s="730" t="s">
        <v>4352</v>
      </c>
    </row>
    <row r="121" spans="1:16" ht="12.75" customHeight="1" x14ac:dyDescent="0.25">
      <c r="A121" s="387"/>
      <c r="B121" s="729" t="s">
        <v>4350</v>
      </c>
      <c r="C121" s="782" t="s">
        <v>4351</v>
      </c>
      <c r="D121" s="731" t="s">
        <v>197</v>
      </c>
      <c r="E121" s="249">
        <v>115</v>
      </c>
      <c r="F121" s="299">
        <v>202.5</v>
      </c>
      <c r="G121" s="299">
        <f t="shared" si="21"/>
        <v>23287.5</v>
      </c>
      <c r="H121" s="235">
        <v>9</v>
      </c>
      <c r="N121" s="224">
        <f t="shared" si="38"/>
        <v>9</v>
      </c>
      <c r="O121" s="531">
        <f t="shared" si="33"/>
        <v>23296.5</v>
      </c>
      <c r="P121" s="730" t="s">
        <v>4352</v>
      </c>
    </row>
    <row r="122" spans="1:16" ht="12.75" customHeight="1" x14ac:dyDescent="0.25">
      <c r="B122" s="729" t="s">
        <v>4350</v>
      </c>
      <c r="C122" s="782" t="s">
        <v>4351</v>
      </c>
      <c r="D122" s="731" t="s">
        <v>197</v>
      </c>
      <c r="E122" s="249">
        <v>35</v>
      </c>
      <c r="F122" s="299">
        <v>202.5</v>
      </c>
      <c r="G122" s="299">
        <f t="shared" si="21"/>
        <v>7087.5</v>
      </c>
      <c r="H122" s="235">
        <v>9</v>
      </c>
      <c r="N122" s="224">
        <f t="shared" si="38"/>
        <v>9</v>
      </c>
      <c r="O122" s="531">
        <f t="shared" si="33"/>
        <v>7096.5</v>
      </c>
      <c r="P122" s="730" t="s">
        <v>4352</v>
      </c>
    </row>
    <row r="123" spans="1:16" ht="12.75" customHeight="1" x14ac:dyDescent="0.25">
      <c r="B123" s="729" t="s">
        <v>4350</v>
      </c>
      <c r="C123" s="782" t="s">
        <v>4351</v>
      </c>
      <c r="D123" s="731" t="s">
        <v>197</v>
      </c>
      <c r="E123" s="249">
        <v>115</v>
      </c>
      <c r="F123" s="299">
        <v>193.8</v>
      </c>
      <c r="G123" s="299">
        <f t="shared" si="21"/>
        <v>22287</v>
      </c>
      <c r="N123" s="224">
        <f t="shared" si="38"/>
        <v>0</v>
      </c>
      <c r="O123" s="531">
        <f t="shared" si="33"/>
        <v>22287</v>
      </c>
      <c r="P123" s="730" t="s">
        <v>4352</v>
      </c>
    </row>
    <row r="124" spans="1:16" ht="12.75" customHeight="1" x14ac:dyDescent="0.25">
      <c r="B124" s="729" t="s">
        <v>4354</v>
      </c>
      <c r="C124" s="782" t="s">
        <v>3460</v>
      </c>
      <c r="D124" s="731" t="s">
        <v>197</v>
      </c>
      <c r="E124" s="249">
        <v>80</v>
      </c>
      <c r="F124" s="299">
        <v>307.3</v>
      </c>
      <c r="G124" s="299">
        <f t="shared" si="21"/>
        <v>24584</v>
      </c>
      <c r="H124" s="235">
        <v>9</v>
      </c>
      <c r="I124" s="299">
        <v>2.75</v>
      </c>
      <c r="J124" s="299">
        <v>1.64</v>
      </c>
      <c r="K124" s="299">
        <v>51</v>
      </c>
      <c r="L124" s="299">
        <v>0.05</v>
      </c>
      <c r="M124" s="299">
        <v>3.03</v>
      </c>
      <c r="N124" s="224">
        <f t="shared" ref="N124" si="42">SUM(H124:M124)</f>
        <v>67.47</v>
      </c>
      <c r="O124" s="531">
        <f t="shared" ref="O124" si="43">G124+N124</f>
        <v>24651.47</v>
      </c>
      <c r="P124" s="730" t="s">
        <v>4355</v>
      </c>
    </row>
    <row r="125" spans="1:16" ht="12.75" customHeight="1" x14ac:dyDescent="0.25">
      <c r="B125" s="729" t="s">
        <v>4356</v>
      </c>
      <c r="C125" s="782" t="s">
        <v>4315</v>
      </c>
      <c r="D125" s="731" t="s">
        <v>197</v>
      </c>
      <c r="E125" s="249">
        <v>55</v>
      </c>
      <c r="F125" s="299">
        <v>435.95</v>
      </c>
      <c r="G125" s="299">
        <f t="shared" si="21"/>
        <v>23977.25</v>
      </c>
      <c r="H125" s="235">
        <v>9</v>
      </c>
      <c r="N125" s="224">
        <f t="shared" ref="N125:N127" si="44">SUM(H125:M125)</f>
        <v>9</v>
      </c>
      <c r="O125" s="531">
        <f t="shared" ref="O125:O127" si="45">G125+N125</f>
        <v>23986.25</v>
      </c>
      <c r="P125" s="730" t="s">
        <v>4357</v>
      </c>
    </row>
    <row r="126" spans="1:16" ht="12.75" customHeight="1" x14ac:dyDescent="0.25">
      <c r="B126" s="729" t="s">
        <v>4356</v>
      </c>
      <c r="C126" s="782" t="s">
        <v>4315</v>
      </c>
      <c r="D126" s="731" t="s">
        <v>197</v>
      </c>
      <c r="E126" s="249">
        <v>1</v>
      </c>
      <c r="F126" s="299">
        <v>435.75</v>
      </c>
      <c r="G126" s="299">
        <f t="shared" si="21"/>
        <v>435.75</v>
      </c>
      <c r="H126" s="235">
        <v>9</v>
      </c>
      <c r="N126" s="224">
        <f t="shared" si="44"/>
        <v>9</v>
      </c>
      <c r="O126" s="531">
        <f t="shared" si="45"/>
        <v>444.75</v>
      </c>
      <c r="P126" s="730" t="s">
        <v>4357</v>
      </c>
    </row>
    <row r="127" spans="1:16" ht="12.75" customHeight="1" x14ac:dyDescent="0.25">
      <c r="B127" s="729" t="s">
        <v>4358</v>
      </c>
      <c r="C127" s="782" t="s">
        <v>4315</v>
      </c>
      <c r="D127" s="731" t="s">
        <v>197</v>
      </c>
      <c r="E127" s="249">
        <v>60</v>
      </c>
      <c r="F127" s="299">
        <v>467.95</v>
      </c>
      <c r="G127" s="299">
        <f t="shared" si="21"/>
        <v>28077</v>
      </c>
      <c r="H127" s="235">
        <v>9</v>
      </c>
      <c r="N127" s="224">
        <f t="shared" si="44"/>
        <v>9</v>
      </c>
      <c r="O127" s="299">
        <f t="shared" si="45"/>
        <v>28086</v>
      </c>
      <c r="P127" s="730" t="s">
        <v>4360</v>
      </c>
    </row>
    <row r="128" spans="1:16" ht="12.75" customHeight="1" x14ac:dyDescent="0.25">
      <c r="B128" s="729" t="s">
        <v>4358</v>
      </c>
      <c r="C128" s="782" t="s">
        <v>4315</v>
      </c>
      <c r="D128" s="731" t="s">
        <v>197</v>
      </c>
      <c r="E128" s="249">
        <v>1</v>
      </c>
      <c r="F128" s="299">
        <v>488</v>
      </c>
      <c r="G128" s="299">
        <f>E128*F128</f>
        <v>488</v>
      </c>
      <c r="N128" s="224">
        <f>SUM(H128:M128)</f>
        <v>0</v>
      </c>
      <c r="O128" s="299">
        <f>G128+N128</f>
        <v>488</v>
      </c>
      <c r="P128" s="730" t="s">
        <v>4360</v>
      </c>
    </row>
    <row r="129" spans="2:16" ht="12.75" customHeight="1" x14ac:dyDescent="0.25">
      <c r="B129" s="729" t="s">
        <v>4358</v>
      </c>
      <c r="C129" s="782" t="s">
        <v>4315</v>
      </c>
      <c r="D129" s="731" t="s">
        <v>197</v>
      </c>
      <c r="E129" s="249">
        <v>64</v>
      </c>
      <c r="F129" s="299">
        <v>488</v>
      </c>
      <c r="G129" s="299">
        <f t="shared" si="21"/>
        <v>31232</v>
      </c>
      <c r="N129" s="224">
        <f t="shared" ref="N129:N131" si="46">SUM(H129:M129)</f>
        <v>0</v>
      </c>
      <c r="O129" s="299">
        <f t="shared" ref="O129:O131" si="47">G129+N129</f>
        <v>31232</v>
      </c>
      <c r="P129" s="730" t="s">
        <v>4360</v>
      </c>
    </row>
    <row r="130" spans="2:16" ht="12.75" customHeight="1" x14ac:dyDescent="0.25">
      <c r="B130" s="729" t="s">
        <v>4358</v>
      </c>
      <c r="C130" s="782" t="s">
        <v>4359</v>
      </c>
      <c r="D130" s="731" t="s">
        <v>197</v>
      </c>
      <c r="E130" s="249">
        <v>33</v>
      </c>
      <c r="F130" s="299">
        <v>857</v>
      </c>
      <c r="G130" s="299">
        <f t="shared" si="21"/>
        <v>28281</v>
      </c>
      <c r="H130" s="235">
        <v>9</v>
      </c>
      <c r="N130" s="224">
        <f t="shared" si="46"/>
        <v>9</v>
      </c>
      <c r="O130" s="299">
        <f t="shared" si="47"/>
        <v>28290</v>
      </c>
      <c r="P130" s="730" t="s">
        <v>4360</v>
      </c>
    </row>
    <row r="131" spans="2:16" ht="12.75" customHeight="1" x14ac:dyDescent="0.25">
      <c r="B131" s="729" t="s">
        <v>4358</v>
      </c>
      <c r="C131" s="782" t="s">
        <v>4285</v>
      </c>
      <c r="D131" s="731" t="s">
        <v>197</v>
      </c>
      <c r="E131" s="249">
        <v>800</v>
      </c>
      <c r="F131" s="299">
        <v>36.25</v>
      </c>
      <c r="G131" s="299">
        <f t="shared" si="21"/>
        <v>29000</v>
      </c>
      <c r="H131" s="235">
        <v>9</v>
      </c>
      <c r="I131" s="299">
        <v>9.8800000000000008</v>
      </c>
      <c r="J131" s="299">
        <v>7.59</v>
      </c>
      <c r="K131" s="299">
        <v>83</v>
      </c>
      <c r="L131" s="299">
        <v>0.23</v>
      </c>
      <c r="M131" s="299">
        <v>14.01</v>
      </c>
      <c r="N131" s="224">
        <f t="shared" si="46"/>
        <v>123.71000000000001</v>
      </c>
      <c r="O131" s="299">
        <f t="shared" si="47"/>
        <v>29123.71</v>
      </c>
      <c r="P131" s="730" t="s">
        <v>4360</v>
      </c>
    </row>
    <row r="132" spans="2:16" ht="12.75" customHeight="1" x14ac:dyDescent="0.25">
      <c r="B132" s="729" t="s">
        <v>4362</v>
      </c>
      <c r="C132" s="782" t="s">
        <v>4359</v>
      </c>
      <c r="D132" s="731" t="s">
        <v>197</v>
      </c>
      <c r="E132" s="249">
        <v>40</v>
      </c>
      <c r="F132" s="299">
        <v>861.65</v>
      </c>
      <c r="G132" s="299">
        <f t="shared" si="21"/>
        <v>34466</v>
      </c>
      <c r="H132" s="235">
        <v>9</v>
      </c>
      <c r="N132" s="224">
        <f t="shared" ref="N132:N134" si="48">SUM(H132:M132)</f>
        <v>9</v>
      </c>
      <c r="O132" s="299">
        <f t="shared" ref="O132:O134" si="49">G132+N132</f>
        <v>34475</v>
      </c>
      <c r="P132" s="730" t="s">
        <v>4363</v>
      </c>
    </row>
    <row r="133" spans="2:16" ht="12.75" customHeight="1" x14ac:dyDescent="0.25">
      <c r="B133" s="729" t="s">
        <v>4362</v>
      </c>
      <c r="C133" s="782" t="s">
        <v>4299</v>
      </c>
      <c r="D133" s="731" t="s">
        <v>197</v>
      </c>
      <c r="E133" s="249">
        <v>3</v>
      </c>
      <c r="F133" s="299">
        <v>960</v>
      </c>
      <c r="G133" s="299">
        <f t="shared" si="21"/>
        <v>2880</v>
      </c>
      <c r="H133" s="235">
        <v>9</v>
      </c>
      <c r="N133" s="224">
        <f t="shared" si="48"/>
        <v>9</v>
      </c>
      <c r="O133" s="299">
        <f t="shared" si="49"/>
        <v>2889</v>
      </c>
      <c r="P133" s="730" t="s">
        <v>4364</v>
      </c>
    </row>
    <row r="134" spans="2:16" ht="12.75" customHeight="1" x14ac:dyDescent="0.25">
      <c r="B134" s="729" t="s">
        <v>4362</v>
      </c>
      <c r="C134" s="782" t="s">
        <v>4299</v>
      </c>
      <c r="D134" s="731" t="s">
        <v>197</v>
      </c>
      <c r="E134" s="249">
        <v>65</v>
      </c>
      <c r="F134" s="299">
        <v>958</v>
      </c>
      <c r="G134" s="299">
        <f t="shared" si="21"/>
        <v>62270</v>
      </c>
      <c r="H134" s="235">
        <v>9</v>
      </c>
      <c r="I134" s="299">
        <v>2.84</v>
      </c>
      <c r="J134" s="299">
        <v>2.2799999999999998</v>
      </c>
      <c r="K134" s="299">
        <v>65</v>
      </c>
      <c r="L134" s="299">
        <v>7.0000000000000007E-2</v>
      </c>
      <c r="M134" s="299">
        <v>3.91</v>
      </c>
      <c r="N134" s="224">
        <f t="shared" si="48"/>
        <v>83.1</v>
      </c>
      <c r="O134" s="299">
        <f t="shared" si="49"/>
        <v>62353.1</v>
      </c>
      <c r="P134" s="730" t="s">
        <v>4364</v>
      </c>
    </row>
    <row r="135" spans="2:16" ht="12.75" customHeight="1" x14ac:dyDescent="0.25">
      <c r="B135" s="729" t="s">
        <v>4365</v>
      </c>
      <c r="C135" s="782" t="s">
        <v>4367</v>
      </c>
      <c r="D135" s="731" t="s">
        <v>197</v>
      </c>
      <c r="E135" s="249">
        <v>35</v>
      </c>
      <c r="F135" s="299">
        <v>242</v>
      </c>
      <c r="G135" s="299">
        <f t="shared" si="21"/>
        <v>8470</v>
      </c>
      <c r="H135" s="235">
        <v>9</v>
      </c>
      <c r="N135" s="224">
        <f t="shared" ref="N135:N142" si="50">SUM(H135:M135)</f>
        <v>9</v>
      </c>
      <c r="O135" s="299">
        <f t="shared" ref="O135:O157" si="51">G135+N135</f>
        <v>8479</v>
      </c>
      <c r="P135" s="730" t="s">
        <v>4368</v>
      </c>
    </row>
    <row r="136" spans="2:16" ht="12.75" customHeight="1" x14ac:dyDescent="0.25">
      <c r="B136" s="729" t="s">
        <v>4365</v>
      </c>
      <c r="C136" s="782" t="s">
        <v>4367</v>
      </c>
      <c r="D136" s="731" t="s">
        <v>197</v>
      </c>
      <c r="E136" s="249">
        <v>135</v>
      </c>
      <c r="F136" s="299">
        <v>242.1</v>
      </c>
      <c r="G136" s="299">
        <f t="shared" si="21"/>
        <v>32683.5</v>
      </c>
      <c r="N136" s="224">
        <f t="shared" si="50"/>
        <v>0</v>
      </c>
      <c r="O136" s="299">
        <f t="shared" si="51"/>
        <v>32683.5</v>
      </c>
      <c r="P136" s="730" t="s">
        <v>4368</v>
      </c>
    </row>
    <row r="137" spans="2:16" ht="12.75" customHeight="1" x14ac:dyDescent="0.25">
      <c r="B137" s="729" t="s">
        <v>4365</v>
      </c>
      <c r="C137" s="782" t="s">
        <v>4367</v>
      </c>
      <c r="D137" s="731" t="s">
        <v>197</v>
      </c>
      <c r="E137" s="249">
        <v>65</v>
      </c>
      <c r="F137" s="299">
        <v>242</v>
      </c>
      <c r="G137" s="299">
        <f t="shared" si="21"/>
        <v>15730</v>
      </c>
      <c r="N137" s="224">
        <f t="shared" si="50"/>
        <v>0</v>
      </c>
      <c r="O137" s="299">
        <f t="shared" si="51"/>
        <v>15730</v>
      </c>
      <c r="P137" s="730" t="s">
        <v>4368</v>
      </c>
    </row>
    <row r="138" spans="2:16" ht="12.75" customHeight="1" x14ac:dyDescent="0.25">
      <c r="B138" s="729" t="s">
        <v>4365</v>
      </c>
      <c r="C138" s="782" t="s">
        <v>4351</v>
      </c>
      <c r="D138" s="731" t="s">
        <v>197</v>
      </c>
      <c r="E138" s="249">
        <v>160</v>
      </c>
      <c r="F138" s="299">
        <v>187</v>
      </c>
      <c r="G138" s="299">
        <f t="shared" si="21"/>
        <v>29920</v>
      </c>
      <c r="H138" s="235">
        <v>9</v>
      </c>
      <c r="N138" s="224">
        <f t="shared" si="50"/>
        <v>9</v>
      </c>
      <c r="O138" s="299">
        <f t="shared" si="51"/>
        <v>29929</v>
      </c>
      <c r="P138" s="730" t="s">
        <v>4368</v>
      </c>
    </row>
    <row r="139" spans="2:16" ht="12.75" customHeight="1" x14ac:dyDescent="0.25">
      <c r="B139" s="729" t="s">
        <v>4365</v>
      </c>
      <c r="C139" s="782" t="s">
        <v>4359</v>
      </c>
      <c r="D139" s="731" t="s">
        <v>197</v>
      </c>
      <c r="E139" s="249">
        <v>22</v>
      </c>
      <c r="F139" s="299">
        <v>865</v>
      </c>
      <c r="G139" s="299">
        <f t="shared" si="21"/>
        <v>19030</v>
      </c>
      <c r="N139" s="224">
        <f t="shared" si="50"/>
        <v>0</v>
      </c>
      <c r="O139" s="299">
        <f t="shared" si="51"/>
        <v>19030</v>
      </c>
      <c r="P139" s="730" t="s">
        <v>4368</v>
      </c>
    </row>
    <row r="140" spans="2:16" ht="12.75" customHeight="1" x14ac:dyDescent="0.25">
      <c r="B140" s="729" t="s">
        <v>4365</v>
      </c>
      <c r="C140" s="782" t="s">
        <v>4359</v>
      </c>
      <c r="D140" s="731" t="s">
        <v>197</v>
      </c>
      <c r="E140" s="249">
        <v>40</v>
      </c>
      <c r="F140" s="299">
        <v>867.7</v>
      </c>
      <c r="G140" s="299">
        <f t="shared" si="21"/>
        <v>34708</v>
      </c>
      <c r="N140" s="224">
        <f t="shared" si="50"/>
        <v>0</v>
      </c>
      <c r="O140" s="299">
        <f t="shared" si="51"/>
        <v>34708</v>
      </c>
      <c r="P140" s="730" t="s">
        <v>4368</v>
      </c>
    </row>
    <row r="141" spans="2:16" ht="12.75" customHeight="1" x14ac:dyDescent="0.25">
      <c r="B141" s="729" t="s">
        <v>4365</v>
      </c>
      <c r="C141" s="782" t="s">
        <v>4359</v>
      </c>
      <c r="D141" s="731" t="s">
        <v>197</v>
      </c>
      <c r="E141" s="249">
        <v>5</v>
      </c>
      <c r="F141" s="299">
        <v>865</v>
      </c>
      <c r="G141" s="299">
        <f t="shared" si="21"/>
        <v>4325</v>
      </c>
      <c r="H141" s="235">
        <v>9</v>
      </c>
      <c r="N141" s="224">
        <f t="shared" si="50"/>
        <v>9</v>
      </c>
      <c r="O141" s="299">
        <f t="shared" si="51"/>
        <v>4334</v>
      </c>
      <c r="P141" s="730" t="s">
        <v>4368</v>
      </c>
    </row>
    <row r="142" spans="2:16" ht="12.75" customHeight="1" x14ac:dyDescent="0.25">
      <c r="B142" s="729" t="s">
        <v>4365</v>
      </c>
      <c r="C142" s="782" t="s">
        <v>4359</v>
      </c>
      <c r="D142" s="731" t="s">
        <v>197</v>
      </c>
      <c r="E142" s="249">
        <v>13</v>
      </c>
      <c r="F142" s="299">
        <v>864.9</v>
      </c>
      <c r="G142" s="299">
        <f t="shared" si="21"/>
        <v>11243.699999999999</v>
      </c>
      <c r="H142" s="235">
        <v>9</v>
      </c>
      <c r="I142" s="299">
        <v>12.45</v>
      </c>
      <c r="J142" s="299">
        <v>7.92</v>
      </c>
      <c r="K142" s="299">
        <v>176</v>
      </c>
      <c r="L142" s="299">
        <v>0.24</v>
      </c>
      <c r="M142" s="299">
        <v>14.61</v>
      </c>
      <c r="N142" s="224">
        <f t="shared" si="50"/>
        <v>220.22000000000003</v>
      </c>
      <c r="O142" s="299">
        <f t="shared" si="51"/>
        <v>11463.919999999998</v>
      </c>
      <c r="P142" s="730" t="s">
        <v>4368</v>
      </c>
    </row>
    <row r="143" spans="2:16" ht="12.75" customHeight="1" x14ac:dyDescent="0.25">
      <c r="B143" s="729" t="s">
        <v>4369</v>
      </c>
      <c r="C143" s="782" t="s">
        <v>4370</v>
      </c>
      <c r="D143" s="731" t="s">
        <v>197</v>
      </c>
      <c r="E143" s="249">
        <v>185</v>
      </c>
      <c r="F143" s="299">
        <v>54.9</v>
      </c>
      <c r="G143" s="299">
        <f t="shared" si="21"/>
        <v>10156.5</v>
      </c>
      <c r="N143" s="224">
        <f t="shared" ref="N143:N146" si="52">SUM(H143:M143)</f>
        <v>0</v>
      </c>
      <c r="O143" s="299">
        <f t="shared" si="51"/>
        <v>10156.5</v>
      </c>
      <c r="P143" s="730" t="s">
        <v>4371</v>
      </c>
    </row>
    <row r="144" spans="2:16" ht="12.75" customHeight="1" x14ac:dyDescent="0.25">
      <c r="B144" s="729" t="s">
        <v>4369</v>
      </c>
      <c r="C144" s="782" t="s">
        <v>4370</v>
      </c>
      <c r="D144" s="731" t="s">
        <v>197</v>
      </c>
      <c r="E144" s="249">
        <v>515</v>
      </c>
      <c r="F144" s="299">
        <v>54.95</v>
      </c>
      <c r="G144" s="299">
        <f t="shared" si="21"/>
        <v>28299.25</v>
      </c>
      <c r="H144" s="235">
        <v>9</v>
      </c>
      <c r="N144" s="224">
        <f t="shared" si="52"/>
        <v>9</v>
      </c>
      <c r="O144" s="299">
        <f t="shared" si="51"/>
        <v>28308.25</v>
      </c>
      <c r="P144" s="730" t="s">
        <v>4371</v>
      </c>
    </row>
    <row r="145" spans="1:16" ht="12.75" customHeight="1" x14ac:dyDescent="0.25">
      <c r="B145" s="729" t="s">
        <v>4369</v>
      </c>
      <c r="C145" s="782" t="s">
        <v>4224</v>
      </c>
      <c r="D145" s="731" t="s">
        <v>197</v>
      </c>
      <c r="E145" s="249">
        <v>45</v>
      </c>
      <c r="F145" s="299">
        <v>869.5</v>
      </c>
      <c r="G145" s="299">
        <f t="shared" si="21"/>
        <v>39127.5</v>
      </c>
      <c r="H145" s="235">
        <v>9</v>
      </c>
      <c r="N145" s="224">
        <f t="shared" si="52"/>
        <v>9</v>
      </c>
      <c r="O145" s="299">
        <f t="shared" si="51"/>
        <v>39136.5</v>
      </c>
      <c r="P145" s="730" t="s">
        <v>4371</v>
      </c>
    </row>
    <row r="146" spans="1:16" ht="12.75" customHeight="1" x14ac:dyDescent="0.25">
      <c r="B146" s="729" t="s">
        <v>4369</v>
      </c>
      <c r="C146" s="782" t="s">
        <v>4351</v>
      </c>
      <c r="D146" s="731" t="s">
        <v>197</v>
      </c>
      <c r="E146" s="249">
        <v>20</v>
      </c>
      <c r="F146" s="299">
        <v>189</v>
      </c>
      <c r="G146" s="299">
        <f t="shared" si="21"/>
        <v>3780</v>
      </c>
      <c r="H146" s="235">
        <v>9</v>
      </c>
      <c r="N146" s="224">
        <f t="shared" si="52"/>
        <v>9</v>
      </c>
      <c r="O146" s="299">
        <f t="shared" si="51"/>
        <v>3789</v>
      </c>
      <c r="P146" s="730" t="s">
        <v>4371</v>
      </c>
    </row>
    <row r="147" spans="1:16" ht="12.75" customHeight="1" x14ac:dyDescent="0.25">
      <c r="B147" s="729" t="s">
        <v>4372</v>
      </c>
      <c r="C147" s="782" t="s">
        <v>4370</v>
      </c>
      <c r="D147" s="731" t="s">
        <v>197</v>
      </c>
      <c r="E147" s="249">
        <v>520</v>
      </c>
      <c r="F147" s="299">
        <v>56.2</v>
      </c>
      <c r="G147" s="299">
        <f t="shared" ref="G147:G194" si="53">E147*F147</f>
        <v>29224</v>
      </c>
      <c r="H147" s="235">
        <v>9</v>
      </c>
      <c r="N147" s="224">
        <f t="shared" ref="N147:N157" si="54">SUM(H147:M147)</f>
        <v>9</v>
      </c>
      <c r="O147" s="299">
        <f t="shared" si="51"/>
        <v>29233</v>
      </c>
      <c r="P147" s="730" t="s">
        <v>4373</v>
      </c>
    </row>
    <row r="148" spans="1:16" ht="12.75" customHeight="1" x14ac:dyDescent="0.25">
      <c r="B148" s="729" t="s">
        <v>4372</v>
      </c>
      <c r="C148" s="782" t="s">
        <v>4370</v>
      </c>
      <c r="D148" s="731" t="s">
        <v>197</v>
      </c>
      <c r="E148" s="249">
        <v>260</v>
      </c>
      <c r="F148" s="299">
        <v>56.4</v>
      </c>
      <c r="G148" s="299">
        <f t="shared" si="53"/>
        <v>14664</v>
      </c>
      <c r="H148" s="235">
        <v>9</v>
      </c>
      <c r="N148" s="224">
        <f t="shared" si="54"/>
        <v>9</v>
      </c>
      <c r="O148" s="299">
        <f t="shared" si="51"/>
        <v>14673</v>
      </c>
      <c r="P148" s="730" t="s">
        <v>4373</v>
      </c>
    </row>
    <row r="149" spans="1:16" ht="12.75" customHeight="1" x14ac:dyDescent="0.25">
      <c r="B149" s="729" t="s">
        <v>4372</v>
      </c>
      <c r="C149" s="782" t="s">
        <v>4370</v>
      </c>
      <c r="D149" s="731" t="s">
        <v>197</v>
      </c>
      <c r="E149" s="249">
        <v>50</v>
      </c>
      <c r="F149" s="299">
        <v>56.35</v>
      </c>
      <c r="G149" s="299">
        <f t="shared" si="53"/>
        <v>2817.5</v>
      </c>
      <c r="H149" s="235">
        <v>9</v>
      </c>
      <c r="N149" s="224">
        <f t="shared" si="54"/>
        <v>9</v>
      </c>
      <c r="O149" s="299">
        <f t="shared" si="51"/>
        <v>2826.5</v>
      </c>
      <c r="P149" s="730" t="s">
        <v>4373</v>
      </c>
    </row>
    <row r="150" spans="1:16" ht="12.75" customHeight="1" x14ac:dyDescent="0.25">
      <c r="B150" s="729" t="s">
        <v>4372</v>
      </c>
      <c r="C150" s="782" t="s">
        <v>4370</v>
      </c>
      <c r="D150" s="731" t="s">
        <v>197</v>
      </c>
      <c r="E150" s="249">
        <v>830</v>
      </c>
      <c r="F150" s="299">
        <v>56.35</v>
      </c>
      <c r="G150" s="299">
        <f t="shared" si="53"/>
        <v>46770.5</v>
      </c>
      <c r="H150" s="235">
        <v>9</v>
      </c>
      <c r="N150" s="224">
        <f t="shared" si="54"/>
        <v>9</v>
      </c>
      <c r="O150" s="299">
        <f t="shared" si="51"/>
        <v>46779.5</v>
      </c>
      <c r="P150" s="730" t="s">
        <v>4373</v>
      </c>
    </row>
    <row r="151" spans="1:16" ht="12.75" customHeight="1" x14ac:dyDescent="0.25">
      <c r="B151" s="729" t="s">
        <v>4372</v>
      </c>
      <c r="C151" s="782" t="s">
        <v>4370</v>
      </c>
      <c r="D151" s="731" t="s">
        <v>197</v>
      </c>
      <c r="E151" s="249">
        <v>100</v>
      </c>
      <c r="F151" s="299">
        <v>56.45</v>
      </c>
      <c r="G151" s="299">
        <f t="shared" si="53"/>
        <v>5645</v>
      </c>
      <c r="H151" s="235">
        <v>9</v>
      </c>
      <c r="N151" s="224">
        <f t="shared" si="54"/>
        <v>9</v>
      </c>
      <c r="O151" s="299">
        <f t="shared" si="51"/>
        <v>5654</v>
      </c>
      <c r="P151" s="730" t="s">
        <v>4373</v>
      </c>
    </row>
    <row r="152" spans="1:16" ht="12.75" customHeight="1" x14ac:dyDescent="0.25">
      <c r="B152" s="729" t="s">
        <v>4372</v>
      </c>
      <c r="C152" s="782" t="s">
        <v>4370</v>
      </c>
      <c r="D152" s="731" t="s">
        <v>197</v>
      </c>
      <c r="E152" s="249">
        <v>24</v>
      </c>
      <c r="F152" s="299">
        <v>56.65</v>
      </c>
      <c r="G152" s="299">
        <f t="shared" si="53"/>
        <v>1359.6</v>
      </c>
      <c r="H152" s="235">
        <v>9</v>
      </c>
      <c r="N152" s="224">
        <f t="shared" si="54"/>
        <v>9</v>
      </c>
      <c r="O152" s="299">
        <f t="shared" si="51"/>
        <v>1368.6</v>
      </c>
      <c r="P152" s="730" t="s">
        <v>4373</v>
      </c>
    </row>
    <row r="153" spans="1:16" ht="12.75" customHeight="1" x14ac:dyDescent="0.25">
      <c r="B153" s="729" t="s">
        <v>4372</v>
      </c>
      <c r="C153" s="782" t="s">
        <v>4370</v>
      </c>
      <c r="D153" s="731" t="s">
        <v>197</v>
      </c>
      <c r="E153" s="249">
        <v>46</v>
      </c>
      <c r="F153" s="299">
        <v>56.7</v>
      </c>
      <c r="G153" s="299">
        <f t="shared" si="53"/>
        <v>2608.2000000000003</v>
      </c>
      <c r="H153" s="235">
        <v>9</v>
      </c>
      <c r="N153" s="224">
        <f t="shared" si="54"/>
        <v>9</v>
      </c>
      <c r="O153" s="299">
        <f t="shared" si="51"/>
        <v>2617.2000000000003</v>
      </c>
      <c r="P153" s="730" t="s">
        <v>4373</v>
      </c>
    </row>
    <row r="154" spans="1:16" ht="12.75" customHeight="1" x14ac:dyDescent="0.25">
      <c r="B154" s="729" t="s">
        <v>4372</v>
      </c>
      <c r="C154" s="782" t="s">
        <v>4285</v>
      </c>
      <c r="D154" s="731" t="s">
        <v>197</v>
      </c>
      <c r="E154" s="249">
        <v>810</v>
      </c>
      <c r="F154" s="299">
        <v>37.299999999999997</v>
      </c>
      <c r="G154" s="299">
        <f t="shared" si="53"/>
        <v>30212.999999999996</v>
      </c>
      <c r="H154" s="235">
        <v>9</v>
      </c>
      <c r="N154" s="224">
        <f t="shared" si="54"/>
        <v>9</v>
      </c>
      <c r="O154" s="299">
        <f t="shared" si="51"/>
        <v>30221.999999999996</v>
      </c>
      <c r="P154" s="730" t="s">
        <v>4373</v>
      </c>
    </row>
    <row r="155" spans="1:16" ht="12.75" customHeight="1" x14ac:dyDescent="0.25">
      <c r="B155" s="729" t="s">
        <v>4372</v>
      </c>
      <c r="C155" s="782" t="s">
        <v>4285</v>
      </c>
      <c r="D155" s="731" t="s">
        <v>197</v>
      </c>
      <c r="E155" s="249">
        <v>800</v>
      </c>
      <c r="F155" s="299">
        <v>37.5</v>
      </c>
      <c r="G155" s="299">
        <f t="shared" si="53"/>
        <v>30000</v>
      </c>
      <c r="H155" s="235">
        <v>9</v>
      </c>
      <c r="N155" s="224">
        <f t="shared" si="54"/>
        <v>9</v>
      </c>
      <c r="O155" s="299">
        <f t="shared" si="51"/>
        <v>30009</v>
      </c>
      <c r="P155" s="730" t="s">
        <v>4373</v>
      </c>
    </row>
    <row r="156" spans="1:16" s="231" customFormat="1" ht="13.2" x14ac:dyDescent="0.25">
      <c r="A156" s="225"/>
      <c r="B156" s="729" t="s">
        <v>4372</v>
      </c>
      <c r="C156" s="782" t="s">
        <v>4285</v>
      </c>
      <c r="D156" s="768" t="s">
        <v>197</v>
      </c>
      <c r="E156" s="2">
        <v>500</v>
      </c>
      <c r="F156" s="60">
        <v>37.450000000000003</v>
      </c>
      <c r="G156" s="60">
        <f t="shared" si="53"/>
        <v>18725</v>
      </c>
      <c r="H156" s="234">
        <v>9</v>
      </c>
      <c r="I156" s="60"/>
      <c r="J156" s="60"/>
      <c r="K156" s="60"/>
      <c r="L156" s="60"/>
      <c r="M156" s="299"/>
      <c r="N156" s="224">
        <f t="shared" si="54"/>
        <v>9</v>
      </c>
      <c r="O156" s="299">
        <f t="shared" si="51"/>
        <v>18734</v>
      </c>
      <c r="P156" s="730" t="s">
        <v>4373</v>
      </c>
    </row>
    <row r="157" spans="1:16" s="231" customFormat="1" ht="13.2" x14ac:dyDescent="0.25">
      <c r="A157" s="225"/>
      <c r="B157" s="729" t="s">
        <v>4372</v>
      </c>
      <c r="C157" s="782" t="s">
        <v>4285</v>
      </c>
      <c r="D157" s="768" t="s">
        <v>197</v>
      </c>
      <c r="E157" s="2">
        <v>240</v>
      </c>
      <c r="F157" s="60">
        <v>37.450000000000003</v>
      </c>
      <c r="G157" s="60">
        <f t="shared" si="53"/>
        <v>8988</v>
      </c>
      <c r="H157" s="234">
        <v>9</v>
      </c>
      <c r="I157" s="60">
        <v>23.15</v>
      </c>
      <c r="J157" s="60">
        <v>12.36</v>
      </c>
      <c r="K157" s="60">
        <v>178</v>
      </c>
      <c r="L157" s="60">
        <v>0.38</v>
      </c>
      <c r="M157" s="299">
        <v>22.81</v>
      </c>
      <c r="N157" s="224">
        <f t="shared" si="54"/>
        <v>245.7</v>
      </c>
      <c r="O157" s="299">
        <f t="shared" si="51"/>
        <v>9233.7000000000007</v>
      </c>
      <c r="P157" s="730" t="s">
        <v>4373</v>
      </c>
    </row>
    <row r="158" spans="1:16" ht="12.75" customHeight="1" x14ac:dyDescent="0.25">
      <c r="B158" s="729" t="s">
        <v>4382</v>
      </c>
      <c r="C158" s="782" t="s">
        <v>4315</v>
      </c>
      <c r="D158" s="731" t="s">
        <v>197</v>
      </c>
      <c r="E158" s="249">
        <v>43</v>
      </c>
      <c r="F158" s="299">
        <v>482</v>
      </c>
      <c r="G158" s="299">
        <f t="shared" si="53"/>
        <v>20726</v>
      </c>
      <c r="H158" s="235">
        <v>9</v>
      </c>
      <c r="N158" s="224">
        <f t="shared" ref="N158:N168" si="55">SUM(H158:M158)</f>
        <v>9</v>
      </c>
      <c r="O158" s="299">
        <f t="shared" ref="O158:O168" si="56">G158+N158</f>
        <v>20735</v>
      </c>
      <c r="P158" s="730" t="s">
        <v>4383</v>
      </c>
    </row>
    <row r="159" spans="1:16" ht="12.75" customHeight="1" x14ac:dyDescent="0.25">
      <c r="B159" s="729" t="s">
        <v>4382</v>
      </c>
      <c r="C159" s="782" t="s">
        <v>4315</v>
      </c>
      <c r="D159" s="731" t="s">
        <v>197</v>
      </c>
      <c r="E159" s="249">
        <v>7</v>
      </c>
      <c r="F159" s="299">
        <v>481.2</v>
      </c>
      <c r="G159" s="299">
        <f t="shared" si="53"/>
        <v>3368.4</v>
      </c>
      <c r="N159" s="224">
        <f t="shared" si="55"/>
        <v>0</v>
      </c>
      <c r="O159" s="299">
        <f t="shared" si="56"/>
        <v>3368.4</v>
      </c>
      <c r="P159" s="730" t="s">
        <v>4383</v>
      </c>
    </row>
    <row r="160" spans="1:16" ht="12.75" customHeight="1" x14ac:dyDescent="0.25">
      <c r="B160" s="729" t="s">
        <v>4382</v>
      </c>
      <c r="C160" s="782" t="s">
        <v>4351</v>
      </c>
      <c r="D160" s="731" t="s">
        <v>197</v>
      </c>
      <c r="E160" s="249">
        <v>25</v>
      </c>
      <c r="F160" s="299">
        <v>188.95</v>
      </c>
      <c r="G160" s="299">
        <f t="shared" si="53"/>
        <v>4723.75</v>
      </c>
      <c r="H160" s="235">
        <v>9</v>
      </c>
      <c r="N160" s="224">
        <f t="shared" si="55"/>
        <v>9</v>
      </c>
      <c r="O160" s="299">
        <f t="shared" si="56"/>
        <v>4732.75</v>
      </c>
      <c r="P160" s="730" t="s">
        <v>4383</v>
      </c>
    </row>
    <row r="161" spans="2:16" ht="12.75" customHeight="1" x14ac:dyDescent="0.25">
      <c r="B161" s="729" t="s">
        <v>4382</v>
      </c>
      <c r="C161" s="782" t="s">
        <v>4351</v>
      </c>
      <c r="D161" s="731" t="s">
        <v>197</v>
      </c>
      <c r="E161" s="249">
        <v>50</v>
      </c>
      <c r="F161" s="299">
        <v>188.9</v>
      </c>
      <c r="G161" s="299">
        <f t="shared" si="53"/>
        <v>9445</v>
      </c>
      <c r="N161" s="224">
        <f t="shared" si="55"/>
        <v>0</v>
      </c>
      <c r="O161" s="299">
        <f t="shared" si="56"/>
        <v>9445</v>
      </c>
      <c r="P161" s="730" t="s">
        <v>4383</v>
      </c>
    </row>
    <row r="162" spans="2:16" ht="12.75" customHeight="1" x14ac:dyDescent="0.25">
      <c r="B162" s="729" t="s">
        <v>4382</v>
      </c>
      <c r="C162" s="782" t="s">
        <v>4351</v>
      </c>
      <c r="D162" s="731" t="s">
        <v>197</v>
      </c>
      <c r="E162" s="249">
        <v>19</v>
      </c>
      <c r="F162" s="299">
        <v>188.8</v>
      </c>
      <c r="G162" s="299">
        <f t="shared" si="53"/>
        <v>3587.2000000000003</v>
      </c>
      <c r="N162" s="224">
        <f t="shared" si="55"/>
        <v>0</v>
      </c>
      <c r="O162" s="299">
        <f t="shared" si="56"/>
        <v>3587.2000000000003</v>
      </c>
      <c r="P162" s="730" t="s">
        <v>4383</v>
      </c>
    </row>
    <row r="163" spans="2:16" ht="12.75" customHeight="1" x14ac:dyDescent="0.25">
      <c r="B163" s="729" t="s">
        <v>4382</v>
      </c>
      <c r="C163" s="782" t="s">
        <v>4351</v>
      </c>
      <c r="D163" s="731" t="s">
        <v>197</v>
      </c>
      <c r="E163" s="249">
        <v>10</v>
      </c>
      <c r="F163" s="299">
        <v>187</v>
      </c>
      <c r="G163" s="299">
        <f t="shared" si="53"/>
        <v>1870</v>
      </c>
      <c r="N163" s="224">
        <f t="shared" si="55"/>
        <v>0</v>
      </c>
      <c r="O163" s="299">
        <f t="shared" si="56"/>
        <v>1870</v>
      </c>
      <c r="P163" s="730" t="s">
        <v>4383</v>
      </c>
    </row>
    <row r="164" spans="2:16" ht="12.75" customHeight="1" x14ac:dyDescent="0.25">
      <c r="B164" s="729" t="s">
        <v>4382</v>
      </c>
      <c r="C164" s="782" t="s">
        <v>4351</v>
      </c>
      <c r="D164" s="731" t="s">
        <v>197</v>
      </c>
      <c r="E164" s="249">
        <v>5</v>
      </c>
      <c r="F164" s="299">
        <v>187.95</v>
      </c>
      <c r="G164" s="299">
        <f t="shared" si="53"/>
        <v>939.75</v>
      </c>
      <c r="N164" s="224">
        <f t="shared" si="55"/>
        <v>0</v>
      </c>
      <c r="O164" s="299">
        <f t="shared" si="56"/>
        <v>939.75</v>
      </c>
      <c r="P164" s="730" t="s">
        <v>4383</v>
      </c>
    </row>
    <row r="165" spans="2:16" ht="12.75" customHeight="1" x14ac:dyDescent="0.25">
      <c r="B165" s="729" t="s">
        <v>4382</v>
      </c>
      <c r="C165" s="782" t="s">
        <v>4351</v>
      </c>
      <c r="D165" s="731" t="s">
        <v>197</v>
      </c>
      <c r="E165" s="249">
        <v>1</v>
      </c>
      <c r="F165" s="299">
        <v>188.1</v>
      </c>
      <c r="G165" s="299">
        <f t="shared" si="53"/>
        <v>188.1</v>
      </c>
      <c r="N165" s="224">
        <f t="shared" si="55"/>
        <v>0</v>
      </c>
      <c r="O165" s="299">
        <f t="shared" si="56"/>
        <v>188.1</v>
      </c>
      <c r="P165" s="730" t="s">
        <v>4383</v>
      </c>
    </row>
    <row r="166" spans="2:16" ht="12.75" customHeight="1" x14ac:dyDescent="0.25">
      <c r="B166" s="729" t="s">
        <v>4382</v>
      </c>
      <c r="C166" s="782" t="s">
        <v>4359</v>
      </c>
      <c r="D166" s="731" t="s">
        <v>197</v>
      </c>
      <c r="E166" s="249">
        <v>25</v>
      </c>
      <c r="F166" s="299">
        <v>841.75</v>
      </c>
      <c r="G166" s="299">
        <f t="shared" si="53"/>
        <v>21043.75</v>
      </c>
      <c r="H166" s="235">
        <v>9</v>
      </c>
      <c r="N166" s="224">
        <f t="shared" si="55"/>
        <v>9</v>
      </c>
      <c r="O166" s="299">
        <f t="shared" si="56"/>
        <v>21052.75</v>
      </c>
      <c r="P166" s="730" t="s">
        <v>4383</v>
      </c>
    </row>
    <row r="167" spans="2:16" ht="12.75" customHeight="1" x14ac:dyDescent="0.25">
      <c r="B167" s="729" t="s">
        <v>4382</v>
      </c>
      <c r="C167" s="782" t="s">
        <v>4285</v>
      </c>
      <c r="D167" s="731" t="s">
        <v>197</v>
      </c>
      <c r="E167" s="249">
        <v>500</v>
      </c>
      <c r="F167" s="299">
        <v>36.450000000000003</v>
      </c>
      <c r="G167" s="299">
        <f t="shared" si="53"/>
        <v>18225</v>
      </c>
      <c r="N167" s="224">
        <f t="shared" si="55"/>
        <v>0</v>
      </c>
      <c r="O167" s="299">
        <f t="shared" si="56"/>
        <v>18225</v>
      </c>
      <c r="P167" s="730" t="s">
        <v>4383</v>
      </c>
    </row>
    <row r="168" spans="2:16" ht="12.75" customHeight="1" x14ac:dyDescent="0.25">
      <c r="B168" s="729" t="s">
        <v>4382</v>
      </c>
      <c r="C168" s="782" t="s">
        <v>4285</v>
      </c>
      <c r="D168" s="731" t="s">
        <v>197</v>
      </c>
      <c r="E168" s="249">
        <v>100</v>
      </c>
      <c r="F168" s="299">
        <v>36.450000000000003</v>
      </c>
      <c r="G168" s="299">
        <f t="shared" si="53"/>
        <v>3645.0000000000005</v>
      </c>
      <c r="H168" s="235">
        <v>9</v>
      </c>
      <c r="N168" s="224">
        <f t="shared" si="55"/>
        <v>9</v>
      </c>
      <c r="O168" s="299">
        <f t="shared" si="56"/>
        <v>3654.0000000000005</v>
      </c>
      <c r="P168" s="730" t="s">
        <v>4383</v>
      </c>
    </row>
    <row r="169" spans="2:16" ht="12.75" customHeight="1" x14ac:dyDescent="0.25">
      <c r="B169" s="729" t="s">
        <v>4374</v>
      </c>
      <c r="C169" s="782" t="s">
        <v>4315</v>
      </c>
      <c r="D169" s="731" t="s">
        <v>197</v>
      </c>
      <c r="E169" s="249">
        <v>28</v>
      </c>
      <c r="F169" s="299">
        <v>503</v>
      </c>
      <c r="G169" s="299">
        <f t="shared" si="53"/>
        <v>14084</v>
      </c>
      <c r="H169" s="235">
        <v>9</v>
      </c>
      <c r="N169" s="224">
        <f t="shared" ref="N169:N170" si="57">SUM(H169:M169)</f>
        <v>9</v>
      </c>
      <c r="O169" s="299">
        <f t="shared" ref="O169:O170" si="58">G169+N169</f>
        <v>14093</v>
      </c>
      <c r="P169" s="730" t="s">
        <v>4384</v>
      </c>
    </row>
    <row r="170" spans="2:16" ht="12.75" customHeight="1" x14ac:dyDescent="0.25">
      <c r="B170" s="729" t="s">
        <v>4374</v>
      </c>
      <c r="C170" s="782" t="s">
        <v>4315</v>
      </c>
      <c r="D170" s="731" t="s">
        <v>197</v>
      </c>
      <c r="E170" s="249">
        <v>17</v>
      </c>
      <c r="F170" s="299">
        <v>501.45</v>
      </c>
      <c r="G170" s="299">
        <f t="shared" si="53"/>
        <v>8524.65</v>
      </c>
      <c r="N170" s="224">
        <f t="shared" si="57"/>
        <v>0</v>
      </c>
      <c r="O170" s="299">
        <f t="shared" si="58"/>
        <v>8524.65</v>
      </c>
      <c r="P170" s="730" t="s">
        <v>4384</v>
      </c>
    </row>
    <row r="171" spans="2:16" ht="12.75" customHeight="1" x14ac:dyDescent="0.25">
      <c r="B171" s="729" t="s">
        <v>4386</v>
      </c>
      <c r="C171" s="782" t="s">
        <v>4387</v>
      </c>
      <c r="D171" s="731" t="s">
        <v>197</v>
      </c>
      <c r="E171" s="249">
        <v>29</v>
      </c>
      <c r="F171" s="299">
        <v>753</v>
      </c>
      <c r="G171" s="299">
        <f t="shared" si="53"/>
        <v>21837</v>
      </c>
      <c r="H171" s="235">
        <v>9</v>
      </c>
      <c r="N171" s="224">
        <f t="shared" ref="N171:N174" si="59">SUM(H171:M171)</f>
        <v>9</v>
      </c>
      <c r="O171" s="299">
        <f t="shared" ref="O171:O174" si="60">G171+N171</f>
        <v>21846</v>
      </c>
      <c r="P171" s="730" t="s">
        <v>4388</v>
      </c>
    </row>
    <row r="172" spans="2:16" ht="12.75" customHeight="1" x14ac:dyDescent="0.25">
      <c r="B172" s="729" t="s">
        <v>4386</v>
      </c>
      <c r="C172" s="782" t="s">
        <v>4387</v>
      </c>
      <c r="D172" s="731" t="s">
        <v>197</v>
      </c>
      <c r="E172" s="249">
        <v>1</v>
      </c>
      <c r="F172" s="299">
        <v>748.15</v>
      </c>
      <c r="G172" s="299">
        <f t="shared" si="53"/>
        <v>748.15</v>
      </c>
      <c r="N172" s="224">
        <f t="shared" si="59"/>
        <v>0</v>
      </c>
      <c r="O172" s="299">
        <f t="shared" si="60"/>
        <v>748.15</v>
      </c>
      <c r="P172" s="730" t="s">
        <v>4388</v>
      </c>
    </row>
    <row r="173" spans="2:16" ht="12.75" customHeight="1" x14ac:dyDescent="0.25">
      <c r="B173" s="729" t="s">
        <v>4386</v>
      </c>
      <c r="C173" s="782" t="s">
        <v>4387</v>
      </c>
      <c r="D173" s="731" t="s">
        <v>197</v>
      </c>
      <c r="E173" s="249">
        <v>20</v>
      </c>
      <c r="F173" s="299">
        <v>747</v>
      </c>
      <c r="G173" s="299">
        <f t="shared" si="53"/>
        <v>14940</v>
      </c>
      <c r="H173" s="235">
        <v>9</v>
      </c>
      <c r="N173" s="224">
        <f t="shared" si="59"/>
        <v>9</v>
      </c>
      <c r="O173" s="299">
        <f t="shared" si="60"/>
        <v>14949</v>
      </c>
      <c r="P173" s="730" t="s">
        <v>4388</v>
      </c>
    </row>
    <row r="174" spans="2:16" ht="12.75" customHeight="1" x14ac:dyDescent="0.25">
      <c r="B174" s="729" t="s">
        <v>4393</v>
      </c>
      <c r="C174" s="782" t="s">
        <v>4315</v>
      </c>
      <c r="D174" s="731" t="s">
        <v>197</v>
      </c>
      <c r="E174" s="249">
        <v>20</v>
      </c>
      <c r="F174" s="299">
        <v>551</v>
      </c>
      <c r="G174" s="299">
        <f t="shared" si="53"/>
        <v>11020</v>
      </c>
      <c r="H174" s="235">
        <v>9</v>
      </c>
      <c r="N174" s="224">
        <f t="shared" si="59"/>
        <v>9</v>
      </c>
      <c r="O174" s="299">
        <f t="shared" si="60"/>
        <v>11029</v>
      </c>
      <c r="P174" s="730" t="s">
        <v>4392</v>
      </c>
    </row>
    <row r="175" spans="2:16" ht="12.75" customHeight="1" x14ac:dyDescent="0.25">
      <c r="B175" s="729" t="s">
        <v>4393</v>
      </c>
      <c r="C175" s="782" t="s">
        <v>4315</v>
      </c>
      <c r="D175" s="731" t="s">
        <v>197</v>
      </c>
      <c r="E175" s="249">
        <v>9</v>
      </c>
      <c r="F175" s="299">
        <v>554.1</v>
      </c>
      <c r="G175" s="299">
        <f t="shared" si="53"/>
        <v>4986.9000000000005</v>
      </c>
      <c r="H175" s="235">
        <v>9</v>
      </c>
      <c r="N175" s="224">
        <f t="shared" ref="N175:N180" si="61">SUM(H175:M175)</f>
        <v>9</v>
      </c>
      <c r="O175" s="299">
        <f t="shared" ref="O175:O180" si="62">G175+N175</f>
        <v>4995.9000000000005</v>
      </c>
      <c r="P175" s="730" t="s">
        <v>4392</v>
      </c>
    </row>
    <row r="176" spans="2:16" ht="12.75" customHeight="1" x14ac:dyDescent="0.25">
      <c r="B176" s="729" t="s">
        <v>4393</v>
      </c>
      <c r="C176" s="782" t="s">
        <v>4315</v>
      </c>
      <c r="D176" s="731" t="s">
        <v>197</v>
      </c>
      <c r="E176" s="249">
        <v>50</v>
      </c>
      <c r="F176" s="299">
        <v>551.54999999999995</v>
      </c>
      <c r="G176" s="299">
        <f t="shared" si="53"/>
        <v>27577.499999999996</v>
      </c>
      <c r="H176" s="235">
        <v>9</v>
      </c>
      <c r="N176" s="224">
        <f t="shared" si="61"/>
        <v>9</v>
      </c>
      <c r="O176" s="299">
        <f t="shared" si="62"/>
        <v>27586.499999999996</v>
      </c>
      <c r="P176" s="730" t="s">
        <v>4392</v>
      </c>
    </row>
    <row r="177" spans="2:16" ht="12.75" customHeight="1" x14ac:dyDescent="0.25">
      <c r="B177" s="729" t="s">
        <v>4393</v>
      </c>
      <c r="C177" s="782" t="s">
        <v>4315</v>
      </c>
      <c r="D177" s="731" t="s">
        <v>197</v>
      </c>
      <c r="E177" s="249">
        <v>61</v>
      </c>
      <c r="F177" s="299">
        <v>554.04999999999995</v>
      </c>
      <c r="G177" s="299">
        <f t="shared" si="53"/>
        <v>33797.049999999996</v>
      </c>
      <c r="H177" s="235">
        <v>9</v>
      </c>
      <c r="N177" s="224">
        <f t="shared" si="61"/>
        <v>9</v>
      </c>
      <c r="O177" s="299">
        <f t="shared" si="62"/>
        <v>33806.049999999996</v>
      </c>
      <c r="P177" s="730" t="s">
        <v>4392</v>
      </c>
    </row>
    <row r="178" spans="2:16" ht="12.75" customHeight="1" x14ac:dyDescent="0.25">
      <c r="B178" s="729" t="s">
        <v>4390</v>
      </c>
      <c r="C178" s="782" t="s">
        <v>4219</v>
      </c>
      <c r="D178" s="731" t="s">
        <v>197</v>
      </c>
      <c r="E178" s="249">
        <v>5</v>
      </c>
      <c r="F178" s="299">
        <v>179.65</v>
      </c>
      <c r="G178" s="299">
        <f t="shared" si="53"/>
        <v>898.25</v>
      </c>
      <c r="N178" s="224">
        <f t="shared" si="61"/>
        <v>0</v>
      </c>
      <c r="O178" s="299">
        <f t="shared" si="62"/>
        <v>898.25</v>
      </c>
      <c r="P178" s="730" t="s">
        <v>4394</v>
      </c>
    </row>
    <row r="179" spans="2:16" ht="12.75" customHeight="1" x14ac:dyDescent="0.25">
      <c r="B179" s="729" t="s">
        <v>4390</v>
      </c>
      <c r="C179" s="782" t="s">
        <v>4219</v>
      </c>
      <c r="D179" s="731" t="s">
        <v>197</v>
      </c>
      <c r="E179" s="249">
        <v>195</v>
      </c>
      <c r="F179" s="299">
        <v>179.7</v>
      </c>
      <c r="G179" s="299">
        <f t="shared" si="53"/>
        <v>35041.5</v>
      </c>
      <c r="H179" s="235">
        <v>9</v>
      </c>
      <c r="N179" s="224">
        <f t="shared" si="61"/>
        <v>9</v>
      </c>
      <c r="O179" s="299">
        <f t="shared" si="62"/>
        <v>35050.5</v>
      </c>
      <c r="P179" s="730" t="s">
        <v>4394</v>
      </c>
    </row>
    <row r="180" spans="2:16" ht="12.75" customHeight="1" x14ac:dyDescent="0.25">
      <c r="B180" s="729" t="s">
        <v>4390</v>
      </c>
      <c r="C180" s="782" t="s">
        <v>4387</v>
      </c>
      <c r="D180" s="731" t="s">
        <v>197</v>
      </c>
      <c r="E180" s="249">
        <v>30</v>
      </c>
      <c r="F180" s="299">
        <v>750.05</v>
      </c>
      <c r="G180" s="299">
        <f t="shared" si="53"/>
        <v>22501.5</v>
      </c>
      <c r="H180" s="235">
        <v>9</v>
      </c>
      <c r="N180" s="224">
        <f t="shared" si="61"/>
        <v>9</v>
      </c>
      <c r="O180" s="299">
        <f t="shared" si="62"/>
        <v>22510.5</v>
      </c>
      <c r="P180" s="730" t="s">
        <v>4394</v>
      </c>
    </row>
    <row r="181" spans="2:16" ht="12.75" customHeight="1" x14ac:dyDescent="0.25">
      <c r="B181" s="729" t="s">
        <v>4390</v>
      </c>
      <c r="C181" s="782" t="s">
        <v>4387</v>
      </c>
      <c r="D181" s="731" t="s">
        <v>197</v>
      </c>
      <c r="E181" s="249">
        <v>15</v>
      </c>
      <c r="F181" s="299">
        <v>750.05</v>
      </c>
      <c r="G181" s="299">
        <f t="shared" si="53"/>
        <v>11250.75</v>
      </c>
      <c r="N181" s="224">
        <f t="shared" ref="N181:N183" si="63">SUM(H181:M181)</f>
        <v>0</v>
      </c>
      <c r="O181" s="299">
        <f t="shared" ref="O181:O197" si="64">G181+N181</f>
        <v>11250.75</v>
      </c>
      <c r="P181" s="730" t="s">
        <v>4394</v>
      </c>
    </row>
    <row r="182" spans="2:16" ht="12.75" customHeight="1" x14ac:dyDescent="0.25">
      <c r="B182" s="729" t="s">
        <v>4390</v>
      </c>
      <c r="C182" s="782" t="s">
        <v>4387</v>
      </c>
      <c r="D182" s="731" t="s">
        <v>197</v>
      </c>
      <c r="E182" s="249">
        <v>25</v>
      </c>
      <c r="F182" s="299">
        <v>750</v>
      </c>
      <c r="G182" s="299">
        <f t="shared" si="53"/>
        <v>18750</v>
      </c>
      <c r="H182" s="235">
        <v>9</v>
      </c>
      <c r="N182" s="224">
        <f t="shared" si="63"/>
        <v>9</v>
      </c>
      <c r="O182" s="299">
        <f t="shared" si="64"/>
        <v>18759</v>
      </c>
      <c r="P182" s="730" t="s">
        <v>4394</v>
      </c>
    </row>
    <row r="183" spans="2:16" ht="12.75" customHeight="1" x14ac:dyDescent="0.25">
      <c r="B183" s="729" t="s">
        <v>4390</v>
      </c>
      <c r="C183" s="782" t="s">
        <v>4359</v>
      </c>
      <c r="D183" s="731" t="s">
        <v>197</v>
      </c>
      <c r="E183" s="249">
        <v>2</v>
      </c>
      <c r="F183" s="299">
        <v>878</v>
      </c>
      <c r="G183" s="299">
        <f t="shared" si="53"/>
        <v>1756</v>
      </c>
      <c r="H183" s="235">
        <v>9</v>
      </c>
      <c r="I183" s="299">
        <v>8.39</v>
      </c>
      <c r="J183" s="299">
        <v>5.92</v>
      </c>
      <c r="K183" s="299">
        <v>143</v>
      </c>
      <c r="L183" s="299">
        <v>0.18</v>
      </c>
      <c r="M183" s="299">
        <v>10.93</v>
      </c>
      <c r="N183" s="224">
        <f t="shared" si="63"/>
        <v>177.42000000000002</v>
      </c>
      <c r="O183" s="299">
        <f t="shared" si="64"/>
        <v>1933.42</v>
      </c>
      <c r="P183" s="730" t="s">
        <v>4394</v>
      </c>
    </row>
    <row r="184" spans="2:16" ht="12.75" customHeight="1" x14ac:dyDescent="0.25">
      <c r="B184" s="729" t="s">
        <v>4395</v>
      </c>
      <c r="C184" s="782" t="s">
        <v>4285</v>
      </c>
      <c r="D184" s="731" t="s">
        <v>197</v>
      </c>
      <c r="E184" s="249">
        <v>50</v>
      </c>
      <c r="F184" s="299">
        <v>41.3</v>
      </c>
      <c r="G184" s="299">
        <f t="shared" si="53"/>
        <v>2065</v>
      </c>
      <c r="H184" s="235">
        <v>9</v>
      </c>
      <c r="N184" s="224">
        <f t="shared" ref="N184:N185" si="65">SUM(H184:M184)</f>
        <v>9</v>
      </c>
      <c r="O184" s="299">
        <f t="shared" si="64"/>
        <v>2074</v>
      </c>
      <c r="P184" s="730" t="s">
        <v>4396</v>
      </c>
    </row>
    <row r="185" spans="2:16" ht="12.75" customHeight="1" x14ac:dyDescent="0.25">
      <c r="B185" s="729" t="s">
        <v>4395</v>
      </c>
      <c r="C185" s="782" t="s">
        <v>4285</v>
      </c>
      <c r="D185" s="731" t="s">
        <v>197</v>
      </c>
      <c r="E185" s="249">
        <v>950</v>
      </c>
      <c r="F185" s="299">
        <v>40.950000000000003</v>
      </c>
      <c r="G185" s="299">
        <f t="shared" si="53"/>
        <v>38902.5</v>
      </c>
      <c r="H185" s="235">
        <v>9</v>
      </c>
      <c r="I185" s="299">
        <v>4.1500000000000004</v>
      </c>
      <c r="J185" s="299">
        <v>2.66</v>
      </c>
      <c r="K185" s="299">
        <v>82</v>
      </c>
      <c r="L185" s="299">
        <v>0.08</v>
      </c>
      <c r="M185" s="299">
        <v>4.91</v>
      </c>
      <c r="N185" s="224">
        <f t="shared" si="65"/>
        <v>102.8</v>
      </c>
      <c r="O185" s="299">
        <f t="shared" si="64"/>
        <v>39005.300000000003</v>
      </c>
      <c r="P185" s="730" t="s">
        <v>4396</v>
      </c>
    </row>
    <row r="186" spans="2:16" ht="12.75" customHeight="1" x14ac:dyDescent="0.25">
      <c r="B186" s="729" t="s">
        <v>4397</v>
      </c>
      <c r="C186" s="782" t="s">
        <v>4370</v>
      </c>
      <c r="D186" s="731" t="s">
        <v>197</v>
      </c>
      <c r="E186" s="249">
        <v>500</v>
      </c>
      <c r="F186" s="299">
        <v>59.8</v>
      </c>
      <c r="G186" s="299">
        <f t="shared" si="53"/>
        <v>29900</v>
      </c>
      <c r="H186" s="235">
        <v>9</v>
      </c>
      <c r="N186" s="224">
        <f t="shared" ref="N186" si="66">SUM(H186:M186)</f>
        <v>9</v>
      </c>
      <c r="O186" s="299">
        <f t="shared" si="64"/>
        <v>29909</v>
      </c>
      <c r="P186" s="730" t="s">
        <v>4398</v>
      </c>
    </row>
    <row r="187" spans="2:16" ht="12.75" customHeight="1" x14ac:dyDescent="0.25">
      <c r="B187" s="729" t="s">
        <v>4404</v>
      </c>
      <c r="C187" s="782" t="s">
        <v>4387</v>
      </c>
      <c r="D187" s="731" t="s">
        <v>197</v>
      </c>
      <c r="E187" s="249">
        <v>40</v>
      </c>
      <c r="F187" s="299">
        <v>736</v>
      </c>
      <c r="G187" s="299">
        <f t="shared" si="53"/>
        <v>29440</v>
      </c>
      <c r="H187" s="235">
        <v>9</v>
      </c>
      <c r="N187" s="224">
        <f t="shared" ref="N187:N189" si="67">SUM(H187:M187)</f>
        <v>9</v>
      </c>
      <c r="O187" s="299">
        <f t="shared" si="64"/>
        <v>29449</v>
      </c>
      <c r="P187" s="730" t="s">
        <v>4406</v>
      </c>
    </row>
    <row r="188" spans="2:16" ht="12.75" customHeight="1" x14ac:dyDescent="0.25">
      <c r="B188" s="729" t="s">
        <v>4404</v>
      </c>
      <c r="C188" s="782" t="s">
        <v>4405</v>
      </c>
      <c r="D188" s="731" t="s">
        <v>197</v>
      </c>
      <c r="E188" s="249">
        <v>80</v>
      </c>
      <c r="F188" s="299">
        <v>499.95</v>
      </c>
      <c r="G188" s="299">
        <f t="shared" si="53"/>
        <v>39996</v>
      </c>
      <c r="H188" s="235">
        <v>9</v>
      </c>
      <c r="N188" s="224">
        <f t="shared" si="67"/>
        <v>9</v>
      </c>
      <c r="O188" s="299">
        <f t="shared" si="64"/>
        <v>40005</v>
      </c>
      <c r="P188" s="730" t="s">
        <v>4406</v>
      </c>
    </row>
    <row r="189" spans="2:16" ht="12.75" customHeight="1" x14ac:dyDescent="0.25">
      <c r="B189" s="729" t="s">
        <v>4407</v>
      </c>
      <c r="C189" s="782" t="s">
        <v>4367</v>
      </c>
      <c r="D189" s="731" t="s">
        <v>197</v>
      </c>
      <c r="E189" s="249">
        <v>70</v>
      </c>
      <c r="F189" s="299">
        <v>254</v>
      </c>
      <c r="G189" s="299">
        <f t="shared" si="53"/>
        <v>17780</v>
      </c>
      <c r="H189" s="235">
        <v>9</v>
      </c>
      <c r="N189" s="224">
        <f t="shared" si="67"/>
        <v>9</v>
      </c>
      <c r="O189" s="299">
        <f t="shared" si="64"/>
        <v>17789</v>
      </c>
      <c r="P189" s="730" t="s">
        <v>4408</v>
      </c>
    </row>
    <row r="190" spans="2:16" ht="12.75" customHeight="1" x14ac:dyDescent="0.25">
      <c r="B190" s="729" t="s">
        <v>4407</v>
      </c>
      <c r="C190" s="782" t="s">
        <v>4367</v>
      </c>
      <c r="D190" s="731" t="s">
        <v>197</v>
      </c>
      <c r="E190" s="249">
        <v>85</v>
      </c>
      <c r="F190" s="299">
        <v>255.4</v>
      </c>
      <c r="G190" s="299">
        <f t="shared" si="53"/>
        <v>21709</v>
      </c>
      <c r="N190" s="224">
        <f t="shared" ref="N190:N194" si="68">SUM(H190:M190)</f>
        <v>0</v>
      </c>
      <c r="O190" s="299">
        <f t="shared" si="64"/>
        <v>21709</v>
      </c>
      <c r="P190" s="730" t="s">
        <v>4408</v>
      </c>
    </row>
    <row r="191" spans="2:16" ht="12.75" customHeight="1" x14ac:dyDescent="0.25">
      <c r="B191" s="729" t="s">
        <v>4407</v>
      </c>
      <c r="C191" s="782" t="s">
        <v>4387</v>
      </c>
      <c r="D191" s="731" t="s">
        <v>197</v>
      </c>
      <c r="E191" s="249">
        <v>13</v>
      </c>
      <c r="F191" s="299">
        <v>732.9</v>
      </c>
      <c r="G191" s="299">
        <f t="shared" si="53"/>
        <v>9527.6999999999989</v>
      </c>
      <c r="H191" s="235">
        <v>9</v>
      </c>
      <c r="N191" s="224">
        <f t="shared" si="68"/>
        <v>9</v>
      </c>
      <c r="O191" s="299">
        <f t="shared" si="64"/>
        <v>9536.6999999999989</v>
      </c>
      <c r="P191" s="730" t="s">
        <v>4408</v>
      </c>
    </row>
    <row r="192" spans="2:16" ht="12.75" customHeight="1" x14ac:dyDescent="0.25">
      <c r="B192" s="729" t="s">
        <v>4407</v>
      </c>
      <c r="C192" s="782" t="s">
        <v>4387</v>
      </c>
      <c r="D192" s="731" t="s">
        <v>197</v>
      </c>
      <c r="E192" s="249">
        <v>9</v>
      </c>
      <c r="F192" s="299">
        <v>732.8</v>
      </c>
      <c r="G192" s="299">
        <f t="shared" si="53"/>
        <v>6595.2</v>
      </c>
      <c r="N192" s="224">
        <f t="shared" si="68"/>
        <v>0</v>
      </c>
      <c r="O192" s="299">
        <f t="shared" si="64"/>
        <v>6595.2</v>
      </c>
      <c r="P192" s="730" t="s">
        <v>4408</v>
      </c>
    </row>
    <row r="193" spans="2:16" ht="12.75" customHeight="1" x14ac:dyDescent="0.25">
      <c r="B193" s="729" t="s">
        <v>4407</v>
      </c>
      <c r="C193" s="782" t="s">
        <v>4387</v>
      </c>
      <c r="D193" s="731" t="s">
        <v>197</v>
      </c>
      <c r="E193" s="249">
        <v>2</v>
      </c>
      <c r="F193" s="299">
        <v>732.75</v>
      </c>
      <c r="G193" s="299">
        <f t="shared" si="53"/>
        <v>1465.5</v>
      </c>
      <c r="N193" s="224">
        <f t="shared" si="68"/>
        <v>0</v>
      </c>
      <c r="O193" s="299">
        <f t="shared" si="64"/>
        <v>1465.5</v>
      </c>
      <c r="P193" s="730" t="s">
        <v>4408</v>
      </c>
    </row>
    <row r="194" spans="2:16" ht="12.75" customHeight="1" x14ac:dyDescent="0.25">
      <c r="B194" s="729" t="s">
        <v>4407</v>
      </c>
      <c r="C194" s="782" t="s">
        <v>4387</v>
      </c>
      <c r="D194" s="731" t="s">
        <v>197</v>
      </c>
      <c r="E194" s="249">
        <v>1</v>
      </c>
      <c r="F194" s="299">
        <v>733</v>
      </c>
      <c r="G194" s="299">
        <f t="shared" si="53"/>
        <v>733</v>
      </c>
      <c r="H194" s="235">
        <v>9</v>
      </c>
      <c r="N194" s="224">
        <f t="shared" si="68"/>
        <v>9</v>
      </c>
      <c r="O194" s="299">
        <f t="shared" si="64"/>
        <v>742</v>
      </c>
      <c r="P194" s="730" t="s">
        <v>4408</v>
      </c>
    </row>
    <row r="195" spans="2:16" ht="12.75" customHeight="1" x14ac:dyDescent="0.25">
      <c r="B195" s="729" t="s">
        <v>4410</v>
      </c>
      <c r="C195" s="782" t="s">
        <v>4387</v>
      </c>
      <c r="D195" s="731" t="s">
        <v>197</v>
      </c>
      <c r="E195" s="249">
        <v>53</v>
      </c>
      <c r="F195" s="299">
        <v>729</v>
      </c>
      <c r="G195" s="299">
        <f>E195*F195</f>
        <v>38637</v>
      </c>
      <c r="N195" s="224">
        <f>SUM(H195:M195)</f>
        <v>0</v>
      </c>
      <c r="O195" s="299">
        <f t="shared" si="64"/>
        <v>38637</v>
      </c>
      <c r="P195" s="730" t="s">
        <v>4411</v>
      </c>
    </row>
    <row r="196" spans="2:16" ht="12.75" customHeight="1" x14ac:dyDescent="0.25">
      <c r="B196" s="729" t="s">
        <v>4410</v>
      </c>
      <c r="C196" s="782" t="s">
        <v>4387</v>
      </c>
      <c r="D196" s="731" t="s">
        <v>197</v>
      </c>
      <c r="E196" s="249">
        <v>2</v>
      </c>
      <c r="F196" s="299">
        <v>728.95</v>
      </c>
      <c r="G196" s="299">
        <f>E196*F196</f>
        <v>1457.9</v>
      </c>
      <c r="H196" s="235">
        <v>9</v>
      </c>
      <c r="I196" s="299">
        <v>2.89</v>
      </c>
      <c r="J196" s="299">
        <v>2.61</v>
      </c>
      <c r="K196" s="299">
        <v>80</v>
      </c>
      <c r="L196" s="299">
        <v>0.08</v>
      </c>
      <c r="M196" s="299">
        <v>4.82</v>
      </c>
      <c r="N196" s="224">
        <f>SUM(H196:M196)</f>
        <v>99.4</v>
      </c>
      <c r="O196" s="299">
        <f t="shared" si="64"/>
        <v>1557.3000000000002</v>
      </c>
      <c r="P196" s="730" t="s">
        <v>4411</v>
      </c>
    </row>
    <row r="197" spans="2:16" ht="12.75" customHeight="1" x14ac:dyDescent="0.25">
      <c r="B197" s="729" t="s">
        <v>4409</v>
      </c>
      <c r="C197" s="782" t="s">
        <v>4387</v>
      </c>
      <c r="D197" s="731" t="s">
        <v>197</v>
      </c>
      <c r="E197" s="249">
        <v>45</v>
      </c>
      <c r="F197" s="299">
        <v>766.7</v>
      </c>
      <c r="G197" s="299">
        <f>E197*F197</f>
        <v>34501.5</v>
      </c>
      <c r="H197" s="235">
        <v>9</v>
      </c>
      <c r="I197" s="299">
        <v>2.85</v>
      </c>
      <c r="J197" s="299">
        <v>2.33</v>
      </c>
      <c r="K197" s="299">
        <v>72</v>
      </c>
      <c r="L197" s="299">
        <v>7.0000000000000007E-2</v>
      </c>
      <c r="M197" s="299">
        <v>4.3099999999999996</v>
      </c>
      <c r="N197" s="224">
        <f t="shared" ref="N197" si="69">SUM(H197:M197)</f>
        <v>90.56</v>
      </c>
      <c r="O197" s="299">
        <f t="shared" si="64"/>
        <v>34592.06</v>
      </c>
      <c r="P197" s="730" t="s">
        <v>4412</v>
      </c>
    </row>
    <row r="258" spans="1:18" ht="12.75" customHeight="1" x14ac:dyDescent="0.25">
      <c r="C258" s="782"/>
    </row>
    <row r="259" spans="1:18" ht="12.75" customHeight="1" x14ac:dyDescent="0.25">
      <c r="C259" s="782"/>
    </row>
    <row r="260" spans="1:18" ht="12.75" customHeight="1" x14ac:dyDescent="0.25">
      <c r="C260" s="782"/>
    </row>
    <row r="261" spans="1:18" ht="12.75" customHeight="1" x14ac:dyDescent="0.25">
      <c r="B261" s="477"/>
      <c r="C261" s="783"/>
      <c r="D261" s="229"/>
      <c r="E261" s="542"/>
      <c r="F261" s="246"/>
      <c r="G261" s="246"/>
      <c r="H261" s="230"/>
      <c r="I261" s="246"/>
      <c r="J261" s="243"/>
      <c r="K261" s="243"/>
      <c r="N261" s="257" t="s">
        <v>2121</v>
      </c>
      <c r="O261" s="257">
        <f>SUM(O40:O260)</f>
        <v>3207912.42</v>
      </c>
    </row>
    <row r="262" spans="1:18" ht="12.75" customHeight="1" x14ac:dyDescent="0.25">
      <c r="B262" s="350"/>
      <c r="C262" s="783"/>
      <c r="D262" s="229"/>
      <c r="E262" s="542"/>
      <c r="F262" s="246"/>
      <c r="G262" s="246"/>
      <c r="H262" s="230"/>
      <c r="I262" s="246"/>
      <c r="J262" s="246"/>
      <c r="K262" s="246"/>
      <c r="L262" s="246"/>
      <c r="M262" s="246"/>
      <c r="N262" s="245"/>
    </row>
    <row r="263" spans="1:18" ht="12.75" customHeight="1" x14ac:dyDescent="0.25">
      <c r="B263" s="350"/>
      <c r="C263" s="783"/>
      <c r="D263" s="229"/>
      <c r="E263" s="542"/>
      <c r="F263" s="246"/>
      <c r="G263" s="246"/>
      <c r="H263" s="230"/>
      <c r="I263" s="246"/>
      <c r="J263" s="246"/>
      <c r="K263" s="246"/>
      <c r="L263" s="246"/>
      <c r="M263" s="246"/>
      <c r="N263" s="245"/>
    </row>
    <row r="264" spans="1:18" ht="12.75" customHeight="1" x14ac:dyDescent="0.25">
      <c r="B264" s="411" t="s">
        <v>184</v>
      </c>
      <c r="C264" s="781" t="s">
        <v>2079</v>
      </c>
      <c r="D264" s="171" t="s">
        <v>186</v>
      </c>
      <c r="E264" s="204" t="s">
        <v>469</v>
      </c>
      <c r="F264" s="412" t="s">
        <v>188</v>
      </c>
      <c r="G264" s="412" t="s">
        <v>470</v>
      </c>
      <c r="H264" s="530" t="s">
        <v>471</v>
      </c>
      <c r="I264" s="700" t="s">
        <v>3368</v>
      </c>
      <c r="J264" s="700" t="s">
        <v>3367</v>
      </c>
      <c r="K264" s="700" t="s">
        <v>893</v>
      </c>
      <c r="L264" s="700" t="s">
        <v>3370</v>
      </c>
      <c r="M264" s="700" t="s">
        <v>2247</v>
      </c>
      <c r="N264" s="530" t="s">
        <v>3371</v>
      </c>
      <c r="O264" s="530" t="s">
        <v>3372</v>
      </c>
      <c r="P264" s="171" t="s">
        <v>1212</v>
      </c>
    </row>
    <row r="265" spans="1:18" s="231" customFormat="1" ht="13.2" x14ac:dyDescent="0.25">
      <c r="A265" s="225"/>
      <c r="B265" s="477" t="s">
        <v>4260</v>
      </c>
      <c r="C265" s="29" t="s">
        <v>4263</v>
      </c>
      <c r="D265" s="768" t="s">
        <v>369</v>
      </c>
      <c r="E265" s="2">
        <v>80</v>
      </c>
      <c r="F265" s="60">
        <v>302.14999999999998</v>
      </c>
      <c r="G265" s="299">
        <f t="shared" ref="G265:G277" si="70">E265*F265</f>
        <v>24172</v>
      </c>
      <c r="H265" s="235">
        <v>9</v>
      </c>
      <c r="I265" s="299"/>
      <c r="J265" s="299"/>
      <c r="K265" s="299"/>
      <c r="L265" s="299"/>
      <c r="M265" s="299"/>
      <c r="N265" s="224">
        <f t="shared" ref="N265:N277" si="71">SUM(H265:M265)</f>
        <v>9</v>
      </c>
      <c r="O265" s="299">
        <f>G265-N265</f>
        <v>24163</v>
      </c>
      <c r="P265" s="37" t="s">
        <v>4265</v>
      </c>
      <c r="Q265" s="91"/>
      <c r="R265" s="91"/>
    </row>
    <row r="266" spans="1:18" s="231" customFormat="1" ht="13.2" x14ac:dyDescent="0.25">
      <c r="A266" s="225"/>
      <c r="B266" s="477" t="s">
        <v>4260</v>
      </c>
      <c r="C266" s="29" t="s">
        <v>4224</v>
      </c>
      <c r="D266" s="768" t="s">
        <v>369</v>
      </c>
      <c r="E266" s="2">
        <v>50</v>
      </c>
      <c r="F266" s="60">
        <v>977</v>
      </c>
      <c r="G266" s="299">
        <f t="shared" si="70"/>
        <v>48850</v>
      </c>
      <c r="H266" s="235">
        <v>9</v>
      </c>
      <c r="I266" s="299"/>
      <c r="J266" s="299"/>
      <c r="K266" s="299"/>
      <c r="L266" s="299"/>
      <c r="M266" s="299"/>
      <c r="N266" s="224">
        <f t="shared" si="71"/>
        <v>9</v>
      </c>
      <c r="O266" s="299">
        <f t="shared" ref="O266:O307" si="72">G266-N266</f>
        <v>48841</v>
      </c>
      <c r="P266" s="37" t="s">
        <v>4265</v>
      </c>
    </row>
    <row r="267" spans="1:18" ht="12.75" customHeight="1" x14ac:dyDescent="0.25">
      <c r="B267" s="477" t="s">
        <v>4260</v>
      </c>
      <c r="C267" s="782" t="s">
        <v>3460</v>
      </c>
      <c r="D267" s="731" t="s">
        <v>369</v>
      </c>
      <c r="E267" s="249">
        <v>4</v>
      </c>
      <c r="F267" s="299">
        <v>412.25</v>
      </c>
      <c r="G267" s="299">
        <f t="shared" si="70"/>
        <v>1649</v>
      </c>
      <c r="H267" s="235">
        <v>9</v>
      </c>
      <c r="N267" s="224">
        <f t="shared" si="71"/>
        <v>9</v>
      </c>
      <c r="O267" s="299">
        <f t="shared" si="72"/>
        <v>1640</v>
      </c>
      <c r="P267" s="37" t="s">
        <v>4265</v>
      </c>
    </row>
    <row r="268" spans="1:18" s="231" customFormat="1" ht="13.2" x14ac:dyDescent="0.25">
      <c r="A268" s="225"/>
      <c r="B268" s="477" t="s">
        <v>4260</v>
      </c>
      <c r="C268" s="29" t="s">
        <v>4224</v>
      </c>
      <c r="D268" s="768" t="s">
        <v>369</v>
      </c>
      <c r="E268" s="2">
        <v>50</v>
      </c>
      <c r="F268" s="60">
        <v>977</v>
      </c>
      <c r="G268" s="299">
        <f t="shared" si="70"/>
        <v>48850</v>
      </c>
      <c r="H268" s="235"/>
      <c r="I268" s="299"/>
      <c r="J268" s="299"/>
      <c r="K268" s="299"/>
      <c r="L268" s="299"/>
      <c r="M268" s="299"/>
      <c r="N268" s="224">
        <f t="shared" si="71"/>
        <v>0</v>
      </c>
      <c r="O268" s="299">
        <f t="shared" si="72"/>
        <v>48850</v>
      </c>
      <c r="P268" s="37" t="s">
        <v>4265</v>
      </c>
    </row>
    <row r="269" spans="1:18" s="231" customFormat="1" ht="13.2" x14ac:dyDescent="0.25">
      <c r="A269" s="225"/>
      <c r="B269" s="477" t="s">
        <v>4267</v>
      </c>
      <c r="C269" s="29" t="s">
        <v>4224</v>
      </c>
      <c r="D269" s="768" t="s">
        <v>369</v>
      </c>
      <c r="E269" s="2">
        <v>50</v>
      </c>
      <c r="F269" s="60">
        <v>980</v>
      </c>
      <c r="G269" s="60">
        <f t="shared" si="70"/>
        <v>49000</v>
      </c>
      <c r="H269" s="235">
        <v>9</v>
      </c>
      <c r="I269" s="299"/>
      <c r="J269" s="299"/>
      <c r="K269" s="299"/>
      <c r="L269" s="299"/>
      <c r="M269" s="299"/>
      <c r="N269" s="224">
        <f t="shared" si="71"/>
        <v>9</v>
      </c>
      <c r="O269" s="299">
        <f t="shared" si="72"/>
        <v>48991</v>
      </c>
      <c r="P269" s="2" t="s">
        <v>4268</v>
      </c>
    </row>
    <row r="270" spans="1:18" ht="12.75" customHeight="1" x14ac:dyDescent="0.25">
      <c r="B270" s="477" t="s">
        <v>4267</v>
      </c>
      <c r="C270" s="782" t="s">
        <v>3460</v>
      </c>
      <c r="D270" s="731" t="s">
        <v>369</v>
      </c>
      <c r="E270" s="249">
        <v>56</v>
      </c>
      <c r="F270" s="299">
        <v>404.7</v>
      </c>
      <c r="G270" s="60">
        <f t="shared" si="70"/>
        <v>22663.200000000001</v>
      </c>
      <c r="H270" s="235">
        <v>9</v>
      </c>
      <c r="I270" s="299">
        <v>4.99</v>
      </c>
      <c r="J270" s="299">
        <v>4.42</v>
      </c>
      <c r="K270" s="299">
        <v>136</v>
      </c>
      <c r="L270" s="299">
        <v>0.14000000000000001</v>
      </c>
      <c r="M270" s="299">
        <v>8.17</v>
      </c>
      <c r="N270" s="224">
        <f t="shared" si="71"/>
        <v>162.71999999999997</v>
      </c>
      <c r="O270" s="299">
        <f t="shared" si="72"/>
        <v>22500.48</v>
      </c>
      <c r="P270" s="2" t="s">
        <v>4268</v>
      </c>
    </row>
    <row r="271" spans="1:18" ht="12.75" customHeight="1" x14ac:dyDescent="0.25">
      <c r="B271" s="477" t="s">
        <v>4270</v>
      </c>
      <c r="C271" s="782" t="s">
        <v>4269</v>
      </c>
      <c r="D271" s="731" t="s">
        <v>369</v>
      </c>
      <c r="E271" s="249">
        <v>25</v>
      </c>
      <c r="F271" s="299">
        <v>851</v>
      </c>
      <c r="G271" s="299">
        <f t="shared" si="70"/>
        <v>21275</v>
      </c>
      <c r="H271" s="235">
        <v>9</v>
      </c>
      <c r="N271" s="224">
        <f t="shared" si="71"/>
        <v>9</v>
      </c>
      <c r="O271" s="299">
        <f t="shared" si="72"/>
        <v>21266</v>
      </c>
      <c r="P271" s="37" t="s">
        <v>4272</v>
      </c>
    </row>
    <row r="272" spans="1:18" ht="12.75" customHeight="1" x14ac:dyDescent="0.25">
      <c r="B272" s="477" t="s">
        <v>4270</v>
      </c>
      <c r="C272" s="782" t="s">
        <v>4266</v>
      </c>
      <c r="D272" s="731" t="s">
        <v>369</v>
      </c>
      <c r="E272" s="249">
        <v>40</v>
      </c>
      <c r="F272" s="299">
        <v>650.20000000000005</v>
      </c>
      <c r="G272" s="299">
        <f t="shared" si="70"/>
        <v>26008</v>
      </c>
      <c r="H272" s="235">
        <v>9</v>
      </c>
      <c r="N272" s="224">
        <f t="shared" si="71"/>
        <v>9</v>
      </c>
      <c r="O272" s="299">
        <f t="shared" si="72"/>
        <v>25999</v>
      </c>
      <c r="P272" s="37" t="s">
        <v>4272</v>
      </c>
    </row>
    <row r="273" spans="1:16" ht="12.75" customHeight="1" x14ac:dyDescent="0.25">
      <c r="B273" s="477" t="s">
        <v>4270</v>
      </c>
      <c r="C273" s="782" t="s">
        <v>4266</v>
      </c>
      <c r="D273" s="731" t="s">
        <v>369</v>
      </c>
      <c r="E273" s="249">
        <v>40</v>
      </c>
      <c r="F273" s="299">
        <v>653</v>
      </c>
      <c r="G273" s="299">
        <f t="shared" si="70"/>
        <v>26120</v>
      </c>
      <c r="N273" s="224">
        <f t="shared" si="71"/>
        <v>0</v>
      </c>
      <c r="O273" s="299">
        <f t="shared" si="72"/>
        <v>26120</v>
      </c>
      <c r="P273" s="37" t="s">
        <v>4272</v>
      </c>
    </row>
    <row r="274" spans="1:16" ht="12.75" customHeight="1" x14ac:dyDescent="0.25">
      <c r="B274" s="477" t="s">
        <v>4270</v>
      </c>
      <c r="C274" s="782" t="s">
        <v>4266</v>
      </c>
      <c r="D274" s="731" t="s">
        <v>369</v>
      </c>
      <c r="E274" s="249">
        <v>20</v>
      </c>
      <c r="F274" s="299">
        <v>653</v>
      </c>
      <c r="G274" s="299">
        <f t="shared" si="70"/>
        <v>13060</v>
      </c>
      <c r="H274" s="235">
        <v>9</v>
      </c>
      <c r="N274" s="224">
        <f t="shared" si="71"/>
        <v>9</v>
      </c>
      <c r="O274" s="299">
        <f t="shared" si="72"/>
        <v>13051</v>
      </c>
      <c r="P274" s="37" t="s">
        <v>4272</v>
      </c>
    </row>
    <row r="275" spans="1:16" ht="12.75" customHeight="1" x14ac:dyDescent="0.25">
      <c r="B275" s="477" t="s">
        <v>4270</v>
      </c>
      <c r="C275" s="782" t="s">
        <v>4224</v>
      </c>
      <c r="D275" s="731" t="s">
        <v>369</v>
      </c>
      <c r="E275" s="249">
        <v>25</v>
      </c>
      <c r="F275" s="299">
        <v>988</v>
      </c>
      <c r="G275" s="299">
        <f t="shared" si="70"/>
        <v>24700</v>
      </c>
      <c r="H275" s="235">
        <v>9</v>
      </c>
      <c r="N275" s="224">
        <f t="shared" si="71"/>
        <v>9</v>
      </c>
      <c r="O275" s="299">
        <f t="shared" si="72"/>
        <v>24691</v>
      </c>
      <c r="P275" s="37" t="s">
        <v>4272</v>
      </c>
    </row>
    <row r="276" spans="1:16" ht="12.75" customHeight="1" x14ac:dyDescent="0.25">
      <c r="B276" s="477" t="s">
        <v>4270</v>
      </c>
      <c r="C276" s="782" t="s">
        <v>4224</v>
      </c>
      <c r="D276" s="731" t="s">
        <v>369</v>
      </c>
      <c r="E276" s="249">
        <v>25</v>
      </c>
      <c r="F276" s="299">
        <v>988</v>
      </c>
      <c r="G276" s="299">
        <f t="shared" si="70"/>
        <v>24700</v>
      </c>
      <c r="N276" s="224">
        <f t="shared" si="71"/>
        <v>0</v>
      </c>
      <c r="O276" s="299">
        <f t="shared" si="72"/>
        <v>24700</v>
      </c>
      <c r="P276" s="37" t="s">
        <v>4272</v>
      </c>
    </row>
    <row r="277" spans="1:16" ht="12.75" customHeight="1" x14ac:dyDescent="0.25">
      <c r="B277" s="477" t="s">
        <v>4270</v>
      </c>
      <c r="C277" s="782" t="s">
        <v>4264</v>
      </c>
      <c r="D277" s="731" t="s">
        <v>369</v>
      </c>
      <c r="E277" s="249">
        <v>20</v>
      </c>
      <c r="F277" s="299">
        <v>1223</v>
      </c>
      <c r="G277" s="299">
        <f t="shared" si="70"/>
        <v>24460</v>
      </c>
      <c r="H277" s="235">
        <v>9</v>
      </c>
      <c r="I277" s="299">
        <v>13.35</v>
      </c>
      <c r="J277" s="299">
        <v>9.2100000000000009</v>
      </c>
      <c r="K277" s="299">
        <v>157</v>
      </c>
      <c r="L277" s="299">
        <v>0.28000000000000003</v>
      </c>
      <c r="M277" s="299">
        <v>17</v>
      </c>
      <c r="N277" s="224">
        <f t="shared" si="71"/>
        <v>205.84</v>
      </c>
      <c r="O277" s="299">
        <f t="shared" si="72"/>
        <v>24254.16</v>
      </c>
      <c r="P277" s="37" t="s">
        <v>4272</v>
      </c>
    </row>
    <row r="278" spans="1:16" ht="12.75" customHeight="1" x14ac:dyDescent="0.25">
      <c r="B278" s="477" t="s">
        <v>4273</v>
      </c>
      <c r="C278" s="782" t="s">
        <v>4091</v>
      </c>
      <c r="D278" s="731" t="s">
        <v>369</v>
      </c>
      <c r="E278" s="249">
        <v>75</v>
      </c>
      <c r="F278" s="299">
        <v>268.14999999999998</v>
      </c>
      <c r="G278" s="299">
        <f t="shared" ref="G278:G287" si="73">E278*F278</f>
        <v>20111.25</v>
      </c>
      <c r="H278" s="235">
        <v>9</v>
      </c>
      <c r="N278" s="224">
        <f t="shared" ref="N278:N287" si="74">SUM(H278:M278)</f>
        <v>9</v>
      </c>
      <c r="O278" s="299">
        <f t="shared" si="72"/>
        <v>20102.25</v>
      </c>
      <c r="P278" s="730" t="s">
        <v>4274</v>
      </c>
    </row>
    <row r="279" spans="1:16" ht="12.75" customHeight="1" x14ac:dyDescent="0.25">
      <c r="B279" s="477" t="s">
        <v>4273</v>
      </c>
      <c r="C279" s="782" t="s">
        <v>4091</v>
      </c>
      <c r="D279" s="731" t="s">
        <v>369</v>
      </c>
      <c r="E279" s="249">
        <v>100</v>
      </c>
      <c r="F279" s="299">
        <v>268.14999999999998</v>
      </c>
      <c r="G279" s="299">
        <f t="shared" si="73"/>
        <v>26814.999999999996</v>
      </c>
      <c r="N279" s="224">
        <f t="shared" si="74"/>
        <v>0</v>
      </c>
      <c r="O279" s="299">
        <f t="shared" si="72"/>
        <v>26814.999999999996</v>
      </c>
      <c r="P279" s="730" t="s">
        <v>4274</v>
      </c>
    </row>
    <row r="280" spans="1:16" ht="12.75" customHeight="1" x14ac:dyDescent="0.25">
      <c r="B280" s="477" t="s">
        <v>4273</v>
      </c>
      <c r="C280" s="782" t="s">
        <v>4224</v>
      </c>
      <c r="D280" s="731" t="s">
        <v>369</v>
      </c>
      <c r="E280" s="249">
        <v>20</v>
      </c>
      <c r="F280" s="299">
        <v>992.05</v>
      </c>
      <c r="G280" s="299">
        <f t="shared" si="73"/>
        <v>19841</v>
      </c>
      <c r="H280" s="235">
        <v>9</v>
      </c>
      <c r="N280" s="224">
        <f t="shared" si="74"/>
        <v>9</v>
      </c>
      <c r="O280" s="299">
        <f t="shared" si="72"/>
        <v>19832</v>
      </c>
      <c r="P280" s="730" t="s">
        <v>4274</v>
      </c>
    </row>
    <row r="281" spans="1:16" ht="12.75" customHeight="1" x14ac:dyDescent="0.25">
      <c r="B281" s="477" t="s">
        <v>4273</v>
      </c>
      <c r="C281" s="782" t="s">
        <v>4224</v>
      </c>
      <c r="D281" s="731" t="s">
        <v>369</v>
      </c>
      <c r="E281" s="249">
        <v>5</v>
      </c>
      <c r="F281" s="299">
        <v>992.05</v>
      </c>
      <c r="G281" s="299">
        <f t="shared" si="73"/>
        <v>4960.25</v>
      </c>
      <c r="I281" s="299">
        <v>6.04</v>
      </c>
      <c r="J281" s="299">
        <v>3.94</v>
      </c>
      <c r="K281" s="299">
        <v>51</v>
      </c>
      <c r="L281" s="299">
        <v>0.12</v>
      </c>
      <c r="M281" s="299">
        <v>7.28</v>
      </c>
      <c r="N281" s="224">
        <f t="shared" si="74"/>
        <v>68.38</v>
      </c>
      <c r="O281" s="299">
        <f t="shared" si="72"/>
        <v>4891.87</v>
      </c>
      <c r="P281" s="730" t="s">
        <v>4274</v>
      </c>
    </row>
    <row r="282" spans="1:16" ht="12.75" customHeight="1" x14ac:dyDescent="0.25">
      <c r="A282" s="387"/>
      <c r="B282" s="729" t="s">
        <v>4276</v>
      </c>
      <c r="C282" s="48" t="s">
        <v>4224</v>
      </c>
      <c r="D282" s="769" t="s">
        <v>369</v>
      </c>
      <c r="E282" s="249">
        <v>20</v>
      </c>
      <c r="F282" s="299">
        <v>960.35</v>
      </c>
      <c r="G282" s="299">
        <f t="shared" si="73"/>
        <v>19207</v>
      </c>
      <c r="H282" s="235">
        <v>9</v>
      </c>
      <c r="I282" s="299">
        <v>6.92</v>
      </c>
      <c r="J282" s="299">
        <v>2.09</v>
      </c>
      <c r="K282" s="299">
        <v>64</v>
      </c>
      <c r="L282" s="299">
        <v>0.06</v>
      </c>
      <c r="M282" s="299">
        <v>3.87</v>
      </c>
      <c r="N282" s="224">
        <f t="shared" si="74"/>
        <v>85.94</v>
      </c>
      <c r="O282" s="299">
        <f t="shared" si="72"/>
        <v>19121.060000000001</v>
      </c>
      <c r="P282" s="730" t="s">
        <v>4279</v>
      </c>
    </row>
    <row r="283" spans="1:16" ht="12.75" customHeight="1" x14ac:dyDescent="0.25">
      <c r="B283" s="729" t="s">
        <v>4276</v>
      </c>
      <c r="C283" s="782" t="s">
        <v>4271</v>
      </c>
      <c r="D283" s="731" t="s">
        <v>369</v>
      </c>
      <c r="E283" s="249">
        <v>20</v>
      </c>
      <c r="F283" s="299">
        <v>492.3</v>
      </c>
      <c r="G283" s="299">
        <f t="shared" si="73"/>
        <v>9846</v>
      </c>
      <c r="H283" s="235">
        <v>9</v>
      </c>
      <c r="N283" s="224">
        <f t="shared" si="74"/>
        <v>9</v>
      </c>
      <c r="O283" s="299">
        <f t="shared" si="72"/>
        <v>9837</v>
      </c>
      <c r="P283" s="730" t="s">
        <v>4279</v>
      </c>
    </row>
    <row r="284" spans="1:16" ht="12.75" customHeight="1" x14ac:dyDescent="0.25">
      <c r="A284" s="387"/>
      <c r="B284" s="729" t="s">
        <v>4276</v>
      </c>
      <c r="C284" s="48" t="s">
        <v>4266</v>
      </c>
      <c r="D284" s="769" t="s">
        <v>369</v>
      </c>
      <c r="E284" s="249">
        <v>5</v>
      </c>
      <c r="F284" s="299">
        <v>675.3</v>
      </c>
      <c r="G284" s="299">
        <f t="shared" si="73"/>
        <v>3376.5</v>
      </c>
      <c r="H284" s="235">
        <v>9</v>
      </c>
      <c r="N284" s="224">
        <f t="shared" si="74"/>
        <v>9</v>
      </c>
      <c r="O284" s="299">
        <f t="shared" si="72"/>
        <v>3367.5</v>
      </c>
      <c r="P284" s="730" t="s">
        <v>4279</v>
      </c>
    </row>
    <row r="285" spans="1:16" ht="12.75" customHeight="1" x14ac:dyDescent="0.25">
      <c r="A285" s="387"/>
      <c r="B285" s="729" t="s">
        <v>4280</v>
      </c>
      <c r="C285" s="48" t="s">
        <v>4277</v>
      </c>
      <c r="D285" s="770" t="s">
        <v>369</v>
      </c>
      <c r="E285" s="249">
        <v>20</v>
      </c>
      <c r="F285" s="299">
        <v>145.44999999999999</v>
      </c>
      <c r="G285" s="299">
        <f t="shared" si="73"/>
        <v>2909</v>
      </c>
      <c r="H285" s="235">
        <v>9</v>
      </c>
      <c r="N285" s="224">
        <f t="shared" si="74"/>
        <v>9</v>
      </c>
      <c r="O285" s="299">
        <f t="shared" si="72"/>
        <v>2900</v>
      </c>
      <c r="P285" s="730" t="s">
        <v>4283</v>
      </c>
    </row>
    <row r="286" spans="1:16" ht="12.75" customHeight="1" x14ac:dyDescent="0.25">
      <c r="A286" s="387"/>
      <c r="B286" s="729" t="s">
        <v>4280</v>
      </c>
      <c r="C286" s="48" t="s">
        <v>4277</v>
      </c>
      <c r="D286" s="770" t="s">
        <v>369</v>
      </c>
      <c r="E286" s="249">
        <v>80</v>
      </c>
      <c r="F286" s="299">
        <v>145.4</v>
      </c>
      <c r="G286" s="299">
        <f t="shared" si="73"/>
        <v>11632</v>
      </c>
      <c r="H286" s="235">
        <v>9</v>
      </c>
      <c r="N286" s="224">
        <f t="shared" si="74"/>
        <v>9</v>
      </c>
      <c r="O286" s="299">
        <f t="shared" si="72"/>
        <v>11623</v>
      </c>
      <c r="P286" s="730" t="s">
        <v>4283</v>
      </c>
    </row>
    <row r="287" spans="1:16" ht="12.75" customHeight="1" x14ac:dyDescent="0.25">
      <c r="A287" s="387"/>
      <c r="B287" s="729" t="s">
        <v>4280</v>
      </c>
      <c r="C287" s="48" t="s">
        <v>4278</v>
      </c>
      <c r="D287" s="769" t="s">
        <v>369</v>
      </c>
      <c r="E287" s="249">
        <v>35</v>
      </c>
      <c r="F287" s="299">
        <v>455</v>
      </c>
      <c r="G287" s="299">
        <f t="shared" si="73"/>
        <v>15925</v>
      </c>
      <c r="H287" s="235">
        <v>9</v>
      </c>
      <c r="N287" s="224">
        <f t="shared" si="74"/>
        <v>9</v>
      </c>
      <c r="O287" s="299">
        <f t="shared" si="72"/>
        <v>15916</v>
      </c>
      <c r="P287" s="730" t="s">
        <v>4283</v>
      </c>
    </row>
    <row r="288" spans="1:16" ht="12.75" customHeight="1" x14ac:dyDescent="0.25">
      <c r="A288" s="387"/>
      <c r="B288" s="729" t="s">
        <v>4284</v>
      </c>
      <c r="C288" s="48" t="s">
        <v>4271</v>
      </c>
      <c r="D288" s="769" t="s">
        <v>369</v>
      </c>
      <c r="E288" s="249">
        <v>15</v>
      </c>
      <c r="F288" s="299">
        <v>460.15</v>
      </c>
      <c r="G288" s="299">
        <f t="shared" ref="G288:G299" si="75">E288*F288</f>
        <v>6902.25</v>
      </c>
      <c r="H288" s="235">
        <v>9</v>
      </c>
      <c r="N288" s="224">
        <f t="shared" ref="N288:N299" si="76">SUM(H288:M288)</f>
        <v>9</v>
      </c>
      <c r="O288" s="299">
        <f t="shared" si="72"/>
        <v>6893.25</v>
      </c>
      <c r="P288" s="730" t="s">
        <v>4286</v>
      </c>
    </row>
    <row r="289" spans="1:16" ht="12.75" customHeight="1" x14ac:dyDescent="0.25">
      <c r="A289" s="387"/>
      <c r="B289" s="729" t="s">
        <v>4284</v>
      </c>
      <c r="C289" s="48" t="s">
        <v>4266</v>
      </c>
      <c r="D289" s="769" t="s">
        <v>369</v>
      </c>
      <c r="E289" s="249">
        <v>35</v>
      </c>
      <c r="F289" s="299">
        <v>652.29999999999995</v>
      </c>
      <c r="G289" s="299">
        <f t="shared" si="75"/>
        <v>22830.5</v>
      </c>
      <c r="H289" s="235">
        <v>9</v>
      </c>
      <c r="N289" s="224">
        <f t="shared" si="76"/>
        <v>9</v>
      </c>
      <c r="O289" s="299">
        <f t="shared" si="72"/>
        <v>22821.5</v>
      </c>
      <c r="P289" s="730" t="s">
        <v>4286</v>
      </c>
    </row>
    <row r="290" spans="1:16" ht="12.75" customHeight="1" x14ac:dyDescent="0.25">
      <c r="A290" s="387"/>
      <c r="B290" s="729" t="s">
        <v>4290</v>
      </c>
      <c r="C290" s="48" t="s">
        <v>4271</v>
      </c>
      <c r="D290" s="769" t="s">
        <v>369</v>
      </c>
      <c r="E290" s="249">
        <v>35</v>
      </c>
      <c r="F290" s="299">
        <v>448</v>
      </c>
      <c r="G290" s="299">
        <f t="shared" si="75"/>
        <v>15680</v>
      </c>
      <c r="H290" s="235">
        <v>9</v>
      </c>
      <c r="N290" s="224">
        <f t="shared" si="76"/>
        <v>9</v>
      </c>
      <c r="O290" s="299">
        <f t="shared" si="72"/>
        <v>15671</v>
      </c>
      <c r="P290" s="730" t="s">
        <v>4289</v>
      </c>
    </row>
    <row r="291" spans="1:16" ht="12.75" customHeight="1" x14ac:dyDescent="0.25">
      <c r="A291" s="387"/>
      <c r="B291" s="729" t="s">
        <v>4291</v>
      </c>
      <c r="C291" s="48" t="s">
        <v>4282</v>
      </c>
      <c r="D291" s="769" t="s">
        <v>369</v>
      </c>
      <c r="E291" s="249">
        <v>50</v>
      </c>
      <c r="F291" s="299">
        <v>454</v>
      </c>
      <c r="G291" s="299">
        <f t="shared" si="75"/>
        <v>22700</v>
      </c>
      <c r="H291" s="235">
        <v>9</v>
      </c>
      <c r="I291" s="299">
        <v>2.4</v>
      </c>
      <c r="J291" s="299">
        <v>1.46</v>
      </c>
      <c r="K291" s="299">
        <v>45</v>
      </c>
      <c r="L291" s="299">
        <v>0.04</v>
      </c>
      <c r="M291" s="299">
        <v>2.7</v>
      </c>
      <c r="N291" s="224">
        <f t="shared" si="76"/>
        <v>60.6</v>
      </c>
      <c r="O291" s="299">
        <f t="shared" si="72"/>
        <v>22639.4</v>
      </c>
      <c r="P291" s="730" t="s">
        <v>4292</v>
      </c>
    </row>
    <row r="292" spans="1:16" ht="12.75" customHeight="1" x14ac:dyDescent="0.25">
      <c r="A292" s="387"/>
      <c r="B292" s="729" t="s">
        <v>4295</v>
      </c>
      <c r="C292" s="48" t="s">
        <v>219</v>
      </c>
      <c r="D292" s="769" t="s">
        <v>369</v>
      </c>
      <c r="E292" s="249">
        <v>200</v>
      </c>
      <c r="F292" s="299">
        <v>77.2</v>
      </c>
      <c r="G292" s="299">
        <f t="shared" si="75"/>
        <v>15440</v>
      </c>
      <c r="H292" s="235">
        <v>9</v>
      </c>
      <c r="N292" s="224">
        <f t="shared" si="76"/>
        <v>9</v>
      </c>
      <c r="O292" s="299">
        <f t="shared" si="72"/>
        <v>15431</v>
      </c>
      <c r="P292" s="730" t="s">
        <v>4296</v>
      </c>
    </row>
    <row r="293" spans="1:16" ht="12.75" customHeight="1" x14ac:dyDescent="0.25">
      <c r="A293" s="387"/>
      <c r="B293" s="729" t="s">
        <v>4295</v>
      </c>
      <c r="C293" s="48" t="s">
        <v>219</v>
      </c>
      <c r="D293" s="769" t="s">
        <v>369</v>
      </c>
      <c r="E293" s="249">
        <v>100</v>
      </c>
      <c r="F293" s="299">
        <v>79.2</v>
      </c>
      <c r="G293" s="299">
        <f t="shared" si="75"/>
        <v>7920</v>
      </c>
      <c r="H293" s="235">
        <v>9</v>
      </c>
      <c r="N293" s="224">
        <f t="shared" si="76"/>
        <v>9</v>
      </c>
      <c r="O293" s="299">
        <f t="shared" si="72"/>
        <v>7911</v>
      </c>
      <c r="P293" s="730" t="s">
        <v>4296</v>
      </c>
    </row>
    <row r="294" spans="1:16" ht="12.75" customHeight="1" x14ac:dyDescent="0.25">
      <c r="A294" s="387"/>
      <c r="B294" s="729" t="s">
        <v>4295</v>
      </c>
      <c r="C294" s="48" t="s">
        <v>4281</v>
      </c>
      <c r="D294" s="769" t="s">
        <v>369</v>
      </c>
      <c r="E294" s="249">
        <v>5</v>
      </c>
      <c r="F294" s="299">
        <v>255.35</v>
      </c>
      <c r="G294" s="299">
        <f t="shared" si="75"/>
        <v>1276.75</v>
      </c>
      <c r="N294" s="224">
        <f t="shared" si="76"/>
        <v>0</v>
      </c>
      <c r="O294" s="299">
        <f t="shared" si="72"/>
        <v>1276.75</v>
      </c>
      <c r="P294" s="730" t="s">
        <v>4296</v>
      </c>
    </row>
    <row r="295" spans="1:16" ht="12.75" customHeight="1" x14ac:dyDescent="0.25">
      <c r="A295" s="387"/>
      <c r="B295" s="729" t="s">
        <v>4295</v>
      </c>
      <c r="C295" s="48" t="s">
        <v>4281</v>
      </c>
      <c r="D295" s="769" t="s">
        <v>369</v>
      </c>
      <c r="E295" s="249">
        <v>1</v>
      </c>
      <c r="F295" s="299">
        <v>255.55</v>
      </c>
      <c r="G295" s="299">
        <f t="shared" si="75"/>
        <v>255.55</v>
      </c>
      <c r="N295" s="224">
        <f t="shared" si="76"/>
        <v>0</v>
      </c>
      <c r="O295" s="299">
        <f t="shared" si="72"/>
        <v>255.55</v>
      </c>
      <c r="P295" s="730" t="s">
        <v>4296</v>
      </c>
    </row>
    <row r="296" spans="1:16" ht="12.75" customHeight="1" x14ac:dyDescent="0.25">
      <c r="A296" s="387"/>
      <c r="B296" s="729" t="s">
        <v>4295</v>
      </c>
      <c r="C296" s="48" t="s">
        <v>4281</v>
      </c>
      <c r="D296" s="769" t="s">
        <v>369</v>
      </c>
      <c r="E296" s="249">
        <v>4</v>
      </c>
      <c r="F296" s="299">
        <v>255.6</v>
      </c>
      <c r="G296" s="299">
        <f t="shared" si="75"/>
        <v>1022.4</v>
      </c>
      <c r="N296" s="224">
        <f t="shared" si="76"/>
        <v>0</v>
      </c>
      <c r="O296" s="299">
        <f t="shared" si="72"/>
        <v>1022.4</v>
      </c>
      <c r="P296" s="730" t="s">
        <v>4296</v>
      </c>
    </row>
    <row r="297" spans="1:16" ht="12.75" customHeight="1" x14ac:dyDescent="0.25">
      <c r="A297" s="387"/>
      <c r="B297" s="729" t="s">
        <v>4295</v>
      </c>
      <c r="C297" s="48" t="s">
        <v>4281</v>
      </c>
      <c r="D297" s="769" t="s">
        <v>369</v>
      </c>
      <c r="E297" s="249">
        <v>10</v>
      </c>
      <c r="F297" s="299">
        <v>255.4</v>
      </c>
      <c r="G297" s="299">
        <f t="shared" si="75"/>
        <v>2554</v>
      </c>
      <c r="H297" s="235">
        <v>9</v>
      </c>
      <c r="N297" s="224">
        <f t="shared" si="76"/>
        <v>9</v>
      </c>
      <c r="O297" s="299">
        <f t="shared" si="72"/>
        <v>2545</v>
      </c>
      <c r="P297" s="730" t="s">
        <v>4296</v>
      </c>
    </row>
    <row r="298" spans="1:16" ht="12.75" customHeight="1" x14ac:dyDescent="0.25">
      <c r="A298" s="387"/>
      <c r="B298" s="729" t="s">
        <v>4295</v>
      </c>
      <c r="C298" s="48" t="s">
        <v>4285</v>
      </c>
      <c r="D298" s="769" t="s">
        <v>369</v>
      </c>
      <c r="E298" s="249">
        <v>75</v>
      </c>
      <c r="F298" s="299">
        <v>36</v>
      </c>
      <c r="G298" s="299">
        <f t="shared" si="75"/>
        <v>2700</v>
      </c>
      <c r="H298" s="235">
        <v>9</v>
      </c>
      <c r="N298" s="224">
        <f t="shared" si="76"/>
        <v>9</v>
      </c>
      <c r="O298" s="299">
        <f t="shared" si="72"/>
        <v>2691</v>
      </c>
      <c r="P298" s="730" t="s">
        <v>4296</v>
      </c>
    </row>
    <row r="299" spans="1:16" ht="12.75" customHeight="1" x14ac:dyDescent="0.25">
      <c r="A299" s="387"/>
      <c r="B299" s="729" t="s">
        <v>4295</v>
      </c>
      <c r="C299" s="48" t="s">
        <v>4285</v>
      </c>
      <c r="D299" s="769" t="s">
        <v>369</v>
      </c>
      <c r="E299" s="249">
        <v>550</v>
      </c>
      <c r="F299" s="299">
        <v>35.85</v>
      </c>
      <c r="G299" s="299">
        <f t="shared" si="75"/>
        <v>19717.5</v>
      </c>
      <c r="H299" s="235">
        <v>9</v>
      </c>
      <c r="I299" s="299">
        <v>11.52</v>
      </c>
      <c r="J299" s="299">
        <v>3.31</v>
      </c>
      <c r="K299" s="299">
        <v>102</v>
      </c>
      <c r="L299" s="299">
        <v>0.1</v>
      </c>
      <c r="M299" s="299">
        <v>6.1</v>
      </c>
      <c r="N299" s="224">
        <f t="shared" si="76"/>
        <v>132.03</v>
      </c>
      <c r="O299" s="299">
        <f t="shared" si="72"/>
        <v>19585.47</v>
      </c>
      <c r="P299" s="730" t="s">
        <v>4296</v>
      </c>
    </row>
    <row r="300" spans="1:16" ht="12.75" customHeight="1" x14ac:dyDescent="0.25">
      <c r="A300" s="387"/>
      <c r="B300" s="729" t="s">
        <v>4302</v>
      </c>
      <c r="C300" s="48" t="s">
        <v>4091</v>
      </c>
      <c r="D300" s="769" t="s">
        <v>369</v>
      </c>
      <c r="E300" s="249">
        <v>5</v>
      </c>
      <c r="F300" s="299">
        <v>269.2</v>
      </c>
      <c r="G300" s="299">
        <f t="shared" ref="G300:G311" si="77">E300*F300</f>
        <v>1346</v>
      </c>
      <c r="N300" s="224">
        <f t="shared" ref="N300:N307" si="78">SUM(H300:M300)</f>
        <v>0</v>
      </c>
      <c r="O300" s="299">
        <f t="shared" si="72"/>
        <v>1346</v>
      </c>
      <c r="P300" s="730" t="s">
        <v>4298</v>
      </c>
    </row>
    <row r="301" spans="1:16" ht="12.75" customHeight="1" x14ac:dyDescent="0.25">
      <c r="A301" s="387"/>
      <c r="B301" s="729" t="s">
        <v>4302</v>
      </c>
      <c r="C301" s="48" t="s">
        <v>4091</v>
      </c>
      <c r="D301" s="769" t="s">
        <v>369</v>
      </c>
      <c r="E301" s="249">
        <v>5</v>
      </c>
      <c r="F301" s="299">
        <v>269</v>
      </c>
      <c r="G301" s="299">
        <f t="shared" si="77"/>
        <v>1345</v>
      </c>
      <c r="N301" s="224">
        <f t="shared" si="78"/>
        <v>0</v>
      </c>
      <c r="O301" s="299">
        <f t="shared" si="72"/>
        <v>1345</v>
      </c>
      <c r="P301" s="730" t="s">
        <v>4298</v>
      </c>
    </row>
    <row r="302" spans="1:16" ht="12.75" customHeight="1" x14ac:dyDescent="0.25">
      <c r="A302" s="387"/>
      <c r="B302" s="729" t="s">
        <v>4302</v>
      </c>
      <c r="C302" s="48" t="s">
        <v>4091</v>
      </c>
      <c r="D302" s="769" t="s">
        <v>369</v>
      </c>
      <c r="E302" s="249">
        <v>50</v>
      </c>
      <c r="F302" s="299">
        <v>269.05</v>
      </c>
      <c r="G302" s="299">
        <f t="shared" si="77"/>
        <v>13452.5</v>
      </c>
      <c r="H302" s="235">
        <v>9</v>
      </c>
      <c r="N302" s="224">
        <f t="shared" si="78"/>
        <v>9</v>
      </c>
      <c r="O302" s="299">
        <f t="shared" si="72"/>
        <v>13443.5</v>
      </c>
      <c r="P302" s="730" t="s">
        <v>4298</v>
      </c>
    </row>
    <row r="303" spans="1:16" ht="12.75" customHeight="1" x14ac:dyDescent="0.25">
      <c r="A303" s="387"/>
      <c r="B303" s="729" t="s">
        <v>4302</v>
      </c>
      <c r="C303" s="48" t="s">
        <v>4091</v>
      </c>
      <c r="D303" s="769" t="s">
        <v>369</v>
      </c>
      <c r="E303" s="249">
        <v>70</v>
      </c>
      <c r="F303" s="299">
        <v>274.35000000000002</v>
      </c>
      <c r="G303" s="299">
        <f t="shared" si="77"/>
        <v>19204.5</v>
      </c>
      <c r="H303" s="235">
        <v>9</v>
      </c>
      <c r="N303" s="224">
        <f t="shared" si="78"/>
        <v>9</v>
      </c>
      <c r="O303" s="299">
        <f t="shared" si="72"/>
        <v>19195.5</v>
      </c>
      <c r="P303" s="730" t="s">
        <v>4298</v>
      </c>
    </row>
    <row r="304" spans="1:16" ht="12.75" customHeight="1" x14ac:dyDescent="0.25">
      <c r="A304" s="387"/>
      <c r="B304" s="729" t="s">
        <v>4302</v>
      </c>
      <c r="C304" s="48" t="s">
        <v>4281</v>
      </c>
      <c r="D304" s="769" t="s">
        <v>369</v>
      </c>
      <c r="E304" s="249">
        <v>70</v>
      </c>
      <c r="F304" s="299">
        <v>242.25</v>
      </c>
      <c r="G304" s="299">
        <f t="shared" si="77"/>
        <v>16957.5</v>
      </c>
      <c r="H304" s="235">
        <v>9</v>
      </c>
      <c r="N304" s="224">
        <f t="shared" si="78"/>
        <v>9</v>
      </c>
      <c r="O304" s="299">
        <f t="shared" si="72"/>
        <v>16948.5</v>
      </c>
      <c r="P304" s="730" t="s">
        <v>4298</v>
      </c>
    </row>
    <row r="305" spans="1:18" ht="12.75" customHeight="1" x14ac:dyDescent="0.25">
      <c r="A305" s="387"/>
      <c r="B305" s="729" t="s">
        <v>4301</v>
      </c>
      <c r="C305" s="48" t="s">
        <v>1096</v>
      </c>
      <c r="D305" s="769" t="s">
        <v>369</v>
      </c>
      <c r="E305" s="249">
        <v>500</v>
      </c>
      <c r="F305" s="299">
        <v>73.900000000000006</v>
      </c>
      <c r="G305" s="299">
        <f t="shared" si="77"/>
        <v>36950</v>
      </c>
      <c r="H305" s="235">
        <v>9</v>
      </c>
      <c r="N305" s="224">
        <f t="shared" si="78"/>
        <v>9</v>
      </c>
      <c r="O305" s="299">
        <f t="shared" si="72"/>
        <v>36941</v>
      </c>
      <c r="P305" s="730" t="s">
        <v>4303</v>
      </c>
    </row>
    <row r="306" spans="1:18" s="231" customFormat="1" ht="13.2" x14ac:dyDescent="0.25">
      <c r="A306" s="225"/>
      <c r="B306" s="477" t="s">
        <v>4301</v>
      </c>
      <c r="C306" s="29" t="s">
        <v>1096</v>
      </c>
      <c r="D306" s="768" t="s">
        <v>369</v>
      </c>
      <c r="E306" s="2">
        <v>440</v>
      </c>
      <c r="F306" s="60">
        <v>73.95</v>
      </c>
      <c r="G306" s="60">
        <f t="shared" si="77"/>
        <v>32538</v>
      </c>
      <c r="H306" s="235">
        <v>9</v>
      </c>
      <c r="I306" s="299"/>
      <c r="J306" s="299"/>
      <c r="K306" s="299"/>
      <c r="L306" s="299"/>
      <c r="M306" s="299"/>
      <c r="N306" s="60">
        <f t="shared" si="78"/>
        <v>9</v>
      </c>
      <c r="O306" s="299">
        <f t="shared" si="72"/>
        <v>32529</v>
      </c>
      <c r="P306" s="37" t="s">
        <v>4306</v>
      </c>
      <c r="R306" s="235"/>
    </row>
    <row r="307" spans="1:18" ht="12.75" customHeight="1" x14ac:dyDescent="0.25">
      <c r="B307" s="477" t="s">
        <v>4301</v>
      </c>
      <c r="C307" s="29" t="s">
        <v>4285</v>
      </c>
      <c r="D307" s="768" t="s">
        <v>369</v>
      </c>
      <c r="E307" s="2">
        <v>550</v>
      </c>
      <c r="F307" s="60">
        <v>35.299999999999997</v>
      </c>
      <c r="G307" s="60">
        <f t="shared" si="77"/>
        <v>19415</v>
      </c>
      <c r="H307" s="235">
        <v>9</v>
      </c>
      <c r="I307" s="299">
        <v>2.4300000000000002</v>
      </c>
      <c r="J307" s="299">
        <v>1.69</v>
      </c>
      <c r="K307" s="299">
        <v>52</v>
      </c>
      <c r="L307" s="299">
        <v>0.05</v>
      </c>
      <c r="M307" s="299">
        <v>3.12</v>
      </c>
      <c r="N307" s="60">
        <f t="shared" si="78"/>
        <v>68.290000000000006</v>
      </c>
      <c r="O307" s="299">
        <f t="shared" si="72"/>
        <v>19346.71</v>
      </c>
      <c r="P307" s="37" t="s">
        <v>4306</v>
      </c>
    </row>
    <row r="308" spans="1:18" ht="12.75" customHeight="1" x14ac:dyDescent="0.25">
      <c r="B308" s="477" t="s">
        <v>4308</v>
      </c>
      <c r="C308" s="29" t="s">
        <v>4299</v>
      </c>
      <c r="D308" s="768" t="s">
        <v>369</v>
      </c>
      <c r="E308" s="2">
        <v>67</v>
      </c>
      <c r="F308" s="60">
        <v>641.75</v>
      </c>
      <c r="G308" s="60">
        <f t="shared" si="77"/>
        <v>42997.25</v>
      </c>
      <c r="N308" s="60">
        <f t="shared" ref="N308:N311" si="79">SUM(H308:M308)</f>
        <v>0</v>
      </c>
      <c r="O308" s="299">
        <f t="shared" ref="O308:O317" si="80">G308-N308</f>
        <v>42997.25</v>
      </c>
      <c r="P308" s="37" t="s">
        <v>4309</v>
      </c>
    </row>
    <row r="309" spans="1:18" s="231" customFormat="1" ht="13.2" x14ac:dyDescent="0.25">
      <c r="A309" s="225"/>
      <c r="B309" s="477" t="s">
        <v>4308</v>
      </c>
      <c r="C309" s="29" t="s">
        <v>4299</v>
      </c>
      <c r="D309" s="768" t="s">
        <v>369</v>
      </c>
      <c r="E309" s="2">
        <v>50</v>
      </c>
      <c r="F309" s="60">
        <v>641.5</v>
      </c>
      <c r="G309" s="60">
        <f t="shared" si="77"/>
        <v>32075</v>
      </c>
      <c r="H309" s="235"/>
      <c r="I309" s="60"/>
      <c r="J309" s="60"/>
      <c r="K309" s="60"/>
      <c r="L309" s="60"/>
      <c r="M309" s="299"/>
      <c r="N309" s="60">
        <f t="shared" si="79"/>
        <v>0</v>
      </c>
      <c r="O309" s="299">
        <f t="shared" si="80"/>
        <v>32075</v>
      </c>
      <c r="P309" s="37" t="s">
        <v>4309</v>
      </c>
    </row>
    <row r="310" spans="1:18" s="231" customFormat="1" ht="13.2" x14ac:dyDescent="0.25">
      <c r="A310" s="225"/>
      <c r="B310" s="477" t="s">
        <v>4308</v>
      </c>
      <c r="C310" s="29" t="s">
        <v>4299</v>
      </c>
      <c r="D310" s="768" t="s">
        <v>369</v>
      </c>
      <c r="E310" s="2">
        <v>50</v>
      </c>
      <c r="F310" s="60">
        <v>641.25</v>
      </c>
      <c r="G310" s="60">
        <f t="shared" si="77"/>
        <v>32062.5</v>
      </c>
      <c r="H310" s="235"/>
      <c r="I310" s="60"/>
      <c r="J310" s="60"/>
      <c r="K310" s="60"/>
      <c r="L310" s="60"/>
      <c r="M310" s="299"/>
      <c r="N310" s="60">
        <f t="shared" si="79"/>
        <v>0</v>
      </c>
      <c r="O310" s="299">
        <f t="shared" si="80"/>
        <v>32062.5</v>
      </c>
      <c r="P310" s="37" t="s">
        <v>4309</v>
      </c>
      <c r="Q310" s="91"/>
      <c r="R310" s="91"/>
    </row>
    <row r="311" spans="1:18" s="231" customFormat="1" ht="13.2" x14ac:dyDescent="0.25">
      <c r="A311" s="225"/>
      <c r="B311" s="477" t="s">
        <v>4308</v>
      </c>
      <c r="C311" s="29" t="s">
        <v>4299</v>
      </c>
      <c r="D311" s="768" t="s">
        <v>369</v>
      </c>
      <c r="E311" s="2">
        <v>33</v>
      </c>
      <c r="F311" s="60">
        <v>641</v>
      </c>
      <c r="G311" s="60">
        <f t="shared" si="77"/>
        <v>21153</v>
      </c>
      <c r="H311" s="235">
        <v>9</v>
      </c>
      <c r="I311" s="60">
        <v>1.67</v>
      </c>
      <c r="J311" s="60">
        <v>4.49</v>
      </c>
      <c r="K311" s="60">
        <v>128</v>
      </c>
      <c r="L311" s="60">
        <v>0.13</v>
      </c>
      <c r="M311" s="299">
        <v>7.7</v>
      </c>
      <c r="N311" s="60">
        <f t="shared" si="79"/>
        <v>150.98999999999998</v>
      </c>
      <c r="O311" s="299">
        <f t="shared" si="80"/>
        <v>21002.01</v>
      </c>
      <c r="P311" s="37" t="s">
        <v>4309</v>
      </c>
      <c r="Q311" s="91"/>
      <c r="R311" s="91"/>
    </row>
    <row r="312" spans="1:18" s="231" customFormat="1" ht="13.2" x14ac:dyDescent="0.25">
      <c r="A312" s="225"/>
      <c r="B312" s="477" t="s">
        <v>4313</v>
      </c>
      <c r="C312" s="29" t="s">
        <v>310</v>
      </c>
      <c r="D312" s="768" t="s">
        <v>369</v>
      </c>
      <c r="E312" s="2">
        <v>25</v>
      </c>
      <c r="F312" s="60">
        <v>392.05</v>
      </c>
      <c r="G312" s="60">
        <f t="shared" ref="G312:G321" si="81">E312*F312</f>
        <v>9801.25</v>
      </c>
      <c r="H312" s="234"/>
      <c r="I312" s="60"/>
      <c r="J312" s="60"/>
      <c r="K312" s="60"/>
      <c r="L312" s="60"/>
      <c r="M312" s="299"/>
      <c r="N312" s="224">
        <f>SUM(H312:M312)</f>
        <v>0</v>
      </c>
      <c r="O312" s="299">
        <f t="shared" si="80"/>
        <v>9801.25</v>
      </c>
      <c r="P312" s="730" t="s">
        <v>4316</v>
      </c>
    </row>
    <row r="313" spans="1:18" s="231" customFormat="1" ht="13.2" x14ac:dyDescent="0.25">
      <c r="A313" s="225"/>
      <c r="B313" s="477" t="s">
        <v>4313</v>
      </c>
      <c r="C313" s="29" t="s">
        <v>310</v>
      </c>
      <c r="D313" s="768" t="s">
        <v>369</v>
      </c>
      <c r="E313" s="2">
        <v>80</v>
      </c>
      <c r="F313" s="60">
        <v>393.95</v>
      </c>
      <c r="G313" s="60">
        <f t="shared" si="81"/>
        <v>31516</v>
      </c>
      <c r="H313" s="234"/>
      <c r="I313" s="60"/>
      <c r="J313" s="60"/>
      <c r="K313" s="60"/>
      <c r="L313" s="60"/>
      <c r="M313" s="299"/>
      <c r="N313" s="224">
        <f>SUM(H313:M313)</f>
        <v>0</v>
      </c>
      <c r="O313" s="299">
        <f t="shared" si="80"/>
        <v>31516</v>
      </c>
      <c r="P313" s="730" t="s">
        <v>4316</v>
      </c>
    </row>
    <row r="314" spans="1:18" s="231" customFormat="1" ht="13.2" x14ac:dyDescent="0.25">
      <c r="A314" s="225"/>
      <c r="B314" s="477" t="s">
        <v>4313</v>
      </c>
      <c r="C314" s="29" t="s">
        <v>310</v>
      </c>
      <c r="D314" s="768" t="s">
        <v>369</v>
      </c>
      <c r="E314" s="2">
        <v>5</v>
      </c>
      <c r="F314" s="60">
        <v>392</v>
      </c>
      <c r="G314" s="60">
        <f t="shared" si="81"/>
        <v>1960</v>
      </c>
      <c r="H314" s="234">
        <v>9</v>
      </c>
      <c r="I314" s="60"/>
      <c r="J314" s="60"/>
      <c r="K314" s="60"/>
      <c r="L314" s="60"/>
      <c r="M314" s="299"/>
      <c r="N314" s="224">
        <f>SUM(H314:M314)</f>
        <v>9</v>
      </c>
      <c r="O314" s="299">
        <f t="shared" si="80"/>
        <v>1951</v>
      </c>
      <c r="P314" s="730" t="s">
        <v>4316</v>
      </c>
    </row>
    <row r="315" spans="1:18" ht="12.75" customHeight="1" x14ac:dyDescent="0.25">
      <c r="B315" s="477" t="s">
        <v>4313</v>
      </c>
      <c r="C315" s="782" t="s">
        <v>4224</v>
      </c>
      <c r="D315" s="731" t="s">
        <v>369</v>
      </c>
      <c r="E315" s="249">
        <v>3</v>
      </c>
      <c r="F315" s="299">
        <v>751</v>
      </c>
      <c r="G315" s="299">
        <f t="shared" si="81"/>
        <v>2253</v>
      </c>
      <c r="N315" s="224">
        <f>SUM(H315:M315)</f>
        <v>0</v>
      </c>
      <c r="O315" s="299">
        <f t="shared" si="80"/>
        <v>2253</v>
      </c>
      <c r="P315" s="730" t="s">
        <v>4316</v>
      </c>
    </row>
    <row r="316" spans="1:18" ht="12.75" customHeight="1" x14ac:dyDescent="0.25">
      <c r="B316" s="477" t="s">
        <v>4313</v>
      </c>
      <c r="C316" s="782" t="s">
        <v>4224</v>
      </c>
      <c r="D316" s="731" t="s">
        <v>369</v>
      </c>
      <c r="E316" s="249">
        <v>50</v>
      </c>
      <c r="F316" s="299">
        <v>758</v>
      </c>
      <c r="G316" s="299">
        <f t="shared" si="81"/>
        <v>37900</v>
      </c>
      <c r="H316" s="235">
        <v>9</v>
      </c>
      <c r="N316" s="224">
        <f>SUM(H316:M316)</f>
        <v>9</v>
      </c>
      <c r="O316" s="299">
        <f t="shared" si="80"/>
        <v>37891</v>
      </c>
      <c r="P316" s="730" t="s">
        <v>4316</v>
      </c>
    </row>
    <row r="317" spans="1:18" s="231" customFormat="1" ht="13.2" x14ac:dyDescent="0.25">
      <c r="A317" s="225"/>
      <c r="B317" s="477" t="s">
        <v>4320</v>
      </c>
      <c r="C317" s="29" t="s">
        <v>4281</v>
      </c>
      <c r="D317" s="768" t="s">
        <v>369</v>
      </c>
      <c r="E317" s="2">
        <v>200</v>
      </c>
      <c r="F317" s="60">
        <v>250.25</v>
      </c>
      <c r="G317" s="60">
        <f t="shared" si="81"/>
        <v>50050</v>
      </c>
      <c r="H317" s="234">
        <v>9</v>
      </c>
      <c r="I317" s="60">
        <v>1.31</v>
      </c>
      <c r="J317" s="60">
        <v>1.63</v>
      </c>
      <c r="K317" s="60">
        <v>50</v>
      </c>
      <c r="L317" s="60">
        <v>0.05</v>
      </c>
      <c r="M317" s="299">
        <v>3</v>
      </c>
      <c r="N317" s="224">
        <f t="shared" ref="N317" si="82">SUM(H317:M317)</f>
        <v>64.989999999999995</v>
      </c>
      <c r="O317" s="299">
        <f t="shared" si="80"/>
        <v>49985.01</v>
      </c>
      <c r="P317" s="730" t="s">
        <v>4321</v>
      </c>
    </row>
    <row r="318" spans="1:18" s="231" customFormat="1" ht="13.2" x14ac:dyDescent="0.25">
      <c r="A318" s="225"/>
      <c r="B318" s="477" t="s">
        <v>4323</v>
      </c>
      <c r="C318" s="29" t="s">
        <v>4299</v>
      </c>
      <c r="D318" s="768" t="s">
        <v>369</v>
      </c>
      <c r="E318" s="2">
        <v>10</v>
      </c>
      <c r="F318" s="60">
        <v>789.75</v>
      </c>
      <c r="G318" s="60">
        <f t="shared" si="81"/>
        <v>7897.5</v>
      </c>
      <c r="H318" s="234">
        <v>9</v>
      </c>
      <c r="I318" s="60"/>
      <c r="J318" s="60"/>
      <c r="K318" s="60"/>
      <c r="L318" s="60"/>
      <c r="M318" s="299"/>
      <c r="N318" s="224">
        <f t="shared" ref="N318:N319" si="83">SUM(H318:M318)</f>
        <v>9</v>
      </c>
      <c r="O318" s="299">
        <f t="shared" ref="O318:O319" si="84">G318-N318</f>
        <v>7888.5</v>
      </c>
      <c r="P318" s="2" t="s">
        <v>4326</v>
      </c>
    </row>
    <row r="319" spans="1:18" s="231" customFormat="1" ht="13.2" x14ac:dyDescent="0.25">
      <c r="A319" s="225"/>
      <c r="B319" s="477" t="s">
        <v>4323</v>
      </c>
      <c r="C319" s="29" t="s">
        <v>4299</v>
      </c>
      <c r="D319" s="768" t="s">
        <v>369</v>
      </c>
      <c r="E319" s="2">
        <v>50</v>
      </c>
      <c r="F319" s="60">
        <v>790.75</v>
      </c>
      <c r="G319" s="60">
        <f t="shared" si="81"/>
        <v>39537.5</v>
      </c>
      <c r="H319" s="234">
        <v>9</v>
      </c>
      <c r="I319" s="60">
        <v>2.4300000000000002</v>
      </c>
      <c r="J319" s="60">
        <v>1.66</v>
      </c>
      <c r="K319" s="60">
        <v>47</v>
      </c>
      <c r="L319" s="60">
        <v>0.05</v>
      </c>
      <c r="M319" s="299">
        <v>2.85</v>
      </c>
      <c r="N319" s="224">
        <f t="shared" si="83"/>
        <v>62.99</v>
      </c>
      <c r="O319" s="299">
        <f t="shared" si="84"/>
        <v>39474.51</v>
      </c>
      <c r="P319" s="2" t="s">
        <v>4326</v>
      </c>
    </row>
    <row r="320" spans="1:18" ht="12.75" customHeight="1" x14ac:dyDescent="0.25">
      <c r="B320" s="477" t="s">
        <v>4323</v>
      </c>
      <c r="C320" s="782" t="s">
        <v>4315</v>
      </c>
      <c r="D320" s="731" t="s">
        <v>369</v>
      </c>
      <c r="E320" s="249">
        <v>25</v>
      </c>
      <c r="F320" s="299">
        <v>599.1</v>
      </c>
      <c r="G320" s="299">
        <f t="shared" si="81"/>
        <v>14977.5</v>
      </c>
      <c r="N320" s="224">
        <f t="shared" ref="N320:N321" si="85">SUM(H320:M320)</f>
        <v>0</v>
      </c>
      <c r="O320" s="299">
        <f t="shared" ref="O320:O383" si="86">G320-N320</f>
        <v>14977.5</v>
      </c>
      <c r="P320" s="730" t="s">
        <v>4327</v>
      </c>
    </row>
    <row r="321" spans="1:16" ht="12.75" customHeight="1" x14ac:dyDescent="0.25">
      <c r="B321" s="477" t="s">
        <v>4323</v>
      </c>
      <c r="C321" s="782" t="s">
        <v>4315</v>
      </c>
      <c r="D321" s="731" t="s">
        <v>369</v>
      </c>
      <c r="E321" s="249">
        <v>115</v>
      </c>
      <c r="F321" s="299">
        <v>599</v>
      </c>
      <c r="G321" s="299">
        <f t="shared" si="81"/>
        <v>68885</v>
      </c>
      <c r="H321" s="235">
        <v>9</v>
      </c>
      <c r="I321" s="299">
        <v>4.1900000000000004</v>
      </c>
      <c r="J321" s="299">
        <v>6.99</v>
      </c>
      <c r="K321" s="299">
        <v>215</v>
      </c>
      <c r="L321" s="299">
        <v>0.22</v>
      </c>
      <c r="M321" s="299">
        <v>12.91</v>
      </c>
      <c r="N321" s="224">
        <f t="shared" si="85"/>
        <v>248.31</v>
      </c>
      <c r="O321" s="299">
        <f t="shared" si="86"/>
        <v>68636.69</v>
      </c>
      <c r="P321" s="730" t="s">
        <v>4327</v>
      </c>
    </row>
    <row r="322" spans="1:16" ht="12.75" customHeight="1" x14ac:dyDescent="0.25">
      <c r="B322" s="729" t="s">
        <v>4329</v>
      </c>
      <c r="C322" s="782" t="s">
        <v>4224</v>
      </c>
      <c r="D322" s="731" t="s">
        <v>369</v>
      </c>
      <c r="E322" s="249">
        <v>60</v>
      </c>
      <c r="F322" s="299">
        <v>819</v>
      </c>
      <c r="G322" s="299">
        <f t="shared" ref="G322:G331" si="87">E322*F322</f>
        <v>49140</v>
      </c>
      <c r="H322" s="235">
        <v>9</v>
      </c>
      <c r="I322" s="299">
        <v>2.62</v>
      </c>
      <c r="J322" s="299">
        <v>3.25</v>
      </c>
      <c r="K322" s="299">
        <v>100</v>
      </c>
      <c r="L322" s="299">
        <v>0.1</v>
      </c>
      <c r="M322" s="299">
        <v>6</v>
      </c>
      <c r="N322" s="60">
        <f t="shared" ref="N322:N327" si="88">SUM(H322:M322)</f>
        <v>120.97</v>
      </c>
      <c r="O322" s="299">
        <f t="shared" si="86"/>
        <v>49019.03</v>
      </c>
      <c r="P322" s="730" t="s">
        <v>4331</v>
      </c>
    </row>
    <row r="323" spans="1:16" ht="12.75" customHeight="1" x14ac:dyDescent="0.25">
      <c r="B323" s="729" t="s">
        <v>4328</v>
      </c>
      <c r="C323" s="782" t="s">
        <v>4330</v>
      </c>
      <c r="D323" s="731" t="s">
        <v>369</v>
      </c>
      <c r="E323" s="249">
        <v>144</v>
      </c>
      <c r="F323" s="299">
        <v>342.9</v>
      </c>
      <c r="G323" s="299">
        <f t="shared" si="87"/>
        <v>49377.599999999999</v>
      </c>
      <c r="H323" s="235">
        <v>9</v>
      </c>
      <c r="N323" s="60">
        <f t="shared" si="88"/>
        <v>9</v>
      </c>
      <c r="O323" s="299">
        <f t="shared" si="86"/>
        <v>49368.6</v>
      </c>
      <c r="P323" s="730" t="s">
        <v>4332</v>
      </c>
    </row>
    <row r="324" spans="1:16" ht="12.75" customHeight="1" x14ac:dyDescent="0.25">
      <c r="B324" s="729" t="s">
        <v>4333</v>
      </c>
      <c r="C324" s="782" t="s">
        <v>4224</v>
      </c>
      <c r="D324" s="731" t="s">
        <v>369</v>
      </c>
      <c r="E324" s="249">
        <v>1</v>
      </c>
      <c r="F324" s="299">
        <v>777</v>
      </c>
      <c r="G324" s="299">
        <f t="shared" si="87"/>
        <v>777</v>
      </c>
      <c r="N324" s="60">
        <f t="shared" si="88"/>
        <v>0</v>
      </c>
      <c r="O324" s="299">
        <f t="shared" si="86"/>
        <v>777</v>
      </c>
      <c r="P324" s="730" t="s">
        <v>4334</v>
      </c>
    </row>
    <row r="325" spans="1:16" ht="12.75" customHeight="1" x14ac:dyDescent="0.25">
      <c r="B325" s="729" t="s">
        <v>4333</v>
      </c>
      <c r="C325" s="782" t="s">
        <v>4224</v>
      </c>
      <c r="D325" s="731" t="s">
        <v>369</v>
      </c>
      <c r="E325" s="249">
        <v>59</v>
      </c>
      <c r="F325" s="299">
        <v>777</v>
      </c>
      <c r="G325" s="299">
        <f t="shared" si="87"/>
        <v>45843</v>
      </c>
      <c r="H325" s="235">
        <v>9</v>
      </c>
      <c r="N325" s="60">
        <f t="shared" si="88"/>
        <v>9</v>
      </c>
      <c r="O325" s="299">
        <f t="shared" si="86"/>
        <v>45834</v>
      </c>
      <c r="P325" s="730" t="s">
        <v>4334</v>
      </c>
    </row>
    <row r="326" spans="1:16" ht="12.75" customHeight="1" x14ac:dyDescent="0.25">
      <c r="B326" s="729" t="s">
        <v>4333</v>
      </c>
      <c r="C326" s="782" t="s">
        <v>4285</v>
      </c>
      <c r="D326" s="731" t="s">
        <v>369</v>
      </c>
      <c r="E326" s="249">
        <v>1440</v>
      </c>
      <c r="F326" s="299">
        <v>31.95</v>
      </c>
      <c r="G326" s="299">
        <f t="shared" si="87"/>
        <v>46008</v>
      </c>
      <c r="H326" s="235">
        <v>9</v>
      </c>
      <c r="N326" s="60">
        <f t="shared" si="88"/>
        <v>9</v>
      </c>
      <c r="O326" s="299">
        <f t="shared" si="86"/>
        <v>45999</v>
      </c>
      <c r="P326" s="730" t="s">
        <v>4334</v>
      </c>
    </row>
    <row r="327" spans="1:16" ht="12.75" customHeight="1" x14ac:dyDescent="0.25">
      <c r="B327" s="729" t="s">
        <v>4335</v>
      </c>
      <c r="C327" s="782" t="s">
        <v>4224</v>
      </c>
      <c r="D327" s="731" t="s">
        <v>369</v>
      </c>
      <c r="E327" s="249">
        <v>79</v>
      </c>
      <c r="F327" s="299">
        <v>772.5</v>
      </c>
      <c r="G327" s="299">
        <f t="shared" si="87"/>
        <v>61027.5</v>
      </c>
      <c r="H327" s="235">
        <v>9</v>
      </c>
      <c r="N327" s="60">
        <f t="shared" si="88"/>
        <v>9</v>
      </c>
      <c r="O327" s="299">
        <f t="shared" si="86"/>
        <v>61018.5</v>
      </c>
      <c r="P327" s="730" t="s">
        <v>4336</v>
      </c>
    </row>
    <row r="328" spans="1:16" ht="12.75" customHeight="1" x14ac:dyDescent="0.25">
      <c r="A328" s="387"/>
      <c r="B328" s="729" t="s">
        <v>4337</v>
      </c>
      <c r="C328" s="53" t="s">
        <v>4224</v>
      </c>
      <c r="D328" s="769" t="s">
        <v>369</v>
      </c>
      <c r="E328" s="249">
        <v>56</v>
      </c>
      <c r="F328" s="299">
        <v>778</v>
      </c>
      <c r="G328" s="299">
        <f t="shared" si="87"/>
        <v>43568</v>
      </c>
      <c r="N328" s="60">
        <f t="shared" ref="N328:N331" si="89">SUM(H328:M328)</f>
        <v>0</v>
      </c>
      <c r="O328" s="299">
        <f t="shared" si="86"/>
        <v>43568</v>
      </c>
      <c r="P328" s="730" t="s">
        <v>4340</v>
      </c>
    </row>
    <row r="329" spans="1:16" ht="12.75" customHeight="1" x14ac:dyDescent="0.25">
      <c r="A329" s="387"/>
      <c r="B329" s="729" t="s">
        <v>4337</v>
      </c>
      <c r="C329" s="53" t="s">
        <v>4224</v>
      </c>
      <c r="D329" s="769" t="s">
        <v>369</v>
      </c>
      <c r="E329" s="249">
        <v>24</v>
      </c>
      <c r="F329" s="299">
        <v>778.05</v>
      </c>
      <c r="G329" s="299">
        <f t="shared" si="87"/>
        <v>18673.199999999997</v>
      </c>
      <c r="H329" s="235">
        <v>9</v>
      </c>
      <c r="N329" s="60">
        <f t="shared" si="89"/>
        <v>9</v>
      </c>
      <c r="O329" s="299">
        <f t="shared" si="86"/>
        <v>18664.199999999997</v>
      </c>
      <c r="P329" s="730" t="s">
        <v>4340</v>
      </c>
    </row>
    <row r="330" spans="1:16" ht="12.75" customHeight="1" x14ac:dyDescent="0.25">
      <c r="A330" s="387"/>
      <c r="B330" s="729" t="s">
        <v>4337</v>
      </c>
      <c r="C330" s="53" t="s">
        <v>4315</v>
      </c>
      <c r="D330" s="769" t="s">
        <v>369</v>
      </c>
      <c r="E330" s="249">
        <v>130</v>
      </c>
      <c r="F330" s="299">
        <v>447.35</v>
      </c>
      <c r="G330" s="299">
        <f t="shared" si="87"/>
        <v>58155.5</v>
      </c>
      <c r="H330" s="235">
        <v>9</v>
      </c>
      <c r="N330" s="60">
        <f t="shared" si="89"/>
        <v>9</v>
      </c>
      <c r="O330" s="299">
        <f t="shared" si="86"/>
        <v>58146.5</v>
      </c>
      <c r="P330" s="730" t="s">
        <v>4340</v>
      </c>
    </row>
    <row r="331" spans="1:16" ht="12.75" customHeight="1" x14ac:dyDescent="0.25">
      <c r="A331" s="387"/>
      <c r="B331" s="729" t="s">
        <v>4338</v>
      </c>
      <c r="C331" s="53" t="s">
        <v>4285</v>
      </c>
      <c r="D331" s="769" t="s">
        <v>369</v>
      </c>
      <c r="E331" s="249">
        <v>3650</v>
      </c>
      <c r="F331" s="299">
        <v>32.950000000000003</v>
      </c>
      <c r="G331" s="299">
        <f t="shared" si="87"/>
        <v>120267.50000000001</v>
      </c>
      <c r="H331" s="235">
        <v>9</v>
      </c>
      <c r="I331" s="299">
        <v>3.61</v>
      </c>
      <c r="J331" s="299">
        <v>7.78</v>
      </c>
      <c r="K331" s="299">
        <v>240</v>
      </c>
      <c r="L331" s="299">
        <v>0.24</v>
      </c>
      <c r="M331" s="299">
        <v>14.37</v>
      </c>
      <c r="N331" s="60">
        <f t="shared" si="89"/>
        <v>275</v>
      </c>
      <c r="O331" s="299">
        <f t="shared" si="86"/>
        <v>119992.50000000001</v>
      </c>
      <c r="P331" s="730" t="s">
        <v>4339</v>
      </c>
    </row>
    <row r="332" spans="1:16" ht="12.75" customHeight="1" x14ac:dyDescent="0.25">
      <c r="A332" s="387"/>
      <c r="B332" s="729" t="s">
        <v>4341</v>
      </c>
      <c r="C332" s="48" t="s">
        <v>4315</v>
      </c>
      <c r="D332" s="769" t="s">
        <v>369</v>
      </c>
      <c r="E332" s="249">
        <v>12</v>
      </c>
      <c r="F332" s="299">
        <v>455.25</v>
      </c>
      <c r="G332" s="299">
        <f t="shared" ref="G332:G342" si="90">E332*F332</f>
        <v>5463</v>
      </c>
      <c r="N332" s="60">
        <f t="shared" ref="N332:N336" si="91">SUM(H332:M332)</f>
        <v>0</v>
      </c>
      <c r="O332" s="299">
        <f t="shared" si="86"/>
        <v>5463</v>
      </c>
      <c r="P332" s="730" t="s">
        <v>4343</v>
      </c>
    </row>
    <row r="333" spans="1:16" ht="12.75" customHeight="1" x14ac:dyDescent="0.25">
      <c r="A333" s="387"/>
      <c r="B333" s="729" t="s">
        <v>4341</v>
      </c>
      <c r="C333" s="48" t="s">
        <v>4315</v>
      </c>
      <c r="D333" s="769" t="s">
        <v>369</v>
      </c>
      <c r="E333" s="249">
        <v>9</v>
      </c>
      <c r="F333" s="299">
        <v>456.55</v>
      </c>
      <c r="G333" s="299">
        <f t="shared" si="90"/>
        <v>4108.95</v>
      </c>
      <c r="N333" s="60">
        <f t="shared" si="91"/>
        <v>0</v>
      </c>
      <c r="O333" s="299">
        <f t="shared" si="86"/>
        <v>4108.95</v>
      </c>
      <c r="P333" s="730" t="s">
        <v>4343</v>
      </c>
    </row>
    <row r="334" spans="1:16" ht="12.75" customHeight="1" x14ac:dyDescent="0.25">
      <c r="A334" s="387"/>
      <c r="B334" s="729" t="s">
        <v>4341</v>
      </c>
      <c r="C334" s="48" t="s">
        <v>4315</v>
      </c>
      <c r="D334" s="769" t="s">
        <v>369</v>
      </c>
      <c r="E334" s="249">
        <v>31</v>
      </c>
      <c r="F334" s="299">
        <v>455</v>
      </c>
      <c r="G334" s="299">
        <f t="shared" si="90"/>
        <v>14105</v>
      </c>
      <c r="N334" s="60">
        <f t="shared" si="91"/>
        <v>0</v>
      </c>
      <c r="O334" s="299">
        <f t="shared" si="86"/>
        <v>14105</v>
      </c>
      <c r="P334" s="730" t="s">
        <v>4343</v>
      </c>
    </row>
    <row r="335" spans="1:16" ht="12.75" customHeight="1" x14ac:dyDescent="0.25">
      <c r="A335" s="387"/>
      <c r="B335" s="729" t="s">
        <v>4341</v>
      </c>
      <c r="C335" s="48" t="s">
        <v>4315</v>
      </c>
      <c r="D335" s="769" t="s">
        <v>369</v>
      </c>
      <c r="E335" s="249">
        <v>68</v>
      </c>
      <c r="F335" s="299">
        <v>455.3</v>
      </c>
      <c r="G335" s="299">
        <f t="shared" si="90"/>
        <v>30960.400000000001</v>
      </c>
      <c r="N335" s="60">
        <f t="shared" si="91"/>
        <v>0</v>
      </c>
      <c r="O335" s="299">
        <f t="shared" si="86"/>
        <v>30960.400000000001</v>
      </c>
      <c r="P335" s="730" t="s">
        <v>4343</v>
      </c>
    </row>
    <row r="336" spans="1:16" ht="12.75" customHeight="1" x14ac:dyDescent="0.25">
      <c r="A336" s="387"/>
      <c r="B336" s="729" t="s">
        <v>4341</v>
      </c>
      <c r="C336" s="48" t="s">
        <v>4315</v>
      </c>
      <c r="D336" s="769" t="s">
        <v>369</v>
      </c>
      <c r="E336" s="249">
        <v>10</v>
      </c>
      <c r="F336" s="299">
        <v>455.1</v>
      </c>
      <c r="G336" s="299">
        <f t="shared" si="90"/>
        <v>4551</v>
      </c>
      <c r="H336" s="235">
        <v>9</v>
      </c>
      <c r="I336" s="299">
        <v>2.92</v>
      </c>
      <c r="J336" s="299">
        <v>2.88</v>
      </c>
      <c r="K336" s="299">
        <v>89</v>
      </c>
      <c r="L336" s="299">
        <v>0.09</v>
      </c>
      <c r="M336" s="299">
        <v>5.31</v>
      </c>
      <c r="N336" s="60">
        <f t="shared" si="91"/>
        <v>109.2</v>
      </c>
      <c r="O336" s="299">
        <f t="shared" si="86"/>
        <v>4441.8</v>
      </c>
      <c r="P336" s="730" t="s">
        <v>4343</v>
      </c>
    </row>
    <row r="337" spans="1:16" ht="12.75" customHeight="1" x14ac:dyDescent="0.25">
      <c r="A337" s="387"/>
      <c r="B337" s="729" t="s">
        <v>4350</v>
      </c>
      <c r="C337" s="53" t="s">
        <v>4315</v>
      </c>
      <c r="D337" s="769" t="s">
        <v>369</v>
      </c>
      <c r="E337" s="249">
        <v>5</v>
      </c>
      <c r="F337" s="299">
        <v>448.55</v>
      </c>
      <c r="G337" s="299">
        <f t="shared" si="90"/>
        <v>2242.75</v>
      </c>
      <c r="H337" s="235">
        <v>9</v>
      </c>
      <c r="N337" s="224">
        <f>SUM(H337:M337)</f>
        <v>9</v>
      </c>
      <c r="O337" s="299">
        <f t="shared" si="86"/>
        <v>2233.75</v>
      </c>
      <c r="P337" s="730" t="s">
        <v>4352</v>
      </c>
    </row>
    <row r="338" spans="1:16" ht="12.75" customHeight="1" x14ac:dyDescent="0.25">
      <c r="A338" s="387"/>
      <c r="B338" s="729" t="s">
        <v>4350</v>
      </c>
      <c r="C338" s="53" t="s">
        <v>4315</v>
      </c>
      <c r="D338" s="769" t="s">
        <v>369</v>
      </c>
      <c r="E338" s="249">
        <v>2</v>
      </c>
      <c r="F338" s="299">
        <v>448.5</v>
      </c>
      <c r="G338" s="299">
        <f t="shared" si="90"/>
        <v>897</v>
      </c>
      <c r="N338" s="224">
        <f>SUM(H338:M338)</f>
        <v>0</v>
      </c>
      <c r="O338" s="299">
        <f t="shared" si="86"/>
        <v>897</v>
      </c>
      <c r="P338" s="730" t="s">
        <v>4352</v>
      </c>
    </row>
    <row r="339" spans="1:16" ht="12.75" customHeight="1" x14ac:dyDescent="0.25">
      <c r="A339" s="387"/>
      <c r="B339" s="729" t="s">
        <v>4350</v>
      </c>
      <c r="C339" s="53" t="s">
        <v>4315</v>
      </c>
      <c r="D339" s="769" t="s">
        <v>369</v>
      </c>
      <c r="E339" s="249">
        <v>43</v>
      </c>
      <c r="F339" s="299">
        <v>448.5</v>
      </c>
      <c r="G339" s="299">
        <f t="shared" si="90"/>
        <v>19285.5</v>
      </c>
      <c r="N339" s="224">
        <f>SUM(H339:M339)</f>
        <v>0</v>
      </c>
      <c r="O339" s="299">
        <f t="shared" si="86"/>
        <v>19285.5</v>
      </c>
      <c r="P339" s="730" t="s">
        <v>4352</v>
      </c>
    </row>
    <row r="340" spans="1:16" ht="12.75" customHeight="1" x14ac:dyDescent="0.25">
      <c r="A340" s="387"/>
      <c r="B340" s="729" t="s">
        <v>4350</v>
      </c>
      <c r="C340" s="782" t="s">
        <v>4351</v>
      </c>
      <c r="D340" s="731" t="s">
        <v>369</v>
      </c>
      <c r="E340" s="249">
        <v>115</v>
      </c>
      <c r="F340" s="299">
        <v>193.6</v>
      </c>
      <c r="G340" s="299">
        <f t="shared" si="90"/>
        <v>22264</v>
      </c>
      <c r="H340" s="235">
        <v>9</v>
      </c>
      <c r="N340" s="224">
        <f>SUM(H340:M340)</f>
        <v>9</v>
      </c>
      <c r="O340" s="299">
        <f t="shared" si="86"/>
        <v>22255</v>
      </c>
      <c r="P340" s="730" t="s">
        <v>4352</v>
      </c>
    </row>
    <row r="341" spans="1:16" ht="12.75" customHeight="1" x14ac:dyDescent="0.25">
      <c r="B341" s="729" t="s">
        <v>4350</v>
      </c>
      <c r="C341" s="782" t="s">
        <v>4342</v>
      </c>
      <c r="D341" s="731" t="s">
        <v>369</v>
      </c>
      <c r="E341" s="249">
        <v>140</v>
      </c>
      <c r="F341" s="299">
        <v>211.8</v>
      </c>
      <c r="G341" s="299">
        <f t="shared" si="90"/>
        <v>29652</v>
      </c>
      <c r="H341" s="235">
        <v>9</v>
      </c>
      <c r="I341" s="299">
        <v>10.89</v>
      </c>
      <c r="J341" s="299">
        <v>5.8</v>
      </c>
      <c r="K341" s="299">
        <v>100</v>
      </c>
      <c r="L341" s="299">
        <v>0.18</v>
      </c>
      <c r="M341" s="299">
        <v>10.71</v>
      </c>
      <c r="N341" s="249">
        <f>SUM(H341:M341)</f>
        <v>136.58000000000001</v>
      </c>
      <c r="O341" s="299">
        <f t="shared" si="86"/>
        <v>29515.42</v>
      </c>
      <c r="P341" s="730" t="s">
        <v>4352</v>
      </c>
    </row>
    <row r="342" spans="1:16" ht="12.75" customHeight="1" x14ac:dyDescent="0.25">
      <c r="B342" s="729" t="s">
        <v>4350</v>
      </c>
      <c r="C342" s="782" t="s">
        <v>4344</v>
      </c>
      <c r="D342" s="731" t="s">
        <v>369</v>
      </c>
      <c r="E342" s="249">
        <v>230</v>
      </c>
      <c r="F342" s="299">
        <v>130.6</v>
      </c>
      <c r="G342" s="299">
        <f t="shared" si="90"/>
        <v>30038</v>
      </c>
      <c r="H342" s="235">
        <v>9</v>
      </c>
      <c r="I342" s="299">
        <v>1.41</v>
      </c>
      <c r="J342" s="299">
        <v>1.05</v>
      </c>
      <c r="K342" s="299">
        <v>30</v>
      </c>
      <c r="L342" s="299">
        <v>0.03</v>
      </c>
      <c r="M342" s="299">
        <v>1.8</v>
      </c>
      <c r="N342" s="249">
        <f t="shared" ref="N342" si="92">SUM(H342:M342)</f>
        <v>43.29</v>
      </c>
      <c r="O342" s="299">
        <f t="shared" si="86"/>
        <v>29994.71</v>
      </c>
      <c r="P342" s="730" t="s">
        <v>4353</v>
      </c>
    </row>
    <row r="343" spans="1:16" ht="12.75" customHeight="1" x14ac:dyDescent="0.25">
      <c r="B343" s="729" t="s">
        <v>4354</v>
      </c>
      <c r="C343" s="782" t="s">
        <v>4351</v>
      </c>
      <c r="D343" s="731" t="s">
        <v>369</v>
      </c>
      <c r="E343" s="249">
        <v>150</v>
      </c>
      <c r="F343" s="299">
        <v>173</v>
      </c>
      <c r="G343" s="299">
        <f t="shared" ref="G343:G361" si="93">E343*F343</f>
        <v>25950</v>
      </c>
      <c r="H343" s="235">
        <v>9</v>
      </c>
      <c r="N343" s="224">
        <f t="shared" ref="N343:N354" si="94">SUM(H343:M343)</f>
        <v>9</v>
      </c>
      <c r="O343" s="299">
        <f t="shared" si="86"/>
        <v>25941</v>
      </c>
      <c r="P343" s="730" t="s">
        <v>4355</v>
      </c>
    </row>
    <row r="344" spans="1:16" ht="12.75" customHeight="1" x14ac:dyDescent="0.25">
      <c r="B344" s="729" t="s">
        <v>4356</v>
      </c>
      <c r="C344" s="782" t="s">
        <v>3460</v>
      </c>
      <c r="D344" s="731" t="s">
        <v>369</v>
      </c>
      <c r="E344" s="249">
        <v>80</v>
      </c>
      <c r="F344" s="299">
        <v>307.5</v>
      </c>
      <c r="G344" s="299">
        <f t="shared" si="93"/>
        <v>24600</v>
      </c>
      <c r="H344" s="235">
        <v>9</v>
      </c>
      <c r="I344" s="299">
        <v>4</v>
      </c>
      <c r="J344" s="299">
        <v>1.59</v>
      </c>
      <c r="K344" s="299">
        <v>49</v>
      </c>
      <c r="L344" s="299">
        <v>0.05</v>
      </c>
      <c r="M344" s="299">
        <v>2.94</v>
      </c>
      <c r="N344" s="224">
        <f t="shared" si="94"/>
        <v>66.58</v>
      </c>
      <c r="O344" s="299">
        <f t="shared" si="86"/>
        <v>24533.42</v>
      </c>
      <c r="P344" s="730" t="s">
        <v>4357</v>
      </c>
    </row>
    <row r="345" spans="1:16" ht="12.75" customHeight="1" x14ac:dyDescent="0.25">
      <c r="B345" s="729" t="s">
        <v>4358</v>
      </c>
      <c r="C345" s="782" t="s">
        <v>4224</v>
      </c>
      <c r="D345" s="731" t="s">
        <v>369</v>
      </c>
      <c r="E345" s="249">
        <v>40</v>
      </c>
      <c r="F345" s="299">
        <v>787.25</v>
      </c>
      <c r="G345" s="299">
        <f t="shared" si="93"/>
        <v>31490</v>
      </c>
      <c r="H345" s="235">
        <v>9</v>
      </c>
      <c r="N345" s="224">
        <f t="shared" si="94"/>
        <v>9</v>
      </c>
      <c r="O345" s="299">
        <f t="shared" si="86"/>
        <v>31481</v>
      </c>
      <c r="P345" s="730" t="s">
        <v>4360</v>
      </c>
    </row>
    <row r="346" spans="1:16" ht="12.75" customHeight="1" x14ac:dyDescent="0.25">
      <c r="B346" s="729" t="s">
        <v>4358</v>
      </c>
      <c r="C346" s="782" t="s">
        <v>4315</v>
      </c>
      <c r="D346" s="731" t="s">
        <v>369</v>
      </c>
      <c r="E346" s="249">
        <v>64</v>
      </c>
      <c r="F346" s="299">
        <v>457.5</v>
      </c>
      <c r="G346" s="299">
        <f t="shared" si="93"/>
        <v>29280</v>
      </c>
      <c r="H346" s="235">
        <v>9</v>
      </c>
      <c r="N346" s="224">
        <f t="shared" si="94"/>
        <v>9</v>
      </c>
      <c r="O346" s="299">
        <f t="shared" si="86"/>
        <v>29271</v>
      </c>
      <c r="P346" s="730" t="s">
        <v>4360</v>
      </c>
    </row>
    <row r="347" spans="1:16" ht="12.75" customHeight="1" x14ac:dyDescent="0.25">
      <c r="B347" s="729" t="s">
        <v>4358</v>
      </c>
      <c r="C347" s="782" t="s">
        <v>4315</v>
      </c>
      <c r="D347" s="731" t="s">
        <v>369</v>
      </c>
      <c r="E347" s="249">
        <v>10</v>
      </c>
      <c r="F347" s="299">
        <v>457.75</v>
      </c>
      <c r="G347" s="299">
        <f t="shared" si="93"/>
        <v>4577.5</v>
      </c>
      <c r="N347" s="224">
        <f t="shared" si="94"/>
        <v>0</v>
      </c>
      <c r="O347" s="299">
        <f t="shared" si="86"/>
        <v>4577.5</v>
      </c>
      <c r="P347" s="730" t="s">
        <v>4360</v>
      </c>
    </row>
    <row r="348" spans="1:16" ht="12.75" customHeight="1" x14ac:dyDescent="0.25">
      <c r="B348" s="729" t="s">
        <v>4358</v>
      </c>
      <c r="C348" s="782" t="s">
        <v>4315</v>
      </c>
      <c r="D348" s="731" t="s">
        <v>369</v>
      </c>
      <c r="E348" s="249">
        <v>50</v>
      </c>
      <c r="F348" s="299">
        <v>457.7</v>
      </c>
      <c r="G348" s="299">
        <f t="shared" si="93"/>
        <v>22885</v>
      </c>
      <c r="N348" s="224">
        <f t="shared" si="94"/>
        <v>0</v>
      </c>
      <c r="O348" s="299">
        <f t="shared" si="86"/>
        <v>22885</v>
      </c>
      <c r="P348" s="730" t="s">
        <v>4360</v>
      </c>
    </row>
    <row r="349" spans="1:16" ht="12.75" customHeight="1" x14ac:dyDescent="0.25">
      <c r="B349" s="729" t="s">
        <v>4358</v>
      </c>
      <c r="C349" s="782" t="s">
        <v>4359</v>
      </c>
      <c r="D349" s="731" t="s">
        <v>369</v>
      </c>
      <c r="E349" s="249">
        <v>33</v>
      </c>
      <c r="F349" s="299">
        <v>852.95</v>
      </c>
      <c r="G349" s="299">
        <f t="shared" si="93"/>
        <v>28147.350000000002</v>
      </c>
      <c r="H349" s="235">
        <v>9</v>
      </c>
      <c r="N349" s="224">
        <f t="shared" si="94"/>
        <v>9</v>
      </c>
      <c r="O349" s="299">
        <f t="shared" si="86"/>
        <v>28138.350000000002</v>
      </c>
      <c r="P349" s="730" t="s">
        <v>4360</v>
      </c>
    </row>
    <row r="350" spans="1:16" ht="12.75" customHeight="1" x14ac:dyDescent="0.25">
      <c r="B350" s="729" t="s">
        <v>4362</v>
      </c>
      <c r="C350" s="782" t="s">
        <v>4315</v>
      </c>
      <c r="D350" s="731" t="s">
        <v>369</v>
      </c>
      <c r="E350" s="249">
        <v>9</v>
      </c>
      <c r="F350" s="299">
        <v>493.5</v>
      </c>
      <c r="G350" s="299">
        <f t="shared" si="93"/>
        <v>4441.5</v>
      </c>
      <c r="H350" s="235">
        <v>9</v>
      </c>
      <c r="N350" s="224">
        <f t="shared" si="94"/>
        <v>9</v>
      </c>
      <c r="O350" s="299">
        <f t="shared" si="86"/>
        <v>4432.5</v>
      </c>
      <c r="P350" s="730" t="s">
        <v>4363</v>
      </c>
    </row>
    <row r="351" spans="1:16" ht="12.75" customHeight="1" x14ac:dyDescent="0.25">
      <c r="B351" s="729" t="s">
        <v>4362</v>
      </c>
      <c r="C351" s="782" t="s">
        <v>4315</v>
      </c>
      <c r="D351" s="731" t="s">
        <v>369</v>
      </c>
      <c r="E351" s="249">
        <v>65</v>
      </c>
      <c r="F351" s="299">
        <v>493</v>
      </c>
      <c r="G351" s="299">
        <f t="shared" si="93"/>
        <v>32045</v>
      </c>
      <c r="H351" s="235">
        <v>9</v>
      </c>
      <c r="N351" s="224">
        <f t="shared" si="94"/>
        <v>9</v>
      </c>
      <c r="O351" s="299">
        <f t="shared" si="86"/>
        <v>32036</v>
      </c>
      <c r="P351" s="730" t="s">
        <v>4363</v>
      </c>
    </row>
    <row r="352" spans="1:16" ht="12.75" customHeight="1" x14ac:dyDescent="0.25">
      <c r="B352" s="729" t="s">
        <v>4362</v>
      </c>
      <c r="C352" s="782" t="s">
        <v>4315</v>
      </c>
      <c r="D352" s="731" t="s">
        <v>369</v>
      </c>
      <c r="E352" s="249">
        <v>1</v>
      </c>
      <c r="F352" s="299">
        <v>493.1</v>
      </c>
      <c r="G352" s="299">
        <f t="shared" si="93"/>
        <v>493.1</v>
      </c>
      <c r="N352" s="224">
        <f t="shared" si="94"/>
        <v>0</v>
      </c>
      <c r="O352" s="299">
        <f t="shared" si="86"/>
        <v>493.1</v>
      </c>
      <c r="P352" s="730" t="s">
        <v>4363</v>
      </c>
    </row>
    <row r="353" spans="2:16" ht="12.75" customHeight="1" x14ac:dyDescent="0.25">
      <c r="B353" s="729" t="s">
        <v>4362</v>
      </c>
      <c r="C353" s="782" t="s">
        <v>4359</v>
      </c>
      <c r="D353" s="731" t="s">
        <v>369</v>
      </c>
      <c r="E353" s="249">
        <v>40</v>
      </c>
      <c r="F353" s="299">
        <v>860</v>
      </c>
      <c r="G353" s="299">
        <f t="shared" si="93"/>
        <v>34400</v>
      </c>
      <c r="H353" s="235">
        <v>9</v>
      </c>
      <c r="N353" s="224">
        <f t="shared" si="94"/>
        <v>9</v>
      </c>
      <c r="O353" s="299">
        <f t="shared" si="86"/>
        <v>34391</v>
      </c>
      <c r="P353" s="730" t="s">
        <v>4363</v>
      </c>
    </row>
    <row r="354" spans="2:16" ht="12.75" customHeight="1" x14ac:dyDescent="0.25">
      <c r="B354" s="729" t="s">
        <v>4362</v>
      </c>
      <c r="C354" s="782" t="s">
        <v>4285</v>
      </c>
      <c r="D354" s="731" t="s">
        <v>369</v>
      </c>
      <c r="E354" s="249">
        <v>800</v>
      </c>
      <c r="F354" s="299">
        <v>36.200000000000003</v>
      </c>
      <c r="G354" s="299">
        <f t="shared" si="93"/>
        <v>28960.000000000004</v>
      </c>
      <c r="H354" s="235">
        <v>9</v>
      </c>
      <c r="I354" s="299">
        <v>5.65</v>
      </c>
      <c r="J354" s="299">
        <v>4.38</v>
      </c>
      <c r="K354" s="299">
        <v>75</v>
      </c>
      <c r="L354" s="299">
        <v>0.13</v>
      </c>
      <c r="M354" s="299">
        <v>8.09</v>
      </c>
      <c r="N354" s="224">
        <f t="shared" si="94"/>
        <v>102.25</v>
      </c>
      <c r="O354" s="299">
        <f t="shared" si="86"/>
        <v>28857.750000000004</v>
      </c>
      <c r="P354" s="730" t="s">
        <v>4363</v>
      </c>
    </row>
    <row r="355" spans="2:16" ht="12.75" customHeight="1" x14ac:dyDescent="0.25">
      <c r="B355" s="729" t="s">
        <v>4365</v>
      </c>
      <c r="C355" s="782" t="s">
        <v>4299</v>
      </c>
      <c r="D355" s="731" t="s">
        <v>369</v>
      </c>
      <c r="E355" s="249">
        <v>68</v>
      </c>
      <c r="F355" s="299">
        <v>1012.5</v>
      </c>
      <c r="G355" s="299">
        <f t="shared" si="93"/>
        <v>68850</v>
      </c>
      <c r="H355" s="235">
        <v>9</v>
      </c>
      <c r="I355" s="299">
        <v>1.6</v>
      </c>
      <c r="J355" s="299">
        <v>2.41</v>
      </c>
      <c r="K355" s="299">
        <v>69</v>
      </c>
      <c r="L355" s="299">
        <v>7.0000000000000007E-2</v>
      </c>
      <c r="M355" s="299">
        <v>4.13</v>
      </c>
      <c r="N355" s="224">
        <f t="shared" ref="N355" si="95">SUM(H355:M355)</f>
        <v>86.21</v>
      </c>
      <c r="O355" s="299">
        <f t="shared" si="86"/>
        <v>68763.789999999994</v>
      </c>
      <c r="P355" s="730" t="s">
        <v>4366</v>
      </c>
    </row>
    <row r="356" spans="2:16" ht="12.75" customHeight="1" x14ac:dyDescent="0.25">
      <c r="B356" s="729" t="s">
        <v>4365</v>
      </c>
      <c r="C356" s="782" t="s">
        <v>4367</v>
      </c>
      <c r="D356" s="731" t="s">
        <v>369</v>
      </c>
      <c r="E356" s="249">
        <v>35</v>
      </c>
      <c r="F356" s="299">
        <v>242</v>
      </c>
      <c r="G356" s="299">
        <f t="shared" si="93"/>
        <v>8470</v>
      </c>
      <c r="H356" s="235">
        <v>9</v>
      </c>
      <c r="N356" s="224">
        <f t="shared" ref="N356:N361" si="96">SUM(H356:M356)</f>
        <v>9</v>
      </c>
      <c r="O356" s="299">
        <f t="shared" si="86"/>
        <v>8461</v>
      </c>
      <c r="P356" s="730" t="s">
        <v>4368</v>
      </c>
    </row>
    <row r="357" spans="2:16" ht="12.75" customHeight="1" x14ac:dyDescent="0.25">
      <c r="B357" s="729" t="s">
        <v>4365</v>
      </c>
      <c r="C357" s="782" t="s">
        <v>4315</v>
      </c>
      <c r="D357" s="731" t="s">
        <v>369</v>
      </c>
      <c r="E357" s="249">
        <v>10</v>
      </c>
      <c r="F357" s="299">
        <v>495.6</v>
      </c>
      <c r="G357" s="299">
        <f t="shared" si="93"/>
        <v>4956</v>
      </c>
      <c r="N357" s="224">
        <f t="shared" si="96"/>
        <v>0</v>
      </c>
      <c r="O357" s="299">
        <f t="shared" si="86"/>
        <v>4956</v>
      </c>
      <c r="P357" s="730" t="s">
        <v>4368</v>
      </c>
    </row>
    <row r="358" spans="2:16" ht="12.75" customHeight="1" x14ac:dyDescent="0.25">
      <c r="B358" s="729" t="s">
        <v>4365</v>
      </c>
      <c r="C358" s="782" t="s">
        <v>4315</v>
      </c>
      <c r="D358" s="731" t="s">
        <v>369</v>
      </c>
      <c r="E358" s="249">
        <v>10</v>
      </c>
      <c r="F358" s="299">
        <v>495.55</v>
      </c>
      <c r="G358" s="299">
        <f t="shared" si="93"/>
        <v>4955.5</v>
      </c>
      <c r="H358" s="235">
        <v>9</v>
      </c>
      <c r="N358" s="224">
        <f t="shared" si="96"/>
        <v>9</v>
      </c>
      <c r="O358" s="299">
        <f t="shared" si="86"/>
        <v>4946.5</v>
      </c>
      <c r="P358" s="730" t="s">
        <v>4368</v>
      </c>
    </row>
    <row r="359" spans="2:16" ht="12.75" customHeight="1" x14ac:dyDescent="0.25">
      <c r="B359" s="729" t="s">
        <v>4365</v>
      </c>
      <c r="C359" s="782" t="s">
        <v>4315</v>
      </c>
      <c r="D359" s="731" t="s">
        <v>369</v>
      </c>
      <c r="E359" s="249">
        <v>20</v>
      </c>
      <c r="F359" s="299">
        <v>495.3</v>
      </c>
      <c r="G359" s="299">
        <f t="shared" si="93"/>
        <v>9906</v>
      </c>
      <c r="H359" s="235">
        <v>9</v>
      </c>
      <c r="N359" s="224">
        <f t="shared" si="96"/>
        <v>9</v>
      </c>
      <c r="O359" s="299">
        <f t="shared" si="86"/>
        <v>9897</v>
      </c>
      <c r="P359" s="730" t="s">
        <v>4368</v>
      </c>
    </row>
    <row r="360" spans="2:16" ht="12.75" customHeight="1" x14ac:dyDescent="0.25">
      <c r="B360" s="729" t="s">
        <v>4365</v>
      </c>
      <c r="C360" s="782" t="s">
        <v>4315</v>
      </c>
      <c r="D360" s="731" t="s">
        <v>369</v>
      </c>
      <c r="E360" s="249">
        <v>60</v>
      </c>
      <c r="F360" s="299">
        <v>475.55</v>
      </c>
      <c r="G360" s="299">
        <f t="shared" si="93"/>
        <v>28533</v>
      </c>
      <c r="H360" s="235">
        <v>9</v>
      </c>
      <c r="N360" s="224">
        <f t="shared" si="96"/>
        <v>9</v>
      </c>
      <c r="O360" s="299">
        <f t="shared" si="86"/>
        <v>28524</v>
      </c>
      <c r="P360" s="730" t="s">
        <v>4368</v>
      </c>
    </row>
    <row r="361" spans="2:16" ht="12.75" customHeight="1" x14ac:dyDescent="0.25">
      <c r="B361" s="729" t="s">
        <v>4365</v>
      </c>
      <c r="C361" s="782" t="s">
        <v>4359</v>
      </c>
      <c r="D361" s="731" t="s">
        <v>369</v>
      </c>
      <c r="E361" s="249">
        <v>35</v>
      </c>
      <c r="F361" s="299">
        <v>874.65</v>
      </c>
      <c r="G361" s="299">
        <f t="shared" si="93"/>
        <v>30612.75</v>
      </c>
      <c r="H361" s="235">
        <v>9</v>
      </c>
      <c r="N361" s="224">
        <f t="shared" si="96"/>
        <v>9</v>
      </c>
      <c r="O361" s="299">
        <f t="shared" si="86"/>
        <v>30603.75</v>
      </c>
      <c r="P361" s="730" t="s">
        <v>4368</v>
      </c>
    </row>
    <row r="362" spans="2:16" ht="12.75" customHeight="1" x14ac:dyDescent="0.25">
      <c r="B362" s="729" t="s">
        <v>4369</v>
      </c>
      <c r="C362" s="782" t="s">
        <v>4351</v>
      </c>
      <c r="D362" s="731" t="s">
        <v>369</v>
      </c>
      <c r="E362" s="249">
        <v>20</v>
      </c>
      <c r="F362" s="299">
        <v>187.1</v>
      </c>
      <c r="G362" s="299">
        <f t="shared" ref="G362:G382" si="97">E362*F362</f>
        <v>3742</v>
      </c>
      <c r="H362" s="235">
        <v>9</v>
      </c>
      <c r="N362" s="224">
        <f>SUM(H362:M362)</f>
        <v>9</v>
      </c>
      <c r="O362" s="299">
        <f t="shared" si="86"/>
        <v>3733</v>
      </c>
      <c r="P362" s="730" t="s">
        <v>4371</v>
      </c>
    </row>
    <row r="363" spans="2:16" ht="12.75" customHeight="1" x14ac:dyDescent="0.25">
      <c r="B363" s="729" t="s">
        <v>4369</v>
      </c>
      <c r="C363" s="782" t="s">
        <v>4224</v>
      </c>
      <c r="D363" s="731" t="s">
        <v>369</v>
      </c>
      <c r="E363" s="249">
        <v>45</v>
      </c>
      <c r="F363" s="299">
        <v>871.05</v>
      </c>
      <c r="G363" s="299">
        <f t="shared" si="97"/>
        <v>39197.25</v>
      </c>
      <c r="H363" s="235">
        <v>9</v>
      </c>
      <c r="N363" s="224">
        <f>SUM(H363:M363)</f>
        <v>9</v>
      </c>
      <c r="O363" s="299">
        <f t="shared" si="86"/>
        <v>39188.25</v>
      </c>
      <c r="P363" s="730" t="s">
        <v>4371</v>
      </c>
    </row>
    <row r="364" spans="2:16" ht="12.75" customHeight="1" x14ac:dyDescent="0.25">
      <c r="B364" s="729" t="s">
        <v>4369</v>
      </c>
      <c r="C364" s="782" t="s">
        <v>4359</v>
      </c>
      <c r="D364" s="731" t="s">
        <v>369</v>
      </c>
      <c r="E364" s="249">
        <v>20</v>
      </c>
      <c r="F364" s="299">
        <v>871.25</v>
      </c>
      <c r="G364" s="299">
        <f t="shared" si="97"/>
        <v>17425</v>
      </c>
      <c r="N364" s="224">
        <f>SUM(H364:M364)</f>
        <v>0</v>
      </c>
      <c r="O364" s="299">
        <f t="shared" si="86"/>
        <v>17425</v>
      </c>
      <c r="P364" s="730" t="s">
        <v>4371</v>
      </c>
    </row>
    <row r="365" spans="2:16" ht="12.75" customHeight="1" x14ac:dyDescent="0.25">
      <c r="B365" s="729" t="s">
        <v>4369</v>
      </c>
      <c r="C365" s="782" t="s">
        <v>4359</v>
      </c>
      <c r="D365" s="731" t="s">
        <v>369</v>
      </c>
      <c r="E365" s="249">
        <v>24</v>
      </c>
      <c r="F365" s="299">
        <v>871.35</v>
      </c>
      <c r="G365" s="299">
        <f t="shared" si="97"/>
        <v>20912.400000000001</v>
      </c>
      <c r="N365" s="224">
        <f>SUM(H365:M365)</f>
        <v>0</v>
      </c>
      <c r="O365" s="299">
        <f t="shared" si="86"/>
        <v>20912.400000000001</v>
      </c>
      <c r="P365" s="730" t="s">
        <v>4371</v>
      </c>
    </row>
    <row r="366" spans="2:16" ht="12.75" customHeight="1" x14ac:dyDescent="0.25">
      <c r="B366" s="729" t="s">
        <v>4369</v>
      </c>
      <c r="C366" s="782" t="s">
        <v>4359</v>
      </c>
      <c r="D366" s="731" t="s">
        <v>369</v>
      </c>
      <c r="E366" s="249">
        <v>1</v>
      </c>
      <c r="F366" s="299">
        <v>871.3</v>
      </c>
      <c r="G366" s="299">
        <f t="shared" si="97"/>
        <v>871.3</v>
      </c>
      <c r="H366" s="235">
        <v>9</v>
      </c>
      <c r="I366" s="299">
        <v>8.3000000000000007</v>
      </c>
      <c r="J366" s="299">
        <v>5.31</v>
      </c>
      <c r="K366" s="299">
        <v>88</v>
      </c>
      <c r="L366" s="299">
        <v>0.16</v>
      </c>
      <c r="M366" s="299">
        <v>9.81</v>
      </c>
      <c r="N366" s="224">
        <f>SUM(H366:M366)</f>
        <v>120.58</v>
      </c>
      <c r="O366" s="299">
        <f t="shared" si="86"/>
        <v>750.71999999999991</v>
      </c>
      <c r="P366" s="730" t="s">
        <v>4371</v>
      </c>
    </row>
    <row r="367" spans="2:16" ht="12.75" customHeight="1" x14ac:dyDescent="0.25">
      <c r="B367" s="729" t="s">
        <v>4372</v>
      </c>
      <c r="C367" s="782" t="s">
        <v>4370</v>
      </c>
      <c r="D367" s="731" t="s">
        <v>369</v>
      </c>
      <c r="E367" s="249">
        <v>130</v>
      </c>
      <c r="F367" s="299">
        <v>56.2</v>
      </c>
      <c r="G367" s="299">
        <f t="shared" si="97"/>
        <v>7306</v>
      </c>
      <c r="H367" s="235">
        <v>9</v>
      </c>
      <c r="N367" s="224">
        <f t="shared" ref="N367:N378" si="98">SUM(H367:M367)</f>
        <v>9</v>
      </c>
      <c r="O367" s="299">
        <f t="shared" si="86"/>
        <v>7297</v>
      </c>
      <c r="P367" s="730" t="s">
        <v>4373</v>
      </c>
    </row>
    <row r="368" spans="2:16" ht="12.75" customHeight="1" x14ac:dyDescent="0.25">
      <c r="B368" s="729" t="s">
        <v>4372</v>
      </c>
      <c r="C368" s="782" t="s">
        <v>4351</v>
      </c>
      <c r="D368" s="731" t="s">
        <v>369</v>
      </c>
      <c r="E368" s="249">
        <v>20</v>
      </c>
      <c r="F368" s="299">
        <v>185.1</v>
      </c>
      <c r="G368" s="299">
        <f t="shared" si="97"/>
        <v>3702</v>
      </c>
      <c r="H368" s="235">
        <v>9</v>
      </c>
      <c r="I368" s="299">
        <v>1.28</v>
      </c>
      <c r="J368" s="299">
        <v>0.13</v>
      </c>
      <c r="K368" s="299">
        <v>4</v>
      </c>
      <c r="L368" s="299">
        <v>0.22</v>
      </c>
      <c r="N368" s="224">
        <f t="shared" si="98"/>
        <v>14.63</v>
      </c>
      <c r="O368" s="299">
        <f t="shared" si="86"/>
        <v>3687.37</v>
      </c>
      <c r="P368" s="730" t="s">
        <v>4381</v>
      </c>
    </row>
    <row r="369" spans="1:16" ht="12.75" customHeight="1" x14ac:dyDescent="0.25">
      <c r="B369" s="729" t="s">
        <v>4372</v>
      </c>
      <c r="C369" s="782" t="s">
        <v>4370</v>
      </c>
      <c r="D369" s="731" t="s">
        <v>369</v>
      </c>
      <c r="E369" s="249">
        <v>700</v>
      </c>
      <c r="F369" s="299">
        <v>54.9</v>
      </c>
      <c r="G369" s="299">
        <f t="shared" si="97"/>
        <v>38430</v>
      </c>
      <c r="H369" s="235">
        <v>9</v>
      </c>
      <c r="N369" s="224">
        <f t="shared" si="98"/>
        <v>9</v>
      </c>
      <c r="O369" s="299">
        <f t="shared" si="86"/>
        <v>38421</v>
      </c>
      <c r="P369" s="730" t="s">
        <v>4373</v>
      </c>
    </row>
    <row r="370" spans="1:16" ht="12.75" customHeight="1" x14ac:dyDescent="0.25">
      <c r="B370" s="729" t="s">
        <v>4372</v>
      </c>
      <c r="C370" s="782" t="s">
        <v>4367</v>
      </c>
      <c r="D370" s="731" t="s">
        <v>369</v>
      </c>
      <c r="E370" s="249">
        <v>116</v>
      </c>
      <c r="F370" s="299">
        <v>244.5</v>
      </c>
      <c r="G370" s="299">
        <f t="shared" si="97"/>
        <v>28362</v>
      </c>
      <c r="N370" s="224">
        <f t="shared" si="98"/>
        <v>0</v>
      </c>
      <c r="O370" s="299">
        <f t="shared" si="86"/>
        <v>28362</v>
      </c>
      <c r="P370" s="730" t="s">
        <v>4373</v>
      </c>
    </row>
    <row r="371" spans="1:16" ht="12.75" customHeight="1" x14ac:dyDescent="0.25">
      <c r="B371" s="729" t="s">
        <v>4372</v>
      </c>
      <c r="C371" s="782" t="s">
        <v>4367</v>
      </c>
      <c r="D371" s="731" t="s">
        <v>369</v>
      </c>
      <c r="E371" s="249">
        <v>4</v>
      </c>
      <c r="F371" s="299">
        <v>244.55</v>
      </c>
      <c r="G371" s="299">
        <f t="shared" si="97"/>
        <v>978.2</v>
      </c>
      <c r="N371" s="224">
        <f t="shared" si="98"/>
        <v>0</v>
      </c>
      <c r="O371" s="299">
        <f t="shared" si="86"/>
        <v>978.2</v>
      </c>
      <c r="P371" s="730" t="s">
        <v>4373</v>
      </c>
    </row>
    <row r="372" spans="1:16" ht="12.75" customHeight="1" x14ac:dyDescent="0.25">
      <c r="B372" s="729" t="s">
        <v>4372</v>
      </c>
      <c r="C372" s="782" t="s">
        <v>4367</v>
      </c>
      <c r="D372" s="731" t="s">
        <v>369</v>
      </c>
      <c r="E372" s="249">
        <v>80</v>
      </c>
      <c r="F372" s="299">
        <v>245.25</v>
      </c>
      <c r="G372" s="299">
        <f t="shared" si="97"/>
        <v>19620</v>
      </c>
      <c r="H372" s="235">
        <v>9</v>
      </c>
      <c r="N372" s="224">
        <f t="shared" si="98"/>
        <v>9</v>
      </c>
      <c r="O372" s="299">
        <f t="shared" si="86"/>
        <v>19611</v>
      </c>
      <c r="P372" s="730" t="s">
        <v>4373</v>
      </c>
    </row>
    <row r="373" spans="1:16" ht="12.75" customHeight="1" x14ac:dyDescent="0.25">
      <c r="B373" s="729" t="s">
        <v>4372</v>
      </c>
      <c r="C373" s="782" t="s">
        <v>4351</v>
      </c>
      <c r="D373" s="731" t="s">
        <v>369</v>
      </c>
      <c r="E373" s="249">
        <v>105</v>
      </c>
      <c r="F373" s="299">
        <v>185.1</v>
      </c>
      <c r="G373" s="299">
        <f t="shared" si="97"/>
        <v>19435.5</v>
      </c>
      <c r="N373" s="224">
        <f t="shared" si="98"/>
        <v>0</v>
      </c>
      <c r="O373" s="299">
        <f t="shared" si="86"/>
        <v>19435.5</v>
      </c>
      <c r="P373" s="730" t="s">
        <v>4373</v>
      </c>
    </row>
    <row r="374" spans="1:16" ht="12.75" customHeight="1" x14ac:dyDescent="0.25">
      <c r="B374" s="729" t="s">
        <v>4372</v>
      </c>
      <c r="C374" s="782" t="s">
        <v>4351</v>
      </c>
      <c r="D374" s="731" t="s">
        <v>369</v>
      </c>
      <c r="E374" s="249">
        <v>34</v>
      </c>
      <c r="F374" s="299">
        <v>185.15</v>
      </c>
      <c r="G374" s="299">
        <f t="shared" si="97"/>
        <v>6295.1</v>
      </c>
      <c r="N374" s="224">
        <f t="shared" si="98"/>
        <v>0</v>
      </c>
      <c r="O374" s="299">
        <f t="shared" si="86"/>
        <v>6295.1</v>
      </c>
      <c r="P374" s="730" t="s">
        <v>4373</v>
      </c>
    </row>
    <row r="375" spans="1:16" ht="12.75" customHeight="1" x14ac:dyDescent="0.25">
      <c r="B375" s="729" t="s">
        <v>4372</v>
      </c>
      <c r="C375" s="782" t="s">
        <v>4351</v>
      </c>
      <c r="D375" s="731" t="s">
        <v>369</v>
      </c>
      <c r="E375" s="249">
        <v>1</v>
      </c>
      <c r="F375" s="299">
        <v>185.7</v>
      </c>
      <c r="G375" s="299">
        <f t="shared" si="97"/>
        <v>185.7</v>
      </c>
      <c r="H375" s="235">
        <v>9</v>
      </c>
      <c r="N375" s="224">
        <f t="shared" si="98"/>
        <v>9</v>
      </c>
      <c r="O375" s="299">
        <f t="shared" si="86"/>
        <v>176.7</v>
      </c>
      <c r="P375" s="730" t="s">
        <v>4373</v>
      </c>
    </row>
    <row r="376" spans="1:16" ht="12.75" customHeight="1" x14ac:dyDescent="0.25">
      <c r="B376" s="729" t="s">
        <v>4372</v>
      </c>
      <c r="C376" s="782" t="s">
        <v>4285</v>
      </c>
      <c r="D376" s="731" t="s">
        <v>369</v>
      </c>
      <c r="E376" s="249">
        <v>400</v>
      </c>
      <c r="F376" s="299">
        <v>37.65</v>
      </c>
      <c r="G376" s="299">
        <f t="shared" si="97"/>
        <v>15060</v>
      </c>
      <c r="H376" s="235">
        <v>9</v>
      </c>
      <c r="N376" s="224">
        <f t="shared" si="98"/>
        <v>9</v>
      </c>
      <c r="O376" s="299">
        <f t="shared" si="86"/>
        <v>15051</v>
      </c>
      <c r="P376" s="730" t="s">
        <v>4373</v>
      </c>
    </row>
    <row r="377" spans="1:16" ht="12.75" customHeight="1" x14ac:dyDescent="0.25">
      <c r="B377" s="729" t="s">
        <v>4372</v>
      </c>
      <c r="C377" s="782" t="s">
        <v>4285</v>
      </c>
      <c r="D377" s="731" t="s">
        <v>369</v>
      </c>
      <c r="E377" s="249">
        <v>1350</v>
      </c>
      <c r="F377" s="299">
        <v>36.85</v>
      </c>
      <c r="G377" s="299">
        <f t="shared" si="97"/>
        <v>49747.5</v>
      </c>
      <c r="N377" s="224">
        <f t="shared" si="98"/>
        <v>0</v>
      </c>
      <c r="O377" s="299">
        <f t="shared" si="86"/>
        <v>49747.5</v>
      </c>
      <c r="P377" s="730" t="s">
        <v>4373</v>
      </c>
    </row>
    <row r="378" spans="1:16" s="231" customFormat="1" ht="13.2" x14ac:dyDescent="0.25">
      <c r="A378" s="225"/>
      <c r="B378" s="729" t="s">
        <v>4372</v>
      </c>
      <c r="C378" s="782" t="s">
        <v>4285</v>
      </c>
      <c r="D378" s="768" t="s">
        <v>369</v>
      </c>
      <c r="E378" s="2">
        <v>100</v>
      </c>
      <c r="F378" s="60">
        <v>37.549999999999997</v>
      </c>
      <c r="G378" s="60">
        <f t="shared" si="97"/>
        <v>3754.9999999999995</v>
      </c>
      <c r="H378" s="234">
        <v>9</v>
      </c>
      <c r="I378" s="60"/>
      <c r="J378" s="60"/>
      <c r="K378" s="60"/>
      <c r="L378" s="60"/>
      <c r="M378" s="299"/>
      <c r="N378" s="224">
        <f t="shared" si="98"/>
        <v>9</v>
      </c>
      <c r="O378" s="299">
        <f t="shared" si="86"/>
        <v>3745.9999999999995</v>
      </c>
      <c r="P378" s="730" t="s">
        <v>4373</v>
      </c>
    </row>
    <row r="379" spans="1:16" ht="12.75" customHeight="1" x14ac:dyDescent="0.25">
      <c r="B379" s="729" t="s">
        <v>4382</v>
      </c>
      <c r="C379" s="782" t="s">
        <v>4285</v>
      </c>
      <c r="D379" s="731" t="s">
        <v>369</v>
      </c>
      <c r="E379" s="249">
        <v>100</v>
      </c>
      <c r="F379" s="299">
        <v>35.35</v>
      </c>
      <c r="G379" s="299">
        <f t="shared" si="97"/>
        <v>3535</v>
      </c>
      <c r="H379" s="235">
        <v>9</v>
      </c>
      <c r="I379" s="299">
        <v>8.36</v>
      </c>
      <c r="J379" s="299">
        <v>5.71</v>
      </c>
      <c r="K379" s="299">
        <v>144</v>
      </c>
      <c r="L379" s="299">
        <v>0.18</v>
      </c>
      <c r="M379" s="299">
        <v>10.54</v>
      </c>
      <c r="N379" s="224">
        <f t="shared" ref="N379:N386" si="99">SUM(H379:M379)</f>
        <v>177.79</v>
      </c>
      <c r="O379" s="299">
        <f t="shared" si="86"/>
        <v>3357.21</v>
      </c>
      <c r="P379" s="730" t="s">
        <v>4383</v>
      </c>
    </row>
    <row r="380" spans="1:16" ht="12.75" customHeight="1" x14ac:dyDescent="0.25">
      <c r="B380" s="729" t="s">
        <v>4382</v>
      </c>
      <c r="C380" s="782" t="s">
        <v>4285</v>
      </c>
      <c r="D380" s="731" t="s">
        <v>369</v>
      </c>
      <c r="E380" s="249">
        <v>400</v>
      </c>
      <c r="F380" s="299">
        <v>35.299999999999997</v>
      </c>
      <c r="G380" s="299">
        <f t="shared" si="97"/>
        <v>14119.999999999998</v>
      </c>
      <c r="N380" s="224">
        <f t="shared" si="99"/>
        <v>0</v>
      </c>
      <c r="O380" s="299">
        <f t="shared" si="86"/>
        <v>14119.999999999998</v>
      </c>
      <c r="P380" s="730" t="s">
        <v>4383</v>
      </c>
    </row>
    <row r="381" spans="1:16" ht="12.75" customHeight="1" x14ac:dyDescent="0.25">
      <c r="B381" s="729" t="s">
        <v>4382</v>
      </c>
      <c r="C381" s="782" t="s">
        <v>4370</v>
      </c>
      <c r="D381" s="731" t="s">
        <v>369</v>
      </c>
      <c r="E381" s="249">
        <v>1300</v>
      </c>
      <c r="F381" s="299">
        <v>54</v>
      </c>
      <c r="G381" s="299">
        <f t="shared" si="97"/>
        <v>70200</v>
      </c>
      <c r="H381" s="235">
        <v>9</v>
      </c>
      <c r="N381" s="224">
        <f t="shared" si="99"/>
        <v>9</v>
      </c>
      <c r="O381" s="299">
        <f t="shared" si="86"/>
        <v>70191</v>
      </c>
      <c r="P381" s="730" t="s">
        <v>4383</v>
      </c>
    </row>
    <row r="382" spans="1:16" ht="12.75" customHeight="1" x14ac:dyDescent="0.25">
      <c r="B382" s="729" t="s">
        <v>4374</v>
      </c>
      <c r="C382" s="782" t="s">
        <v>4285</v>
      </c>
      <c r="D382" s="731" t="s">
        <v>369</v>
      </c>
      <c r="E382" s="249">
        <v>600</v>
      </c>
      <c r="F382" s="299">
        <v>36.299999999999997</v>
      </c>
      <c r="G382" s="299">
        <f t="shared" si="97"/>
        <v>21780</v>
      </c>
      <c r="H382" s="235">
        <v>9</v>
      </c>
      <c r="I382" s="299">
        <v>2.72</v>
      </c>
      <c r="J382" s="299">
        <v>1.44</v>
      </c>
      <c r="K382" s="299">
        <v>44</v>
      </c>
      <c r="L382" s="299">
        <v>0.04</v>
      </c>
      <c r="M382" s="299">
        <v>2.66</v>
      </c>
      <c r="N382" s="224">
        <f t="shared" si="99"/>
        <v>59.86</v>
      </c>
      <c r="O382" s="299">
        <f t="shared" si="86"/>
        <v>21720.14</v>
      </c>
      <c r="P382" s="730" t="s">
        <v>4384</v>
      </c>
    </row>
    <row r="383" spans="1:16" ht="12.75" customHeight="1" x14ac:dyDescent="0.25">
      <c r="B383" s="729" t="s">
        <v>4386</v>
      </c>
      <c r="C383" s="782" t="s">
        <v>4370</v>
      </c>
      <c r="D383" s="731" t="s">
        <v>369</v>
      </c>
      <c r="E383" s="249">
        <v>102</v>
      </c>
      <c r="F383" s="299">
        <v>56.05</v>
      </c>
      <c r="G383" s="299">
        <f t="shared" ref="G383:G394" si="100">E383*F383</f>
        <v>5717.0999999999995</v>
      </c>
      <c r="H383" s="235">
        <v>9</v>
      </c>
      <c r="N383" s="224">
        <f t="shared" si="99"/>
        <v>9</v>
      </c>
      <c r="O383" s="299">
        <f t="shared" si="86"/>
        <v>5708.0999999999995</v>
      </c>
      <c r="P383" s="730" t="s">
        <v>4388</v>
      </c>
    </row>
    <row r="384" spans="1:16" ht="12.75" customHeight="1" x14ac:dyDescent="0.25">
      <c r="B384" s="729" t="s">
        <v>4386</v>
      </c>
      <c r="C384" s="782" t="s">
        <v>4370</v>
      </c>
      <c r="D384" s="731" t="s">
        <v>369</v>
      </c>
      <c r="E384" s="249">
        <v>298</v>
      </c>
      <c r="F384" s="299">
        <v>56</v>
      </c>
      <c r="G384" s="299">
        <f t="shared" si="100"/>
        <v>16688</v>
      </c>
      <c r="H384" s="235">
        <v>9</v>
      </c>
      <c r="N384" s="224">
        <f t="shared" si="99"/>
        <v>9</v>
      </c>
      <c r="O384" s="299">
        <f t="shared" ref="O384:O408" si="101">G384-N384</f>
        <v>16679</v>
      </c>
      <c r="P384" s="730" t="s">
        <v>4388</v>
      </c>
    </row>
    <row r="385" spans="2:16" ht="12.75" customHeight="1" x14ac:dyDescent="0.25">
      <c r="B385" s="729" t="s">
        <v>4386</v>
      </c>
      <c r="C385" s="782" t="s">
        <v>4315</v>
      </c>
      <c r="D385" s="731" t="s">
        <v>369</v>
      </c>
      <c r="E385" s="249">
        <v>5</v>
      </c>
      <c r="F385" s="299">
        <v>514.54999999999995</v>
      </c>
      <c r="G385" s="299">
        <f t="shared" si="100"/>
        <v>2572.75</v>
      </c>
      <c r="H385" s="235">
        <v>9</v>
      </c>
      <c r="N385" s="224">
        <f t="shared" si="99"/>
        <v>9</v>
      </c>
      <c r="O385" s="299">
        <f t="shared" si="101"/>
        <v>2563.75</v>
      </c>
      <c r="P385" s="730" t="s">
        <v>4388</v>
      </c>
    </row>
    <row r="386" spans="2:16" ht="12.75" customHeight="1" x14ac:dyDescent="0.25">
      <c r="B386" s="729" t="s">
        <v>4386</v>
      </c>
      <c r="C386" s="782" t="s">
        <v>4315</v>
      </c>
      <c r="D386" s="731" t="s">
        <v>369</v>
      </c>
      <c r="E386" s="249">
        <v>30</v>
      </c>
      <c r="F386" s="299">
        <v>510.5</v>
      </c>
      <c r="G386" s="299">
        <f t="shared" si="100"/>
        <v>15315</v>
      </c>
      <c r="H386" s="235">
        <v>9</v>
      </c>
      <c r="I386" s="299">
        <v>7.91</v>
      </c>
      <c r="J386" s="299">
        <v>2.5299999999999998</v>
      </c>
      <c r="K386" s="299">
        <v>78</v>
      </c>
      <c r="L386" s="299">
        <v>0.08</v>
      </c>
      <c r="M386" s="299">
        <v>4.67</v>
      </c>
      <c r="N386" s="224">
        <f t="shared" si="99"/>
        <v>102.19</v>
      </c>
      <c r="O386" s="299">
        <f t="shared" si="101"/>
        <v>15212.81</v>
      </c>
      <c r="P386" s="730" t="s">
        <v>4388</v>
      </c>
    </row>
    <row r="387" spans="2:16" ht="12.75" customHeight="1" x14ac:dyDescent="0.25">
      <c r="B387" s="729" t="s">
        <v>4393</v>
      </c>
      <c r="C387" s="782" t="s">
        <v>4387</v>
      </c>
      <c r="D387" s="731" t="s">
        <v>369</v>
      </c>
      <c r="E387" s="249">
        <v>50</v>
      </c>
      <c r="F387" s="299">
        <v>725</v>
      </c>
      <c r="G387" s="299">
        <f t="shared" si="100"/>
        <v>36250</v>
      </c>
      <c r="H387" s="235">
        <v>9</v>
      </c>
      <c r="N387" s="224">
        <f t="shared" ref="N387:N389" si="102">SUM(H387:M387)</f>
        <v>9</v>
      </c>
      <c r="O387" s="299">
        <f t="shared" si="101"/>
        <v>36241</v>
      </c>
      <c r="P387" s="730" t="s">
        <v>4392</v>
      </c>
    </row>
    <row r="388" spans="2:16" ht="12.75" customHeight="1" x14ac:dyDescent="0.25">
      <c r="B388" s="729" t="s">
        <v>4393</v>
      </c>
      <c r="C388" s="782" t="s">
        <v>4351</v>
      </c>
      <c r="D388" s="731" t="s">
        <v>369</v>
      </c>
      <c r="E388" s="249">
        <v>50</v>
      </c>
      <c r="F388" s="299">
        <v>292.05</v>
      </c>
      <c r="G388" s="299">
        <f t="shared" si="100"/>
        <v>14602.5</v>
      </c>
      <c r="H388" s="235">
        <v>9</v>
      </c>
      <c r="N388" s="224">
        <f t="shared" si="102"/>
        <v>9</v>
      </c>
      <c r="O388" s="299">
        <f t="shared" si="101"/>
        <v>14593.5</v>
      </c>
      <c r="P388" s="730" t="s">
        <v>4392</v>
      </c>
    </row>
    <row r="389" spans="2:16" ht="12.75" customHeight="1" x14ac:dyDescent="0.25">
      <c r="B389" s="729" t="s">
        <v>4393</v>
      </c>
      <c r="C389" s="782" t="s">
        <v>4351</v>
      </c>
      <c r="D389" s="731" t="s">
        <v>369</v>
      </c>
      <c r="E389" s="249">
        <v>60</v>
      </c>
      <c r="F389" s="299">
        <v>292</v>
      </c>
      <c r="G389" s="299">
        <f t="shared" si="100"/>
        <v>17520</v>
      </c>
      <c r="N389" s="224">
        <f t="shared" si="102"/>
        <v>0</v>
      </c>
      <c r="O389" s="299">
        <f t="shared" si="101"/>
        <v>17520</v>
      </c>
      <c r="P389" s="730" t="s">
        <v>4392</v>
      </c>
    </row>
    <row r="390" spans="2:16" ht="12.75" customHeight="1" x14ac:dyDescent="0.25">
      <c r="B390" s="729" t="s">
        <v>4393</v>
      </c>
      <c r="C390" s="782" t="s">
        <v>4359</v>
      </c>
      <c r="D390" s="731" t="s">
        <v>369</v>
      </c>
      <c r="E390" s="249">
        <v>7</v>
      </c>
      <c r="F390" s="299">
        <v>879.85</v>
      </c>
      <c r="G390" s="299">
        <f t="shared" si="100"/>
        <v>6158.95</v>
      </c>
      <c r="H390" s="235">
        <v>9</v>
      </c>
      <c r="I390" s="299">
        <v>9.51</v>
      </c>
      <c r="J390" s="299">
        <v>4.9400000000000004</v>
      </c>
      <c r="K390" s="299">
        <v>152</v>
      </c>
      <c r="L390" s="299">
        <v>0.15</v>
      </c>
      <c r="M390" s="299">
        <v>9.11</v>
      </c>
      <c r="N390" s="224">
        <f t="shared" ref="N390:N397" si="103">SUM(H390:M390)</f>
        <v>184.70999999999998</v>
      </c>
      <c r="O390" s="299">
        <f t="shared" si="101"/>
        <v>5974.24</v>
      </c>
      <c r="P390" s="730" t="s">
        <v>4392</v>
      </c>
    </row>
    <row r="391" spans="2:16" ht="12.75" customHeight="1" x14ac:dyDescent="0.25">
      <c r="B391" s="729" t="s">
        <v>4390</v>
      </c>
      <c r="C391" s="782" t="s">
        <v>4387</v>
      </c>
      <c r="D391" s="731" t="s">
        <v>369</v>
      </c>
      <c r="E391" s="249">
        <v>30</v>
      </c>
      <c r="F391" s="299">
        <v>749</v>
      </c>
      <c r="G391" s="299">
        <f t="shared" si="100"/>
        <v>22470</v>
      </c>
      <c r="H391" s="235">
        <v>9</v>
      </c>
      <c r="N391" s="224">
        <f t="shared" si="103"/>
        <v>9</v>
      </c>
      <c r="O391" s="299">
        <f t="shared" si="101"/>
        <v>22461</v>
      </c>
      <c r="P391" s="730" t="s">
        <v>4394</v>
      </c>
    </row>
    <row r="392" spans="2:16" ht="12.75" customHeight="1" x14ac:dyDescent="0.25">
      <c r="B392" s="729" t="s">
        <v>4390</v>
      </c>
      <c r="C392" s="782" t="s">
        <v>4315</v>
      </c>
      <c r="D392" s="731" t="s">
        <v>369</v>
      </c>
      <c r="E392" s="249">
        <v>98</v>
      </c>
      <c r="F392" s="299">
        <v>556</v>
      </c>
      <c r="G392" s="299">
        <f t="shared" si="100"/>
        <v>54488</v>
      </c>
      <c r="H392" s="235">
        <v>9</v>
      </c>
      <c r="N392" s="224">
        <f t="shared" si="103"/>
        <v>9</v>
      </c>
      <c r="O392" s="299">
        <f t="shared" si="101"/>
        <v>54479</v>
      </c>
      <c r="P392" s="730" t="s">
        <v>4394</v>
      </c>
    </row>
    <row r="393" spans="2:16" ht="12.75" customHeight="1" x14ac:dyDescent="0.25">
      <c r="B393" s="729" t="s">
        <v>4390</v>
      </c>
      <c r="C393" s="782" t="s">
        <v>4315</v>
      </c>
      <c r="D393" s="731" t="s">
        <v>369</v>
      </c>
      <c r="E393" s="249">
        <v>2</v>
      </c>
      <c r="F393" s="299">
        <v>556.04999999999995</v>
      </c>
      <c r="G393" s="299">
        <f t="shared" si="100"/>
        <v>1112.0999999999999</v>
      </c>
      <c r="N393" s="224">
        <f t="shared" si="103"/>
        <v>0</v>
      </c>
      <c r="O393" s="299">
        <f t="shared" si="101"/>
        <v>1112.0999999999999</v>
      </c>
      <c r="P393" s="730" t="s">
        <v>4394</v>
      </c>
    </row>
    <row r="394" spans="2:16" ht="12.75" customHeight="1" x14ac:dyDescent="0.25">
      <c r="B394" s="729" t="s">
        <v>4390</v>
      </c>
      <c r="C394" s="782" t="s">
        <v>4315</v>
      </c>
      <c r="D394" s="731" t="s">
        <v>369</v>
      </c>
      <c r="E394" s="249">
        <v>25</v>
      </c>
      <c r="F394" s="299">
        <v>558.15</v>
      </c>
      <c r="G394" s="299">
        <f t="shared" si="100"/>
        <v>13953.75</v>
      </c>
      <c r="N394" s="224">
        <f t="shared" si="103"/>
        <v>0</v>
      </c>
      <c r="O394" s="299">
        <f t="shared" si="101"/>
        <v>13953.75</v>
      </c>
      <c r="P394" s="730" t="s">
        <v>4394</v>
      </c>
    </row>
    <row r="395" spans="2:16" ht="12.75" customHeight="1" x14ac:dyDescent="0.25">
      <c r="B395" s="729" t="s">
        <v>4397</v>
      </c>
      <c r="C395" s="782" t="s">
        <v>4387</v>
      </c>
      <c r="D395" s="731" t="s">
        <v>369</v>
      </c>
      <c r="E395" s="249">
        <v>10</v>
      </c>
      <c r="F395" s="299">
        <v>726.75</v>
      </c>
      <c r="G395" s="299">
        <f t="shared" ref="G395:G402" si="104">E395*F395</f>
        <v>7267.5</v>
      </c>
      <c r="N395" s="224">
        <f t="shared" si="103"/>
        <v>0</v>
      </c>
      <c r="O395" s="299">
        <f t="shared" si="101"/>
        <v>7267.5</v>
      </c>
      <c r="P395" s="730" t="s">
        <v>4398</v>
      </c>
    </row>
    <row r="396" spans="2:16" ht="12.75" customHeight="1" x14ac:dyDescent="0.25">
      <c r="B396" s="729" t="s">
        <v>4397</v>
      </c>
      <c r="C396" s="782" t="s">
        <v>4387</v>
      </c>
      <c r="D396" s="731" t="s">
        <v>369</v>
      </c>
      <c r="E396" s="249">
        <v>30</v>
      </c>
      <c r="F396" s="299">
        <v>726.65</v>
      </c>
      <c r="G396" s="299">
        <f t="shared" si="104"/>
        <v>21799.5</v>
      </c>
      <c r="H396" s="235">
        <v>9</v>
      </c>
      <c r="I396" s="299">
        <v>2.79</v>
      </c>
      <c r="J396" s="299">
        <v>1.92</v>
      </c>
      <c r="K396" s="299">
        <v>59</v>
      </c>
      <c r="L396" s="299">
        <v>0.06</v>
      </c>
      <c r="M396" s="299">
        <v>3.54</v>
      </c>
      <c r="N396" s="224">
        <f t="shared" si="103"/>
        <v>76.31</v>
      </c>
      <c r="O396" s="299">
        <f t="shared" si="101"/>
        <v>21723.19</v>
      </c>
      <c r="P396" s="730" t="s">
        <v>4398</v>
      </c>
    </row>
    <row r="397" spans="2:16" ht="12.75" customHeight="1" x14ac:dyDescent="0.25">
      <c r="B397" s="729" t="s">
        <v>4395</v>
      </c>
      <c r="C397" s="782" t="s">
        <v>4315</v>
      </c>
      <c r="D397" s="731" t="s">
        <v>369</v>
      </c>
      <c r="E397" s="249">
        <v>75</v>
      </c>
      <c r="F397" s="299">
        <v>544.85</v>
      </c>
      <c r="G397" s="299">
        <f t="shared" si="104"/>
        <v>40863.75</v>
      </c>
      <c r="H397" s="235">
        <v>9</v>
      </c>
      <c r="N397" s="224">
        <f t="shared" si="103"/>
        <v>9</v>
      </c>
      <c r="O397" s="299">
        <f t="shared" si="101"/>
        <v>40854.75</v>
      </c>
      <c r="P397" s="730" t="s">
        <v>4396</v>
      </c>
    </row>
    <row r="398" spans="2:16" ht="12.75" customHeight="1" x14ac:dyDescent="0.25">
      <c r="B398" s="729" t="s">
        <v>4404</v>
      </c>
      <c r="C398" s="782" t="s">
        <v>4370</v>
      </c>
      <c r="D398" s="731" t="s">
        <v>369</v>
      </c>
      <c r="E398" s="249">
        <v>150</v>
      </c>
      <c r="F398" s="299">
        <v>60.3</v>
      </c>
      <c r="G398" s="299">
        <f t="shared" si="104"/>
        <v>9045</v>
      </c>
      <c r="H398" s="235">
        <v>9</v>
      </c>
      <c r="N398" s="224">
        <f>SUM(H398:M398)</f>
        <v>9</v>
      </c>
      <c r="O398" s="299">
        <f t="shared" si="101"/>
        <v>9036</v>
      </c>
      <c r="P398" s="730" t="s">
        <v>4406</v>
      </c>
    </row>
    <row r="399" spans="2:16" ht="12.75" customHeight="1" x14ac:dyDescent="0.25">
      <c r="B399" s="729" t="s">
        <v>4404</v>
      </c>
      <c r="C399" s="782" t="s">
        <v>4370</v>
      </c>
      <c r="D399" s="731" t="s">
        <v>369</v>
      </c>
      <c r="E399" s="249">
        <v>350</v>
      </c>
      <c r="F399" s="299">
        <v>60.2</v>
      </c>
      <c r="G399" s="299">
        <f t="shared" si="104"/>
        <v>21070</v>
      </c>
      <c r="N399" s="224">
        <f>SUM(H399:M399)</f>
        <v>0</v>
      </c>
      <c r="O399" s="299">
        <f t="shared" si="101"/>
        <v>21070</v>
      </c>
      <c r="P399" s="730" t="s">
        <v>4406</v>
      </c>
    </row>
    <row r="400" spans="2:16" ht="12.75" customHeight="1" x14ac:dyDescent="0.25">
      <c r="B400" s="729" t="s">
        <v>4404</v>
      </c>
      <c r="C400" s="782" t="s">
        <v>4285</v>
      </c>
      <c r="D400" s="731" t="s">
        <v>369</v>
      </c>
      <c r="E400" s="249">
        <v>1000</v>
      </c>
      <c r="F400" s="299">
        <v>39.450000000000003</v>
      </c>
      <c r="G400" s="299">
        <f t="shared" si="104"/>
        <v>39450</v>
      </c>
      <c r="H400" s="235">
        <v>9</v>
      </c>
      <c r="I400" s="299">
        <v>5.67</v>
      </c>
      <c r="J400" s="299">
        <v>4.5199999999999996</v>
      </c>
      <c r="K400" s="299">
        <v>139</v>
      </c>
      <c r="L400" s="299">
        <v>0.14000000000000001</v>
      </c>
      <c r="M400" s="299">
        <v>8.34</v>
      </c>
      <c r="N400" s="224">
        <f>SUM(H400:M400)</f>
        <v>166.67</v>
      </c>
      <c r="O400" s="299">
        <f t="shared" si="101"/>
        <v>39283.33</v>
      </c>
      <c r="P400" s="730" t="s">
        <v>4406</v>
      </c>
    </row>
    <row r="401" spans="2:16" ht="12.75" customHeight="1" x14ac:dyDescent="0.25">
      <c r="B401" s="729" t="s">
        <v>4407</v>
      </c>
      <c r="C401" s="782" t="s">
        <v>4405</v>
      </c>
      <c r="D401" s="731" t="s">
        <v>369</v>
      </c>
      <c r="E401" s="249">
        <v>80</v>
      </c>
      <c r="F401" s="299">
        <v>497.5</v>
      </c>
      <c r="G401" s="299">
        <f t="shared" si="104"/>
        <v>39800</v>
      </c>
      <c r="H401" s="235">
        <v>9</v>
      </c>
      <c r="N401" s="224">
        <f>SUM(H401:M401)</f>
        <v>9</v>
      </c>
      <c r="O401" s="299">
        <f t="shared" si="101"/>
        <v>39791</v>
      </c>
      <c r="P401" s="730" t="s">
        <v>4408</v>
      </c>
    </row>
    <row r="402" spans="2:16" ht="12.75" customHeight="1" x14ac:dyDescent="0.25">
      <c r="B402" s="729" t="s">
        <v>4407</v>
      </c>
      <c r="C402" s="782" t="s">
        <v>4359</v>
      </c>
      <c r="D402" s="731" t="s">
        <v>369</v>
      </c>
      <c r="E402" s="249">
        <v>20</v>
      </c>
      <c r="F402" s="299">
        <v>916.5</v>
      </c>
      <c r="G402" s="299">
        <f t="shared" si="104"/>
        <v>18330</v>
      </c>
      <c r="H402" s="235">
        <v>9</v>
      </c>
      <c r="I402" s="299">
        <v>6.83</v>
      </c>
      <c r="J402" s="299">
        <v>3.77</v>
      </c>
      <c r="K402" s="299">
        <v>116</v>
      </c>
      <c r="L402" s="299">
        <v>0.12</v>
      </c>
      <c r="M402" s="299">
        <v>6.96</v>
      </c>
      <c r="N402" s="247">
        <f>SUM(H402:M402)</f>
        <v>142.68</v>
      </c>
      <c r="O402" s="299">
        <f t="shared" si="101"/>
        <v>18187.32</v>
      </c>
      <c r="P402" s="730" t="s">
        <v>4408</v>
      </c>
    </row>
    <row r="403" spans="2:16" ht="12.75" customHeight="1" x14ac:dyDescent="0.25">
      <c r="B403" s="729" t="s">
        <v>4410</v>
      </c>
      <c r="C403" s="782" t="s">
        <v>4367</v>
      </c>
      <c r="D403" s="731" t="s">
        <v>369</v>
      </c>
      <c r="E403" s="249">
        <v>125</v>
      </c>
      <c r="F403" s="299">
        <v>259.2</v>
      </c>
      <c r="G403" s="299">
        <f t="shared" ref="G403:G411" si="105">E403*F403</f>
        <v>32400</v>
      </c>
      <c r="N403" s="224">
        <f t="shared" ref="N403:N404" si="106">SUM(H403:M403)</f>
        <v>0</v>
      </c>
      <c r="O403" s="299">
        <f t="shared" si="101"/>
        <v>32400</v>
      </c>
      <c r="P403" s="730" t="s">
        <v>4411</v>
      </c>
    </row>
    <row r="404" spans="2:16" ht="12.75" customHeight="1" x14ac:dyDescent="0.25">
      <c r="B404" s="729" t="s">
        <v>4410</v>
      </c>
      <c r="C404" s="782" t="s">
        <v>4367</v>
      </c>
      <c r="D404" s="731" t="s">
        <v>369</v>
      </c>
      <c r="E404" s="249">
        <v>30</v>
      </c>
      <c r="F404" s="299">
        <v>259.25</v>
      </c>
      <c r="G404" s="299">
        <f t="shared" si="105"/>
        <v>7777.5</v>
      </c>
      <c r="H404" s="235">
        <v>9</v>
      </c>
      <c r="N404" s="224">
        <f t="shared" si="106"/>
        <v>9</v>
      </c>
      <c r="O404" s="299">
        <f t="shared" si="101"/>
        <v>7768.5</v>
      </c>
      <c r="P404" s="730" t="s">
        <v>4411</v>
      </c>
    </row>
    <row r="405" spans="2:16" ht="12.75" customHeight="1" x14ac:dyDescent="0.25">
      <c r="B405" s="729" t="s">
        <v>4409</v>
      </c>
      <c r="C405" s="782" t="s">
        <v>4219</v>
      </c>
      <c r="D405" s="731" t="s">
        <v>369</v>
      </c>
      <c r="E405" s="249">
        <v>40</v>
      </c>
      <c r="F405" s="299">
        <v>186.65</v>
      </c>
      <c r="G405" s="299">
        <f t="shared" si="105"/>
        <v>7466</v>
      </c>
      <c r="H405" s="235">
        <v>9</v>
      </c>
      <c r="N405" s="224">
        <f>SUM(H405:M405)</f>
        <v>9</v>
      </c>
      <c r="O405" s="299">
        <f t="shared" si="101"/>
        <v>7457</v>
      </c>
      <c r="P405" s="730" t="s">
        <v>4412</v>
      </c>
    </row>
    <row r="406" spans="2:16" ht="12.75" customHeight="1" x14ac:dyDescent="0.25">
      <c r="B406" s="729" t="s">
        <v>4409</v>
      </c>
      <c r="C406" s="782" t="s">
        <v>4219</v>
      </c>
      <c r="D406" s="731" t="s">
        <v>369</v>
      </c>
      <c r="E406" s="249">
        <v>34</v>
      </c>
      <c r="F406" s="299">
        <v>186.55</v>
      </c>
      <c r="G406" s="299">
        <f t="shared" si="105"/>
        <v>6342.7000000000007</v>
      </c>
      <c r="N406" s="224">
        <f>SUM(H406:M406)</f>
        <v>0</v>
      </c>
      <c r="O406" s="299">
        <f t="shared" si="101"/>
        <v>6342.7000000000007</v>
      </c>
      <c r="P406" s="730" t="s">
        <v>4412</v>
      </c>
    </row>
    <row r="407" spans="2:16" ht="12.75" customHeight="1" x14ac:dyDescent="0.25">
      <c r="B407" s="729" t="s">
        <v>4409</v>
      </c>
      <c r="C407" s="782" t="s">
        <v>4219</v>
      </c>
      <c r="D407" s="731" t="s">
        <v>369</v>
      </c>
      <c r="E407" s="249">
        <v>76</v>
      </c>
      <c r="F407" s="299">
        <v>186.6</v>
      </c>
      <c r="G407" s="299">
        <f t="shared" si="105"/>
        <v>14181.6</v>
      </c>
      <c r="N407" s="224">
        <f>SUM(H407:M407)</f>
        <v>0</v>
      </c>
      <c r="O407" s="299">
        <f t="shared" si="101"/>
        <v>14181.6</v>
      </c>
      <c r="P407" s="730" t="s">
        <v>4412</v>
      </c>
    </row>
    <row r="408" spans="2:16" ht="12.75" customHeight="1" x14ac:dyDescent="0.25">
      <c r="B408" s="729" t="s">
        <v>4409</v>
      </c>
      <c r="C408" s="782" t="s">
        <v>4219</v>
      </c>
      <c r="D408" s="731" t="s">
        <v>369</v>
      </c>
      <c r="E408" s="249">
        <v>50</v>
      </c>
      <c r="F408" s="299">
        <v>186.7</v>
      </c>
      <c r="G408" s="299">
        <f t="shared" si="105"/>
        <v>9335</v>
      </c>
      <c r="N408" s="224">
        <f>SUM(H408:M408)</f>
        <v>0</v>
      </c>
      <c r="O408" s="299">
        <f t="shared" si="101"/>
        <v>9335</v>
      </c>
      <c r="P408" s="730" t="s">
        <v>4412</v>
      </c>
    </row>
    <row r="409" spans="2:16" ht="12.75" customHeight="1" x14ac:dyDescent="0.25">
      <c r="B409" s="729" t="s">
        <v>4419</v>
      </c>
      <c r="C409" s="782" t="s">
        <v>4387</v>
      </c>
      <c r="D409" s="731" t="s">
        <v>369</v>
      </c>
      <c r="E409" s="249">
        <v>100</v>
      </c>
      <c r="F409" s="299">
        <v>759</v>
      </c>
      <c r="G409" s="299">
        <f t="shared" si="105"/>
        <v>75900</v>
      </c>
      <c r="H409" s="235">
        <v>9</v>
      </c>
      <c r="I409" s="299">
        <v>1.61</v>
      </c>
      <c r="J409" s="299">
        <v>2.4700000000000002</v>
      </c>
      <c r="K409" s="299">
        <v>76</v>
      </c>
      <c r="L409" s="299">
        <v>0.08</v>
      </c>
      <c r="M409" s="299">
        <v>4.55</v>
      </c>
      <c r="N409" s="224">
        <f>SUM(H409:M409)</f>
        <v>93.71</v>
      </c>
      <c r="O409" s="299">
        <f t="shared" ref="O409" si="107">G409-N409</f>
        <v>75806.289999999994</v>
      </c>
      <c r="P409" s="730" t="s">
        <v>4420</v>
      </c>
    </row>
    <row r="410" spans="2:16" ht="12.75" customHeight="1" x14ac:dyDescent="0.25">
      <c r="B410" s="729" t="s">
        <v>4421</v>
      </c>
      <c r="C410" s="782" t="s">
        <v>4387</v>
      </c>
      <c r="D410" s="731" t="s">
        <v>369</v>
      </c>
      <c r="E410" s="249">
        <v>48</v>
      </c>
      <c r="F410" s="299">
        <v>748</v>
      </c>
      <c r="G410" s="299">
        <f t="shared" si="105"/>
        <v>35904</v>
      </c>
      <c r="N410" s="224">
        <f t="shared" ref="N410:N411" si="108">SUM(H410:M410)</f>
        <v>0</v>
      </c>
      <c r="O410" s="299">
        <f t="shared" ref="O410:O411" si="109">G410-N410</f>
        <v>35904</v>
      </c>
      <c r="P410" s="730" t="s">
        <v>4422</v>
      </c>
    </row>
    <row r="411" spans="2:16" ht="12.75" customHeight="1" x14ac:dyDescent="0.25">
      <c r="B411" s="729" t="s">
        <v>4421</v>
      </c>
      <c r="C411" s="782" t="s">
        <v>4387</v>
      </c>
      <c r="D411" s="731" t="s">
        <v>369</v>
      </c>
      <c r="E411" s="249">
        <v>17</v>
      </c>
      <c r="F411" s="299">
        <v>748.05</v>
      </c>
      <c r="G411" s="299">
        <f t="shared" si="105"/>
        <v>12716.849999999999</v>
      </c>
      <c r="H411" s="235">
        <v>9</v>
      </c>
      <c r="I411" s="299">
        <v>1.48</v>
      </c>
      <c r="J411" s="299">
        <v>1.58</v>
      </c>
      <c r="K411" s="299">
        <v>49</v>
      </c>
      <c r="L411" s="299">
        <v>0.05</v>
      </c>
      <c r="M411" s="299">
        <v>2.92</v>
      </c>
      <c r="N411" s="224">
        <f t="shared" si="108"/>
        <v>64.03</v>
      </c>
      <c r="O411" s="299">
        <f t="shared" si="109"/>
        <v>12652.819999999998</v>
      </c>
      <c r="P411" s="730" t="s">
        <v>4422</v>
      </c>
    </row>
    <row r="412" spans="2:16" ht="12.75" customHeight="1" x14ac:dyDescent="0.25">
      <c r="N412" s="60"/>
    </row>
    <row r="413" spans="2:16" ht="12.75" customHeight="1" x14ac:dyDescent="0.25">
      <c r="N413" s="60"/>
    </row>
    <row r="414" spans="2:16" ht="12.75" customHeight="1" x14ac:dyDescent="0.25">
      <c r="N414" s="60"/>
    </row>
    <row r="415" spans="2:16" ht="12.75" customHeight="1" x14ac:dyDescent="0.25">
      <c r="N415" s="60"/>
      <c r="O415" s="531"/>
    </row>
    <row r="416" spans="2:16" ht="12.75" customHeight="1" x14ac:dyDescent="0.25">
      <c r="N416" s="60"/>
      <c r="O416" s="531"/>
    </row>
    <row r="417" spans="1:18" ht="12.75" customHeight="1" x14ac:dyDescent="0.25">
      <c r="N417" s="60"/>
      <c r="O417" s="531"/>
    </row>
    <row r="418" spans="1:18" ht="12.75" customHeight="1" x14ac:dyDescent="0.25">
      <c r="N418" s="60"/>
      <c r="O418" s="531"/>
    </row>
    <row r="419" spans="1:18" ht="12.75" customHeight="1" x14ac:dyDescent="0.25">
      <c r="N419" s="60"/>
      <c r="O419" s="531"/>
    </row>
    <row r="420" spans="1:18" ht="12.75" customHeight="1" x14ac:dyDescent="0.25">
      <c r="N420" s="60"/>
      <c r="O420" s="531"/>
    </row>
    <row r="421" spans="1:18" ht="12.75" customHeight="1" x14ac:dyDescent="0.25">
      <c r="N421" s="60"/>
      <c r="O421" s="531"/>
    </row>
    <row r="422" spans="1:18" ht="12.75" customHeight="1" x14ac:dyDescent="0.25">
      <c r="N422" s="60"/>
      <c r="O422" s="531"/>
    </row>
    <row r="423" spans="1:18" ht="12.75" customHeight="1" x14ac:dyDescent="0.25">
      <c r="N423" s="60"/>
      <c r="O423" s="531"/>
    </row>
    <row r="424" spans="1:18" ht="12.75" customHeight="1" x14ac:dyDescent="0.25">
      <c r="N424" s="60"/>
      <c r="O424" s="531"/>
    </row>
    <row r="425" spans="1:18" ht="12.75" customHeight="1" x14ac:dyDescent="0.25">
      <c r="N425" s="60"/>
      <c r="O425" s="531"/>
    </row>
    <row r="426" spans="1:18" ht="12.75" customHeight="1" x14ac:dyDescent="0.25">
      <c r="N426" s="60"/>
      <c r="O426" s="531"/>
    </row>
    <row r="427" spans="1:18" ht="12.75" customHeight="1" x14ac:dyDescent="0.25">
      <c r="N427" s="60"/>
      <c r="O427" s="531"/>
    </row>
    <row r="428" spans="1:18" ht="12.75" customHeight="1" x14ac:dyDescent="0.25">
      <c r="N428" s="60"/>
      <c r="O428" s="531"/>
    </row>
    <row r="429" spans="1:18" ht="12.75" customHeight="1" x14ac:dyDescent="0.25">
      <c r="N429" s="60"/>
      <c r="O429" s="531"/>
    </row>
    <row r="430" spans="1:18" ht="12.75" customHeight="1" x14ac:dyDescent="0.25">
      <c r="N430" s="60"/>
      <c r="O430" s="531"/>
    </row>
    <row r="431" spans="1:18" ht="12.75" customHeight="1" x14ac:dyDescent="0.25">
      <c r="N431" s="60"/>
      <c r="O431" s="531"/>
    </row>
    <row r="432" spans="1:18" s="231" customFormat="1" ht="13.2" x14ac:dyDescent="0.25">
      <c r="A432" s="225"/>
      <c r="B432" s="298"/>
      <c r="C432" s="712"/>
      <c r="D432" s="608"/>
      <c r="E432" s="2"/>
      <c r="F432" s="60"/>
      <c r="G432" s="60"/>
      <c r="H432" s="234"/>
      <c r="I432" s="60"/>
      <c r="J432" s="60"/>
      <c r="K432" s="60"/>
      <c r="L432" s="60"/>
      <c r="M432" s="299"/>
      <c r="N432" s="60"/>
      <c r="O432" s="531"/>
      <c r="P432" s="2"/>
      <c r="Q432" s="91"/>
      <c r="R432" s="91"/>
    </row>
    <row r="433" spans="1:19" s="231" customFormat="1" ht="13.2" x14ac:dyDescent="0.25">
      <c r="A433" s="225"/>
      <c r="B433" s="298"/>
      <c r="C433" s="712"/>
      <c r="D433" s="608"/>
      <c r="E433" s="2"/>
      <c r="F433" s="60"/>
      <c r="G433" s="60"/>
      <c r="H433" s="234"/>
      <c r="I433" s="60"/>
      <c r="J433" s="60"/>
      <c r="K433" s="60"/>
      <c r="L433" s="60"/>
      <c r="M433" s="299"/>
      <c r="N433" s="60"/>
      <c r="O433" s="531"/>
      <c r="P433" s="2"/>
    </row>
    <row r="434" spans="1:19" s="231" customFormat="1" ht="13.2" x14ac:dyDescent="0.25">
      <c r="A434" s="225"/>
      <c r="B434" s="298"/>
      <c r="C434" s="712"/>
      <c r="D434" s="608"/>
      <c r="E434" s="2"/>
      <c r="F434" s="60"/>
      <c r="G434" s="60"/>
      <c r="H434" s="234"/>
      <c r="I434" s="60"/>
      <c r="J434" s="60"/>
      <c r="K434" s="60"/>
      <c r="L434" s="60"/>
      <c r="M434" s="299"/>
      <c r="N434" s="60"/>
      <c r="O434" s="531"/>
      <c r="P434" s="2"/>
    </row>
    <row r="435" spans="1:19" s="231" customFormat="1" ht="13.2" x14ac:dyDescent="0.25">
      <c r="A435" s="225"/>
      <c r="B435" s="298"/>
      <c r="C435" s="712"/>
      <c r="D435" s="608"/>
      <c r="E435" s="2"/>
      <c r="F435" s="60"/>
      <c r="G435" s="60"/>
      <c r="H435" s="234"/>
      <c r="I435" s="60"/>
      <c r="J435" s="60"/>
      <c r="K435" s="60"/>
      <c r="L435" s="60"/>
      <c r="M435" s="299"/>
      <c r="N435" s="60"/>
      <c r="O435" s="531"/>
      <c r="P435" s="529"/>
      <c r="Q435" s="91"/>
      <c r="R435" s="91"/>
      <c r="S435" s="235"/>
    </row>
    <row r="436" spans="1:19" s="231" customFormat="1" ht="13.2" x14ac:dyDescent="0.25">
      <c r="A436" s="225"/>
      <c r="B436" s="298"/>
      <c r="C436" s="712"/>
      <c r="D436" s="608"/>
      <c r="E436" s="2"/>
      <c r="F436" s="60"/>
      <c r="G436" s="60"/>
      <c r="H436" s="234"/>
      <c r="I436" s="60"/>
      <c r="J436" s="60"/>
      <c r="K436" s="60"/>
      <c r="L436" s="60"/>
      <c r="M436" s="299"/>
      <c r="N436" s="60"/>
      <c r="O436" s="531"/>
      <c r="P436" s="529"/>
      <c r="Q436" s="91"/>
      <c r="R436" s="91"/>
    </row>
    <row r="437" spans="1:19" s="231" customFormat="1" ht="13.2" x14ac:dyDescent="0.25">
      <c r="A437" s="225"/>
      <c r="B437" s="298"/>
      <c r="C437" s="712"/>
      <c r="D437" s="608"/>
      <c r="E437" s="2"/>
      <c r="F437" s="60"/>
      <c r="G437" s="60"/>
      <c r="H437" s="234"/>
      <c r="I437" s="60"/>
      <c r="J437" s="60"/>
      <c r="K437" s="60"/>
      <c r="L437" s="60"/>
      <c r="M437" s="299"/>
      <c r="N437" s="60"/>
      <c r="O437" s="531"/>
      <c r="P437" s="529"/>
    </row>
    <row r="438" spans="1:19" s="231" customFormat="1" ht="13.2" x14ac:dyDescent="0.25">
      <c r="A438" s="225"/>
      <c r="B438" s="298"/>
      <c r="C438" s="712"/>
      <c r="D438" s="608"/>
      <c r="E438" s="2"/>
      <c r="F438" s="60"/>
      <c r="G438" s="60"/>
      <c r="H438" s="234"/>
      <c r="I438" s="60"/>
      <c r="J438" s="60"/>
      <c r="K438" s="60"/>
      <c r="L438" s="60"/>
      <c r="M438" s="299"/>
      <c r="N438" s="60"/>
      <c r="O438" s="531"/>
      <c r="P438" s="529"/>
    </row>
    <row r="439" spans="1:19" ht="12.75" customHeight="1" x14ac:dyDescent="0.25">
      <c r="B439" s="298"/>
      <c r="N439" s="60"/>
      <c r="O439" s="531"/>
      <c r="P439" s="529"/>
    </row>
    <row r="440" spans="1:19" ht="12.75" customHeight="1" x14ac:dyDescent="0.25">
      <c r="N440" s="60"/>
      <c r="O440" s="531"/>
    </row>
    <row r="441" spans="1:19" ht="12.75" customHeight="1" x14ac:dyDescent="0.25">
      <c r="B441" s="16"/>
      <c r="C441" s="31"/>
      <c r="D441" s="91"/>
      <c r="E441" s="2"/>
      <c r="F441" s="60"/>
      <c r="G441" s="60"/>
      <c r="H441" s="234"/>
      <c r="I441" s="60"/>
      <c r="K441" s="257"/>
      <c r="N441" s="257" t="s">
        <v>2127</v>
      </c>
      <c r="O441" s="258">
        <f>SUM(O265:O440)</f>
        <v>3210424.9300000011</v>
      </c>
    </row>
    <row r="442" spans="1:19" ht="12.75" customHeight="1" x14ac:dyDescent="0.25">
      <c r="B442" s="16"/>
      <c r="C442" s="31"/>
      <c r="D442" s="91"/>
      <c r="E442" s="2"/>
      <c r="F442" s="60"/>
      <c r="G442" s="60"/>
      <c r="H442" s="234"/>
      <c r="I442" s="60"/>
      <c r="K442" s="255"/>
      <c r="L442" s="255"/>
      <c r="M442" s="255"/>
      <c r="N442" s="261"/>
    </row>
    <row r="443" spans="1:19" ht="12.75" customHeight="1" x14ac:dyDescent="0.25">
      <c r="B443" s="16"/>
      <c r="C443" s="23"/>
      <c r="D443" s="91"/>
      <c r="E443" s="2"/>
      <c r="F443" s="60"/>
      <c r="G443" s="60"/>
      <c r="H443" s="234"/>
      <c r="I443" s="60"/>
      <c r="K443" s="257"/>
      <c r="N443" s="257" t="s">
        <v>2128</v>
      </c>
      <c r="O443" s="258">
        <f>O441-O261</f>
        <v>2512.5100000011735</v>
      </c>
    </row>
    <row r="444" spans="1:19" ht="12.75" customHeight="1" x14ac:dyDescent="0.25">
      <c r="B444" s="16"/>
      <c r="C444" s="31"/>
      <c r="D444" s="91"/>
      <c r="E444" s="2"/>
      <c r="F444" s="60"/>
      <c r="G444" s="60"/>
      <c r="H444" s="234"/>
      <c r="I444" s="60"/>
    </row>
    <row r="446" spans="1:19" ht="12.75" customHeight="1" thickBot="1" x14ac:dyDescent="0.3">
      <c r="K446" s="243"/>
      <c r="L446" s="243"/>
    </row>
    <row r="447" spans="1:19" ht="12.75" customHeight="1" thickBot="1" x14ac:dyDescent="0.3">
      <c r="B447" s="577" t="s">
        <v>1256</v>
      </c>
      <c r="C447" s="784"/>
      <c r="D447" s="677"/>
      <c r="E447" s="543"/>
      <c r="F447" s="543"/>
      <c r="G447" s="705"/>
      <c r="H447" s="693"/>
      <c r="I447" s="705"/>
      <c r="J447" s="705"/>
      <c r="K447" s="705"/>
      <c r="L447" s="705"/>
      <c r="M447" s="705"/>
      <c r="N447" s="251"/>
      <c r="O447" s="680"/>
      <c r="P447" s="340"/>
    </row>
    <row r="448" spans="1:19" ht="12.75" customHeight="1" x14ac:dyDescent="0.25">
      <c r="B448" s="411" t="s">
        <v>184</v>
      </c>
      <c r="C448" s="781" t="s">
        <v>2079</v>
      </c>
      <c r="D448" s="171" t="s">
        <v>1258</v>
      </c>
      <c r="E448" s="412" t="s">
        <v>1257</v>
      </c>
      <c r="F448" s="204" t="s">
        <v>469</v>
      </c>
      <c r="G448" s="412" t="s">
        <v>188</v>
      </c>
      <c r="H448" s="221" t="s">
        <v>470</v>
      </c>
      <c r="I448" s="412" t="s">
        <v>1839</v>
      </c>
      <c r="J448" s="412" t="s">
        <v>1840</v>
      </c>
      <c r="K448" s="412" t="s">
        <v>2247</v>
      </c>
      <c r="L448" s="412" t="s">
        <v>1251</v>
      </c>
      <c r="M448" s="412" t="s">
        <v>1216</v>
      </c>
      <c r="N448" s="412" t="s">
        <v>668</v>
      </c>
      <c r="O448" s="412" t="s">
        <v>1212</v>
      </c>
      <c r="P448" s="204" t="s">
        <v>186</v>
      </c>
    </row>
    <row r="449" spans="2:16" ht="12.75" customHeight="1" x14ac:dyDescent="0.25">
      <c r="B449" s="729" t="s">
        <v>4372</v>
      </c>
      <c r="C449" s="527" t="s">
        <v>4379</v>
      </c>
      <c r="D449" s="249" t="s">
        <v>1249</v>
      </c>
      <c r="E449" s="249">
        <v>15</v>
      </c>
      <c r="F449" s="299">
        <v>32000</v>
      </c>
      <c r="G449" s="299">
        <v>0.25</v>
      </c>
      <c r="H449" s="235">
        <f>F449*G449</f>
        <v>8000</v>
      </c>
      <c r="I449" s="299">
        <v>120</v>
      </c>
      <c r="J449" s="299">
        <v>17.579999999999998</v>
      </c>
      <c r="K449" s="299">
        <v>1</v>
      </c>
      <c r="L449" s="299">
        <v>5.6</v>
      </c>
      <c r="M449" s="299">
        <f>SUM(I449:L449)</f>
        <v>144.17999999999998</v>
      </c>
      <c r="N449" s="247">
        <f>H449+M449</f>
        <v>8144.18</v>
      </c>
      <c r="O449" s="762" t="s">
        <v>4380</v>
      </c>
      <c r="P449" s="730" t="s">
        <v>197</v>
      </c>
    </row>
    <row r="450" spans="2:16" ht="12.75" customHeight="1" x14ac:dyDescent="0.25">
      <c r="B450" s="729" t="s">
        <v>4374</v>
      </c>
      <c r="C450" s="527" t="s">
        <v>4379</v>
      </c>
      <c r="D450" s="249" t="s">
        <v>1249</v>
      </c>
      <c r="E450" s="249">
        <v>15</v>
      </c>
      <c r="F450" s="299">
        <v>32000</v>
      </c>
      <c r="G450" s="299">
        <v>0.15</v>
      </c>
      <c r="H450" s="235">
        <f>F450*G450</f>
        <v>4800</v>
      </c>
      <c r="I450" s="299">
        <v>120</v>
      </c>
      <c r="J450" s="299">
        <v>17.27</v>
      </c>
      <c r="K450" s="299">
        <v>1</v>
      </c>
      <c r="L450" s="299">
        <v>3.36</v>
      </c>
      <c r="M450" s="299">
        <f>SUM(I450:L450)</f>
        <v>141.63000000000002</v>
      </c>
      <c r="N450" s="247">
        <f>H450+M450</f>
        <v>4941.63</v>
      </c>
      <c r="O450" s="762" t="s">
        <v>3493</v>
      </c>
      <c r="P450" s="730" t="s">
        <v>197</v>
      </c>
    </row>
    <row r="451" spans="2:16" ht="12.75" customHeight="1" x14ac:dyDescent="0.25">
      <c r="B451" s="729" t="s">
        <v>4386</v>
      </c>
      <c r="C451" s="527" t="s">
        <v>4379</v>
      </c>
      <c r="D451" s="249" t="s">
        <v>1249</v>
      </c>
      <c r="E451" s="249">
        <v>15</v>
      </c>
      <c r="F451" s="299">
        <v>16000</v>
      </c>
      <c r="G451" s="299">
        <v>0.1</v>
      </c>
      <c r="H451" s="235">
        <f t="shared" ref="H451:H453" si="110">F451*G451</f>
        <v>1600</v>
      </c>
      <c r="I451" s="299">
        <v>60</v>
      </c>
      <c r="J451" s="299">
        <v>8.56</v>
      </c>
      <c r="K451" s="299">
        <v>1</v>
      </c>
      <c r="L451" s="299">
        <v>1.1200000000000001</v>
      </c>
      <c r="M451" s="299">
        <f>SUM(I451:L451)</f>
        <v>70.680000000000007</v>
      </c>
      <c r="N451" s="247">
        <f>H451+M451</f>
        <v>1670.68</v>
      </c>
      <c r="O451" s="762" t="s">
        <v>1021</v>
      </c>
      <c r="P451" s="730" t="s">
        <v>197</v>
      </c>
    </row>
    <row r="452" spans="2:16" ht="12.75" customHeight="1" x14ac:dyDescent="0.25">
      <c r="B452" s="729" t="s">
        <v>4409</v>
      </c>
      <c r="C452" s="295" t="s">
        <v>4379</v>
      </c>
      <c r="D452" s="711" t="s">
        <v>1249</v>
      </c>
      <c r="E452" s="249">
        <v>15</v>
      </c>
      <c r="F452" s="299">
        <v>8000</v>
      </c>
      <c r="G452" s="299">
        <v>0.1</v>
      </c>
      <c r="H452" s="235">
        <f t="shared" si="110"/>
        <v>800</v>
      </c>
      <c r="I452" s="299">
        <v>30</v>
      </c>
      <c r="M452" s="299">
        <f t="shared" ref="M452:M453" si="111">SUM(I452:L452)</f>
        <v>30</v>
      </c>
      <c r="N452" s="247">
        <f t="shared" ref="N452:N453" si="112">H452+M452</f>
        <v>830</v>
      </c>
      <c r="O452" s="762" t="s">
        <v>3544</v>
      </c>
      <c r="P452" s="730" t="s">
        <v>197</v>
      </c>
    </row>
    <row r="453" spans="2:16" ht="12.75" customHeight="1" x14ac:dyDescent="0.25">
      <c r="B453" s="729" t="s">
        <v>4409</v>
      </c>
      <c r="C453" s="295" t="s">
        <v>4379</v>
      </c>
      <c r="D453" s="711" t="s">
        <v>1249</v>
      </c>
      <c r="E453" s="249">
        <v>15</v>
      </c>
      <c r="F453" s="299">
        <v>16000</v>
      </c>
      <c r="G453" s="299">
        <v>0.1</v>
      </c>
      <c r="H453" s="235">
        <f t="shared" si="110"/>
        <v>1600</v>
      </c>
      <c r="I453" s="299">
        <v>60</v>
      </c>
      <c r="J453" s="299">
        <v>12.84</v>
      </c>
      <c r="K453" s="299">
        <v>1</v>
      </c>
      <c r="L453" s="299">
        <v>1.68</v>
      </c>
      <c r="M453" s="299">
        <f t="shared" si="111"/>
        <v>75.52000000000001</v>
      </c>
      <c r="N453" s="247">
        <f t="shared" si="112"/>
        <v>1675.52</v>
      </c>
      <c r="O453" s="762" t="s">
        <v>3544</v>
      </c>
      <c r="P453" s="730" t="s">
        <v>197</v>
      </c>
    </row>
    <row r="482" spans="1:19" ht="13.2" x14ac:dyDescent="0.25">
      <c r="C482" s="785"/>
      <c r="D482" s="684"/>
      <c r="E482" s="454"/>
      <c r="F482" s="454"/>
      <c r="G482" s="455"/>
      <c r="H482" s="675"/>
      <c r="I482" s="455"/>
      <c r="J482" s="60"/>
      <c r="K482" s="255"/>
      <c r="L482" s="60"/>
      <c r="M482" s="60"/>
      <c r="N482" s="299"/>
      <c r="O482" s="319"/>
      <c r="P482" s="263"/>
    </row>
    <row r="483" spans="1:19" ht="12.75" customHeight="1" x14ac:dyDescent="0.25">
      <c r="A483" s="747"/>
      <c r="B483" s="452"/>
      <c r="C483" s="785"/>
      <c r="D483" s="684"/>
      <c r="E483" s="454"/>
      <c r="F483" s="454"/>
      <c r="G483" s="455"/>
      <c r="H483" s="678"/>
      <c r="I483" s="455"/>
      <c r="J483" s="457"/>
      <c r="K483" s="457"/>
      <c r="L483" s="457"/>
      <c r="M483" s="455"/>
      <c r="N483" s="456"/>
      <c r="O483" s="457"/>
      <c r="P483" s="463"/>
      <c r="Q483" s="451"/>
    </row>
    <row r="484" spans="1:19" ht="12.75" customHeight="1" x14ac:dyDescent="0.25">
      <c r="A484" s="747"/>
      <c r="B484" s="452"/>
      <c r="C484" s="785"/>
      <c r="D484" s="684"/>
      <c r="E484" s="454"/>
      <c r="F484" s="454"/>
      <c r="G484" s="455"/>
      <c r="H484" s="678"/>
      <c r="I484" s="455"/>
      <c r="J484" s="457"/>
      <c r="K484" s="457"/>
      <c r="L484" s="457"/>
      <c r="M484" s="457"/>
      <c r="N484" s="451"/>
      <c r="O484" s="457"/>
      <c r="P484" s="463"/>
      <c r="Q484" s="451"/>
    </row>
    <row r="485" spans="1:19" ht="12.75" customHeight="1" x14ac:dyDescent="0.25">
      <c r="B485" s="325"/>
      <c r="C485" s="778"/>
      <c r="D485" s="683"/>
      <c r="E485" s="2"/>
      <c r="F485" s="2"/>
      <c r="G485" s="60"/>
      <c r="H485" s="675"/>
      <c r="I485" s="60"/>
    </row>
    <row r="486" spans="1:19" ht="13.2" x14ac:dyDescent="0.25">
      <c r="B486" s="325"/>
      <c r="C486" s="778"/>
      <c r="D486" s="683"/>
      <c r="E486" s="2"/>
      <c r="F486" s="2"/>
      <c r="G486" s="60"/>
      <c r="H486" s="675"/>
      <c r="I486" s="60"/>
      <c r="M486" s="60"/>
      <c r="N486" s="303"/>
      <c r="O486" s="319"/>
      <c r="P486" s="304"/>
      <c r="R486" s="247"/>
    </row>
    <row r="487" spans="1:19" ht="12.75" customHeight="1" x14ac:dyDescent="0.25">
      <c r="C487" s="785"/>
      <c r="D487" s="684"/>
      <c r="E487" s="454"/>
      <c r="F487" s="454"/>
      <c r="G487" s="455"/>
      <c r="H487" s="675"/>
      <c r="I487" s="455"/>
      <c r="M487" s="257" t="s">
        <v>2121</v>
      </c>
      <c r="N487" s="257">
        <f>SUM(N449:N486)</f>
        <v>17262.010000000002</v>
      </c>
    </row>
    <row r="488" spans="1:19" ht="12.75" customHeight="1" x14ac:dyDescent="0.25">
      <c r="B488" s="325"/>
      <c r="C488" s="23"/>
      <c r="D488" s="91"/>
      <c r="E488" s="2"/>
      <c r="F488" s="60"/>
      <c r="I488" s="60"/>
      <c r="M488" s="257"/>
      <c r="N488" s="262"/>
      <c r="S488" s="247"/>
    </row>
    <row r="489" spans="1:19" ht="12.75" customHeight="1" x14ac:dyDescent="0.25">
      <c r="B489" s="325"/>
      <c r="M489" s="255"/>
      <c r="N489" s="260"/>
    </row>
    <row r="490" spans="1:19" ht="12.75" customHeight="1" x14ac:dyDescent="0.25">
      <c r="B490" s="411" t="s">
        <v>184</v>
      </c>
      <c r="C490" s="781" t="s">
        <v>2079</v>
      </c>
      <c r="D490" s="171" t="s">
        <v>1258</v>
      </c>
      <c r="E490" s="412" t="s">
        <v>1257</v>
      </c>
      <c r="F490" s="204" t="s">
        <v>469</v>
      </c>
      <c r="G490" s="412" t="s">
        <v>188</v>
      </c>
      <c r="H490" s="221" t="s">
        <v>470</v>
      </c>
      <c r="I490" s="412" t="s">
        <v>1839</v>
      </c>
      <c r="J490" s="412" t="s">
        <v>1840</v>
      </c>
      <c r="K490" s="412" t="s">
        <v>2254</v>
      </c>
      <c r="L490" s="412" t="s">
        <v>1251</v>
      </c>
      <c r="M490" s="412" t="s">
        <v>1216</v>
      </c>
      <c r="N490" s="412" t="s">
        <v>667</v>
      </c>
      <c r="O490" s="412" t="s">
        <v>1212</v>
      </c>
      <c r="P490" s="204" t="s">
        <v>186</v>
      </c>
    </row>
    <row r="491" spans="1:19" ht="12.75" customHeight="1" x14ac:dyDescent="0.25">
      <c r="A491" s="747"/>
      <c r="B491" s="452"/>
      <c r="C491" s="785"/>
      <c r="D491" s="684"/>
      <c r="E491" s="454"/>
      <c r="F491" s="454"/>
      <c r="G491" s="455"/>
      <c r="H491" s="678"/>
      <c r="I491" s="455"/>
      <c r="J491" s="457"/>
      <c r="K491" s="457"/>
      <c r="L491" s="457"/>
      <c r="M491" s="455"/>
      <c r="N491" s="456"/>
      <c r="O491" s="457"/>
      <c r="P491" s="463"/>
      <c r="Q491" s="451"/>
    </row>
    <row r="510" spans="1:17" ht="12.75" customHeight="1" x14ac:dyDescent="0.25">
      <c r="A510" s="747"/>
      <c r="B510" s="452"/>
      <c r="C510" s="785"/>
      <c r="D510" s="684"/>
      <c r="E510" s="454"/>
      <c r="F510" s="454"/>
      <c r="G510" s="455"/>
      <c r="H510" s="678"/>
      <c r="I510" s="455"/>
      <c r="J510" s="457"/>
      <c r="K510" s="457"/>
      <c r="L510" s="457"/>
      <c r="M510" s="457"/>
      <c r="N510" s="451"/>
      <c r="O510" s="457"/>
      <c r="P510" s="463"/>
      <c r="Q510" s="451"/>
    </row>
    <row r="511" spans="1:17" ht="12.75" customHeight="1" x14ac:dyDescent="0.25">
      <c r="C511" s="527"/>
      <c r="D511" s="687"/>
      <c r="E511" s="454"/>
      <c r="F511" s="454"/>
      <c r="G511" s="455"/>
      <c r="H511" s="675"/>
      <c r="N511" s="456"/>
    </row>
    <row r="512" spans="1:17" ht="12.75" customHeight="1" x14ac:dyDescent="0.25">
      <c r="A512" s="747"/>
      <c r="C512" s="785"/>
      <c r="D512" s="684"/>
      <c r="E512" s="454"/>
      <c r="F512" s="454"/>
      <c r="G512" s="455"/>
      <c r="H512" s="675"/>
      <c r="I512" s="455"/>
      <c r="J512" s="457"/>
      <c r="K512" s="457"/>
      <c r="L512" s="457"/>
      <c r="M512" s="455"/>
      <c r="N512" s="456"/>
      <c r="O512" s="457"/>
      <c r="P512" s="459"/>
      <c r="Q512" s="451"/>
    </row>
    <row r="513" spans="1:17" ht="12.75" customHeight="1" x14ac:dyDescent="0.25">
      <c r="A513" s="747"/>
      <c r="C513" s="785"/>
      <c r="D513" s="684"/>
      <c r="E513" s="454"/>
      <c r="F513" s="454"/>
      <c r="G513" s="455"/>
      <c r="H513" s="675"/>
      <c r="I513" s="455"/>
      <c r="J513" s="457"/>
      <c r="K513" s="457"/>
      <c r="L513" s="457"/>
      <c r="M513" s="455"/>
      <c r="N513" s="456"/>
      <c r="O513" s="457"/>
      <c r="P513" s="459"/>
      <c r="Q513" s="451"/>
    </row>
    <row r="514" spans="1:17" ht="12.75" customHeight="1" x14ac:dyDescent="0.25">
      <c r="A514" s="747"/>
      <c r="C514" s="785"/>
      <c r="D514" s="684"/>
      <c r="E514" s="454"/>
      <c r="F514" s="454"/>
      <c r="G514" s="455"/>
      <c r="H514" s="675"/>
      <c r="I514" s="455"/>
      <c r="J514" s="457"/>
      <c r="K514" s="457"/>
      <c r="L514" s="457"/>
      <c r="M514" s="455"/>
      <c r="N514" s="456"/>
      <c r="O514" s="457"/>
      <c r="P514" s="459"/>
      <c r="Q514" s="451"/>
    </row>
    <row r="515" spans="1:17" ht="12.75" customHeight="1" x14ac:dyDescent="0.25">
      <c r="A515" s="747"/>
      <c r="C515" s="785"/>
      <c r="D515" s="684"/>
      <c r="E515" s="454"/>
      <c r="F515" s="454"/>
      <c r="G515" s="455"/>
      <c r="H515" s="675"/>
      <c r="I515" s="455"/>
      <c r="J515" s="457"/>
      <c r="K515" s="457"/>
      <c r="L515" s="457"/>
      <c r="M515" s="455"/>
      <c r="N515" s="456"/>
      <c r="O515" s="457"/>
      <c r="P515" s="459"/>
      <c r="Q515" s="451"/>
    </row>
    <row r="516" spans="1:17" ht="12.75" customHeight="1" x14ac:dyDescent="0.25">
      <c r="C516" s="785"/>
      <c r="D516" s="684"/>
      <c r="E516" s="454"/>
      <c r="F516" s="454"/>
      <c r="G516" s="455"/>
      <c r="H516" s="675"/>
      <c r="I516" s="455"/>
      <c r="M516" s="60"/>
      <c r="N516" s="299"/>
      <c r="P516" s="263"/>
    </row>
    <row r="517" spans="1:17" ht="12.75" customHeight="1" x14ac:dyDescent="0.25">
      <c r="B517" s="325"/>
      <c r="C517" s="778"/>
      <c r="D517" s="683"/>
      <c r="E517" s="2"/>
      <c r="F517" s="2"/>
      <c r="G517" s="60"/>
      <c r="H517" s="675"/>
      <c r="I517" s="60"/>
      <c r="M517" s="257" t="s">
        <v>2127</v>
      </c>
      <c r="N517" s="257">
        <f>SUM(N491:N516)</f>
        <v>0</v>
      </c>
    </row>
    <row r="518" spans="1:17" ht="12.75" customHeight="1" x14ac:dyDescent="0.25">
      <c r="B518" s="325"/>
      <c r="C518" s="778"/>
      <c r="D518" s="683"/>
      <c r="E518" s="2"/>
      <c r="F518" s="2"/>
      <c r="G518" s="60"/>
      <c r="H518" s="675"/>
      <c r="I518" s="60"/>
      <c r="M518" s="257"/>
      <c r="N518" s="257"/>
    </row>
    <row r="519" spans="1:17" ht="13.8" thickBot="1" x14ac:dyDescent="0.3"/>
    <row r="520" spans="1:17" ht="12.75" customHeight="1" thickBot="1" x14ac:dyDescent="0.3">
      <c r="A520" s="351" t="s">
        <v>2143</v>
      </c>
      <c r="B520" s="578"/>
      <c r="C520" s="784"/>
      <c r="D520" s="677"/>
      <c r="E520" s="543"/>
      <c r="F520" s="543"/>
      <c r="G520" s="547"/>
    </row>
    <row r="521" spans="1:17" ht="12.75" customHeight="1" x14ac:dyDescent="0.25">
      <c r="A521" s="748" t="s">
        <v>184</v>
      </c>
      <c r="B521" s="356" t="s">
        <v>999</v>
      </c>
      <c r="C521" s="786" t="s">
        <v>2082</v>
      </c>
      <c r="D521" s="409" t="s">
        <v>2084</v>
      </c>
      <c r="E521" s="544" t="s">
        <v>940</v>
      </c>
      <c r="F521" s="544" t="s">
        <v>668</v>
      </c>
      <c r="G521" s="706" t="s">
        <v>667</v>
      </c>
    </row>
    <row r="522" spans="1:17" ht="12.75" customHeight="1" x14ac:dyDescent="0.25">
      <c r="A522" s="760" t="s">
        <v>4254</v>
      </c>
      <c r="B522" s="760" t="s">
        <v>4254</v>
      </c>
      <c r="C522" s="711" t="s">
        <v>927</v>
      </c>
      <c r="D522" s="231" t="s">
        <v>1231</v>
      </c>
      <c r="F522" s="299">
        <v>0</v>
      </c>
      <c r="G522" s="299">
        <v>128624.23000000027</v>
      </c>
    </row>
    <row r="523" spans="1:17" ht="12.75" customHeight="1" x14ac:dyDescent="0.25">
      <c r="A523" s="387" t="s">
        <v>4254</v>
      </c>
      <c r="B523" s="295" t="s">
        <v>4254</v>
      </c>
      <c r="C523" s="48" t="s">
        <v>4256</v>
      </c>
      <c r="D523" s="689">
        <v>7270679</v>
      </c>
      <c r="E523" s="309" t="s">
        <v>932</v>
      </c>
      <c r="F523" s="299">
        <v>0</v>
      </c>
      <c r="G523" s="299">
        <v>15000</v>
      </c>
    </row>
    <row r="524" spans="1:17" ht="12.75" customHeight="1" x14ac:dyDescent="0.25">
      <c r="A524" s="387" t="s">
        <v>4254</v>
      </c>
      <c r="B524" s="295" t="s">
        <v>4254</v>
      </c>
      <c r="C524" s="48" t="s">
        <v>4257</v>
      </c>
      <c r="D524" s="689">
        <v>7270144</v>
      </c>
      <c r="E524" s="309" t="s">
        <v>932</v>
      </c>
      <c r="F524" s="299">
        <v>0</v>
      </c>
      <c r="G524" s="299">
        <v>1000</v>
      </c>
    </row>
    <row r="525" spans="1:17" ht="12.75" customHeight="1" x14ac:dyDescent="0.25">
      <c r="A525" s="387" t="s">
        <v>4275</v>
      </c>
      <c r="B525" s="295" t="s">
        <v>4275</v>
      </c>
      <c r="C525" s="48" t="s">
        <v>2170</v>
      </c>
      <c r="D525" s="689">
        <v>110415</v>
      </c>
      <c r="E525" s="309" t="s">
        <v>932</v>
      </c>
      <c r="F525" s="299">
        <v>7386.95</v>
      </c>
      <c r="G525" s="299">
        <v>0</v>
      </c>
      <c r="O525" s="247"/>
      <c r="P525" s="224"/>
    </row>
    <row r="526" spans="1:17" ht="12.75" customHeight="1" x14ac:dyDescent="0.25">
      <c r="A526" s="387" t="s">
        <v>4276</v>
      </c>
      <c r="B526" s="295" t="s">
        <v>4276</v>
      </c>
      <c r="C526" s="48" t="s">
        <v>2170</v>
      </c>
      <c r="D526" s="689">
        <v>150415</v>
      </c>
      <c r="E526" s="309" t="s">
        <v>932</v>
      </c>
      <c r="F526" s="299">
        <v>58613.05</v>
      </c>
      <c r="G526" s="299">
        <v>0</v>
      </c>
      <c r="O526" s="247"/>
      <c r="P526" s="224"/>
    </row>
    <row r="527" spans="1:17" ht="12.75" customHeight="1" x14ac:dyDescent="0.25">
      <c r="A527" s="387" t="s">
        <v>4290</v>
      </c>
      <c r="B527" s="295" t="s">
        <v>4290</v>
      </c>
      <c r="C527" s="48" t="s">
        <v>4293</v>
      </c>
      <c r="D527" s="689">
        <v>7634076</v>
      </c>
      <c r="E527" s="309" t="s">
        <v>932</v>
      </c>
      <c r="F527" s="299">
        <v>0</v>
      </c>
      <c r="G527" s="299">
        <v>10000</v>
      </c>
      <c r="O527" s="247"/>
      <c r="P527" s="224"/>
    </row>
    <row r="528" spans="1:17" ht="12.75" customHeight="1" x14ac:dyDescent="0.25">
      <c r="A528" s="387" t="s">
        <v>4290</v>
      </c>
      <c r="B528" s="295" t="s">
        <v>4290</v>
      </c>
      <c r="C528" s="48" t="s">
        <v>4294</v>
      </c>
      <c r="D528" s="689">
        <v>7634463</v>
      </c>
      <c r="E528" s="309" t="s">
        <v>932</v>
      </c>
      <c r="F528" s="299">
        <v>0</v>
      </c>
      <c r="G528" s="299">
        <v>10000</v>
      </c>
      <c r="O528" s="247"/>
      <c r="P528" s="224"/>
    </row>
    <row r="529" spans="1:16" ht="13.2" x14ac:dyDescent="0.25">
      <c r="A529" s="387" t="s">
        <v>4300</v>
      </c>
      <c r="B529" s="295" t="s">
        <v>4300</v>
      </c>
      <c r="C529" s="707" t="s">
        <v>4310</v>
      </c>
      <c r="D529" s="689">
        <v>7789462</v>
      </c>
      <c r="E529" s="309" t="s">
        <v>932</v>
      </c>
      <c r="F529" s="299">
        <v>0</v>
      </c>
      <c r="G529" s="299">
        <v>45000</v>
      </c>
    </row>
    <row r="530" spans="1:16" ht="12.75" customHeight="1" x14ac:dyDescent="0.25">
      <c r="A530" s="387" t="s">
        <v>4325</v>
      </c>
      <c r="B530" s="295" t="s">
        <v>4325</v>
      </c>
      <c r="C530" s="48" t="s">
        <v>2170</v>
      </c>
      <c r="D530" s="689">
        <v>150515</v>
      </c>
      <c r="E530" s="309" t="s">
        <v>932</v>
      </c>
      <c r="F530" s="299">
        <v>15000</v>
      </c>
      <c r="G530" s="299">
        <v>0</v>
      </c>
      <c r="O530" s="247"/>
      <c r="P530" s="224"/>
    </row>
    <row r="531" spans="1:16" ht="12.75" customHeight="1" x14ac:dyDescent="0.25">
      <c r="A531" s="387" t="s">
        <v>4377</v>
      </c>
      <c r="B531" s="295" t="s">
        <v>4372</v>
      </c>
      <c r="C531" s="48" t="s">
        <v>4378</v>
      </c>
      <c r="D531" s="689">
        <v>8744688</v>
      </c>
      <c r="E531" s="309" t="s">
        <v>932</v>
      </c>
      <c r="F531" s="299">
        <v>0</v>
      </c>
      <c r="G531" s="299">
        <v>8000</v>
      </c>
      <c r="O531" s="247"/>
      <c r="P531" s="224"/>
    </row>
    <row r="532" spans="1:16" ht="12.75" customHeight="1" x14ac:dyDescent="0.25">
      <c r="A532" s="387" t="s">
        <v>4374</v>
      </c>
      <c r="B532" s="295" t="s">
        <v>4374</v>
      </c>
      <c r="C532" s="48" t="s">
        <v>4385</v>
      </c>
      <c r="D532" s="689">
        <v>8790101</v>
      </c>
      <c r="E532" s="309" t="s">
        <v>932</v>
      </c>
      <c r="F532" s="299">
        <v>0</v>
      </c>
      <c r="G532" s="299">
        <v>4000</v>
      </c>
      <c r="O532" s="247"/>
      <c r="P532" s="224"/>
    </row>
    <row r="533" spans="1:16" ht="12.75" customHeight="1" x14ac:dyDescent="0.25">
      <c r="A533" s="387" t="s">
        <v>4386</v>
      </c>
      <c r="B533" s="295" t="s">
        <v>4386</v>
      </c>
      <c r="C533" s="48" t="s">
        <v>4389</v>
      </c>
      <c r="D533" s="689">
        <v>8850859</v>
      </c>
      <c r="E533" s="309" t="s">
        <v>932</v>
      </c>
      <c r="F533" s="299">
        <v>0</v>
      </c>
      <c r="G533" s="299">
        <v>2000</v>
      </c>
      <c r="O533" s="247"/>
      <c r="P533" s="224"/>
    </row>
    <row r="534" spans="1:16" ht="12.75" customHeight="1" x14ac:dyDescent="0.25">
      <c r="A534" s="387" t="s">
        <v>4395</v>
      </c>
      <c r="B534" s="295" t="s">
        <v>4395</v>
      </c>
      <c r="C534" s="48" t="s">
        <v>4399</v>
      </c>
      <c r="D534" s="689">
        <v>8925711</v>
      </c>
      <c r="E534" s="309" t="s">
        <v>932</v>
      </c>
      <c r="F534" s="299">
        <v>0</v>
      </c>
      <c r="G534" s="299">
        <v>1000</v>
      </c>
    </row>
    <row r="535" spans="1:16" ht="12.75" customHeight="1" x14ac:dyDescent="0.25">
      <c r="A535" s="387" t="s">
        <v>4410</v>
      </c>
      <c r="B535" s="295" t="s">
        <v>4410</v>
      </c>
      <c r="C535" s="48" t="s">
        <v>4413</v>
      </c>
      <c r="D535" s="689">
        <v>9020193</v>
      </c>
      <c r="E535" s="309" t="s">
        <v>932</v>
      </c>
      <c r="F535" s="299">
        <v>0</v>
      </c>
      <c r="G535" s="299">
        <v>300</v>
      </c>
      <c r="O535" s="247"/>
      <c r="P535" s="224"/>
    </row>
    <row r="536" spans="1:16" ht="12.75" customHeight="1" x14ac:dyDescent="0.25">
      <c r="A536" s="387" t="s">
        <v>4409</v>
      </c>
      <c r="B536" s="295" t="s">
        <v>4409</v>
      </c>
      <c r="C536" s="48" t="s">
        <v>4414</v>
      </c>
      <c r="D536" s="267">
        <v>9033503</v>
      </c>
      <c r="E536" s="309" t="s">
        <v>932</v>
      </c>
      <c r="F536" s="299">
        <v>0</v>
      </c>
      <c r="G536" s="299">
        <v>1700</v>
      </c>
      <c r="O536" s="247"/>
      <c r="P536" s="224"/>
    </row>
    <row r="537" spans="1:16" ht="12.75" customHeight="1" x14ac:dyDescent="0.25">
      <c r="A537" s="387" t="s">
        <v>4423</v>
      </c>
      <c r="B537" s="295" t="s">
        <v>4423</v>
      </c>
      <c r="C537" s="48" t="s">
        <v>4424</v>
      </c>
      <c r="D537" s="689">
        <v>1</v>
      </c>
      <c r="E537" s="309" t="s">
        <v>932</v>
      </c>
      <c r="F537" s="299">
        <v>77000</v>
      </c>
      <c r="G537" s="299">
        <v>0</v>
      </c>
    </row>
    <row r="538" spans="1:16" ht="12.75" customHeight="1" x14ac:dyDescent="0.25">
      <c r="A538" s="387" t="s">
        <v>4426</v>
      </c>
      <c r="B538" s="295" t="s">
        <v>4426</v>
      </c>
      <c r="C538" s="48" t="s">
        <v>2170</v>
      </c>
      <c r="D538" s="689">
        <v>290715</v>
      </c>
      <c r="E538" s="309" t="s">
        <v>932</v>
      </c>
      <c r="F538" s="299">
        <v>49980.4</v>
      </c>
      <c r="G538" s="299">
        <v>0</v>
      </c>
    </row>
    <row r="539" spans="1:16" ht="12.75" customHeight="1" x14ac:dyDescent="0.25">
      <c r="A539" s="387" t="s">
        <v>4426</v>
      </c>
      <c r="B539" s="295" t="s">
        <v>4426</v>
      </c>
      <c r="C539" s="48" t="s">
        <v>4427</v>
      </c>
      <c r="D539" s="689">
        <v>9244609</v>
      </c>
      <c r="E539" s="309" t="s">
        <v>932</v>
      </c>
      <c r="F539" s="299">
        <v>0</v>
      </c>
      <c r="G539" s="299">
        <v>100</v>
      </c>
    </row>
    <row r="541" spans="1:16" ht="12.75" customHeight="1" x14ac:dyDescent="0.25">
      <c r="A541" s="387" t="s">
        <v>4428</v>
      </c>
      <c r="B541" s="295" t="s">
        <v>4428</v>
      </c>
      <c r="C541" s="48" t="s">
        <v>4429</v>
      </c>
      <c r="D541" s="689">
        <v>310715</v>
      </c>
      <c r="E541" s="309" t="s">
        <v>932</v>
      </c>
      <c r="F541" s="299">
        <v>19.600000000000001</v>
      </c>
      <c r="G541" s="299">
        <v>0</v>
      </c>
    </row>
    <row r="542" spans="1:16" ht="12.75" customHeight="1" x14ac:dyDescent="0.25">
      <c r="A542" s="387"/>
      <c r="C542" s="48"/>
      <c r="D542" s="689"/>
      <c r="E542" s="309"/>
      <c r="O542" s="247"/>
      <c r="P542" s="224"/>
    </row>
    <row r="543" spans="1:16" ht="12.75" customHeight="1" x14ac:dyDescent="0.25">
      <c r="A543" s="387"/>
      <c r="C543" s="48"/>
      <c r="D543" s="689"/>
      <c r="E543" s="309"/>
      <c r="O543" s="247"/>
      <c r="P543" s="224"/>
    </row>
    <row r="544" spans="1:16" ht="12.75" customHeight="1" x14ac:dyDescent="0.25">
      <c r="A544" s="387"/>
      <c r="C544" s="48"/>
      <c r="D544" s="689"/>
      <c r="E544" s="309"/>
      <c r="O544" s="247"/>
      <c r="P544" s="224"/>
    </row>
    <row r="545" spans="1:16" ht="12.75" customHeight="1" x14ac:dyDescent="0.25">
      <c r="A545" s="387"/>
      <c r="C545" s="48"/>
      <c r="D545" s="689"/>
      <c r="E545" s="309"/>
      <c r="O545" s="247"/>
      <c r="P545" s="224"/>
    </row>
    <row r="546" spans="1:16" ht="12.75" customHeight="1" x14ac:dyDescent="0.25">
      <c r="A546" s="387"/>
      <c r="C546" s="48"/>
      <c r="D546" s="689"/>
      <c r="E546" s="309"/>
      <c r="O546" s="247"/>
      <c r="P546" s="224"/>
    </row>
    <row r="547" spans="1:16" ht="12.75" customHeight="1" x14ac:dyDescent="0.25">
      <c r="A547" s="387"/>
      <c r="C547" s="48"/>
      <c r="D547" s="689"/>
      <c r="E547" s="309"/>
      <c r="O547" s="247"/>
      <c r="P547" s="224"/>
    </row>
    <row r="548" spans="1:16" ht="12.75" customHeight="1" x14ac:dyDescent="0.25">
      <c r="A548" s="387"/>
      <c r="C548" s="48"/>
      <c r="D548" s="689"/>
      <c r="E548" s="309"/>
      <c r="O548" s="247"/>
      <c r="P548" s="224"/>
    </row>
    <row r="549" spans="1:16" ht="12.75" customHeight="1" x14ac:dyDescent="0.25">
      <c r="A549" s="387"/>
      <c r="C549" s="48"/>
      <c r="D549" s="689"/>
      <c r="E549" s="309"/>
      <c r="O549" s="247"/>
      <c r="P549" s="224"/>
    </row>
    <row r="550" spans="1:16" ht="12.75" customHeight="1" x14ac:dyDescent="0.25">
      <c r="A550" s="387"/>
      <c r="C550" s="48"/>
      <c r="D550" s="689"/>
      <c r="E550" s="309"/>
      <c r="O550" s="247"/>
      <c r="P550" s="224"/>
    </row>
    <row r="551" spans="1:16" ht="12.75" customHeight="1" x14ac:dyDescent="0.25">
      <c r="A551" s="387"/>
      <c r="C551" s="48"/>
      <c r="D551" s="689"/>
      <c r="E551" s="309"/>
      <c r="O551" s="247"/>
      <c r="P551" s="224"/>
    </row>
    <row r="552" spans="1:16" ht="12.75" customHeight="1" x14ac:dyDescent="0.25">
      <c r="A552" s="387"/>
      <c r="C552" s="48"/>
      <c r="D552" s="689"/>
      <c r="E552" s="309"/>
      <c r="O552" s="247"/>
      <c r="P552" s="224"/>
    </row>
    <row r="553" spans="1:16" ht="12.75" customHeight="1" x14ac:dyDescent="0.25">
      <c r="A553" s="387"/>
      <c r="C553" s="48"/>
      <c r="D553" s="689"/>
      <c r="E553" s="309"/>
      <c r="O553" s="247"/>
      <c r="P553" s="224"/>
    </row>
    <row r="554" spans="1:16" ht="12.75" customHeight="1" x14ac:dyDescent="0.25">
      <c r="A554" s="387"/>
      <c r="C554" s="48"/>
      <c r="D554" s="689"/>
      <c r="E554" s="309"/>
      <c r="O554" s="247"/>
      <c r="P554" s="224"/>
    </row>
    <row r="555" spans="1:16" ht="12.75" customHeight="1" x14ac:dyDescent="0.25">
      <c r="A555" s="387"/>
      <c r="C555" s="48"/>
      <c r="D555" s="689"/>
      <c r="E555" s="309"/>
      <c r="O555" s="247"/>
      <c r="P555" s="224"/>
    </row>
    <row r="556" spans="1:16" ht="12.75" customHeight="1" x14ac:dyDescent="0.25">
      <c r="A556" s="387"/>
      <c r="C556" s="48"/>
      <c r="D556" s="689"/>
      <c r="E556" s="309"/>
      <c r="O556" s="247"/>
      <c r="P556" s="224"/>
    </row>
    <row r="557" spans="1:16" ht="12.75" customHeight="1" x14ac:dyDescent="0.25">
      <c r="A557" s="387"/>
      <c r="C557" s="48"/>
      <c r="D557" s="689"/>
      <c r="E557" s="309"/>
      <c r="O557" s="247"/>
      <c r="P557" s="224"/>
    </row>
    <row r="558" spans="1:16" ht="12.75" customHeight="1" x14ac:dyDescent="0.25">
      <c r="A558" s="387"/>
      <c r="C558" s="48"/>
      <c r="D558" s="689"/>
      <c r="E558" s="309"/>
      <c r="O558" s="247"/>
      <c r="P558" s="224"/>
    </row>
    <row r="559" spans="1:16" ht="12.75" customHeight="1" x14ac:dyDescent="0.25">
      <c r="A559" s="387"/>
      <c r="C559" s="48"/>
      <c r="D559" s="689"/>
      <c r="E559" s="309"/>
      <c r="O559" s="247"/>
      <c r="P559" s="224"/>
    </row>
    <row r="560" spans="1:16" ht="12.75" customHeight="1" x14ac:dyDescent="0.25">
      <c r="A560" s="387"/>
      <c r="C560" s="48"/>
      <c r="D560" s="689"/>
      <c r="E560" s="309"/>
      <c r="O560" s="247"/>
      <c r="P560" s="224"/>
    </row>
    <row r="561" spans="1:16" ht="12.75" customHeight="1" x14ac:dyDescent="0.25">
      <c r="A561" s="387"/>
      <c r="C561" s="48"/>
      <c r="D561" s="689"/>
      <c r="E561" s="309"/>
      <c r="O561" s="247"/>
      <c r="P561" s="224"/>
    </row>
    <row r="562" spans="1:16" ht="12.75" customHeight="1" x14ac:dyDescent="0.25">
      <c r="A562" s="387"/>
      <c r="C562" s="48"/>
      <c r="D562" s="689"/>
      <c r="E562" s="309"/>
      <c r="O562" s="247"/>
      <c r="P562" s="224"/>
    </row>
    <row r="563" spans="1:16" ht="12.75" customHeight="1" x14ac:dyDescent="0.25">
      <c r="A563" s="387"/>
      <c r="C563" s="48"/>
      <c r="D563" s="689"/>
      <c r="E563" s="309"/>
      <c r="O563" s="247"/>
      <c r="P563" s="224"/>
    </row>
    <row r="564" spans="1:16" ht="12.75" customHeight="1" x14ac:dyDescent="0.25">
      <c r="A564" s="387"/>
      <c r="C564" s="48"/>
      <c r="D564" s="689"/>
      <c r="E564" s="309"/>
      <c r="O564" s="247"/>
      <c r="P564" s="224"/>
    </row>
    <row r="565" spans="1:16" ht="12.75" customHeight="1" x14ac:dyDescent="0.25">
      <c r="A565" s="387"/>
      <c r="C565" s="48"/>
      <c r="D565" s="689"/>
      <c r="E565" s="309"/>
      <c r="O565" s="247"/>
      <c r="P565" s="224"/>
    </row>
    <row r="566" spans="1:16" ht="12.75" customHeight="1" x14ac:dyDescent="0.25">
      <c r="A566" s="387"/>
      <c r="C566" s="48"/>
      <c r="D566" s="689"/>
      <c r="E566" s="309"/>
      <c r="O566" s="247"/>
      <c r="P566" s="224"/>
    </row>
    <row r="567" spans="1:16" ht="12.75" customHeight="1" x14ac:dyDescent="0.25">
      <c r="A567" s="387"/>
      <c r="C567" s="48"/>
      <c r="D567" s="689"/>
      <c r="E567" s="309"/>
      <c r="O567" s="247"/>
      <c r="P567" s="224"/>
    </row>
    <row r="568" spans="1:16" ht="12.75" customHeight="1" x14ac:dyDescent="0.25">
      <c r="A568" s="387"/>
      <c r="C568" s="48"/>
      <c r="D568" s="689"/>
      <c r="E568" s="309"/>
      <c r="O568" s="247"/>
      <c r="P568" s="224"/>
    </row>
    <row r="569" spans="1:16" ht="12.75" customHeight="1" x14ac:dyDescent="0.25">
      <c r="A569" s="387"/>
      <c r="C569" s="48"/>
      <c r="D569" s="689"/>
      <c r="E569" s="309"/>
      <c r="O569" s="247"/>
      <c r="P569" s="224"/>
    </row>
    <row r="570" spans="1:16" ht="12.75" customHeight="1" x14ac:dyDescent="0.25">
      <c r="A570" s="387"/>
      <c r="C570" s="48"/>
      <c r="D570" s="689"/>
      <c r="E570" s="309"/>
      <c r="O570" s="247"/>
      <c r="P570" s="224"/>
    </row>
    <row r="588" spans="1:16" ht="12.75" customHeight="1" x14ac:dyDescent="0.25">
      <c r="A588" s="387"/>
      <c r="C588" s="48"/>
      <c r="D588" s="689"/>
      <c r="E588" s="309"/>
      <c r="O588" s="247"/>
      <c r="P588" s="224"/>
    </row>
    <row r="589" spans="1:16" ht="12.75" customHeight="1" x14ac:dyDescent="0.25">
      <c r="A589" s="387"/>
      <c r="C589" s="787"/>
      <c r="D589" s="689"/>
      <c r="E589" s="255"/>
      <c r="F589" s="362">
        <f>SUM(F522:F588)</f>
        <v>208000</v>
      </c>
      <c r="G589" s="362">
        <f>SUM(G522:G588)</f>
        <v>226724.23000000027</v>
      </c>
      <c r="H589" s="267"/>
      <c r="I589" s="255"/>
      <c r="J589" s="255"/>
      <c r="O589" s="247"/>
      <c r="P589" s="224"/>
    </row>
    <row r="590" spans="1:16" ht="13.8" thickBot="1" x14ac:dyDescent="0.3">
      <c r="A590" s="387"/>
      <c r="C590" s="787"/>
      <c r="D590" s="689"/>
      <c r="E590" s="255"/>
      <c r="F590" s="255"/>
      <c r="G590" s="255"/>
      <c r="H590" s="679"/>
      <c r="O590" s="247"/>
      <c r="P590" s="224"/>
    </row>
    <row r="591" spans="1:16" ht="13.8" thickBot="1" x14ac:dyDescent="0.3">
      <c r="B591" s="325"/>
      <c r="C591" s="787"/>
      <c r="D591" s="689"/>
      <c r="E591" s="272"/>
      <c r="G591" s="255" t="s">
        <v>2141</v>
      </c>
      <c r="H591" s="276">
        <f>G589-F589</f>
        <v>18724.230000000272</v>
      </c>
      <c r="O591" s="247"/>
      <c r="P591" s="224"/>
    </row>
    <row r="592" spans="1:16" ht="13.2" x14ac:dyDescent="0.25">
      <c r="B592" s="325"/>
      <c r="C592" s="787"/>
      <c r="D592" s="689"/>
      <c r="E592" s="272"/>
      <c r="F592" s="255"/>
      <c r="G592" s="255"/>
      <c r="H592" s="679"/>
      <c r="O592" s="247"/>
      <c r="P592" s="224"/>
    </row>
    <row r="593" spans="1:16" ht="13.2" x14ac:dyDescent="0.25">
      <c r="B593" s="325"/>
      <c r="C593" s="787"/>
      <c r="D593" s="689"/>
      <c r="E593" s="272"/>
      <c r="F593" s="255"/>
      <c r="G593" s="255"/>
      <c r="H593" s="679"/>
      <c r="O593" s="247"/>
      <c r="P593" s="224"/>
    </row>
    <row r="594" spans="1:16" ht="12.75" customHeight="1" x14ac:dyDescent="0.25">
      <c r="B594" s="325"/>
      <c r="C594" s="788"/>
      <c r="D594" s="689"/>
      <c r="F594" s="249"/>
      <c r="H594" s="230"/>
      <c r="O594" s="247"/>
      <c r="P594" s="224"/>
    </row>
    <row r="595" spans="1:16" ht="12.75" customHeight="1" x14ac:dyDescent="0.25">
      <c r="C595" s="783"/>
      <c r="D595" s="689"/>
      <c r="E595" s="542"/>
      <c r="F595" s="246"/>
      <c r="G595" s="246"/>
      <c r="H595" s="230"/>
      <c r="O595" s="247"/>
      <c r="P595" s="224"/>
    </row>
    <row r="596" spans="1:16" ht="12.75" customHeight="1" thickBot="1" x14ac:dyDescent="0.3">
      <c r="C596" s="783"/>
      <c r="D596" s="689"/>
      <c r="E596" s="542"/>
      <c r="F596" s="246"/>
      <c r="G596" s="246"/>
      <c r="H596" s="230"/>
    </row>
    <row r="597" spans="1:16" ht="12.75" customHeight="1" thickBot="1" x14ac:dyDescent="0.3">
      <c r="A597" s="351" t="s">
        <v>941</v>
      </c>
      <c r="B597" s="413"/>
      <c r="C597" s="789"/>
      <c r="D597" s="274"/>
      <c r="E597" s="680"/>
      <c r="F597" s="680"/>
      <c r="G597" s="547"/>
    </row>
    <row r="598" spans="1:16" ht="12.75" customHeight="1" x14ac:dyDescent="0.25">
      <c r="A598" s="748" t="s">
        <v>184</v>
      </c>
      <c r="B598" s="356" t="s">
        <v>999</v>
      </c>
      <c r="C598" s="786" t="s">
        <v>2082</v>
      </c>
      <c r="D598" s="409" t="s">
        <v>2084</v>
      </c>
      <c r="E598" s="544" t="s">
        <v>940</v>
      </c>
      <c r="F598" s="544" t="s">
        <v>668</v>
      </c>
      <c r="G598" s="706" t="s">
        <v>667</v>
      </c>
    </row>
    <row r="599" spans="1:16" ht="12.75" customHeight="1" thickBot="1" x14ac:dyDescent="0.3">
      <c r="A599" s="387"/>
      <c r="E599" s="299"/>
      <c r="F599" s="255"/>
    </row>
    <row r="600" spans="1:16" ht="12.75" customHeight="1" thickBot="1" x14ac:dyDescent="0.3">
      <c r="A600" s="387"/>
      <c r="C600" s="23"/>
      <c r="E600" s="2" t="s">
        <v>535</v>
      </c>
      <c r="F600" s="682">
        <f>SUM(F599:F599)</f>
        <v>0</v>
      </c>
      <c r="H600" s="234"/>
      <c r="N600" s="254"/>
    </row>
    <row r="601" spans="1:16" ht="12.75" customHeight="1" x14ac:dyDescent="0.25">
      <c r="A601" s="387"/>
      <c r="C601" s="23"/>
      <c r="E601" s="2"/>
      <c r="F601" s="390"/>
      <c r="H601" s="234"/>
      <c r="N601" s="254"/>
    </row>
    <row r="602" spans="1:16" s="1" customFormat="1" ht="26.4" x14ac:dyDescent="0.25">
      <c r="A602" s="387" t="s">
        <v>4260</v>
      </c>
      <c r="B602" s="295" t="s">
        <v>4260</v>
      </c>
      <c r="C602" s="53" t="s">
        <v>4262</v>
      </c>
      <c r="D602" s="267" t="s">
        <v>4261</v>
      </c>
      <c r="E602" s="309" t="s">
        <v>932</v>
      </c>
      <c r="F602" s="299">
        <v>280.33999999999997</v>
      </c>
      <c r="G602" s="60">
        <v>0</v>
      </c>
      <c r="H602" s="234"/>
      <c r="I602" s="60"/>
      <c r="J602" s="60"/>
      <c r="K602" s="60"/>
      <c r="L602" s="60"/>
      <c r="M602" s="60"/>
      <c r="O602" s="60"/>
      <c r="P602" s="2"/>
    </row>
    <row r="603" spans="1:16" ht="30" customHeight="1" x14ac:dyDescent="0.25">
      <c r="A603" s="749" t="s">
        <v>4287</v>
      </c>
      <c r="B603" s="527" t="s">
        <v>4287</v>
      </c>
      <c r="C603" s="771" t="s">
        <v>4288</v>
      </c>
      <c r="D603" s="690" t="s">
        <v>1231</v>
      </c>
      <c r="E603" s="681" t="s">
        <v>932</v>
      </c>
      <c r="F603" s="528">
        <v>280.33999999999997</v>
      </c>
      <c r="G603" s="528">
        <v>0</v>
      </c>
      <c r="O603" s="247"/>
      <c r="P603" s="224"/>
    </row>
    <row r="604" spans="1:16" ht="26.4" x14ac:dyDescent="0.25">
      <c r="A604" s="387" t="s">
        <v>4308</v>
      </c>
      <c r="B604" s="295" t="s">
        <v>4308</v>
      </c>
      <c r="C604" s="53" t="s">
        <v>4312</v>
      </c>
      <c r="D604" s="689" t="s">
        <v>4311</v>
      </c>
      <c r="E604" s="309" t="s">
        <v>932</v>
      </c>
      <c r="F604" s="299">
        <v>280.33999999999997</v>
      </c>
      <c r="G604" s="299">
        <v>0</v>
      </c>
      <c r="O604" s="247"/>
      <c r="P604" s="224"/>
    </row>
    <row r="605" spans="1:16" ht="26.4" x14ac:dyDescent="0.25">
      <c r="A605" s="387" t="s">
        <v>4323</v>
      </c>
      <c r="B605" s="295" t="s">
        <v>4323</v>
      </c>
      <c r="C605" s="53" t="s">
        <v>4324</v>
      </c>
      <c r="D605" s="267" t="s">
        <v>1231</v>
      </c>
      <c r="E605" s="309" t="s">
        <v>932</v>
      </c>
      <c r="F605" s="299">
        <v>280.33999999999997</v>
      </c>
      <c r="G605" s="299">
        <v>0</v>
      </c>
    </row>
    <row r="606" spans="1:16" ht="13.2" x14ac:dyDescent="0.25">
      <c r="A606" s="387" t="s">
        <v>4328</v>
      </c>
      <c r="B606" s="295" t="s">
        <v>4328</v>
      </c>
      <c r="C606" s="707" t="s">
        <v>2295</v>
      </c>
      <c r="D606" s="689" t="s">
        <v>1237</v>
      </c>
      <c r="E606" s="309" t="s">
        <v>932</v>
      </c>
      <c r="F606" s="299">
        <v>471.91</v>
      </c>
      <c r="G606" s="299">
        <v>0</v>
      </c>
      <c r="O606" s="247"/>
      <c r="P606" s="224"/>
    </row>
    <row r="607" spans="1:16" ht="12.75" customHeight="1" x14ac:dyDescent="0.25">
      <c r="A607" s="387" t="s">
        <v>4346</v>
      </c>
      <c r="B607" s="295" t="s">
        <v>4346</v>
      </c>
      <c r="C607" s="48" t="s">
        <v>2295</v>
      </c>
      <c r="D607" s="267" t="s">
        <v>1237</v>
      </c>
      <c r="E607" s="309" t="s">
        <v>932</v>
      </c>
      <c r="F607" s="299">
        <v>171.72</v>
      </c>
      <c r="G607" s="299">
        <v>0</v>
      </c>
    </row>
    <row r="608" spans="1:16" ht="26.4" x14ac:dyDescent="0.25">
      <c r="A608" s="387" t="s">
        <v>4347</v>
      </c>
      <c r="B608" s="295" t="s">
        <v>4347</v>
      </c>
      <c r="C608" s="53" t="s">
        <v>4349</v>
      </c>
      <c r="D608" s="267" t="s">
        <v>4348</v>
      </c>
      <c r="E608" s="309" t="s">
        <v>932</v>
      </c>
      <c r="F608" s="299">
        <v>284.43</v>
      </c>
      <c r="G608" s="299">
        <v>0</v>
      </c>
      <c r="H608" s="234"/>
      <c r="N608" s="254"/>
    </row>
    <row r="609" spans="1:16" ht="26.4" x14ac:dyDescent="0.25">
      <c r="A609" s="750" t="s">
        <v>4358</v>
      </c>
      <c r="B609" s="16" t="s">
        <v>4358</v>
      </c>
      <c r="C609" s="29" t="s">
        <v>4361</v>
      </c>
      <c r="D609" s="91" t="s">
        <v>1231</v>
      </c>
      <c r="E609" s="2" t="s">
        <v>932</v>
      </c>
      <c r="F609" s="299">
        <v>284.43</v>
      </c>
      <c r="H609" s="234"/>
      <c r="N609" s="254"/>
    </row>
    <row r="610" spans="1:16" ht="26.4" x14ac:dyDescent="0.25">
      <c r="A610" s="387" t="s">
        <v>4390</v>
      </c>
      <c r="B610" s="295" t="s">
        <v>4390</v>
      </c>
      <c r="C610" s="29" t="s">
        <v>4425</v>
      </c>
      <c r="D610" s="231" t="s">
        <v>4391</v>
      </c>
      <c r="E610" s="249" t="s">
        <v>932</v>
      </c>
      <c r="F610" s="299">
        <v>284.43</v>
      </c>
      <c r="G610" s="299">
        <v>0</v>
      </c>
    </row>
    <row r="611" spans="1:16" ht="12.75" customHeight="1" x14ac:dyDescent="0.25">
      <c r="A611" s="387" t="s">
        <v>4409</v>
      </c>
      <c r="B611" s="295" t="s">
        <v>4409</v>
      </c>
      <c r="C611" s="48" t="s">
        <v>2295</v>
      </c>
      <c r="D611" s="689" t="s">
        <v>1237</v>
      </c>
      <c r="E611" s="309" t="s">
        <v>932</v>
      </c>
      <c r="F611" s="299">
        <v>359.1</v>
      </c>
      <c r="G611" s="299">
        <v>0</v>
      </c>
      <c r="O611" s="247"/>
      <c r="P611" s="224"/>
    </row>
    <row r="612" spans="1:16" ht="26.4" x14ac:dyDescent="0.25">
      <c r="A612" s="387" t="s">
        <v>4417</v>
      </c>
      <c r="B612" s="295" t="s">
        <v>4417</v>
      </c>
      <c r="C612" s="53" t="s">
        <v>4418</v>
      </c>
      <c r="D612" s="689" t="s">
        <v>1231</v>
      </c>
      <c r="E612" s="309" t="s">
        <v>932</v>
      </c>
      <c r="F612" s="299">
        <v>284.43</v>
      </c>
      <c r="G612" s="299">
        <v>0</v>
      </c>
      <c r="H612" s="267"/>
    </row>
    <row r="613" spans="1:16" ht="13.2" x14ac:dyDescent="0.25">
      <c r="A613" s="387" t="s">
        <v>4428</v>
      </c>
      <c r="B613" s="295" t="s">
        <v>4428</v>
      </c>
      <c r="C613" s="53" t="s">
        <v>2295</v>
      </c>
      <c r="D613" s="689" t="s">
        <v>1237</v>
      </c>
      <c r="E613" s="309" t="s">
        <v>932</v>
      </c>
      <c r="F613" s="299">
        <v>273.60000000000002</v>
      </c>
      <c r="G613" s="299">
        <v>0</v>
      </c>
      <c r="H613" s="267"/>
    </row>
    <row r="614" spans="1:16" ht="12.75" customHeight="1" x14ac:dyDescent="0.25">
      <c r="A614" s="387"/>
      <c r="C614" s="707"/>
      <c r="D614" s="689"/>
      <c r="E614" s="309"/>
      <c r="H614" s="267"/>
    </row>
    <row r="615" spans="1:16" ht="12.75" customHeight="1" x14ac:dyDescent="0.25">
      <c r="A615" s="387"/>
      <c r="C615" s="707"/>
      <c r="D615" s="689"/>
      <c r="E615" s="309"/>
      <c r="H615" s="267"/>
    </row>
    <row r="616" spans="1:16" ht="12.75" customHeight="1" x14ac:dyDescent="0.25">
      <c r="B616" s="325"/>
      <c r="H616" s="267"/>
    </row>
    <row r="617" spans="1:16" ht="12.75" customHeight="1" x14ac:dyDescent="0.25">
      <c r="B617" s="325"/>
      <c r="H617" s="267"/>
    </row>
    <row r="618" spans="1:16" ht="12.75" customHeight="1" thickBot="1" x14ac:dyDescent="0.3"/>
    <row r="619" spans="1:16" s="1" customFormat="1" ht="13.8" thickBot="1" x14ac:dyDescent="0.3">
      <c r="A619" s="293"/>
      <c r="B619" s="16"/>
      <c r="C619" s="31"/>
      <c r="D619" s="91"/>
      <c r="E619" s="2" t="s">
        <v>536</v>
      </c>
      <c r="F619" s="682">
        <f>SUM(F602:F618)</f>
        <v>3535.4099999999994</v>
      </c>
      <c r="G619" s="60"/>
      <c r="H619" s="234"/>
      <c r="I619" s="60"/>
      <c r="J619" s="60"/>
      <c r="K619" s="60"/>
      <c r="L619" s="60"/>
      <c r="M619" s="60"/>
      <c r="O619" s="60"/>
      <c r="P619" s="2"/>
    </row>
    <row r="620" spans="1:16" s="1" customFormat="1" ht="13.2" x14ac:dyDescent="0.25">
      <c r="A620" s="293"/>
      <c r="B620" s="16"/>
      <c r="C620" s="31"/>
      <c r="D620" s="91"/>
      <c r="E620" s="2"/>
      <c r="F620" s="60"/>
      <c r="G620" s="60"/>
      <c r="H620" s="234"/>
      <c r="I620" s="60"/>
      <c r="J620" s="60"/>
      <c r="K620" s="60"/>
      <c r="L620" s="60"/>
      <c r="M620" s="60"/>
      <c r="O620" s="60"/>
      <c r="P620" s="2"/>
    </row>
    <row r="622" spans="1:16" ht="12.75" customHeight="1" thickBot="1" x14ac:dyDescent="0.3"/>
    <row r="623" spans="1:16" ht="12.75" customHeight="1" thickBot="1" x14ac:dyDescent="0.3">
      <c r="A623" s="351" t="s">
        <v>344</v>
      </c>
      <c r="B623" s="413"/>
      <c r="C623" s="789"/>
      <c r="D623" s="274"/>
      <c r="E623" s="545"/>
      <c r="F623" s="680"/>
      <c r="G623" s="547"/>
      <c r="O623" s="247"/>
      <c r="P623" s="224"/>
    </row>
    <row r="624" spans="1:16" ht="12.75" customHeight="1" x14ac:dyDescent="0.25">
      <c r="A624" s="748" t="s">
        <v>184</v>
      </c>
      <c r="B624" s="356" t="s">
        <v>999</v>
      </c>
      <c r="C624" s="786" t="s">
        <v>2082</v>
      </c>
      <c r="D624" s="409" t="s">
        <v>2084</v>
      </c>
      <c r="E624" s="544" t="s">
        <v>940</v>
      </c>
      <c r="F624" s="544" t="s">
        <v>668</v>
      </c>
      <c r="G624" s="706" t="s">
        <v>667</v>
      </c>
      <c r="O624" s="247"/>
      <c r="P624" s="224"/>
    </row>
    <row r="625" spans="1:16" ht="13.2" x14ac:dyDescent="0.25">
      <c r="A625" s="387" t="s">
        <v>4297</v>
      </c>
      <c r="B625" s="295" t="s">
        <v>4297</v>
      </c>
      <c r="C625" s="48" t="s">
        <v>4304</v>
      </c>
      <c r="D625" s="267" t="s">
        <v>4305</v>
      </c>
      <c r="E625" s="309" t="s">
        <v>932</v>
      </c>
      <c r="F625" s="299">
        <v>56.18</v>
      </c>
      <c r="G625" s="326">
        <v>0</v>
      </c>
      <c r="O625" s="247"/>
      <c r="P625" s="224"/>
    </row>
    <row r="626" spans="1:16" ht="26.4" x14ac:dyDescent="0.25">
      <c r="A626" s="387" t="s">
        <v>4375</v>
      </c>
      <c r="B626" s="295" t="s">
        <v>4369</v>
      </c>
      <c r="C626" s="48" t="s">
        <v>4400</v>
      </c>
      <c r="D626" s="267" t="s">
        <v>4376</v>
      </c>
      <c r="E626" s="309" t="s">
        <v>1028</v>
      </c>
      <c r="F626" s="299">
        <v>100</v>
      </c>
      <c r="G626" s="326">
        <v>0</v>
      </c>
      <c r="H626" s="267"/>
      <c r="O626" s="247"/>
      <c r="P626" s="224"/>
    </row>
    <row r="627" spans="1:16" ht="26.4" x14ac:dyDescent="0.25">
      <c r="A627" s="387" t="s">
        <v>4369</v>
      </c>
      <c r="B627" s="295" t="s">
        <v>4369</v>
      </c>
      <c r="C627" s="48" t="s">
        <v>4401</v>
      </c>
      <c r="D627" s="267" t="s">
        <v>4376</v>
      </c>
      <c r="E627" s="309" t="s">
        <v>1028</v>
      </c>
      <c r="F627" s="299">
        <v>14</v>
      </c>
      <c r="G627" s="326">
        <v>0</v>
      </c>
      <c r="I627" s="255"/>
      <c r="O627" s="247"/>
      <c r="P627" s="224"/>
    </row>
    <row r="628" spans="1:16" ht="26.4" x14ac:dyDescent="0.25">
      <c r="A628" s="387" t="s">
        <v>4397</v>
      </c>
      <c r="B628" s="295" t="s">
        <v>4397</v>
      </c>
      <c r="C628" s="53" t="s">
        <v>4403</v>
      </c>
      <c r="D628" s="267" t="s">
        <v>4402</v>
      </c>
      <c r="E628" s="309" t="s">
        <v>1028</v>
      </c>
      <c r="F628" s="299">
        <v>50</v>
      </c>
      <c r="G628" s="326">
        <v>0</v>
      </c>
      <c r="O628" s="247"/>
      <c r="P628" s="224"/>
    </row>
    <row r="629" spans="1:16" ht="26.4" x14ac:dyDescent="0.25">
      <c r="A629" s="387" t="s">
        <v>4397</v>
      </c>
      <c r="B629" s="295" t="s">
        <v>4397</v>
      </c>
      <c r="C629" s="53" t="s">
        <v>4403</v>
      </c>
      <c r="D629" s="267" t="s">
        <v>4402</v>
      </c>
      <c r="E629" s="309" t="s">
        <v>1028</v>
      </c>
      <c r="F629" s="299">
        <v>7</v>
      </c>
      <c r="G629" s="326">
        <v>0</v>
      </c>
      <c r="O629" s="247"/>
      <c r="P629" s="224"/>
    </row>
    <row r="630" spans="1:16" ht="26.4" x14ac:dyDescent="0.25">
      <c r="A630" s="387" t="s">
        <v>4407</v>
      </c>
      <c r="B630" s="295" t="s">
        <v>4407</v>
      </c>
      <c r="C630" s="53" t="s">
        <v>4416</v>
      </c>
      <c r="D630" s="689" t="s">
        <v>4415</v>
      </c>
      <c r="E630" s="309" t="s">
        <v>1028</v>
      </c>
      <c r="F630" s="299">
        <v>50</v>
      </c>
      <c r="G630" s="326">
        <v>0</v>
      </c>
      <c r="O630" s="247"/>
      <c r="P630" s="224"/>
    </row>
    <row r="631" spans="1:16" ht="26.4" x14ac:dyDescent="0.25">
      <c r="A631" s="387" t="s">
        <v>4407</v>
      </c>
      <c r="B631" s="295" t="s">
        <v>4407</v>
      </c>
      <c r="C631" s="53" t="s">
        <v>4416</v>
      </c>
      <c r="D631" s="267" t="s">
        <v>4415</v>
      </c>
      <c r="E631" s="309" t="s">
        <v>1028</v>
      </c>
      <c r="F631" s="299">
        <v>7</v>
      </c>
      <c r="G631" s="326">
        <v>0</v>
      </c>
      <c r="O631" s="247"/>
      <c r="P631" s="224"/>
    </row>
    <row r="632" spans="1:16" ht="12.75" customHeight="1" x14ac:dyDescent="0.25">
      <c r="A632" s="387"/>
      <c r="C632" s="48"/>
      <c r="D632" s="267"/>
      <c r="E632" s="309"/>
      <c r="G632" s="326"/>
      <c r="O632" s="247"/>
      <c r="P632" s="224"/>
    </row>
    <row r="633" spans="1:16" ht="12.75" customHeight="1" x14ac:dyDescent="0.25">
      <c r="A633" s="387"/>
      <c r="C633" s="48"/>
      <c r="D633" s="689"/>
      <c r="E633" s="309"/>
      <c r="J633" s="68"/>
      <c r="O633" s="247"/>
      <c r="P633" s="224"/>
    </row>
    <row r="634" spans="1:16" ht="12.75" customHeight="1" x14ac:dyDescent="0.25">
      <c r="A634" s="387"/>
      <c r="C634" s="48"/>
      <c r="D634" s="689"/>
      <c r="E634" s="309"/>
      <c r="J634" s="68"/>
      <c r="O634" s="247"/>
      <c r="P634" s="224"/>
    </row>
    <row r="635" spans="1:16" ht="12.75" customHeight="1" x14ac:dyDescent="0.25">
      <c r="A635" s="387"/>
      <c r="C635" s="48"/>
      <c r="D635" s="689"/>
      <c r="E635" s="309"/>
      <c r="J635" s="68"/>
      <c r="O635" s="247"/>
      <c r="P635" s="224"/>
    </row>
    <row r="636" spans="1:16" ht="12.75" customHeight="1" x14ac:dyDescent="0.25">
      <c r="A636" s="387"/>
      <c r="C636" s="23"/>
      <c r="E636" s="2"/>
    </row>
    <row r="637" spans="1:16" ht="12.75" customHeight="1" x14ac:dyDescent="0.25">
      <c r="A637" s="387"/>
      <c r="C637" s="23"/>
      <c r="E637" s="2"/>
    </row>
    <row r="638" spans="1:16" ht="12.75" customHeight="1" x14ac:dyDescent="0.25">
      <c r="A638" s="387"/>
      <c r="C638" s="23"/>
      <c r="E638" s="2"/>
    </row>
    <row r="641" spans="1:16" ht="12.75" customHeight="1" x14ac:dyDescent="0.25">
      <c r="A641" s="751"/>
    </row>
    <row r="642" spans="1:16" ht="12.75" customHeight="1" x14ac:dyDescent="0.25">
      <c r="A642" s="387"/>
      <c r="C642" s="23"/>
      <c r="E642" s="2"/>
      <c r="F642" s="60"/>
      <c r="O642" s="247"/>
      <c r="P642" s="224"/>
    </row>
    <row r="643" spans="1:16" ht="12.75" customHeight="1" x14ac:dyDescent="0.25">
      <c r="A643" s="387"/>
      <c r="B643" s="16"/>
      <c r="C643" s="23"/>
      <c r="E643" s="2"/>
      <c r="F643" s="60"/>
      <c r="O643" s="247"/>
      <c r="P643" s="224"/>
    </row>
    <row r="644" spans="1:16" ht="12.75" customHeight="1" x14ac:dyDescent="0.25">
      <c r="A644" s="387"/>
      <c r="B644" s="16"/>
      <c r="C644" s="23"/>
      <c r="E644" s="2"/>
      <c r="F644" s="60"/>
      <c r="O644" s="247"/>
      <c r="P644" s="224"/>
    </row>
    <row r="645" spans="1:16" ht="12.75" customHeight="1" x14ac:dyDescent="0.25">
      <c r="A645" s="387"/>
    </row>
    <row r="646" spans="1:16" ht="12.75" customHeight="1" x14ac:dyDescent="0.25">
      <c r="A646" s="387"/>
    </row>
    <row r="647" spans="1:16" ht="12.75" customHeight="1" x14ac:dyDescent="0.25">
      <c r="A647" s="387"/>
    </row>
    <row r="648" spans="1:16" ht="12.75" customHeight="1" x14ac:dyDescent="0.25">
      <c r="A648" s="387"/>
    </row>
    <row r="649" spans="1:16" ht="12.75" customHeight="1" x14ac:dyDescent="0.25">
      <c r="A649" s="387"/>
    </row>
    <row r="650" spans="1:16" ht="12.75" customHeight="1" x14ac:dyDescent="0.25">
      <c r="A650" s="387"/>
    </row>
    <row r="651" spans="1:16" ht="12.75" customHeight="1" x14ac:dyDescent="0.25">
      <c r="A651" s="387"/>
    </row>
    <row r="652" spans="1:16" ht="12.75" customHeight="1" x14ac:dyDescent="0.25">
      <c r="A652" s="387"/>
    </row>
    <row r="653" spans="1:16" ht="12.75" customHeight="1" x14ac:dyDescent="0.25">
      <c r="A653" s="387"/>
    </row>
    <row r="654" spans="1:16" ht="12.75" customHeight="1" x14ac:dyDescent="0.25">
      <c r="A654" s="387"/>
    </row>
    <row r="655" spans="1:16" ht="12.75" customHeight="1" x14ac:dyDescent="0.25">
      <c r="A655" s="387"/>
    </row>
    <row r="656" spans="1:16" ht="12.75" customHeight="1" thickBot="1" x14ac:dyDescent="0.3">
      <c r="A656" s="385"/>
      <c r="B656" s="16"/>
      <c r="C656" s="23"/>
      <c r="E656" s="2"/>
      <c r="F656" s="60"/>
      <c r="O656" s="247"/>
      <c r="P656" s="224"/>
    </row>
    <row r="657" spans="1:16" ht="12.75" customHeight="1" thickBot="1" x14ac:dyDescent="0.3">
      <c r="E657" s="2" t="s">
        <v>946</v>
      </c>
      <c r="F657" s="423">
        <f>SUM(F625:F656)</f>
        <v>284.18</v>
      </c>
      <c r="O657" s="247"/>
      <c r="P657" s="224"/>
    </row>
    <row r="658" spans="1:16" ht="12.75" customHeight="1" x14ac:dyDescent="0.25">
      <c r="E658" s="2"/>
    </row>
    <row r="659" spans="1:16" ht="12.75" customHeight="1" x14ac:dyDescent="0.25">
      <c r="F659" s="249"/>
      <c r="O659" s="247"/>
      <c r="P659" s="224"/>
    </row>
    <row r="660" spans="1:16" ht="12.75" customHeight="1" x14ac:dyDescent="0.25">
      <c r="F660" s="249"/>
      <c r="O660" s="247"/>
      <c r="P660" s="224"/>
    </row>
    <row r="661" spans="1:16" ht="12.75" customHeight="1" thickBot="1" x14ac:dyDescent="0.3">
      <c r="F661" s="249"/>
      <c r="O661" s="247"/>
      <c r="P661" s="224"/>
    </row>
    <row r="662" spans="1:16" ht="12.75" customHeight="1" thickBot="1" x14ac:dyDescent="0.3">
      <c r="A662" s="351" t="s">
        <v>895</v>
      </c>
      <c r="B662" s="413"/>
      <c r="C662" s="789"/>
      <c r="D662" s="274"/>
      <c r="E662" s="545"/>
      <c r="F662" s="680"/>
      <c r="G662" s="547"/>
      <c r="O662" s="247"/>
      <c r="P662" s="224"/>
    </row>
    <row r="663" spans="1:16" ht="12.75" customHeight="1" x14ac:dyDescent="0.25">
      <c r="A663" s="748" t="s">
        <v>184</v>
      </c>
      <c r="B663" s="356" t="s">
        <v>999</v>
      </c>
      <c r="C663" s="786" t="s">
        <v>2082</v>
      </c>
      <c r="D663" s="409" t="s">
        <v>2084</v>
      </c>
      <c r="E663" s="544" t="s">
        <v>940</v>
      </c>
      <c r="F663" s="544" t="s">
        <v>668</v>
      </c>
      <c r="G663" s="706" t="s">
        <v>667</v>
      </c>
      <c r="O663" s="247"/>
      <c r="P663" s="224"/>
    </row>
    <row r="664" spans="1:16" ht="12.75" customHeight="1" x14ac:dyDescent="0.25">
      <c r="A664" s="387" t="s">
        <v>4254</v>
      </c>
      <c r="B664" s="295" t="s">
        <v>4254</v>
      </c>
      <c r="C664" s="48" t="s">
        <v>938</v>
      </c>
      <c r="D664" s="689">
        <v>7270679</v>
      </c>
      <c r="E664" s="309" t="s">
        <v>932</v>
      </c>
      <c r="F664" s="299">
        <v>6.74</v>
      </c>
      <c r="G664" s="299">
        <v>0</v>
      </c>
    </row>
    <row r="665" spans="1:16" ht="12.75" customHeight="1" x14ac:dyDescent="0.25">
      <c r="A665" s="387" t="s">
        <v>4254</v>
      </c>
      <c r="B665" s="295" t="s">
        <v>4254</v>
      </c>
      <c r="C665" s="48" t="s">
        <v>938</v>
      </c>
      <c r="D665" s="689">
        <v>7270144</v>
      </c>
      <c r="E665" s="309" t="s">
        <v>932</v>
      </c>
      <c r="F665" s="299">
        <v>6.74</v>
      </c>
      <c r="G665" s="299">
        <v>0</v>
      </c>
      <c r="O665" s="247"/>
      <c r="P665" s="224"/>
    </row>
    <row r="666" spans="1:16" ht="12.75" customHeight="1" x14ac:dyDescent="0.25">
      <c r="A666" s="387" t="s">
        <v>4290</v>
      </c>
      <c r="B666" s="295" t="s">
        <v>4290</v>
      </c>
      <c r="C666" s="48" t="s">
        <v>938</v>
      </c>
      <c r="D666" s="689">
        <v>7634463</v>
      </c>
      <c r="E666" s="309" t="s">
        <v>932</v>
      </c>
      <c r="F666" s="299">
        <v>6.74</v>
      </c>
      <c r="G666" s="299">
        <v>0</v>
      </c>
      <c r="H666" s="267"/>
    </row>
    <row r="667" spans="1:16" ht="12.75" customHeight="1" x14ac:dyDescent="0.25">
      <c r="A667" s="387" t="s">
        <v>4290</v>
      </c>
      <c r="B667" s="295" t="s">
        <v>4290</v>
      </c>
      <c r="C667" s="48" t="s">
        <v>938</v>
      </c>
      <c r="D667" s="689">
        <v>7634076</v>
      </c>
      <c r="E667" s="309" t="s">
        <v>932</v>
      </c>
      <c r="F667" s="299">
        <v>6.74</v>
      </c>
      <c r="G667" s="299">
        <v>0</v>
      </c>
      <c r="O667" s="247"/>
      <c r="P667" s="224"/>
    </row>
    <row r="668" spans="1:16" ht="12.75" customHeight="1" x14ac:dyDescent="0.25">
      <c r="A668" s="387" t="s">
        <v>4300</v>
      </c>
      <c r="B668" s="295" t="s">
        <v>4300</v>
      </c>
      <c r="C668" s="48" t="s">
        <v>938</v>
      </c>
      <c r="D668" s="689">
        <v>7789462</v>
      </c>
      <c r="E668" s="309" t="s">
        <v>932</v>
      </c>
      <c r="F668" s="299">
        <v>6.74</v>
      </c>
      <c r="G668" s="299">
        <v>0</v>
      </c>
      <c r="O668" s="247"/>
      <c r="P668" s="224"/>
    </row>
    <row r="669" spans="1:16" ht="12.75" customHeight="1" x14ac:dyDescent="0.25">
      <c r="A669" s="225" t="s">
        <v>4372</v>
      </c>
      <c r="B669" s="295" t="s">
        <v>4372</v>
      </c>
      <c r="C669" s="711" t="s">
        <v>938</v>
      </c>
      <c r="D669" s="231">
        <v>8744688</v>
      </c>
      <c r="E669" s="249" t="s">
        <v>932</v>
      </c>
      <c r="F669" s="299">
        <v>6.84</v>
      </c>
      <c r="G669" s="299">
        <v>0</v>
      </c>
    </row>
    <row r="670" spans="1:16" ht="12.75" customHeight="1" x14ac:dyDescent="0.25">
      <c r="A670" s="387" t="s">
        <v>4374</v>
      </c>
      <c r="B670" s="295" t="s">
        <v>4374</v>
      </c>
      <c r="C670" s="48" t="s">
        <v>938</v>
      </c>
      <c r="D670" s="689">
        <v>8790101</v>
      </c>
      <c r="E670" s="309" t="s">
        <v>932</v>
      </c>
      <c r="F670" s="299">
        <v>6.84</v>
      </c>
      <c r="G670" s="299">
        <v>0</v>
      </c>
    </row>
    <row r="671" spans="1:16" ht="12.75" customHeight="1" x14ac:dyDescent="0.25">
      <c r="A671" s="387" t="s">
        <v>4386</v>
      </c>
      <c r="B671" s="295" t="s">
        <v>4386</v>
      </c>
      <c r="C671" s="48" t="s">
        <v>938</v>
      </c>
      <c r="D671" s="689">
        <v>8850859</v>
      </c>
      <c r="E671" s="309" t="s">
        <v>932</v>
      </c>
      <c r="F671" s="299">
        <v>6.84</v>
      </c>
      <c r="G671" s="299">
        <v>0</v>
      </c>
      <c r="O671" s="247"/>
      <c r="P671" s="224"/>
    </row>
    <row r="672" spans="1:16" ht="12.75" customHeight="1" x14ac:dyDescent="0.25">
      <c r="A672" s="387" t="s">
        <v>4395</v>
      </c>
      <c r="B672" s="295" t="s">
        <v>4395</v>
      </c>
      <c r="C672" s="48" t="s">
        <v>938</v>
      </c>
      <c r="D672" s="689">
        <v>8925711</v>
      </c>
      <c r="E672" s="309" t="s">
        <v>932</v>
      </c>
      <c r="F672" s="299">
        <v>6.84</v>
      </c>
      <c r="G672" s="299">
        <v>0</v>
      </c>
    </row>
    <row r="673" spans="1:16" ht="12.75" customHeight="1" x14ac:dyDescent="0.25">
      <c r="A673" s="387" t="s">
        <v>4410</v>
      </c>
      <c r="B673" s="295" t="s">
        <v>4410</v>
      </c>
      <c r="C673" s="711" t="s">
        <v>938</v>
      </c>
      <c r="D673" s="231">
        <v>9020193</v>
      </c>
      <c r="E673" s="249" t="s">
        <v>932</v>
      </c>
      <c r="F673" s="299">
        <v>6.84</v>
      </c>
      <c r="G673" s="299">
        <v>0</v>
      </c>
    </row>
    <row r="674" spans="1:16" ht="12.75" customHeight="1" x14ac:dyDescent="0.25">
      <c r="A674" s="387" t="s">
        <v>4409</v>
      </c>
      <c r="B674" s="295" t="s">
        <v>4409</v>
      </c>
      <c r="C674" s="48" t="s">
        <v>938</v>
      </c>
      <c r="D674" s="267">
        <v>9033503</v>
      </c>
      <c r="E674" s="309" t="s">
        <v>932</v>
      </c>
      <c r="F674" s="299">
        <v>6.84</v>
      </c>
      <c r="G674" s="299">
        <v>0</v>
      </c>
      <c r="O674" s="247"/>
      <c r="P674" s="224"/>
    </row>
    <row r="675" spans="1:16" ht="12.75" customHeight="1" x14ac:dyDescent="0.25">
      <c r="A675" s="387" t="s">
        <v>4426</v>
      </c>
      <c r="B675" s="295" t="s">
        <v>4426</v>
      </c>
      <c r="C675" s="48" t="s">
        <v>938</v>
      </c>
      <c r="D675" s="689">
        <v>9244609</v>
      </c>
      <c r="E675" s="309" t="s">
        <v>932</v>
      </c>
      <c r="F675" s="299">
        <v>6.84</v>
      </c>
      <c r="G675" s="299">
        <v>0</v>
      </c>
    </row>
    <row r="707" spans="1:16" ht="12.75" customHeight="1" thickBot="1" x14ac:dyDescent="0.3"/>
    <row r="708" spans="1:16" ht="12.75" customHeight="1" thickBot="1" x14ac:dyDescent="0.3">
      <c r="A708" s="387"/>
      <c r="C708" s="23"/>
      <c r="E708" s="2" t="s">
        <v>1040</v>
      </c>
      <c r="F708" s="423">
        <f>SUM(F664:F707)</f>
        <v>81.580000000000027</v>
      </c>
      <c r="O708" s="247"/>
      <c r="P708" s="224"/>
    </row>
    <row r="709" spans="1:16" ht="12.75" customHeight="1" x14ac:dyDescent="0.25">
      <c r="A709" s="387"/>
      <c r="C709" s="23"/>
      <c r="E709" s="2"/>
      <c r="F709" s="3"/>
      <c r="O709" s="247"/>
      <c r="P709" s="224"/>
    </row>
    <row r="710" spans="1:16" ht="12.75" customHeight="1" x14ac:dyDescent="0.25">
      <c r="A710" s="387"/>
      <c r="E710" s="2"/>
      <c r="F710" s="3"/>
      <c r="O710" s="247"/>
      <c r="P710" s="224"/>
    </row>
    <row r="711" spans="1:16" ht="12.75" customHeight="1" x14ac:dyDescent="0.25">
      <c r="A711" s="387"/>
      <c r="O711" s="247"/>
      <c r="P711" s="224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3"/>
  <sheetViews>
    <sheetView topLeftCell="C794" zoomScaleNormal="100" workbookViewId="0">
      <selection activeCell="G818" sqref="G818"/>
    </sheetView>
  </sheetViews>
  <sheetFormatPr defaultColWidth="9.21875" defaultRowHeight="12.75" customHeight="1" x14ac:dyDescent="0.25"/>
  <cols>
    <col min="1" max="1" width="10.77734375" style="250" customWidth="1"/>
    <col min="2" max="2" width="10.77734375" style="295" customWidth="1"/>
    <col min="3" max="3" width="40.5546875" style="249" bestFit="1" customWidth="1"/>
    <col min="4" max="4" width="24.21875" style="231" bestFit="1" customWidth="1"/>
    <col min="5" max="5" width="13.5546875" style="249" customWidth="1"/>
    <col min="6" max="7" width="10.77734375" style="299" customWidth="1"/>
    <col min="8" max="8" width="9.77734375" style="235" customWidth="1"/>
    <col min="9" max="9" width="9.21875" style="299" customWidth="1"/>
    <col min="10" max="10" width="10.77734375" style="299" bestFit="1" customWidth="1"/>
    <col min="11" max="11" width="13.5546875" style="299" bestFit="1" customWidth="1"/>
    <col min="12" max="12" width="14.77734375" style="299" customWidth="1"/>
    <col min="13" max="13" width="11.77734375" style="299" customWidth="1"/>
    <col min="14" max="14" width="13.21875" style="224" bestFit="1" customWidth="1"/>
    <col min="15" max="15" width="19.21875" style="299" bestFit="1" customWidth="1"/>
    <col min="16" max="16" width="12.77734375" style="249" customWidth="1"/>
    <col min="17" max="17" width="8.5546875" style="224" bestFit="1" customWidth="1"/>
    <col min="18" max="18" width="10.21875" style="224" bestFit="1" customWidth="1"/>
    <col min="19" max="16384" width="9.21875" style="224"/>
  </cols>
  <sheetData>
    <row r="1" spans="2:19" ht="13.2" x14ac:dyDescent="0.25">
      <c r="B1" s="752" t="s">
        <v>2174</v>
      </c>
      <c r="C1" s="539"/>
      <c r="D1" s="673"/>
      <c r="E1" s="539"/>
      <c r="F1" s="539"/>
      <c r="G1" s="257"/>
      <c r="H1" s="262"/>
      <c r="I1" s="539"/>
      <c r="J1" s="539"/>
      <c r="K1" s="539"/>
      <c r="L1" s="539"/>
      <c r="M1" s="539"/>
      <c r="N1" s="223"/>
    </row>
    <row r="2" spans="2:19" ht="13.2" x14ac:dyDescent="0.25">
      <c r="B2" s="752" t="s">
        <v>4250</v>
      </c>
      <c r="F2" s="249"/>
      <c r="I2" s="249"/>
      <c r="J2" s="249"/>
      <c r="K2" s="249"/>
      <c r="L2" s="249"/>
      <c r="M2" s="249"/>
      <c r="N2" s="225"/>
    </row>
    <row r="3" spans="2:19" ht="13.2" x14ac:dyDescent="0.25">
      <c r="B3" s="753" t="s">
        <v>2078</v>
      </c>
      <c r="C3" s="540"/>
      <c r="D3" s="674"/>
      <c r="E3" s="540"/>
      <c r="F3" s="540"/>
      <c r="G3" s="568"/>
      <c r="H3" s="691"/>
      <c r="I3" s="540"/>
      <c r="J3" s="540"/>
      <c r="K3" s="540"/>
      <c r="L3" s="540"/>
      <c r="M3" s="540"/>
      <c r="N3" s="226"/>
    </row>
    <row r="4" spans="2:19" ht="12.75" customHeight="1" x14ac:dyDescent="0.25">
      <c r="B4" s="325"/>
      <c r="C4" s="325"/>
      <c r="D4" s="683"/>
      <c r="E4" s="2"/>
      <c r="F4" s="2"/>
      <c r="G4" s="60"/>
      <c r="H4" s="675"/>
      <c r="I4" s="60"/>
      <c r="M4" s="255"/>
      <c r="N4" s="255"/>
      <c r="S4" s="247"/>
    </row>
    <row r="5" spans="2:19" ht="12.75" customHeight="1" x14ac:dyDescent="0.25">
      <c r="B5" s="325"/>
      <c r="C5" s="325"/>
      <c r="D5" s="683"/>
      <c r="E5" s="2"/>
      <c r="F5" s="2"/>
      <c r="G5" s="60"/>
      <c r="H5" s="675"/>
      <c r="I5" s="60"/>
      <c r="M5" s="257" t="s">
        <v>2139</v>
      </c>
      <c r="N5" s="257">
        <f>N719-N568</f>
        <v>-288645.33999999997</v>
      </c>
      <c r="P5" s="299"/>
    </row>
    <row r="6" spans="2:19" ht="12.75" customHeight="1" x14ac:dyDescent="0.25">
      <c r="B6" s="325"/>
      <c r="C6" s="325"/>
      <c r="D6" s="683"/>
      <c r="E6" s="2"/>
      <c r="F6" s="2"/>
      <c r="G6" s="60"/>
      <c r="H6" s="675"/>
      <c r="I6" s="60"/>
      <c r="K6" s="2"/>
    </row>
    <row r="7" spans="2:19" ht="12.75" customHeight="1" x14ac:dyDescent="0.25">
      <c r="B7" s="16"/>
      <c r="C7" s="2"/>
      <c r="D7" s="91"/>
      <c r="E7" s="2"/>
      <c r="F7" s="2"/>
      <c r="G7" s="60"/>
      <c r="H7" s="675"/>
      <c r="I7" s="60"/>
      <c r="J7" s="249"/>
      <c r="K7" s="2"/>
      <c r="L7" s="695"/>
      <c r="M7" s="696" t="s">
        <v>538</v>
      </c>
      <c r="N7" s="282" t="s">
        <v>537</v>
      </c>
    </row>
    <row r="8" spans="2:19" ht="12.75" customHeight="1" x14ac:dyDescent="0.25">
      <c r="B8" s="16"/>
      <c r="C8" s="16"/>
      <c r="D8" s="91"/>
      <c r="E8" s="2"/>
      <c r="F8" s="2"/>
      <c r="G8" s="60"/>
      <c r="H8" s="675"/>
      <c r="I8" s="60"/>
      <c r="J8" s="249"/>
      <c r="K8" s="2"/>
      <c r="L8" s="279" t="s">
        <v>1046</v>
      </c>
      <c r="M8" s="424">
        <f>N5</f>
        <v>-288645.33999999997</v>
      </c>
      <c r="N8" s="425">
        <f>O336+P26</f>
        <v>-10828.699999999721</v>
      </c>
    </row>
    <row r="9" spans="2:19" ht="12.75" customHeight="1" x14ac:dyDescent="0.25">
      <c r="B9" s="16"/>
      <c r="C9" s="2"/>
      <c r="D9" s="91"/>
      <c r="E9" s="2"/>
      <c r="F9" s="2"/>
      <c r="G9" s="60"/>
      <c r="H9" s="675"/>
      <c r="I9" s="60"/>
      <c r="J9" s="249"/>
      <c r="K9" s="2"/>
      <c r="L9" s="280" t="s">
        <v>1140</v>
      </c>
      <c r="M9" s="426">
        <f>F845+F865+F933+F1030</f>
        <v>7048.8300000000008</v>
      </c>
      <c r="N9" s="427"/>
    </row>
    <row r="10" spans="2:19" ht="12.75" customHeight="1" x14ac:dyDescent="0.25">
      <c r="B10" s="16"/>
      <c r="C10" s="16"/>
      <c r="D10" s="91"/>
      <c r="E10" s="2"/>
      <c r="F10" s="2"/>
      <c r="G10" s="60"/>
      <c r="H10" s="675"/>
      <c r="I10" s="60"/>
      <c r="J10" s="249"/>
      <c r="K10" s="2"/>
      <c r="L10" s="281" t="s">
        <v>1262</v>
      </c>
      <c r="M10" s="428">
        <f>M8-M9</f>
        <v>-295694.17</v>
      </c>
      <c r="N10" s="428">
        <f>N8-N9</f>
        <v>-10828.699999999721</v>
      </c>
    </row>
    <row r="11" spans="2:19" ht="12.75" customHeight="1" x14ac:dyDescent="0.25">
      <c r="B11" s="16"/>
      <c r="C11" s="2"/>
      <c r="D11" s="91"/>
      <c r="E11" s="2"/>
      <c r="F11" s="2"/>
      <c r="G11" s="60"/>
      <c r="H11" s="675"/>
      <c r="I11" s="60"/>
      <c r="J11" s="249"/>
      <c r="K11" s="2"/>
      <c r="M11" s="255"/>
      <c r="N11" s="255"/>
    </row>
    <row r="12" spans="2:19" ht="12.75" customHeight="1" x14ac:dyDescent="0.25">
      <c r="I12" s="2"/>
      <c r="J12" s="249"/>
      <c r="K12" s="2"/>
      <c r="M12" s="257"/>
      <c r="N12" s="257"/>
    </row>
    <row r="13" spans="2:19" ht="20.100000000000001" customHeight="1" x14ac:dyDescent="0.25">
      <c r="B13" s="16"/>
      <c r="E13" s="2"/>
      <c r="F13" s="2"/>
      <c r="G13" s="60"/>
      <c r="H13" s="234"/>
      <c r="I13" s="2"/>
      <c r="J13" s="249"/>
      <c r="K13" s="2"/>
      <c r="L13" s="255"/>
      <c r="M13" s="762" t="s">
        <v>4259</v>
      </c>
      <c r="N13" s="364">
        <f>N10+M10</f>
        <v>-306522.8699999997</v>
      </c>
      <c r="O13" s="255"/>
      <c r="P13" s="263"/>
    </row>
    <row r="14" spans="2:19" ht="12.75" customHeight="1" x14ac:dyDescent="0.25">
      <c r="I14" s="2"/>
      <c r="J14" s="249"/>
      <c r="K14" s="2"/>
      <c r="L14" s="255"/>
      <c r="M14" s="255"/>
      <c r="N14" s="255"/>
      <c r="O14" s="255"/>
      <c r="P14" s="263"/>
    </row>
    <row r="15" spans="2:19" ht="12.75" customHeight="1" x14ac:dyDescent="0.25">
      <c r="I15" s="2"/>
      <c r="J15" s="249"/>
      <c r="K15" s="2"/>
      <c r="L15" s="255"/>
      <c r="M15" s="255" t="s">
        <v>2141</v>
      </c>
      <c r="N15" s="383">
        <f>H818</f>
        <v>435147.1</v>
      </c>
      <c r="O15" s="255"/>
      <c r="P15" s="263"/>
    </row>
    <row r="16" spans="2:19" ht="12.75" customHeight="1" x14ac:dyDescent="0.25">
      <c r="B16" s="16"/>
      <c r="E16" s="2"/>
      <c r="F16" s="2"/>
      <c r="G16" s="60"/>
      <c r="H16" s="234"/>
      <c r="J16" s="249"/>
      <c r="L16" s="255"/>
      <c r="M16" s="255"/>
      <c r="N16" s="255"/>
      <c r="O16" s="255"/>
      <c r="P16" s="263"/>
    </row>
    <row r="17" spans="6:18" ht="12.75" customHeight="1" thickBot="1" x14ac:dyDescent="0.3">
      <c r="J17" s="249"/>
      <c r="L17" s="255"/>
      <c r="M17" s="290"/>
      <c r="N17" s="290" t="s">
        <v>539</v>
      </c>
      <c r="O17" s="255"/>
      <c r="P17" s="263"/>
    </row>
    <row r="18" spans="6:18" ht="12.75" customHeight="1" thickBot="1" x14ac:dyDescent="0.3">
      <c r="L18" s="255"/>
      <c r="M18" s="255" t="s">
        <v>1568</v>
      </c>
      <c r="N18" s="384">
        <f>SUM(N13:N17)</f>
        <v>128624.23000000027</v>
      </c>
      <c r="O18" s="255"/>
      <c r="P18" s="730" t="s">
        <v>4247</v>
      </c>
    </row>
    <row r="19" spans="6:18" ht="12.75" customHeight="1" x14ac:dyDescent="0.25">
      <c r="M19" s="257"/>
      <c r="N19" s="257"/>
      <c r="Q19" s="259"/>
    </row>
    <row r="20" spans="6:18" ht="12.75" customHeight="1" x14ac:dyDescent="0.25">
      <c r="N20" s="247"/>
    </row>
    <row r="21" spans="6:18" ht="12.75" customHeight="1" x14ac:dyDescent="0.25">
      <c r="M21" s="255" t="s">
        <v>458</v>
      </c>
      <c r="N21" s="477" t="s">
        <v>4248</v>
      </c>
      <c r="O21" s="255"/>
      <c r="P21" s="337"/>
      <c r="R21" s="247"/>
    </row>
    <row r="23" spans="6:18" ht="12.75" customHeight="1" x14ac:dyDescent="0.25">
      <c r="M23" s="257"/>
      <c r="N23" s="289"/>
    </row>
    <row r="24" spans="6:18" ht="12.75" customHeight="1" x14ac:dyDescent="0.25">
      <c r="L24" s="697"/>
      <c r="M24" s="742" t="s">
        <v>4249</v>
      </c>
      <c r="N24" s="360">
        <f>'FY14-Equ-FNO-RKG'!N28</f>
        <v>-689852.9000000027</v>
      </c>
      <c r="Q24" s="247"/>
      <c r="R24" s="247"/>
    </row>
    <row r="25" spans="6:18" ht="12.75" customHeight="1" x14ac:dyDescent="0.25">
      <c r="L25" s="698"/>
      <c r="M25" s="362" t="s">
        <v>1503</v>
      </c>
      <c r="N25" s="366">
        <f>N15-N24</f>
        <v>1125000.0000000028</v>
      </c>
      <c r="O25" s="713" t="s">
        <v>73</v>
      </c>
      <c r="P25" s="433">
        <f>N15</f>
        <v>435147.1</v>
      </c>
      <c r="R25" s="247"/>
    </row>
    <row r="26" spans="6:18" ht="12.75" customHeight="1" x14ac:dyDescent="0.25">
      <c r="F26" s="546"/>
      <c r="G26" s="568"/>
      <c r="H26" s="691"/>
      <c r="I26" s="546"/>
      <c r="J26" s="546"/>
      <c r="L26" s="699"/>
      <c r="M26" s="364" t="s">
        <v>4109</v>
      </c>
      <c r="N26" s="367"/>
      <c r="O26" s="364" t="s">
        <v>4110</v>
      </c>
      <c r="P26" s="371"/>
      <c r="R26" s="254"/>
    </row>
    <row r="27" spans="6:18" ht="13.2" x14ac:dyDescent="0.25">
      <c r="L27" s="699"/>
      <c r="M27" s="364"/>
      <c r="N27" s="367"/>
      <c r="O27" s="364"/>
      <c r="P27" s="367"/>
    </row>
    <row r="28" spans="6:18" ht="13.2" x14ac:dyDescent="0.25">
      <c r="L28" s="382"/>
      <c r="M28" s="380" t="s">
        <v>948</v>
      </c>
      <c r="N28" s="740">
        <f>N26+N18-N25</f>
        <v>-996375.77000000258</v>
      </c>
      <c r="O28" s="382" t="s">
        <v>383</v>
      </c>
      <c r="P28" s="741">
        <f>P26+N18-P25</f>
        <v>-306522.8699999997</v>
      </c>
      <c r="R28" s="247"/>
    </row>
    <row r="29" spans="6:18" ht="13.2" x14ac:dyDescent="0.25">
      <c r="R29" s="247"/>
    </row>
    <row r="32" spans="6:18" ht="12.75" customHeight="1" x14ac:dyDescent="0.25">
      <c r="L32" s="697"/>
      <c r="M32" s="375" t="s">
        <v>1505</v>
      </c>
      <c r="N32" s="377">
        <v>99921.29</v>
      </c>
      <c r="O32" s="376" t="s">
        <v>2169</v>
      </c>
      <c r="P32" s="435">
        <f>N32-N28</f>
        <v>1096297.0600000026</v>
      </c>
      <c r="Q32" s="259"/>
    </row>
    <row r="37" spans="1:18" ht="13.8" thickBot="1" x14ac:dyDescent="0.3">
      <c r="B37" s="575"/>
      <c r="C37" s="540"/>
      <c r="D37" s="674"/>
      <c r="E37" s="540"/>
      <c r="F37" s="540"/>
      <c r="G37" s="568"/>
      <c r="H37" s="691"/>
      <c r="I37" s="540"/>
      <c r="J37" s="540"/>
      <c r="K37" s="540"/>
      <c r="L37" s="540"/>
      <c r="M37" s="540"/>
      <c r="N37" s="226"/>
    </row>
    <row r="38" spans="1:18" ht="13.8" thickBot="1" x14ac:dyDescent="0.3">
      <c r="B38" s="576" t="s">
        <v>1255</v>
      </c>
      <c r="C38" s="541"/>
      <c r="D38" s="676"/>
      <c r="E38" s="541"/>
      <c r="F38" s="541"/>
      <c r="G38" s="704"/>
      <c r="H38" s="692"/>
      <c r="I38" s="541"/>
      <c r="J38" s="541"/>
      <c r="K38" s="541"/>
      <c r="L38" s="541"/>
      <c r="M38" s="541"/>
      <c r="N38" s="227"/>
      <c r="O38" s="714"/>
      <c r="P38" s="228"/>
    </row>
    <row r="39" spans="1:18" s="231" customFormat="1" ht="13.2" x14ac:dyDescent="0.25">
      <c r="A39" s="250"/>
      <c r="B39" s="734" t="s">
        <v>184</v>
      </c>
      <c r="C39" s="735" t="s">
        <v>2079</v>
      </c>
      <c r="D39" s="736" t="s">
        <v>186</v>
      </c>
      <c r="E39" s="735" t="s">
        <v>469</v>
      </c>
      <c r="F39" s="737" t="s">
        <v>188</v>
      </c>
      <c r="G39" s="737" t="s">
        <v>470</v>
      </c>
      <c r="H39" s="738" t="s">
        <v>471</v>
      </c>
      <c r="I39" s="739" t="s">
        <v>3368</v>
      </c>
      <c r="J39" s="739" t="s">
        <v>3367</v>
      </c>
      <c r="K39" s="739" t="s">
        <v>893</v>
      </c>
      <c r="L39" s="739" t="s">
        <v>3370</v>
      </c>
      <c r="M39" s="739" t="s">
        <v>2247</v>
      </c>
      <c r="N39" s="738" t="s">
        <v>3371</v>
      </c>
      <c r="O39" s="738" t="s">
        <v>3372</v>
      </c>
      <c r="P39" s="736" t="s">
        <v>1212</v>
      </c>
    </row>
    <row r="40" spans="1:18" s="231" customFormat="1" ht="13.2" x14ac:dyDescent="0.25">
      <c r="A40" s="250"/>
      <c r="B40" s="298" t="s">
        <v>3366</v>
      </c>
      <c r="C40" s="529" t="s">
        <v>3364</v>
      </c>
      <c r="D40" s="608" t="s">
        <v>197</v>
      </c>
      <c r="E40" s="2">
        <v>150</v>
      </c>
      <c r="F40" s="60">
        <v>140.55000000000001</v>
      </c>
      <c r="G40" s="60">
        <f t="shared" ref="G40:G103" si="0">E40*F40</f>
        <v>21082.5</v>
      </c>
      <c r="H40" s="235">
        <v>9</v>
      </c>
      <c r="I40" s="249"/>
      <c r="J40" s="249"/>
      <c r="K40" s="249"/>
      <c r="L40" s="249"/>
      <c r="M40" s="249"/>
      <c r="N40" s="60">
        <f t="shared" ref="N40:N48" si="1">SUM(H40:M40)</f>
        <v>9</v>
      </c>
      <c r="O40" s="299">
        <f t="shared" ref="O40:O79" si="2">G40+N40</f>
        <v>21091.5</v>
      </c>
      <c r="P40" s="529" t="s">
        <v>3369</v>
      </c>
      <c r="Q40" s="91"/>
      <c r="R40" s="91"/>
    </row>
    <row r="41" spans="1:18" s="231" customFormat="1" ht="13.2" x14ac:dyDescent="0.25">
      <c r="A41" s="250"/>
      <c r="B41" s="298" t="s">
        <v>3366</v>
      </c>
      <c r="C41" s="529" t="s">
        <v>3365</v>
      </c>
      <c r="D41" s="608" t="s">
        <v>197</v>
      </c>
      <c r="E41" s="2">
        <v>1300</v>
      </c>
      <c r="F41" s="60">
        <v>16</v>
      </c>
      <c r="G41" s="60">
        <f t="shared" si="0"/>
        <v>20800</v>
      </c>
      <c r="H41" s="235">
        <v>9</v>
      </c>
      <c r="I41" s="60">
        <v>2.39</v>
      </c>
      <c r="J41" s="60">
        <v>1.36</v>
      </c>
      <c r="K41" s="60">
        <v>42</v>
      </c>
      <c r="L41" s="249">
        <v>0.04</v>
      </c>
      <c r="M41" s="249">
        <v>2.5099999999999998</v>
      </c>
      <c r="N41" s="60">
        <f t="shared" si="1"/>
        <v>57.3</v>
      </c>
      <c r="O41" s="299">
        <f t="shared" si="2"/>
        <v>20857.3</v>
      </c>
      <c r="P41" s="529" t="s">
        <v>3369</v>
      </c>
      <c r="Q41" s="91"/>
      <c r="R41" s="91"/>
    </row>
    <row r="42" spans="1:18" s="231" customFormat="1" ht="13.2" x14ac:dyDescent="0.25">
      <c r="A42" s="250"/>
      <c r="B42" s="298" t="s">
        <v>4046</v>
      </c>
      <c r="C42" s="529" t="s">
        <v>4048</v>
      </c>
      <c r="D42" s="608" t="s">
        <v>197</v>
      </c>
      <c r="E42" s="2">
        <v>100</v>
      </c>
      <c r="F42" s="60">
        <v>161.80000000000001</v>
      </c>
      <c r="G42" s="60">
        <f t="shared" si="0"/>
        <v>16180.000000000002</v>
      </c>
      <c r="H42" s="234"/>
      <c r="I42" s="60"/>
      <c r="J42" s="60"/>
      <c r="K42" s="60"/>
      <c r="L42" s="60"/>
      <c r="M42" s="299"/>
      <c r="N42" s="60">
        <f t="shared" si="1"/>
        <v>0</v>
      </c>
      <c r="O42" s="299">
        <f t="shared" si="2"/>
        <v>16180.000000000002</v>
      </c>
      <c r="P42" s="529" t="s">
        <v>4051</v>
      </c>
    </row>
    <row r="43" spans="1:18" s="231" customFormat="1" ht="13.2" x14ac:dyDescent="0.25">
      <c r="A43" s="250"/>
      <c r="B43" s="298" t="s">
        <v>4046</v>
      </c>
      <c r="C43" s="529" t="s">
        <v>4048</v>
      </c>
      <c r="D43" s="608" t="s">
        <v>197</v>
      </c>
      <c r="E43" s="2">
        <v>60</v>
      </c>
      <c r="F43" s="60">
        <v>161.80000000000001</v>
      </c>
      <c r="G43" s="60">
        <f t="shared" si="0"/>
        <v>9708</v>
      </c>
      <c r="H43" s="234">
        <v>9</v>
      </c>
      <c r="I43" s="60"/>
      <c r="J43" s="60"/>
      <c r="K43" s="60"/>
      <c r="L43" s="60"/>
      <c r="M43" s="299"/>
      <c r="N43" s="60">
        <f t="shared" si="1"/>
        <v>9</v>
      </c>
      <c r="O43" s="299">
        <f t="shared" si="2"/>
        <v>9717</v>
      </c>
      <c r="P43" s="529" t="s">
        <v>4051</v>
      </c>
      <c r="Q43" s="91"/>
      <c r="R43" s="91"/>
    </row>
    <row r="44" spans="1:18" s="231" customFormat="1" ht="13.2" x14ac:dyDescent="0.25">
      <c r="A44" s="250"/>
      <c r="B44" s="298" t="s">
        <v>4046</v>
      </c>
      <c r="C44" s="529" t="s">
        <v>4048</v>
      </c>
      <c r="D44" s="608" t="s">
        <v>197</v>
      </c>
      <c r="E44" s="2">
        <v>40</v>
      </c>
      <c r="F44" s="60">
        <v>161.75</v>
      </c>
      <c r="G44" s="60">
        <f t="shared" si="0"/>
        <v>6470</v>
      </c>
      <c r="H44" s="234">
        <v>9</v>
      </c>
      <c r="I44" s="60">
        <v>9.3800000000000008</v>
      </c>
      <c r="J44" s="60">
        <v>3.99</v>
      </c>
      <c r="K44" s="60">
        <v>43</v>
      </c>
      <c r="L44" s="60">
        <v>0.12</v>
      </c>
      <c r="M44" s="299">
        <v>7.37</v>
      </c>
      <c r="N44" s="60">
        <f t="shared" si="1"/>
        <v>72.860000000000014</v>
      </c>
      <c r="O44" s="299">
        <f t="shared" si="2"/>
        <v>6542.86</v>
      </c>
      <c r="P44" s="529" t="s">
        <v>4051</v>
      </c>
      <c r="Q44" s="91"/>
      <c r="R44" s="91"/>
    </row>
    <row r="45" spans="1:18" s="231" customFormat="1" ht="13.2" x14ac:dyDescent="0.25">
      <c r="A45" s="250"/>
      <c r="B45" s="298" t="s">
        <v>4046</v>
      </c>
      <c r="C45" s="529" t="s">
        <v>4049</v>
      </c>
      <c r="D45" s="231" t="s">
        <v>197</v>
      </c>
      <c r="E45" s="2">
        <v>35</v>
      </c>
      <c r="F45" s="529">
        <v>424.35</v>
      </c>
      <c r="G45" s="60">
        <f t="shared" si="0"/>
        <v>14852.25</v>
      </c>
      <c r="H45" s="234"/>
      <c r="I45" s="60"/>
      <c r="J45" s="60"/>
      <c r="K45" s="60"/>
      <c r="L45" s="60"/>
      <c r="M45" s="299"/>
      <c r="N45" s="60">
        <f t="shared" si="1"/>
        <v>0</v>
      </c>
      <c r="O45" s="299">
        <f t="shared" si="2"/>
        <v>14852.25</v>
      </c>
      <c r="P45" s="529" t="s">
        <v>4051</v>
      </c>
    </row>
    <row r="46" spans="1:18" s="231" customFormat="1" ht="13.2" x14ac:dyDescent="0.25">
      <c r="A46" s="250"/>
      <c r="B46" s="298" t="s">
        <v>4046</v>
      </c>
      <c r="C46" s="529" t="s">
        <v>4049</v>
      </c>
      <c r="D46" s="608" t="s">
        <v>197</v>
      </c>
      <c r="E46" s="2">
        <v>35</v>
      </c>
      <c r="F46" s="60">
        <v>425</v>
      </c>
      <c r="G46" s="60">
        <f t="shared" si="0"/>
        <v>14875</v>
      </c>
      <c r="H46" s="234">
        <v>9</v>
      </c>
      <c r="I46" s="60"/>
      <c r="J46" s="60"/>
      <c r="K46" s="60"/>
      <c r="L46" s="60"/>
      <c r="M46" s="299"/>
      <c r="N46" s="60">
        <f t="shared" si="1"/>
        <v>9</v>
      </c>
      <c r="O46" s="299">
        <f t="shared" si="2"/>
        <v>14884</v>
      </c>
      <c r="P46" s="529" t="s">
        <v>4051</v>
      </c>
    </row>
    <row r="47" spans="1:18" s="231" customFormat="1" ht="13.2" x14ac:dyDescent="0.25">
      <c r="A47" s="250"/>
      <c r="B47" s="298" t="s">
        <v>4046</v>
      </c>
      <c r="C47" s="529" t="s">
        <v>4049</v>
      </c>
      <c r="D47" s="608" t="s">
        <v>197</v>
      </c>
      <c r="E47" s="2">
        <v>35</v>
      </c>
      <c r="F47" s="60">
        <v>425.1</v>
      </c>
      <c r="G47" s="60">
        <f t="shared" si="0"/>
        <v>14878.5</v>
      </c>
      <c r="H47" s="234">
        <v>9</v>
      </c>
      <c r="I47" s="60"/>
      <c r="J47" s="60"/>
      <c r="K47" s="60"/>
      <c r="L47" s="60"/>
      <c r="M47" s="299"/>
      <c r="N47" s="60">
        <f t="shared" si="1"/>
        <v>9</v>
      </c>
      <c r="O47" s="299">
        <f t="shared" si="2"/>
        <v>14887.5</v>
      </c>
      <c r="P47" s="529" t="s">
        <v>4051</v>
      </c>
    </row>
    <row r="48" spans="1:18" s="231" customFormat="1" ht="13.2" x14ac:dyDescent="0.25">
      <c r="A48" s="250"/>
      <c r="B48" s="298" t="s">
        <v>4050</v>
      </c>
      <c r="C48" s="529" t="s">
        <v>4049</v>
      </c>
      <c r="D48" s="608" t="s">
        <v>197</v>
      </c>
      <c r="E48" s="2">
        <v>35</v>
      </c>
      <c r="F48" s="60">
        <v>414</v>
      </c>
      <c r="G48" s="60">
        <f t="shared" si="0"/>
        <v>14490</v>
      </c>
      <c r="H48" s="234">
        <v>9</v>
      </c>
      <c r="I48" s="60">
        <v>2.34</v>
      </c>
      <c r="J48" s="60">
        <v>0.95</v>
      </c>
      <c r="K48" s="60">
        <v>29</v>
      </c>
      <c r="L48" s="60">
        <v>0.03</v>
      </c>
      <c r="M48" s="299">
        <v>1.76</v>
      </c>
      <c r="N48" s="60">
        <f t="shared" si="1"/>
        <v>43.08</v>
      </c>
      <c r="O48" s="531">
        <f t="shared" si="2"/>
        <v>14533.08</v>
      </c>
      <c r="P48" s="529" t="s">
        <v>4052</v>
      </c>
    </row>
    <row r="49" spans="1:18" s="231" customFormat="1" ht="13.2" x14ac:dyDescent="0.25">
      <c r="A49" s="250"/>
      <c r="B49" s="298" t="s">
        <v>4080</v>
      </c>
      <c r="C49" s="529" t="s">
        <v>4055</v>
      </c>
      <c r="D49" s="608" t="s">
        <v>197</v>
      </c>
      <c r="E49" s="2">
        <v>20</v>
      </c>
      <c r="F49" s="60">
        <v>173.8</v>
      </c>
      <c r="G49" s="60">
        <f t="shared" si="0"/>
        <v>3476</v>
      </c>
      <c r="H49" s="234">
        <v>9</v>
      </c>
      <c r="I49" s="60"/>
      <c r="J49" s="60"/>
      <c r="K49" s="60"/>
      <c r="L49" s="60"/>
      <c r="M49" s="299"/>
      <c r="N49" s="60">
        <f t="shared" ref="N49:N112" si="3">SUM(H49:M49)</f>
        <v>9</v>
      </c>
      <c r="O49" s="531">
        <f t="shared" si="2"/>
        <v>3485</v>
      </c>
      <c r="P49" s="2" t="s">
        <v>4057</v>
      </c>
      <c r="Q49" s="91"/>
      <c r="R49" s="91"/>
    </row>
    <row r="50" spans="1:18" s="231" customFormat="1" ht="13.2" x14ac:dyDescent="0.25">
      <c r="A50" s="250"/>
      <c r="B50" s="298" t="s">
        <v>4080</v>
      </c>
      <c r="C50" s="529" t="s">
        <v>4055</v>
      </c>
      <c r="D50" s="608" t="s">
        <v>197</v>
      </c>
      <c r="E50" s="2">
        <v>20</v>
      </c>
      <c r="F50" s="60">
        <v>173.7</v>
      </c>
      <c r="G50" s="60">
        <f t="shared" si="0"/>
        <v>3474</v>
      </c>
      <c r="H50" s="234">
        <v>9</v>
      </c>
      <c r="I50" s="60"/>
      <c r="J50" s="60"/>
      <c r="K50" s="60"/>
      <c r="L50" s="60"/>
      <c r="M50" s="299"/>
      <c r="N50" s="60">
        <f t="shared" si="3"/>
        <v>9</v>
      </c>
      <c r="O50" s="531">
        <f t="shared" si="2"/>
        <v>3483</v>
      </c>
      <c r="P50" s="2" t="s">
        <v>4057</v>
      </c>
      <c r="Q50" s="91"/>
      <c r="R50" s="91"/>
    </row>
    <row r="51" spans="1:18" s="231" customFormat="1" ht="13.2" x14ac:dyDescent="0.25">
      <c r="A51" s="250"/>
      <c r="B51" s="298" t="s">
        <v>4080</v>
      </c>
      <c r="C51" s="529" t="s">
        <v>4056</v>
      </c>
      <c r="D51" s="608" t="s">
        <v>197</v>
      </c>
      <c r="E51" s="2">
        <v>60</v>
      </c>
      <c r="F51" s="60">
        <v>463</v>
      </c>
      <c r="G51" s="60">
        <f t="shared" si="0"/>
        <v>27780</v>
      </c>
      <c r="H51" s="234">
        <v>9</v>
      </c>
      <c r="I51" s="60">
        <v>5.83</v>
      </c>
      <c r="J51" s="60">
        <v>2.2799999999999998</v>
      </c>
      <c r="K51" s="60">
        <v>64</v>
      </c>
      <c r="L51" s="60">
        <v>7.0000000000000007E-2</v>
      </c>
      <c r="M51" s="299">
        <v>4.2</v>
      </c>
      <c r="N51" s="60">
        <f t="shared" si="3"/>
        <v>85.38</v>
      </c>
      <c r="O51" s="531">
        <f t="shared" si="2"/>
        <v>27865.38</v>
      </c>
      <c r="P51" s="2" t="s">
        <v>4057</v>
      </c>
    </row>
    <row r="52" spans="1:18" ht="12.75" customHeight="1" x14ac:dyDescent="0.25">
      <c r="B52" s="295" t="s">
        <v>4081</v>
      </c>
      <c r="C52" s="249" t="s">
        <v>4055</v>
      </c>
      <c r="D52" s="231" t="s">
        <v>197</v>
      </c>
      <c r="E52" s="249">
        <v>25</v>
      </c>
      <c r="F52" s="299">
        <v>175</v>
      </c>
      <c r="G52" s="299">
        <f t="shared" si="0"/>
        <v>4375</v>
      </c>
      <c r="H52" s="235">
        <v>9</v>
      </c>
      <c r="N52" s="60">
        <f t="shared" si="3"/>
        <v>9</v>
      </c>
      <c r="O52" s="531">
        <f t="shared" si="2"/>
        <v>4384</v>
      </c>
      <c r="P52" s="249" t="s">
        <v>4062</v>
      </c>
    </row>
    <row r="53" spans="1:18" ht="12.75" customHeight="1" x14ac:dyDescent="0.25">
      <c r="B53" s="295" t="s">
        <v>4081</v>
      </c>
      <c r="C53" s="249" t="s">
        <v>4060</v>
      </c>
      <c r="D53" s="231" t="s">
        <v>197</v>
      </c>
      <c r="E53" s="249">
        <v>20</v>
      </c>
      <c r="F53" s="299">
        <v>724.4</v>
      </c>
      <c r="G53" s="299">
        <f t="shared" si="0"/>
        <v>14488</v>
      </c>
      <c r="H53" s="235">
        <v>9</v>
      </c>
      <c r="N53" s="60">
        <f t="shared" si="3"/>
        <v>9</v>
      </c>
      <c r="O53" s="531">
        <f t="shared" si="2"/>
        <v>14497</v>
      </c>
      <c r="P53" s="249" t="s">
        <v>4062</v>
      </c>
    </row>
    <row r="54" spans="1:18" ht="12.75" customHeight="1" x14ac:dyDescent="0.25">
      <c r="B54" s="295" t="s">
        <v>4081</v>
      </c>
      <c r="C54" s="249" t="s">
        <v>4061</v>
      </c>
      <c r="D54" s="231" t="s">
        <v>197</v>
      </c>
      <c r="E54" s="249">
        <v>1000</v>
      </c>
      <c r="F54" s="299">
        <v>7.85</v>
      </c>
      <c r="G54" s="299">
        <f t="shared" si="0"/>
        <v>7850</v>
      </c>
      <c r="H54" s="235">
        <v>9</v>
      </c>
      <c r="I54" s="299">
        <v>4.66</v>
      </c>
      <c r="J54" s="299">
        <v>1.76</v>
      </c>
      <c r="K54" s="299">
        <v>54</v>
      </c>
      <c r="L54" s="299">
        <v>0.05</v>
      </c>
      <c r="M54" s="299">
        <v>3.24</v>
      </c>
      <c r="N54" s="60">
        <f t="shared" si="3"/>
        <v>72.709999999999994</v>
      </c>
      <c r="O54" s="531">
        <f t="shared" si="2"/>
        <v>7922.71</v>
      </c>
      <c r="P54" s="249" t="s">
        <v>4062</v>
      </c>
    </row>
    <row r="55" spans="1:18" ht="12.75" customHeight="1" x14ac:dyDescent="0.25">
      <c r="B55" s="295" t="s">
        <v>4058</v>
      </c>
      <c r="C55" s="249" t="s">
        <v>1543</v>
      </c>
      <c r="D55" s="231" t="s">
        <v>197</v>
      </c>
      <c r="E55" s="249">
        <v>15</v>
      </c>
      <c r="F55" s="299">
        <v>1462</v>
      </c>
      <c r="G55" s="299">
        <f t="shared" si="0"/>
        <v>21930</v>
      </c>
      <c r="H55" s="235">
        <v>9</v>
      </c>
      <c r="N55" s="60">
        <f t="shared" si="3"/>
        <v>9</v>
      </c>
      <c r="O55" s="531">
        <f t="shared" si="2"/>
        <v>21939</v>
      </c>
      <c r="P55" s="249" t="s">
        <v>4066</v>
      </c>
    </row>
    <row r="56" spans="1:18" ht="12.75" customHeight="1" x14ac:dyDescent="0.25">
      <c r="B56" s="295" t="s">
        <v>4058</v>
      </c>
      <c r="C56" s="249" t="s">
        <v>4064</v>
      </c>
      <c r="D56" s="231" t="s">
        <v>197</v>
      </c>
      <c r="E56" s="249">
        <v>180</v>
      </c>
      <c r="F56" s="299">
        <v>110.2</v>
      </c>
      <c r="G56" s="299">
        <f t="shared" si="0"/>
        <v>19836</v>
      </c>
      <c r="H56" s="235">
        <v>9</v>
      </c>
      <c r="N56" s="60">
        <f t="shared" si="3"/>
        <v>9</v>
      </c>
      <c r="O56" s="531">
        <f t="shared" si="2"/>
        <v>19845</v>
      </c>
      <c r="P56" s="249" t="s">
        <v>4066</v>
      </c>
    </row>
    <row r="57" spans="1:18" ht="12.75" customHeight="1" x14ac:dyDescent="0.25">
      <c r="B57" s="295" t="s">
        <v>4058</v>
      </c>
      <c r="C57" s="249" t="s">
        <v>4065</v>
      </c>
      <c r="D57" s="231" t="s">
        <v>197</v>
      </c>
      <c r="E57" s="249">
        <v>35</v>
      </c>
      <c r="F57" s="299">
        <v>557</v>
      </c>
      <c r="G57" s="299">
        <f t="shared" si="0"/>
        <v>19495</v>
      </c>
      <c r="H57" s="235">
        <v>9</v>
      </c>
      <c r="N57" s="60">
        <f t="shared" si="3"/>
        <v>9</v>
      </c>
      <c r="O57" s="531">
        <f t="shared" si="2"/>
        <v>19504</v>
      </c>
      <c r="P57" s="249" t="s">
        <v>4066</v>
      </c>
    </row>
    <row r="58" spans="1:18" ht="12.75" customHeight="1" x14ac:dyDescent="0.25">
      <c r="B58" s="295" t="s">
        <v>4058</v>
      </c>
      <c r="C58" s="249" t="s">
        <v>4056</v>
      </c>
      <c r="D58" s="231" t="s">
        <v>197</v>
      </c>
      <c r="E58" s="249">
        <v>40</v>
      </c>
      <c r="F58" s="299">
        <v>464</v>
      </c>
      <c r="G58" s="299">
        <f t="shared" si="0"/>
        <v>18560</v>
      </c>
      <c r="H58" s="235">
        <v>9</v>
      </c>
      <c r="I58" s="299">
        <v>5.95</v>
      </c>
      <c r="J58" s="299">
        <v>3.26</v>
      </c>
      <c r="K58" s="299">
        <v>63</v>
      </c>
      <c r="L58" s="299">
        <v>0.1</v>
      </c>
      <c r="M58" s="299">
        <v>6.02</v>
      </c>
      <c r="N58" s="60">
        <f t="shared" si="3"/>
        <v>87.33</v>
      </c>
      <c r="O58" s="531">
        <f t="shared" si="2"/>
        <v>18647.330000000002</v>
      </c>
      <c r="P58" s="249" t="s">
        <v>4066</v>
      </c>
    </row>
    <row r="59" spans="1:18" ht="12.75" customHeight="1" x14ac:dyDescent="0.25">
      <c r="B59" s="295" t="s">
        <v>4063</v>
      </c>
      <c r="C59" s="249" t="s">
        <v>4073</v>
      </c>
      <c r="D59" s="231" t="s">
        <v>197</v>
      </c>
      <c r="E59" s="249">
        <v>1000</v>
      </c>
      <c r="F59" s="299">
        <v>12</v>
      </c>
      <c r="G59" s="299">
        <f t="shared" si="0"/>
        <v>12000</v>
      </c>
      <c r="H59" s="235">
        <v>9</v>
      </c>
      <c r="I59" s="299">
        <v>3.42</v>
      </c>
      <c r="J59" s="299">
        <v>0.76</v>
      </c>
      <c r="K59" s="299">
        <v>23</v>
      </c>
      <c r="L59" s="299">
        <v>0.02</v>
      </c>
      <c r="M59" s="299">
        <v>1.39</v>
      </c>
      <c r="N59" s="60">
        <f t="shared" si="3"/>
        <v>37.590000000000003</v>
      </c>
      <c r="O59" s="531">
        <f t="shared" si="2"/>
        <v>12037.59</v>
      </c>
      <c r="P59" s="249" t="s">
        <v>4074</v>
      </c>
    </row>
    <row r="60" spans="1:18" ht="12.75" customHeight="1" x14ac:dyDescent="0.25">
      <c r="B60" s="295" t="s">
        <v>4070</v>
      </c>
      <c r="C60" s="249" t="s">
        <v>4056</v>
      </c>
      <c r="D60" s="231" t="s">
        <v>197</v>
      </c>
      <c r="E60" s="249">
        <v>10</v>
      </c>
      <c r="F60" s="299">
        <v>449</v>
      </c>
      <c r="G60" s="299">
        <f t="shared" si="0"/>
        <v>4490</v>
      </c>
      <c r="N60" s="60">
        <f t="shared" si="3"/>
        <v>0</v>
      </c>
      <c r="O60" s="531">
        <f t="shared" si="2"/>
        <v>4490</v>
      </c>
      <c r="P60" s="249" t="s">
        <v>4076</v>
      </c>
    </row>
    <row r="61" spans="1:18" ht="12.75" customHeight="1" x14ac:dyDescent="0.25">
      <c r="B61" s="295" t="s">
        <v>4070</v>
      </c>
      <c r="C61" s="249" t="s">
        <v>4056</v>
      </c>
      <c r="D61" s="231" t="s">
        <v>197</v>
      </c>
      <c r="E61" s="249">
        <v>15</v>
      </c>
      <c r="F61" s="299">
        <v>448.95</v>
      </c>
      <c r="G61" s="299">
        <f t="shared" si="0"/>
        <v>6734.25</v>
      </c>
      <c r="H61" s="235">
        <v>9</v>
      </c>
      <c r="N61" s="60">
        <f t="shared" si="3"/>
        <v>9</v>
      </c>
      <c r="O61" s="531">
        <f t="shared" si="2"/>
        <v>6743.25</v>
      </c>
      <c r="P61" s="249" t="s">
        <v>4076</v>
      </c>
    </row>
    <row r="62" spans="1:18" ht="12.75" customHeight="1" x14ac:dyDescent="0.25">
      <c r="B62" s="295" t="s">
        <v>4070</v>
      </c>
      <c r="C62" s="249" t="s">
        <v>4056</v>
      </c>
      <c r="D62" s="231" t="s">
        <v>197</v>
      </c>
      <c r="E62" s="249">
        <v>10</v>
      </c>
      <c r="F62" s="299">
        <v>448.9</v>
      </c>
      <c r="G62" s="299">
        <f t="shared" si="0"/>
        <v>4489</v>
      </c>
      <c r="H62" s="235">
        <v>9</v>
      </c>
      <c r="I62" s="299">
        <v>3.44</v>
      </c>
      <c r="J62" s="299">
        <v>0.87</v>
      </c>
      <c r="K62" s="299">
        <v>27</v>
      </c>
      <c r="L62" s="299">
        <v>0.03</v>
      </c>
      <c r="M62" s="299">
        <v>1.61</v>
      </c>
      <c r="N62" s="60">
        <f t="shared" si="3"/>
        <v>41.95</v>
      </c>
      <c r="O62" s="531">
        <f t="shared" si="2"/>
        <v>4530.95</v>
      </c>
      <c r="P62" s="249" t="s">
        <v>4076</v>
      </c>
    </row>
    <row r="63" spans="1:18" ht="12.75" customHeight="1" x14ac:dyDescent="0.25">
      <c r="B63" s="295" t="s">
        <v>4072</v>
      </c>
      <c r="C63" s="249" t="s">
        <v>4078</v>
      </c>
      <c r="D63" s="231" t="s">
        <v>197</v>
      </c>
      <c r="E63" s="249">
        <v>50</v>
      </c>
      <c r="F63" s="299">
        <v>454</v>
      </c>
      <c r="G63" s="299">
        <f t="shared" si="0"/>
        <v>22700</v>
      </c>
      <c r="N63" s="60">
        <f t="shared" si="3"/>
        <v>0</v>
      </c>
      <c r="O63" s="531">
        <f t="shared" si="2"/>
        <v>22700</v>
      </c>
      <c r="P63" s="249" t="s">
        <v>4079</v>
      </c>
    </row>
    <row r="64" spans="1:18" s="231" customFormat="1" ht="13.2" x14ac:dyDescent="0.25">
      <c r="A64" s="250"/>
      <c r="B64" s="295" t="s">
        <v>4072</v>
      </c>
      <c r="C64" s="529" t="s">
        <v>4078</v>
      </c>
      <c r="D64" s="608" t="s">
        <v>197</v>
      </c>
      <c r="E64" s="2">
        <v>25</v>
      </c>
      <c r="F64" s="60">
        <v>453.95</v>
      </c>
      <c r="G64" s="60">
        <f t="shared" si="0"/>
        <v>11348.75</v>
      </c>
      <c r="H64" s="235">
        <v>9</v>
      </c>
      <c r="I64" s="60">
        <v>2.4900000000000002</v>
      </c>
      <c r="J64" s="60">
        <v>2.19</v>
      </c>
      <c r="K64" s="60">
        <v>68</v>
      </c>
      <c r="L64" s="60">
        <v>7.0000000000000007E-2</v>
      </c>
      <c r="M64" s="299">
        <v>4.05</v>
      </c>
      <c r="N64" s="60">
        <f t="shared" si="3"/>
        <v>85.8</v>
      </c>
      <c r="O64" s="531">
        <f t="shared" si="2"/>
        <v>11434.55</v>
      </c>
      <c r="P64" s="249" t="s">
        <v>4079</v>
      </c>
    </row>
    <row r="65" spans="1:16" ht="12.75" customHeight="1" x14ac:dyDescent="0.25">
      <c r="B65" s="295" t="s">
        <v>4075</v>
      </c>
      <c r="C65" s="249" t="s">
        <v>4082</v>
      </c>
      <c r="D65" s="231" t="s">
        <v>197</v>
      </c>
      <c r="E65" s="249">
        <v>500</v>
      </c>
      <c r="F65" s="299">
        <v>29.6</v>
      </c>
      <c r="G65" s="299">
        <f t="shared" si="0"/>
        <v>14800</v>
      </c>
      <c r="H65" s="235">
        <v>9</v>
      </c>
      <c r="N65" s="60">
        <f t="shared" si="3"/>
        <v>9</v>
      </c>
      <c r="O65" s="531">
        <f t="shared" si="2"/>
        <v>14809</v>
      </c>
      <c r="P65" s="249" t="s">
        <v>4084</v>
      </c>
    </row>
    <row r="66" spans="1:16" ht="12.75" customHeight="1" x14ac:dyDescent="0.25">
      <c r="B66" s="295" t="s">
        <v>4075</v>
      </c>
      <c r="C66" s="249" t="s">
        <v>4060</v>
      </c>
      <c r="D66" s="231" t="s">
        <v>197</v>
      </c>
      <c r="E66" s="249">
        <v>20</v>
      </c>
      <c r="F66" s="299">
        <v>736.8</v>
      </c>
      <c r="G66" s="299">
        <f t="shared" si="0"/>
        <v>14736</v>
      </c>
      <c r="H66" s="235">
        <v>9</v>
      </c>
      <c r="N66" s="60">
        <f t="shared" si="3"/>
        <v>9</v>
      </c>
      <c r="O66" s="531">
        <f t="shared" si="2"/>
        <v>14745</v>
      </c>
      <c r="P66" s="249" t="s">
        <v>4084</v>
      </c>
    </row>
    <row r="67" spans="1:16" ht="12.75" customHeight="1" x14ac:dyDescent="0.25">
      <c r="B67" s="295" t="s">
        <v>4075</v>
      </c>
      <c r="C67" s="249" t="s">
        <v>4083</v>
      </c>
      <c r="D67" s="231" t="s">
        <v>197</v>
      </c>
      <c r="E67" s="249">
        <v>1000</v>
      </c>
      <c r="F67" s="299">
        <v>16.899999999999999</v>
      </c>
      <c r="G67" s="299">
        <f t="shared" si="0"/>
        <v>16900</v>
      </c>
      <c r="H67" s="235">
        <v>9</v>
      </c>
      <c r="N67" s="60">
        <f t="shared" si="3"/>
        <v>9</v>
      </c>
      <c r="O67" s="531">
        <f t="shared" si="2"/>
        <v>16909</v>
      </c>
      <c r="P67" s="249" t="s">
        <v>4084</v>
      </c>
    </row>
    <row r="68" spans="1:16" ht="12.75" customHeight="1" x14ac:dyDescent="0.25">
      <c r="B68" s="295" t="s">
        <v>4075</v>
      </c>
      <c r="C68" s="249" t="s">
        <v>4073</v>
      </c>
      <c r="D68" s="231" t="s">
        <v>197</v>
      </c>
      <c r="E68" s="249">
        <v>500</v>
      </c>
      <c r="F68" s="299">
        <v>11.95</v>
      </c>
      <c r="G68" s="299">
        <f t="shared" si="0"/>
        <v>5975</v>
      </c>
      <c r="H68" s="235">
        <v>9</v>
      </c>
      <c r="N68" s="60">
        <f t="shared" si="3"/>
        <v>9</v>
      </c>
      <c r="O68" s="531">
        <f t="shared" si="2"/>
        <v>5984</v>
      </c>
      <c r="P68" s="249" t="s">
        <v>4084</v>
      </c>
    </row>
    <row r="69" spans="1:16" ht="12.75" customHeight="1" x14ac:dyDescent="0.25">
      <c r="B69" s="295" t="s">
        <v>4077</v>
      </c>
      <c r="C69" s="249" t="s">
        <v>4088</v>
      </c>
      <c r="D69" s="231" t="s">
        <v>197</v>
      </c>
      <c r="E69" s="249">
        <v>20</v>
      </c>
      <c r="F69" s="299">
        <v>896.7</v>
      </c>
      <c r="G69" s="299">
        <f t="shared" si="0"/>
        <v>17934</v>
      </c>
      <c r="H69" s="235">
        <v>9</v>
      </c>
      <c r="N69" s="60">
        <f t="shared" si="3"/>
        <v>9</v>
      </c>
      <c r="O69" s="299">
        <f t="shared" si="2"/>
        <v>17943</v>
      </c>
      <c r="P69" s="249" t="s">
        <v>4089</v>
      </c>
    </row>
    <row r="70" spans="1:16" ht="12.75" customHeight="1" x14ac:dyDescent="0.25">
      <c r="B70" s="295" t="s">
        <v>4077</v>
      </c>
      <c r="C70" s="249" t="s">
        <v>4088</v>
      </c>
      <c r="D70" s="231" t="s">
        <v>197</v>
      </c>
      <c r="E70" s="249">
        <v>1</v>
      </c>
      <c r="F70" s="299">
        <v>894.75</v>
      </c>
      <c r="G70" s="299">
        <f t="shared" si="0"/>
        <v>894.75</v>
      </c>
      <c r="N70" s="60">
        <f t="shared" si="3"/>
        <v>0</v>
      </c>
      <c r="O70" s="299">
        <f t="shared" si="2"/>
        <v>894.75</v>
      </c>
      <c r="P70" s="249" t="s">
        <v>4089</v>
      </c>
    </row>
    <row r="71" spans="1:16" ht="12.75" customHeight="1" x14ac:dyDescent="0.25">
      <c r="B71" s="295" t="s">
        <v>4077</v>
      </c>
      <c r="C71" s="249" t="s">
        <v>4088</v>
      </c>
      <c r="D71" s="231" t="s">
        <v>197</v>
      </c>
      <c r="E71" s="249">
        <v>17</v>
      </c>
      <c r="F71" s="299">
        <v>894.8</v>
      </c>
      <c r="G71" s="299">
        <f t="shared" si="0"/>
        <v>15211.599999999999</v>
      </c>
      <c r="N71" s="60">
        <f t="shared" si="3"/>
        <v>0</v>
      </c>
      <c r="O71" s="299">
        <f t="shared" si="2"/>
        <v>15211.599999999999</v>
      </c>
      <c r="P71" s="249" t="s">
        <v>4089</v>
      </c>
    </row>
    <row r="72" spans="1:16" ht="12.75" customHeight="1" x14ac:dyDescent="0.25">
      <c r="B72" s="295" t="s">
        <v>4077</v>
      </c>
      <c r="C72" s="249" t="s">
        <v>4065</v>
      </c>
      <c r="D72" s="231" t="s">
        <v>197</v>
      </c>
      <c r="E72" s="249">
        <v>5</v>
      </c>
      <c r="F72" s="299">
        <v>539.45000000000005</v>
      </c>
      <c r="G72" s="299">
        <f t="shared" si="0"/>
        <v>2697.25</v>
      </c>
      <c r="H72" s="235">
        <v>9</v>
      </c>
      <c r="N72" s="60">
        <f t="shared" si="3"/>
        <v>9</v>
      </c>
      <c r="O72" s="299">
        <f t="shared" si="2"/>
        <v>2706.25</v>
      </c>
      <c r="P72" s="249" t="s">
        <v>4089</v>
      </c>
    </row>
    <row r="73" spans="1:16" ht="12.75" customHeight="1" x14ac:dyDescent="0.25">
      <c r="B73" s="295" t="s">
        <v>4077</v>
      </c>
      <c r="C73" s="249" t="s">
        <v>4065</v>
      </c>
      <c r="D73" s="231" t="s">
        <v>197</v>
      </c>
      <c r="E73" s="249">
        <v>25</v>
      </c>
      <c r="F73" s="299">
        <v>539.4</v>
      </c>
      <c r="G73" s="299">
        <f t="shared" si="0"/>
        <v>13485</v>
      </c>
      <c r="H73" s="235">
        <v>9</v>
      </c>
      <c r="I73" s="299">
        <v>9.43</v>
      </c>
      <c r="J73" s="299">
        <v>4.41</v>
      </c>
      <c r="K73" s="299">
        <v>108</v>
      </c>
      <c r="L73" s="299">
        <v>0.14000000000000001</v>
      </c>
      <c r="M73" s="299">
        <v>8.14</v>
      </c>
      <c r="N73" s="60">
        <f t="shared" si="3"/>
        <v>139.12</v>
      </c>
      <c r="O73" s="299">
        <f t="shared" si="2"/>
        <v>13624.12</v>
      </c>
      <c r="P73" s="249" t="s">
        <v>4089</v>
      </c>
    </row>
    <row r="74" spans="1:16" ht="12.75" customHeight="1" x14ac:dyDescent="0.25">
      <c r="B74" s="295" t="s">
        <v>4077</v>
      </c>
      <c r="C74" s="249" t="s">
        <v>4073</v>
      </c>
      <c r="D74" s="231" t="s">
        <v>197</v>
      </c>
      <c r="E74" s="249">
        <v>1500</v>
      </c>
      <c r="F74" s="299">
        <v>11.5</v>
      </c>
      <c r="G74" s="299">
        <f t="shared" si="0"/>
        <v>17250</v>
      </c>
      <c r="H74" s="235">
        <v>9</v>
      </c>
      <c r="N74" s="60">
        <f t="shared" si="3"/>
        <v>9</v>
      </c>
      <c r="O74" s="299">
        <f t="shared" si="2"/>
        <v>17259</v>
      </c>
      <c r="P74" s="249" t="s">
        <v>4089</v>
      </c>
    </row>
    <row r="75" spans="1:16" ht="12.75" customHeight="1" x14ac:dyDescent="0.25">
      <c r="B75" s="295" t="s">
        <v>4085</v>
      </c>
      <c r="C75" s="249" t="s">
        <v>4088</v>
      </c>
      <c r="D75" s="231" t="s">
        <v>197</v>
      </c>
      <c r="E75" s="249">
        <v>200</v>
      </c>
      <c r="F75" s="299">
        <v>876</v>
      </c>
      <c r="G75" s="299">
        <f t="shared" si="0"/>
        <v>175200</v>
      </c>
      <c r="H75" s="235">
        <v>9</v>
      </c>
      <c r="N75" s="60">
        <f t="shared" si="3"/>
        <v>9</v>
      </c>
      <c r="O75" s="299">
        <f t="shared" si="2"/>
        <v>175209</v>
      </c>
      <c r="P75" s="249" t="s">
        <v>4092</v>
      </c>
    </row>
    <row r="76" spans="1:16" ht="12.75" customHeight="1" x14ac:dyDescent="0.25">
      <c r="B76" s="295" t="s">
        <v>4085</v>
      </c>
      <c r="C76" s="249" t="s">
        <v>4090</v>
      </c>
      <c r="D76" s="231" t="s">
        <v>197</v>
      </c>
      <c r="E76" s="249">
        <v>150</v>
      </c>
      <c r="F76" s="299">
        <v>134</v>
      </c>
      <c r="G76" s="299">
        <f t="shared" si="0"/>
        <v>20100</v>
      </c>
      <c r="H76" s="235">
        <v>9</v>
      </c>
      <c r="N76" s="60">
        <f t="shared" si="3"/>
        <v>9</v>
      </c>
      <c r="O76" s="299">
        <f t="shared" si="2"/>
        <v>20109</v>
      </c>
      <c r="P76" s="249" t="s">
        <v>4092</v>
      </c>
    </row>
    <row r="77" spans="1:16" ht="12.75" customHeight="1" x14ac:dyDescent="0.25">
      <c r="B77" s="295" t="s">
        <v>4085</v>
      </c>
      <c r="C77" s="249" t="s">
        <v>4082</v>
      </c>
      <c r="D77" s="231" t="s">
        <v>197</v>
      </c>
      <c r="E77" s="249">
        <v>300</v>
      </c>
      <c r="F77" s="299">
        <v>28.7</v>
      </c>
      <c r="G77" s="299">
        <f t="shared" si="0"/>
        <v>8610</v>
      </c>
      <c r="H77" s="235">
        <v>9</v>
      </c>
      <c r="N77" s="60">
        <f t="shared" si="3"/>
        <v>9</v>
      </c>
      <c r="O77" s="299">
        <f t="shared" si="2"/>
        <v>8619</v>
      </c>
      <c r="P77" s="249" t="s">
        <v>4092</v>
      </c>
    </row>
    <row r="78" spans="1:16" ht="12.75" customHeight="1" x14ac:dyDescent="0.25">
      <c r="B78" s="295" t="s">
        <v>4085</v>
      </c>
      <c r="C78" s="249" t="s">
        <v>4060</v>
      </c>
      <c r="D78" s="231" t="s">
        <v>197</v>
      </c>
      <c r="E78" s="249">
        <v>30</v>
      </c>
      <c r="F78" s="299">
        <v>718.7</v>
      </c>
      <c r="G78" s="299">
        <f t="shared" si="0"/>
        <v>21561</v>
      </c>
      <c r="H78" s="235">
        <v>9</v>
      </c>
      <c r="N78" s="60">
        <f t="shared" si="3"/>
        <v>9</v>
      </c>
      <c r="O78" s="299">
        <f t="shared" si="2"/>
        <v>21570</v>
      </c>
      <c r="P78" s="249" t="s">
        <v>4092</v>
      </c>
    </row>
    <row r="79" spans="1:16" ht="12.75" customHeight="1" x14ac:dyDescent="0.25">
      <c r="B79" s="295" t="s">
        <v>4085</v>
      </c>
      <c r="C79" s="249" t="s">
        <v>4091</v>
      </c>
      <c r="D79" s="231" t="s">
        <v>197</v>
      </c>
      <c r="E79" s="249">
        <v>75</v>
      </c>
      <c r="F79" s="299">
        <v>256.14999999999998</v>
      </c>
      <c r="G79" s="299">
        <f t="shared" si="0"/>
        <v>19211.25</v>
      </c>
      <c r="H79" s="235">
        <v>9</v>
      </c>
      <c r="I79" s="299">
        <v>10.72</v>
      </c>
      <c r="J79" s="299">
        <v>14.8</v>
      </c>
      <c r="K79" s="299">
        <v>147</v>
      </c>
      <c r="L79" s="299">
        <v>0.46</v>
      </c>
      <c r="M79" s="299">
        <v>27.33</v>
      </c>
      <c r="N79" s="60">
        <f t="shared" si="3"/>
        <v>209.31</v>
      </c>
      <c r="O79" s="299">
        <f t="shared" si="2"/>
        <v>19420.560000000001</v>
      </c>
      <c r="P79" s="249" t="s">
        <v>4092</v>
      </c>
    </row>
    <row r="80" spans="1:16" s="231" customFormat="1" ht="13.2" x14ac:dyDescent="0.25">
      <c r="A80" s="250"/>
      <c r="B80" s="298" t="s">
        <v>4093</v>
      </c>
      <c r="C80" s="529" t="s">
        <v>4088</v>
      </c>
      <c r="D80" s="608" t="s">
        <v>197</v>
      </c>
      <c r="E80" s="2">
        <v>5</v>
      </c>
      <c r="F80" s="60">
        <v>887.1</v>
      </c>
      <c r="G80" s="60">
        <f t="shared" si="0"/>
        <v>4435.5</v>
      </c>
      <c r="H80" s="234">
        <v>9</v>
      </c>
      <c r="I80" s="60"/>
      <c r="J80" s="60"/>
      <c r="K80" s="60"/>
      <c r="L80" s="60"/>
      <c r="M80" s="299"/>
      <c r="N80" s="60">
        <f t="shared" si="3"/>
        <v>9</v>
      </c>
      <c r="O80" s="299">
        <f>G80+N80</f>
        <v>4444.5</v>
      </c>
      <c r="P80" s="2" t="s">
        <v>4095</v>
      </c>
    </row>
    <row r="81" spans="1:18" s="231" customFormat="1" ht="13.2" x14ac:dyDescent="0.25">
      <c r="A81" s="250"/>
      <c r="B81" s="298" t="s">
        <v>4093</v>
      </c>
      <c r="C81" s="529" t="s">
        <v>4088</v>
      </c>
      <c r="D81" s="608" t="s">
        <v>197</v>
      </c>
      <c r="E81" s="2">
        <v>20</v>
      </c>
      <c r="F81" s="60">
        <v>876.95</v>
      </c>
      <c r="G81" s="60">
        <f t="shared" si="0"/>
        <v>17539</v>
      </c>
      <c r="H81" s="234">
        <v>9</v>
      </c>
      <c r="I81" s="60"/>
      <c r="J81" s="60"/>
      <c r="K81" s="60"/>
      <c r="L81" s="60"/>
      <c r="M81" s="299"/>
      <c r="N81" s="60">
        <f t="shared" si="3"/>
        <v>9</v>
      </c>
      <c r="O81" s="299">
        <f>G81+N81</f>
        <v>17548</v>
      </c>
      <c r="P81" s="2" t="s">
        <v>4095</v>
      </c>
      <c r="Q81" s="91"/>
      <c r="R81" s="91"/>
    </row>
    <row r="82" spans="1:18" s="231" customFormat="1" ht="13.2" x14ac:dyDescent="0.25">
      <c r="A82" s="250"/>
      <c r="B82" s="298" t="s">
        <v>4093</v>
      </c>
      <c r="C82" s="529" t="s">
        <v>4094</v>
      </c>
      <c r="D82" s="608" t="s">
        <v>197</v>
      </c>
      <c r="E82" s="2">
        <v>200</v>
      </c>
      <c r="F82" s="60">
        <v>103.4</v>
      </c>
      <c r="G82" s="60">
        <f t="shared" si="0"/>
        <v>20680</v>
      </c>
      <c r="H82" s="234">
        <v>18</v>
      </c>
      <c r="I82" s="60"/>
      <c r="J82" s="60"/>
      <c r="K82" s="60"/>
      <c r="L82" s="60"/>
      <c r="M82" s="299"/>
      <c r="N82" s="60">
        <f t="shared" si="3"/>
        <v>18</v>
      </c>
      <c r="O82" s="299">
        <f>G82+N82</f>
        <v>20698</v>
      </c>
      <c r="P82" s="2" t="s">
        <v>4095</v>
      </c>
    </row>
    <row r="83" spans="1:18" s="231" customFormat="1" ht="13.2" x14ac:dyDescent="0.25">
      <c r="A83" s="250"/>
      <c r="B83" s="298" t="s">
        <v>4102</v>
      </c>
      <c r="C83" s="529" t="s">
        <v>4088</v>
      </c>
      <c r="D83" s="608" t="s">
        <v>197</v>
      </c>
      <c r="E83" s="2">
        <v>15</v>
      </c>
      <c r="F83" s="60">
        <v>909</v>
      </c>
      <c r="G83" s="60">
        <f t="shared" si="0"/>
        <v>13635</v>
      </c>
      <c r="H83" s="234">
        <v>9</v>
      </c>
      <c r="I83" s="60"/>
      <c r="J83" s="60"/>
      <c r="K83" s="60"/>
      <c r="L83" s="60"/>
      <c r="M83" s="299"/>
      <c r="N83" s="60">
        <f t="shared" si="3"/>
        <v>9</v>
      </c>
      <c r="O83" s="299">
        <f t="shared" ref="O83:O146" si="4">G83+N83</f>
        <v>13644</v>
      </c>
      <c r="P83" s="529" t="s">
        <v>4106</v>
      </c>
    </row>
    <row r="84" spans="1:18" s="231" customFormat="1" ht="13.2" x14ac:dyDescent="0.25">
      <c r="A84" s="250"/>
      <c r="B84" s="298" t="s">
        <v>4102</v>
      </c>
      <c r="C84" s="529" t="s">
        <v>4103</v>
      </c>
      <c r="D84" s="608" t="s">
        <v>197</v>
      </c>
      <c r="E84" s="2">
        <v>100</v>
      </c>
      <c r="F84" s="60">
        <v>170.4</v>
      </c>
      <c r="G84" s="60">
        <f t="shared" si="0"/>
        <v>17040</v>
      </c>
      <c r="H84" s="234">
        <v>9</v>
      </c>
      <c r="I84" s="60"/>
      <c r="J84" s="60"/>
      <c r="K84" s="60"/>
      <c r="L84" s="60"/>
      <c r="M84" s="299"/>
      <c r="N84" s="60">
        <f t="shared" si="3"/>
        <v>9</v>
      </c>
      <c r="O84" s="299">
        <f t="shared" si="4"/>
        <v>17049</v>
      </c>
      <c r="P84" s="529" t="s">
        <v>4106</v>
      </c>
    </row>
    <row r="85" spans="1:18" ht="12.75" customHeight="1" x14ac:dyDescent="0.25">
      <c r="B85" s="298" t="s">
        <v>4102</v>
      </c>
      <c r="C85" s="249" t="s">
        <v>4104</v>
      </c>
      <c r="D85" s="231" t="s">
        <v>197</v>
      </c>
      <c r="E85" s="249">
        <v>100</v>
      </c>
      <c r="F85" s="299">
        <v>118</v>
      </c>
      <c r="G85" s="299">
        <f t="shared" si="0"/>
        <v>11800</v>
      </c>
      <c r="H85" s="235">
        <v>9</v>
      </c>
      <c r="N85" s="60">
        <f t="shared" si="3"/>
        <v>9</v>
      </c>
      <c r="O85" s="299">
        <f t="shared" si="4"/>
        <v>11809</v>
      </c>
      <c r="P85" s="529" t="s">
        <v>4106</v>
      </c>
    </row>
    <row r="86" spans="1:18" ht="12.75" customHeight="1" x14ac:dyDescent="0.25">
      <c r="B86" s="298" t="s">
        <v>4102</v>
      </c>
      <c r="C86" s="249" t="s">
        <v>4104</v>
      </c>
      <c r="D86" s="231" t="s">
        <v>197</v>
      </c>
      <c r="E86" s="249">
        <v>100</v>
      </c>
      <c r="F86" s="299">
        <v>118.2</v>
      </c>
      <c r="G86" s="299">
        <f t="shared" si="0"/>
        <v>11820</v>
      </c>
      <c r="N86" s="60">
        <f t="shared" si="3"/>
        <v>0</v>
      </c>
      <c r="O86" s="299">
        <f t="shared" si="4"/>
        <v>11820</v>
      </c>
      <c r="P86" s="529" t="s">
        <v>4106</v>
      </c>
    </row>
    <row r="87" spans="1:18" ht="12.75" customHeight="1" x14ac:dyDescent="0.25">
      <c r="B87" s="298" t="s">
        <v>4102</v>
      </c>
      <c r="C87" s="249" t="s">
        <v>4104</v>
      </c>
      <c r="D87" s="231" t="s">
        <v>197</v>
      </c>
      <c r="E87" s="249">
        <v>50</v>
      </c>
      <c r="F87" s="299">
        <v>117.85</v>
      </c>
      <c r="G87" s="299">
        <f t="shared" si="0"/>
        <v>5892.5</v>
      </c>
      <c r="H87" s="235">
        <v>9</v>
      </c>
      <c r="I87" s="299">
        <v>10.47</v>
      </c>
      <c r="J87" s="299">
        <v>3.89</v>
      </c>
      <c r="K87" s="299">
        <v>75</v>
      </c>
      <c r="L87" s="299">
        <v>0.12</v>
      </c>
      <c r="M87" s="299">
        <v>7.18</v>
      </c>
      <c r="N87" s="60">
        <f t="shared" si="3"/>
        <v>105.66</v>
      </c>
      <c r="O87" s="299">
        <f t="shared" si="4"/>
        <v>5998.16</v>
      </c>
      <c r="P87" s="529" t="s">
        <v>4106</v>
      </c>
    </row>
    <row r="88" spans="1:18" ht="12.75" customHeight="1" x14ac:dyDescent="0.25">
      <c r="B88" s="295" t="s">
        <v>4096</v>
      </c>
      <c r="C88" s="249" t="s">
        <v>4107</v>
      </c>
      <c r="D88" s="231" t="s">
        <v>197</v>
      </c>
      <c r="E88" s="249">
        <v>100</v>
      </c>
      <c r="F88" s="299">
        <v>168</v>
      </c>
      <c r="G88" s="299">
        <f t="shared" si="0"/>
        <v>16800</v>
      </c>
      <c r="H88" s="235">
        <v>9</v>
      </c>
      <c r="N88" s="60">
        <f t="shared" si="3"/>
        <v>9</v>
      </c>
      <c r="O88" s="299">
        <f t="shared" si="4"/>
        <v>16809</v>
      </c>
      <c r="P88" s="249" t="s">
        <v>4105</v>
      </c>
    </row>
    <row r="89" spans="1:18" ht="12.75" customHeight="1" x14ac:dyDescent="0.25">
      <c r="B89" s="295" t="s">
        <v>4096</v>
      </c>
      <c r="C89" s="249" t="s">
        <v>4073</v>
      </c>
      <c r="D89" s="231" t="s">
        <v>197</v>
      </c>
      <c r="E89" s="249">
        <v>1500</v>
      </c>
      <c r="F89" s="299">
        <v>11.6</v>
      </c>
      <c r="G89" s="299">
        <f t="shared" si="0"/>
        <v>17400</v>
      </c>
      <c r="H89" s="235">
        <v>9</v>
      </c>
      <c r="N89" s="60">
        <f t="shared" si="3"/>
        <v>9</v>
      </c>
      <c r="O89" s="299">
        <f t="shared" si="4"/>
        <v>17409</v>
      </c>
      <c r="P89" s="249" t="s">
        <v>4105</v>
      </c>
    </row>
    <row r="90" spans="1:18" ht="12.75" customHeight="1" x14ac:dyDescent="0.25">
      <c r="B90" s="295" t="s">
        <v>4099</v>
      </c>
      <c r="C90" s="249" t="s">
        <v>4088</v>
      </c>
      <c r="D90" s="231" t="s">
        <v>197</v>
      </c>
      <c r="E90" s="249">
        <v>25</v>
      </c>
      <c r="F90" s="299">
        <v>898</v>
      </c>
      <c r="G90" s="299">
        <f t="shared" si="0"/>
        <v>22450</v>
      </c>
      <c r="H90" s="235">
        <v>9</v>
      </c>
      <c r="N90" s="60">
        <f t="shared" si="3"/>
        <v>9</v>
      </c>
      <c r="O90" s="299">
        <f t="shared" si="4"/>
        <v>22459</v>
      </c>
      <c r="P90" s="249" t="s">
        <v>4108</v>
      </c>
    </row>
    <row r="91" spans="1:18" ht="12.75" customHeight="1" x14ac:dyDescent="0.25">
      <c r="B91" s="295" t="s">
        <v>4099</v>
      </c>
      <c r="C91" s="249" t="s">
        <v>4094</v>
      </c>
      <c r="D91" s="231" t="s">
        <v>197</v>
      </c>
      <c r="E91" s="249">
        <v>50</v>
      </c>
      <c r="F91" s="299">
        <v>104.5</v>
      </c>
      <c r="G91" s="299">
        <f t="shared" si="0"/>
        <v>5225</v>
      </c>
      <c r="H91" s="235">
        <v>9</v>
      </c>
      <c r="N91" s="60">
        <f t="shared" si="3"/>
        <v>9</v>
      </c>
      <c r="O91" s="299">
        <f t="shared" si="4"/>
        <v>5234</v>
      </c>
      <c r="P91" s="249" t="s">
        <v>4108</v>
      </c>
    </row>
    <row r="92" spans="1:18" ht="12.75" customHeight="1" x14ac:dyDescent="0.25">
      <c r="B92" s="295" t="s">
        <v>4099</v>
      </c>
      <c r="C92" s="249" t="s">
        <v>4073</v>
      </c>
      <c r="D92" s="231" t="s">
        <v>197</v>
      </c>
      <c r="E92" s="249">
        <v>2200</v>
      </c>
      <c r="F92" s="299">
        <v>11.5</v>
      </c>
      <c r="G92" s="299">
        <f t="shared" si="0"/>
        <v>25300</v>
      </c>
      <c r="H92" s="235">
        <v>9</v>
      </c>
      <c r="N92" s="60">
        <f t="shared" si="3"/>
        <v>9</v>
      </c>
      <c r="O92" s="299">
        <f t="shared" si="4"/>
        <v>25309</v>
      </c>
      <c r="P92" s="249" t="s">
        <v>4108</v>
      </c>
    </row>
    <row r="93" spans="1:18" ht="12.75" customHeight="1" x14ac:dyDescent="0.25">
      <c r="B93" s="295" t="s">
        <v>4099</v>
      </c>
      <c r="C93" s="249" t="s">
        <v>4065</v>
      </c>
      <c r="D93" s="231" t="s">
        <v>197</v>
      </c>
      <c r="E93" s="249">
        <v>40</v>
      </c>
      <c r="F93" s="299">
        <v>500.2</v>
      </c>
      <c r="G93" s="299">
        <f t="shared" si="0"/>
        <v>20008</v>
      </c>
      <c r="H93" s="235">
        <v>9</v>
      </c>
      <c r="N93" s="60">
        <f t="shared" si="3"/>
        <v>9</v>
      </c>
      <c r="O93" s="299">
        <f t="shared" si="4"/>
        <v>20017</v>
      </c>
      <c r="P93" s="249" t="s">
        <v>4108</v>
      </c>
    </row>
    <row r="94" spans="1:18" ht="12.75" customHeight="1" x14ac:dyDescent="0.25">
      <c r="B94" s="295" t="s">
        <v>4099</v>
      </c>
      <c r="C94" s="249" t="s">
        <v>4061</v>
      </c>
      <c r="D94" s="231" t="s">
        <v>197</v>
      </c>
      <c r="E94" s="249">
        <v>1000</v>
      </c>
      <c r="F94" s="299">
        <v>7.2</v>
      </c>
      <c r="G94" s="299">
        <f t="shared" si="0"/>
        <v>7200</v>
      </c>
      <c r="H94" s="235">
        <v>9</v>
      </c>
      <c r="I94" s="299">
        <v>11.75</v>
      </c>
      <c r="J94" s="299">
        <v>5.22</v>
      </c>
      <c r="K94" s="299">
        <v>87</v>
      </c>
      <c r="L94" s="299">
        <v>0.16</v>
      </c>
      <c r="M94" s="299">
        <v>9.6300000000000008</v>
      </c>
      <c r="N94" s="60">
        <f t="shared" si="3"/>
        <v>122.75999999999999</v>
      </c>
      <c r="O94" s="299">
        <f t="shared" si="4"/>
        <v>7322.76</v>
      </c>
      <c r="P94" s="249" t="s">
        <v>4108</v>
      </c>
    </row>
    <row r="95" spans="1:18" ht="12.75" customHeight="1" x14ac:dyDescent="0.25">
      <c r="B95" s="295" t="s">
        <v>4114</v>
      </c>
      <c r="C95" s="249" t="s">
        <v>4088</v>
      </c>
      <c r="D95" s="231" t="s">
        <v>197</v>
      </c>
      <c r="E95" s="249">
        <v>5</v>
      </c>
      <c r="F95" s="299">
        <v>872.5</v>
      </c>
      <c r="G95" s="299">
        <f t="shared" si="0"/>
        <v>4362.5</v>
      </c>
      <c r="H95" s="235">
        <v>9</v>
      </c>
      <c r="N95" s="60">
        <f t="shared" si="3"/>
        <v>9</v>
      </c>
      <c r="O95" s="299">
        <f t="shared" si="4"/>
        <v>4371.5</v>
      </c>
      <c r="P95" s="249" t="s">
        <v>4115</v>
      </c>
    </row>
    <row r="96" spans="1:18" ht="12.75" customHeight="1" x14ac:dyDescent="0.25">
      <c r="B96" s="295" t="s">
        <v>4114</v>
      </c>
      <c r="C96" s="249" t="s">
        <v>4088</v>
      </c>
      <c r="D96" s="231" t="s">
        <v>197</v>
      </c>
      <c r="E96" s="249">
        <v>20</v>
      </c>
      <c r="F96" s="299">
        <v>870</v>
      </c>
      <c r="G96" s="299">
        <f t="shared" si="0"/>
        <v>17400</v>
      </c>
      <c r="H96" s="235">
        <v>9</v>
      </c>
      <c r="N96" s="60">
        <f t="shared" si="3"/>
        <v>9</v>
      </c>
      <c r="O96" s="299">
        <f t="shared" si="4"/>
        <v>17409</v>
      </c>
      <c r="P96" s="249" t="s">
        <v>4115</v>
      </c>
    </row>
    <row r="97" spans="1:16" ht="12.75" customHeight="1" x14ac:dyDescent="0.25">
      <c r="B97" s="295" t="s">
        <v>4114</v>
      </c>
      <c r="C97" s="249" t="s">
        <v>4088</v>
      </c>
      <c r="D97" s="231" t="s">
        <v>197</v>
      </c>
      <c r="E97" s="249">
        <v>25</v>
      </c>
      <c r="F97" s="299">
        <v>872.55</v>
      </c>
      <c r="G97" s="299">
        <f t="shared" si="0"/>
        <v>21813.75</v>
      </c>
      <c r="H97" s="235">
        <v>9</v>
      </c>
      <c r="N97" s="60">
        <f t="shared" si="3"/>
        <v>9</v>
      </c>
      <c r="O97" s="299">
        <f t="shared" si="4"/>
        <v>21822.75</v>
      </c>
      <c r="P97" s="249" t="s">
        <v>4115</v>
      </c>
    </row>
    <row r="98" spans="1:16" ht="12.75" customHeight="1" x14ac:dyDescent="0.25">
      <c r="B98" s="295" t="s">
        <v>4114</v>
      </c>
      <c r="C98" s="249" t="s">
        <v>4107</v>
      </c>
      <c r="D98" s="231" t="s">
        <v>197</v>
      </c>
      <c r="E98" s="249">
        <v>100</v>
      </c>
      <c r="F98" s="299">
        <v>165.2</v>
      </c>
      <c r="G98" s="299">
        <f t="shared" si="0"/>
        <v>16520</v>
      </c>
      <c r="H98" s="235">
        <v>9</v>
      </c>
      <c r="N98" s="60">
        <f t="shared" si="3"/>
        <v>9</v>
      </c>
      <c r="O98" s="299">
        <f t="shared" si="4"/>
        <v>16529</v>
      </c>
      <c r="P98" s="249" t="s">
        <v>4115</v>
      </c>
    </row>
    <row r="99" spans="1:16" ht="12.75" customHeight="1" x14ac:dyDescent="0.25">
      <c r="B99" s="295" t="s">
        <v>4114</v>
      </c>
      <c r="C99" s="249" t="s">
        <v>4107</v>
      </c>
      <c r="D99" s="231" t="s">
        <v>197</v>
      </c>
      <c r="E99" s="249">
        <v>100</v>
      </c>
      <c r="F99" s="299">
        <v>163.4</v>
      </c>
      <c r="G99" s="299">
        <f t="shared" si="0"/>
        <v>16340</v>
      </c>
      <c r="H99" s="235">
        <v>9</v>
      </c>
      <c r="N99" s="60">
        <f t="shared" si="3"/>
        <v>9</v>
      </c>
      <c r="O99" s="299">
        <f t="shared" si="4"/>
        <v>16349</v>
      </c>
      <c r="P99" s="249" t="s">
        <v>4115</v>
      </c>
    </row>
    <row r="100" spans="1:16" ht="12.75" customHeight="1" x14ac:dyDescent="0.25">
      <c r="B100" s="295" t="s">
        <v>4114</v>
      </c>
      <c r="C100" s="249" t="s">
        <v>4073</v>
      </c>
      <c r="D100" s="231" t="s">
        <v>197</v>
      </c>
      <c r="E100" s="249">
        <v>500</v>
      </c>
      <c r="F100" s="299">
        <v>11.4</v>
      </c>
      <c r="G100" s="299">
        <f t="shared" si="0"/>
        <v>5700</v>
      </c>
      <c r="H100" s="235">
        <v>9</v>
      </c>
      <c r="I100" s="299">
        <v>10.71</v>
      </c>
      <c r="J100" s="299">
        <v>5.7</v>
      </c>
      <c r="K100" s="299">
        <v>166</v>
      </c>
      <c r="L100" s="299">
        <v>0.18</v>
      </c>
      <c r="M100" s="299">
        <v>10.53</v>
      </c>
      <c r="N100" s="60">
        <f t="shared" si="3"/>
        <v>202.12</v>
      </c>
      <c r="O100" s="299">
        <f t="shared" si="4"/>
        <v>5902.12</v>
      </c>
      <c r="P100" s="249" t="s">
        <v>4115</v>
      </c>
    </row>
    <row r="101" spans="1:16" ht="12.75" customHeight="1" x14ac:dyDescent="0.25">
      <c r="B101" s="295" t="s">
        <v>4122</v>
      </c>
      <c r="C101" s="249" t="s">
        <v>4082</v>
      </c>
      <c r="D101" s="231" t="s">
        <v>197</v>
      </c>
      <c r="E101" s="249">
        <v>800</v>
      </c>
      <c r="F101" s="299">
        <v>30.2</v>
      </c>
      <c r="G101" s="299">
        <f t="shared" si="0"/>
        <v>24160</v>
      </c>
      <c r="H101" s="235">
        <v>9</v>
      </c>
      <c r="I101" s="299">
        <v>1.21</v>
      </c>
      <c r="J101" s="299">
        <v>0.79</v>
      </c>
      <c r="K101" s="299">
        <v>24</v>
      </c>
      <c r="L101" s="299">
        <v>0.02</v>
      </c>
      <c r="M101" s="299">
        <v>1.45</v>
      </c>
      <c r="N101" s="60">
        <f t="shared" si="3"/>
        <v>36.470000000000006</v>
      </c>
      <c r="O101" s="299">
        <f t="shared" si="4"/>
        <v>24196.47</v>
      </c>
      <c r="P101" s="249" t="s">
        <v>4123</v>
      </c>
    </row>
    <row r="102" spans="1:16" ht="12.75" customHeight="1" x14ac:dyDescent="0.25">
      <c r="B102" s="295" t="s">
        <v>4124</v>
      </c>
      <c r="C102" s="249" t="s">
        <v>4082</v>
      </c>
      <c r="D102" s="231" t="s">
        <v>197</v>
      </c>
      <c r="E102" s="249">
        <v>400</v>
      </c>
      <c r="F102" s="299">
        <v>30.3</v>
      </c>
      <c r="G102" s="299">
        <f t="shared" si="0"/>
        <v>12120</v>
      </c>
      <c r="H102" s="235">
        <v>9</v>
      </c>
      <c r="N102" s="60">
        <f t="shared" si="3"/>
        <v>9</v>
      </c>
      <c r="O102" s="299">
        <f t="shared" si="4"/>
        <v>12129</v>
      </c>
      <c r="P102" s="249" t="s">
        <v>4125</v>
      </c>
    </row>
    <row r="103" spans="1:16" ht="12.75" customHeight="1" x14ac:dyDescent="0.25">
      <c r="B103" s="295" t="s">
        <v>4126</v>
      </c>
      <c r="C103" s="249" t="s">
        <v>4127</v>
      </c>
      <c r="D103" s="231" t="s">
        <v>197</v>
      </c>
      <c r="E103" s="249">
        <v>175</v>
      </c>
      <c r="F103" s="299">
        <v>68.7</v>
      </c>
      <c r="G103" s="299">
        <f t="shared" si="0"/>
        <v>12022.5</v>
      </c>
      <c r="H103" s="235">
        <v>9</v>
      </c>
      <c r="N103" s="60">
        <f t="shared" si="3"/>
        <v>9</v>
      </c>
      <c r="O103" s="299">
        <f t="shared" si="4"/>
        <v>12031.5</v>
      </c>
      <c r="P103" s="299" t="s">
        <v>4130</v>
      </c>
    </row>
    <row r="104" spans="1:16" ht="12.75" customHeight="1" x14ac:dyDescent="0.25">
      <c r="B104" s="295" t="s">
        <v>4126</v>
      </c>
      <c r="C104" s="249" t="s">
        <v>4128</v>
      </c>
      <c r="D104" s="231" t="s">
        <v>197</v>
      </c>
      <c r="E104" s="249">
        <v>100</v>
      </c>
      <c r="F104" s="299">
        <v>68.8</v>
      </c>
      <c r="G104" s="299">
        <f t="shared" ref="G104:G167" si="5">E104*F104</f>
        <v>6880</v>
      </c>
      <c r="H104" s="235">
        <v>9</v>
      </c>
      <c r="N104" s="60">
        <f t="shared" si="3"/>
        <v>9</v>
      </c>
      <c r="O104" s="299">
        <f t="shared" si="4"/>
        <v>6889</v>
      </c>
      <c r="P104" s="249" t="s">
        <v>4130</v>
      </c>
    </row>
    <row r="105" spans="1:16" ht="12.75" customHeight="1" x14ac:dyDescent="0.25">
      <c r="B105" s="295" t="s">
        <v>4126</v>
      </c>
      <c r="C105" s="249" t="s">
        <v>4128</v>
      </c>
      <c r="D105" s="231" t="s">
        <v>197</v>
      </c>
      <c r="E105" s="249">
        <v>200</v>
      </c>
      <c r="F105" s="299">
        <v>68</v>
      </c>
      <c r="G105" s="299">
        <f t="shared" si="5"/>
        <v>13600</v>
      </c>
      <c r="H105" s="235">
        <v>9</v>
      </c>
      <c r="N105" s="60">
        <f t="shared" si="3"/>
        <v>9</v>
      </c>
      <c r="O105" s="299">
        <f t="shared" si="4"/>
        <v>13609</v>
      </c>
      <c r="P105" s="249" t="s">
        <v>4130</v>
      </c>
    </row>
    <row r="106" spans="1:16" s="231" customFormat="1" ht="13.2" x14ac:dyDescent="0.25">
      <c r="A106" s="250"/>
      <c r="B106" s="295" t="s">
        <v>4126</v>
      </c>
      <c r="C106" s="529" t="s">
        <v>4129</v>
      </c>
      <c r="D106" s="608" t="s">
        <v>197</v>
      </c>
      <c r="E106" s="2">
        <v>500</v>
      </c>
      <c r="F106" s="60">
        <v>32.75</v>
      </c>
      <c r="G106" s="60">
        <f t="shared" si="5"/>
        <v>16375</v>
      </c>
      <c r="H106" s="235">
        <v>9</v>
      </c>
      <c r="I106" s="60">
        <v>7.05</v>
      </c>
      <c r="J106" s="60">
        <v>3.13</v>
      </c>
      <c r="K106" s="60">
        <v>96</v>
      </c>
      <c r="L106" s="60">
        <v>0.1</v>
      </c>
      <c r="M106" s="60">
        <v>5.79</v>
      </c>
      <c r="N106" s="60">
        <f t="shared" si="3"/>
        <v>121.07000000000001</v>
      </c>
      <c r="O106" s="299">
        <f t="shared" si="4"/>
        <v>16496.07</v>
      </c>
      <c r="P106" s="249" t="s">
        <v>4130</v>
      </c>
    </row>
    <row r="107" spans="1:16" ht="12.75" customHeight="1" x14ac:dyDescent="0.25">
      <c r="B107" s="295" t="s">
        <v>4132</v>
      </c>
      <c r="C107" s="249" t="s">
        <v>4127</v>
      </c>
      <c r="D107" s="231" t="s">
        <v>197</v>
      </c>
      <c r="E107" s="249">
        <v>200</v>
      </c>
      <c r="F107" s="299">
        <v>69.150000000000006</v>
      </c>
      <c r="G107" s="299">
        <f t="shared" si="5"/>
        <v>13830.000000000002</v>
      </c>
      <c r="H107" s="235">
        <v>9</v>
      </c>
      <c r="N107" s="60">
        <f t="shared" si="3"/>
        <v>9</v>
      </c>
      <c r="O107" s="299">
        <f t="shared" si="4"/>
        <v>13839.000000000002</v>
      </c>
      <c r="P107" s="249" t="s">
        <v>4133</v>
      </c>
    </row>
    <row r="108" spans="1:16" ht="12.75" customHeight="1" x14ac:dyDescent="0.25">
      <c r="B108" s="295" t="s">
        <v>4132</v>
      </c>
      <c r="C108" s="249" t="s">
        <v>4127</v>
      </c>
      <c r="D108" s="231" t="s">
        <v>197</v>
      </c>
      <c r="E108" s="249">
        <v>25</v>
      </c>
      <c r="F108" s="299">
        <v>68.75</v>
      </c>
      <c r="G108" s="299">
        <f t="shared" si="5"/>
        <v>1718.75</v>
      </c>
      <c r="N108" s="60">
        <f t="shared" si="3"/>
        <v>0</v>
      </c>
      <c r="O108" s="299">
        <f t="shared" si="4"/>
        <v>1718.75</v>
      </c>
      <c r="P108" s="249" t="s">
        <v>4133</v>
      </c>
    </row>
    <row r="109" spans="1:16" ht="12.75" customHeight="1" x14ac:dyDescent="0.25">
      <c r="B109" s="295" t="s">
        <v>4131</v>
      </c>
      <c r="C109" s="249" t="s">
        <v>4094</v>
      </c>
      <c r="D109" s="231" t="s">
        <v>197</v>
      </c>
      <c r="E109" s="249">
        <v>210</v>
      </c>
      <c r="F109" s="299">
        <v>110.65</v>
      </c>
      <c r="G109" s="299">
        <f t="shared" si="5"/>
        <v>23236.5</v>
      </c>
      <c r="H109" s="235">
        <v>9</v>
      </c>
      <c r="I109" s="60"/>
      <c r="J109" s="60"/>
      <c r="K109" s="60"/>
      <c r="L109" s="60"/>
      <c r="M109" s="60"/>
      <c r="N109" s="60">
        <f t="shared" si="3"/>
        <v>9</v>
      </c>
      <c r="O109" s="299">
        <f t="shared" si="4"/>
        <v>23245.5</v>
      </c>
      <c r="P109" s="249" t="s">
        <v>4138</v>
      </c>
    </row>
    <row r="110" spans="1:16" ht="12.75" customHeight="1" x14ac:dyDescent="0.25">
      <c r="B110" s="295" t="s">
        <v>4131</v>
      </c>
      <c r="C110" s="249" t="s">
        <v>4134</v>
      </c>
      <c r="D110" s="231" t="s">
        <v>197</v>
      </c>
      <c r="E110" s="249">
        <v>25</v>
      </c>
      <c r="F110" s="299">
        <v>446.9</v>
      </c>
      <c r="G110" s="299">
        <f t="shared" si="5"/>
        <v>11172.5</v>
      </c>
      <c r="H110" s="235">
        <v>9</v>
      </c>
      <c r="I110" s="60"/>
      <c r="J110" s="60"/>
      <c r="K110" s="60"/>
      <c r="L110" s="60"/>
      <c r="M110" s="60"/>
      <c r="N110" s="60">
        <f t="shared" si="3"/>
        <v>9</v>
      </c>
      <c r="O110" s="299">
        <f t="shared" si="4"/>
        <v>11181.5</v>
      </c>
      <c r="P110" s="249" t="s">
        <v>4139</v>
      </c>
    </row>
    <row r="111" spans="1:16" ht="12.75" customHeight="1" x14ac:dyDescent="0.25">
      <c r="B111" s="295" t="s">
        <v>4131</v>
      </c>
      <c r="C111" s="249" t="s">
        <v>4134</v>
      </c>
      <c r="D111" s="231" t="s">
        <v>197</v>
      </c>
      <c r="E111" s="249">
        <v>35</v>
      </c>
      <c r="F111" s="299">
        <v>446.95</v>
      </c>
      <c r="G111" s="299">
        <f t="shared" si="5"/>
        <v>15643.25</v>
      </c>
      <c r="H111" s="235">
        <v>9</v>
      </c>
      <c r="I111" s="60">
        <v>4.84</v>
      </c>
      <c r="J111" s="60">
        <v>3.26</v>
      </c>
      <c r="K111" s="60">
        <v>100</v>
      </c>
      <c r="L111" s="60">
        <v>0.1</v>
      </c>
      <c r="M111" s="60">
        <v>6.02</v>
      </c>
      <c r="N111" s="60">
        <f t="shared" si="3"/>
        <v>123.21999999999998</v>
      </c>
      <c r="O111" s="299">
        <f t="shared" si="4"/>
        <v>15766.47</v>
      </c>
      <c r="P111" s="249" t="s">
        <v>4140</v>
      </c>
    </row>
    <row r="112" spans="1:16" ht="12.75" customHeight="1" x14ac:dyDescent="0.25">
      <c r="B112" s="295" t="s">
        <v>4141</v>
      </c>
      <c r="C112" s="249" t="s">
        <v>4094</v>
      </c>
      <c r="D112" s="231" t="s">
        <v>197</v>
      </c>
      <c r="E112" s="249">
        <v>140</v>
      </c>
      <c r="F112" s="299">
        <v>106.5</v>
      </c>
      <c r="G112" s="299">
        <f t="shared" si="5"/>
        <v>14910</v>
      </c>
      <c r="H112" s="235">
        <v>9</v>
      </c>
      <c r="I112" s="60">
        <v>1.17</v>
      </c>
      <c r="J112" s="60">
        <v>0.48</v>
      </c>
      <c r="K112" s="60">
        <v>15</v>
      </c>
      <c r="L112" s="60">
        <v>0.01</v>
      </c>
      <c r="M112" s="60">
        <v>0.89</v>
      </c>
      <c r="N112" s="60">
        <f t="shared" si="3"/>
        <v>26.55</v>
      </c>
      <c r="O112" s="299">
        <f t="shared" si="4"/>
        <v>14936.55</v>
      </c>
      <c r="P112" s="249" t="s">
        <v>4145</v>
      </c>
    </row>
    <row r="113" spans="2:16" ht="12.75" customHeight="1" x14ac:dyDescent="0.25">
      <c r="B113" s="295" t="s">
        <v>4146</v>
      </c>
      <c r="C113" s="249" t="s">
        <v>4147</v>
      </c>
      <c r="D113" s="231" t="s">
        <v>197</v>
      </c>
      <c r="E113" s="249">
        <v>40</v>
      </c>
      <c r="F113" s="299">
        <v>487</v>
      </c>
      <c r="G113" s="299">
        <f t="shared" si="5"/>
        <v>19480</v>
      </c>
      <c r="H113" s="235">
        <v>9</v>
      </c>
      <c r="I113" s="60"/>
      <c r="J113" s="60"/>
      <c r="K113" s="60"/>
      <c r="L113" s="60"/>
      <c r="M113" s="60"/>
      <c r="N113" s="60">
        <f t="shared" ref="N113:N129" si="6">SUM(H113:M113)</f>
        <v>9</v>
      </c>
      <c r="O113" s="299">
        <f t="shared" si="4"/>
        <v>19489</v>
      </c>
      <c r="P113" s="249" t="s">
        <v>4148</v>
      </c>
    </row>
    <row r="114" spans="2:16" ht="12.75" customHeight="1" x14ac:dyDescent="0.25">
      <c r="B114" s="295" t="s">
        <v>4149</v>
      </c>
      <c r="C114" s="249" t="s">
        <v>4107</v>
      </c>
      <c r="D114" s="231" t="s">
        <v>197</v>
      </c>
      <c r="E114" s="249">
        <v>50</v>
      </c>
      <c r="F114" s="299">
        <v>154</v>
      </c>
      <c r="G114" s="299">
        <f t="shared" si="5"/>
        <v>7700</v>
      </c>
      <c r="I114" s="60"/>
      <c r="J114" s="60"/>
      <c r="K114" s="60"/>
      <c r="L114" s="60"/>
      <c r="M114" s="60"/>
      <c r="N114" s="60">
        <f t="shared" si="6"/>
        <v>0</v>
      </c>
      <c r="O114" s="299">
        <f t="shared" si="4"/>
        <v>7700</v>
      </c>
      <c r="P114" s="249" t="s">
        <v>4151</v>
      </c>
    </row>
    <row r="115" spans="2:16" ht="12.75" customHeight="1" x14ac:dyDescent="0.25">
      <c r="B115" s="295" t="s">
        <v>4149</v>
      </c>
      <c r="C115" s="249" t="s">
        <v>4107</v>
      </c>
      <c r="D115" s="231" t="s">
        <v>197</v>
      </c>
      <c r="E115" s="249">
        <v>100</v>
      </c>
      <c r="F115" s="299">
        <v>153.75</v>
      </c>
      <c r="G115" s="299">
        <f t="shared" si="5"/>
        <v>15375</v>
      </c>
      <c r="H115" s="235">
        <v>9</v>
      </c>
      <c r="N115" s="60">
        <f t="shared" si="6"/>
        <v>9</v>
      </c>
      <c r="O115" s="299">
        <f t="shared" si="4"/>
        <v>15384</v>
      </c>
      <c r="P115" s="249" t="s">
        <v>4151</v>
      </c>
    </row>
    <row r="116" spans="2:16" ht="12.75" customHeight="1" x14ac:dyDescent="0.25">
      <c r="B116" s="295" t="s">
        <v>4149</v>
      </c>
      <c r="C116" s="249" t="s">
        <v>4091</v>
      </c>
      <c r="D116" s="231" t="s">
        <v>197</v>
      </c>
      <c r="E116" s="249">
        <v>70</v>
      </c>
      <c r="F116" s="299">
        <v>245.3</v>
      </c>
      <c r="G116" s="299">
        <f t="shared" si="5"/>
        <v>17171</v>
      </c>
      <c r="H116" s="235">
        <v>9</v>
      </c>
      <c r="I116" s="299">
        <v>2.38</v>
      </c>
      <c r="J116" s="299">
        <v>1.31</v>
      </c>
      <c r="K116" s="299">
        <v>40</v>
      </c>
      <c r="L116" s="299">
        <v>0.04</v>
      </c>
      <c r="M116" s="299">
        <v>2.41</v>
      </c>
      <c r="N116" s="60">
        <f t="shared" si="6"/>
        <v>55.14</v>
      </c>
      <c r="O116" s="299">
        <f t="shared" si="4"/>
        <v>17226.14</v>
      </c>
      <c r="P116" s="249" t="s">
        <v>4151</v>
      </c>
    </row>
    <row r="117" spans="2:16" ht="12.75" customHeight="1" x14ac:dyDescent="0.25">
      <c r="B117" s="295" t="s">
        <v>4152</v>
      </c>
      <c r="C117" s="249" t="s">
        <v>4153</v>
      </c>
      <c r="D117" s="231" t="s">
        <v>197</v>
      </c>
      <c r="E117" s="249">
        <v>200</v>
      </c>
      <c r="F117" s="299">
        <v>133.5</v>
      </c>
      <c r="G117" s="299">
        <f t="shared" si="5"/>
        <v>26700</v>
      </c>
      <c r="H117" s="235">
        <v>9</v>
      </c>
      <c r="N117" s="60">
        <f t="shared" si="6"/>
        <v>9</v>
      </c>
      <c r="O117" s="299">
        <f t="shared" si="4"/>
        <v>26709</v>
      </c>
      <c r="P117" s="249" t="s">
        <v>4154</v>
      </c>
    </row>
    <row r="118" spans="2:16" ht="12.75" customHeight="1" x14ac:dyDescent="0.25">
      <c r="B118" s="295" t="s">
        <v>4152</v>
      </c>
      <c r="C118" s="249" t="s">
        <v>4073</v>
      </c>
      <c r="D118" s="231" t="s">
        <v>197</v>
      </c>
      <c r="E118" s="249">
        <v>1000</v>
      </c>
      <c r="F118" s="299">
        <v>12.55</v>
      </c>
      <c r="G118" s="299">
        <f t="shared" si="5"/>
        <v>12550</v>
      </c>
      <c r="H118" s="235">
        <v>9</v>
      </c>
      <c r="N118" s="60">
        <f t="shared" si="6"/>
        <v>9</v>
      </c>
      <c r="O118" s="299">
        <f t="shared" si="4"/>
        <v>12559</v>
      </c>
      <c r="P118" s="249" t="s">
        <v>4154</v>
      </c>
    </row>
    <row r="119" spans="2:16" ht="12.75" customHeight="1" x14ac:dyDescent="0.25">
      <c r="B119" s="295" t="s">
        <v>4152</v>
      </c>
      <c r="C119" s="249" t="s">
        <v>4091</v>
      </c>
      <c r="D119" s="231" t="s">
        <v>197</v>
      </c>
      <c r="E119" s="249">
        <v>30</v>
      </c>
      <c r="F119" s="299">
        <v>247.6</v>
      </c>
      <c r="G119" s="299">
        <f t="shared" si="5"/>
        <v>7428</v>
      </c>
      <c r="H119" s="235">
        <v>9</v>
      </c>
      <c r="I119" s="299">
        <v>7.07</v>
      </c>
      <c r="J119" s="299">
        <v>3.32</v>
      </c>
      <c r="K119" s="299">
        <v>81</v>
      </c>
      <c r="L119" s="299">
        <v>0.1</v>
      </c>
      <c r="M119" s="299">
        <v>6.14</v>
      </c>
      <c r="N119" s="60">
        <f t="shared" si="6"/>
        <v>106.63</v>
      </c>
      <c r="O119" s="299">
        <f t="shared" si="4"/>
        <v>7534.63</v>
      </c>
      <c r="P119" s="249" t="s">
        <v>4154</v>
      </c>
    </row>
    <row r="120" spans="2:16" ht="12.75" customHeight="1" x14ac:dyDescent="0.25">
      <c r="B120" s="295" t="s">
        <v>4155</v>
      </c>
      <c r="C120" s="249" t="s">
        <v>4156</v>
      </c>
      <c r="D120" s="231" t="s">
        <v>197</v>
      </c>
      <c r="E120" s="249">
        <v>15</v>
      </c>
      <c r="F120" s="299">
        <v>346.5</v>
      </c>
      <c r="G120" s="299">
        <f t="shared" si="5"/>
        <v>5197.5</v>
      </c>
      <c r="H120" s="235">
        <v>9</v>
      </c>
      <c r="N120" s="60">
        <f t="shared" si="6"/>
        <v>9</v>
      </c>
      <c r="O120" s="299">
        <f t="shared" si="4"/>
        <v>5206.5</v>
      </c>
      <c r="P120" s="249" t="s">
        <v>4157</v>
      </c>
    </row>
    <row r="121" spans="2:16" ht="12.75" customHeight="1" x14ac:dyDescent="0.25">
      <c r="B121" s="295" t="s">
        <v>4155</v>
      </c>
      <c r="C121" s="249" t="s">
        <v>4156</v>
      </c>
      <c r="D121" s="231" t="s">
        <v>197</v>
      </c>
      <c r="E121" s="249">
        <v>50</v>
      </c>
      <c r="F121" s="299">
        <v>346.4</v>
      </c>
      <c r="G121" s="299">
        <f t="shared" si="5"/>
        <v>17320</v>
      </c>
      <c r="H121" s="235">
        <v>9</v>
      </c>
      <c r="N121" s="60">
        <f t="shared" si="6"/>
        <v>9</v>
      </c>
      <c r="O121" s="299">
        <f t="shared" si="4"/>
        <v>17329</v>
      </c>
      <c r="P121" s="249" t="s">
        <v>4157</v>
      </c>
    </row>
    <row r="122" spans="2:16" ht="12.75" customHeight="1" x14ac:dyDescent="0.25">
      <c r="B122" s="295" t="s">
        <v>4155</v>
      </c>
      <c r="C122" s="452" t="s">
        <v>4128</v>
      </c>
      <c r="D122" s="231" t="s">
        <v>197</v>
      </c>
      <c r="E122" s="249">
        <v>100</v>
      </c>
      <c r="F122" s="299">
        <v>70.150000000000006</v>
      </c>
      <c r="G122" s="299">
        <f t="shared" si="5"/>
        <v>7015.0000000000009</v>
      </c>
      <c r="H122" s="235">
        <v>9</v>
      </c>
      <c r="I122" s="299">
        <v>3.45</v>
      </c>
      <c r="J122" s="299">
        <v>0.96</v>
      </c>
      <c r="K122" s="299">
        <v>30</v>
      </c>
      <c r="L122" s="299">
        <v>0.03</v>
      </c>
      <c r="M122" s="299">
        <v>1.77</v>
      </c>
      <c r="N122" s="60">
        <f t="shared" si="6"/>
        <v>45.21</v>
      </c>
      <c r="O122" s="299">
        <f t="shared" si="4"/>
        <v>7060.2100000000009</v>
      </c>
      <c r="P122" s="249" t="s">
        <v>4157</v>
      </c>
    </row>
    <row r="123" spans="2:16" ht="12.75" customHeight="1" x14ac:dyDescent="0.25">
      <c r="B123" s="295" t="s">
        <v>4161</v>
      </c>
      <c r="C123" s="249" t="s">
        <v>4162</v>
      </c>
      <c r="D123" s="231" t="s">
        <v>197</v>
      </c>
      <c r="E123" s="249">
        <v>350</v>
      </c>
      <c r="F123" s="299">
        <v>60.3</v>
      </c>
      <c r="G123" s="299">
        <f t="shared" si="5"/>
        <v>21105</v>
      </c>
      <c r="H123" s="235">
        <v>9</v>
      </c>
      <c r="I123" s="299">
        <v>2.4</v>
      </c>
      <c r="J123" s="299">
        <v>1.42</v>
      </c>
      <c r="K123" s="299">
        <v>44</v>
      </c>
      <c r="L123" s="299">
        <v>0.04</v>
      </c>
      <c r="M123" s="299">
        <v>2.63</v>
      </c>
      <c r="N123" s="60">
        <f t="shared" si="6"/>
        <v>59.49</v>
      </c>
      <c r="O123" s="299">
        <f t="shared" si="4"/>
        <v>21164.49</v>
      </c>
      <c r="P123" s="249" t="s">
        <v>4163</v>
      </c>
    </row>
    <row r="124" spans="2:16" ht="12.75" customHeight="1" x14ac:dyDescent="0.25">
      <c r="B124" s="295" t="s">
        <v>4164</v>
      </c>
      <c r="C124" s="249" t="s">
        <v>4165</v>
      </c>
      <c r="D124" s="231" t="s">
        <v>197</v>
      </c>
      <c r="E124" s="249">
        <v>4</v>
      </c>
      <c r="F124" s="299">
        <v>1708</v>
      </c>
      <c r="G124" s="299">
        <f t="shared" si="5"/>
        <v>6832</v>
      </c>
      <c r="H124" s="235">
        <v>9</v>
      </c>
      <c r="N124" s="60">
        <f t="shared" si="6"/>
        <v>9</v>
      </c>
      <c r="O124" s="299">
        <f t="shared" si="4"/>
        <v>6841</v>
      </c>
      <c r="P124" s="249" t="s">
        <v>4168</v>
      </c>
    </row>
    <row r="125" spans="2:16" ht="12.75" customHeight="1" x14ac:dyDescent="0.25">
      <c r="B125" s="295" t="s">
        <v>4164</v>
      </c>
      <c r="C125" s="249" t="s">
        <v>4165</v>
      </c>
      <c r="D125" s="231" t="s">
        <v>197</v>
      </c>
      <c r="E125" s="249">
        <v>10</v>
      </c>
      <c r="F125" s="299">
        <v>1715</v>
      </c>
      <c r="G125" s="299">
        <f t="shared" si="5"/>
        <v>17150</v>
      </c>
      <c r="H125" s="235">
        <v>9</v>
      </c>
      <c r="N125" s="60">
        <f t="shared" si="6"/>
        <v>9</v>
      </c>
      <c r="O125" s="299">
        <f t="shared" si="4"/>
        <v>17159</v>
      </c>
      <c r="P125" s="249" t="s">
        <v>4168</v>
      </c>
    </row>
    <row r="126" spans="2:16" ht="12.75" customHeight="1" x14ac:dyDescent="0.25">
      <c r="B126" s="295" t="s">
        <v>4164</v>
      </c>
      <c r="C126" s="249" t="s">
        <v>4166</v>
      </c>
      <c r="D126" s="231" t="s">
        <v>197</v>
      </c>
      <c r="E126" s="249">
        <v>20</v>
      </c>
      <c r="F126" s="299">
        <v>320.39999999999998</v>
      </c>
      <c r="G126" s="299">
        <f t="shared" si="5"/>
        <v>6408</v>
      </c>
      <c r="H126" s="235">
        <v>9</v>
      </c>
      <c r="N126" s="60">
        <f t="shared" si="6"/>
        <v>9</v>
      </c>
      <c r="O126" s="299">
        <f t="shared" si="4"/>
        <v>6417</v>
      </c>
      <c r="P126" s="249" t="s">
        <v>4168</v>
      </c>
    </row>
    <row r="127" spans="2:16" ht="12.75" customHeight="1" x14ac:dyDescent="0.25">
      <c r="B127" s="295" t="s">
        <v>4164</v>
      </c>
      <c r="C127" s="249" t="s">
        <v>4166</v>
      </c>
      <c r="D127" s="231" t="s">
        <v>197</v>
      </c>
      <c r="E127" s="249">
        <v>41</v>
      </c>
      <c r="F127" s="299">
        <v>325</v>
      </c>
      <c r="G127" s="299">
        <f t="shared" si="5"/>
        <v>13325</v>
      </c>
      <c r="H127" s="235">
        <v>9</v>
      </c>
      <c r="N127" s="60">
        <f t="shared" si="6"/>
        <v>9</v>
      </c>
      <c r="O127" s="299">
        <f t="shared" si="4"/>
        <v>13334</v>
      </c>
      <c r="P127" s="249" t="s">
        <v>4168</v>
      </c>
    </row>
    <row r="128" spans="2:16" ht="12.75" customHeight="1" x14ac:dyDescent="0.25">
      <c r="B128" s="295" t="s">
        <v>4164</v>
      </c>
      <c r="C128" s="249" t="s">
        <v>4166</v>
      </c>
      <c r="D128" s="231" t="s">
        <v>197</v>
      </c>
      <c r="E128" s="249">
        <v>9</v>
      </c>
      <c r="F128" s="299">
        <v>325.5</v>
      </c>
      <c r="G128" s="299">
        <f t="shared" si="5"/>
        <v>2929.5</v>
      </c>
      <c r="N128" s="60">
        <f t="shared" si="6"/>
        <v>0</v>
      </c>
      <c r="O128" s="299">
        <f t="shared" si="4"/>
        <v>2929.5</v>
      </c>
      <c r="P128" s="249" t="s">
        <v>4168</v>
      </c>
    </row>
    <row r="129" spans="2:18" ht="12.75" customHeight="1" x14ac:dyDescent="0.25">
      <c r="B129" s="295" t="s">
        <v>4164</v>
      </c>
      <c r="C129" s="249" t="s">
        <v>4167</v>
      </c>
      <c r="D129" s="231" t="s">
        <v>197</v>
      </c>
      <c r="E129" s="249">
        <v>20</v>
      </c>
      <c r="F129" s="299">
        <v>812.95</v>
      </c>
      <c r="G129" s="299">
        <f t="shared" si="5"/>
        <v>16259</v>
      </c>
      <c r="H129" s="235">
        <v>9</v>
      </c>
      <c r="N129" s="60">
        <f t="shared" si="6"/>
        <v>9</v>
      </c>
      <c r="O129" s="299">
        <f t="shared" si="4"/>
        <v>16268</v>
      </c>
      <c r="P129" s="249" t="s">
        <v>4168</v>
      </c>
    </row>
    <row r="130" spans="2:18" ht="12.75" customHeight="1" x14ac:dyDescent="0.25">
      <c r="B130" s="295" t="s">
        <v>4164</v>
      </c>
      <c r="C130" s="249" t="s">
        <v>4156</v>
      </c>
      <c r="D130" s="231" t="s">
        <v>197</v>
      </c>
      <c r="E130" s="249">
        <v>60</v>
      </c>
      <c r="F130" s="299">
        <v>344.4</v>
      </c>
      <c r="G130" s="299">
        <f t="shared" si="5"/>
        <v>20664</v>
      </c>
      <c r="H130" s="235">
        <v>9</v>
      </c>
      <c r="N130" s="60">
        <f>SUM(H130:M130)</f>
        <v>9</v>
      </c>
      <c r="O130" s="299">
        <f t="shared" si="4"/>
        <v>20673</v>
      </c>
      <c r="P130" s="249" t="s">
        <v>4168</v>
      </c>
    </row>
    <row r="131" spans="2:18" ht="12.75" customHeight="1" x14ac:dyDescent="0.25">
      <c r="B131" s="295" t="s">
        <v>4169</v>
      </c>
      <c r="C131" s="249" t="s">
        <v>4174</v>
      </c>
      <c r="D131" s="231" t="s">
        <v>197</v>
      </c>
      <c r="E131" s="249">
        <v>20</v>
      </c>
      <c r="F131" s="299">
        <v>1030.7</v>
      </c>
      <c r="G131" s="299">
        <f t="shared" si="5"/>
        <v>20614</v>
      </c>
      <c r="H131" s="235">
        <v>9</v>
      </c>
      <c r="I131" s="299">
        <v>2.38</v>
      </c>
      <c r="J131" s="299">
        <v>1.32</v>
      </c>
      <c r="K131" s="299">
        <v>41</v>
      </c>
      <c r="L131" s="299">
        <v>0.04</v>
      </c>
      <c r="M131" s="299">
        <v>2.44</v>
      </c>
      <c r="N131" s="224">
        <f>SUM(H131:M131)</f>
        <v>56.18</v>
      </c>
      <c r="O131" s="299">
        <f t="shared" si="4"/>
        <v>20670.18</v>
      </c>
      <c r="P131" s="249" t="s">
        <v>4175</v>
      </c>
    </row>
    <row r="132" spans="2:18" ht="12.75" customHeight="1" x14ac:dyDescent="0.25">
      <c r="B132" s="295" t="s">
        <v>4176</v>
      </c>
      <c r="C132" s="249" t="s">
        <v>4167</v>
      </c>
      <c r="D132" s="231" t="s">
        <v>197</v>
      </c>
      <c r="E132" s="249">
        <v>5</v>
      </c>
      <c r="F132" s="299">
        <v>823</v>
      </c>
      <c r="G132" s="299">
        <f t="shared" si="5"/>
        <v>4115</v>
      </c>
      <c r="H132" s="235">
        <v>9</v>
      </c>
      <c r="N132" s="224">
        <f t="shared" ref="N132:N146" si="7">SUM(H132:M132)</f>
        <v>9</v>
      </c>
      <c r="O132" s="299">
        <f t="shared" si="4"/>
        <v>4124</v>
      </c>
      <c r="P132" s="249" t="s">
        <v>4180</v>
      </c>
    </row>
    <row r="133" spans="2:18" ht="12.75" customHeight="1" x14ac:dyDescent="0.25">
      <c r="B133" s="295" t="s">
        <v>4176</v>
      </c>
      <c r="C133" s="249" t="s">
        <v>4174</v>
      </c>
      <c r="D133" s="231" t="s">
        <v>197</v>
      </c>
      <c r="E133" s="249">
        <v>2</v>
      </c>
      <c r="F133" s="299">
        <v>1011.55</v>
      </c>
      <c r="G133" s="299">
        <f t="shared" si="5"/>
        <v>2023.1</v>
      </c>
      <c r="H133" s="235">
        <v>9</v>
      </c>
      <c r="N133" s="224">
        <f t="shared" si="7"/>
        <v>9</v>
      </c>
      <c r="O133" s="299">
        <f t="shared" si="4"/>
        <v>2032.1</v>
      </c>
      <c r="P133" s="249" t="s">
        <v>4180</v>
      </c>
      <c r="R133" s="247"/>
    </row>
    <row r="134" spans="2:18" ht="12.75" customHeight="1" x14ac:dyDescent="0.25">
      <c r="B134" s="295" t="s">
        <v>4176</v>
      </c>
      <c r="C134" s="249" t="s">
        <v>4178</v>
      </c>
      <c r="D134" s="231" t="s">
        <v>197</v>
      </c>
      <c r="E134" s="249">
        <v>3</v>
      </c>
      <c r="F134" s="299">
        <v>395.9</v>
      </c>
      <c r="G134" s="299">
        <f t="shared" si="5"/>
        <v>1187.6999999999998</v>
      </c>
      <c r="H134" s="235">
        <v>9</v>
      </c>
      <c r="N134" s="224">
        <f t="shared" si="7"/>
        <v>9</v>
      </c>
      <c r="O134" s="299">
        <f t="shared" si="4"/>
        <v>1196.6999999999998</v>
      </c>
      <c r="P134" s="249" t="s">
        <v>4180</v>
      </c>
    </row>
    <row r="135" spans="2:18" ht="12.75" customHeight="1" x14ac:dyDescent="0.25">
      <c r="B135" s="295" t="s">
        <v>4176</v>
      </c>
      <c r="C135" s="249" t="s">
        <v>4178</v>
      </c>
      <c r="D135" s="231" t="s">
        <v>197</v>
      </c>
      <c r="E135" s="249">
        <v>42</v>
      </c>
      <c r="F135" s="299">
        <v>396</v>
      </c>
      <c r="G135" s="299">
        <f t="shared" si="5"/>
        <v>16632</v>
      </c>
      <c r="N135" s="224">
        <f t="shared" si="7"/>
        <v>0</v>
      </c>
      <c r="O135" s="299">
        <f t="shared" si="4"/>
        <v>16632</v>
      </c>
      <c r="P135" s="249" t="s">
        <v>4180</v>
      </c>
    </row>
    <row r="136" spans="2:18" ht="12.75" customHeight="1" x14ac:dyDescent="0.25">
      <c r="B136" s="295" t="s">
        <v>4176</v>
      </c>
      <c r="C136" s="249" t="s">
        <v>4178</v>
      </c>
      <c r="D136" s="231" t="s">
        <v>197</v>
      </c>
      <c r="E136" s="249">
        <v>5</v>
      </c>
      <c r="F136" s="299">
        <v>395.95</v>
      </c>
      <c r="G136" s="299">
        <f t="shared" si="5"/>
        <v>1979.75</v>
      </c>
      <c r="N136" s="224">
        <f t="shared" si="7"/>
        <v>0</v>
      </c>
      <c r="O136" s="299">
        <f t="shared" si="4"/>
        <v>1979.75</v>
      </c>
      <c r="P136" s="249" t="s">
        <v>4180</v>
      </c>
    </row>
    <row r="137" spans="2:18" ht="12.75" customHeight="1" x14ac:dyDescent="0.25">
      <c r="B137" s="295" t="s">
        <v>4176</v>
      </c>
      <c r="C137" s="249" t="s">
        <v>4179</v>
      </c>
      <c r="D137" s="231" t="s">
        <v>197</v>
      </c>
      <c r="E137" s="249">
        <v>90</v>
      </c>
      <c r="F137" s="299">
        <v>233.95</v>
      </c>
      <c r="G137" s="299">
        <f t="shared" si="5"/>
        <v>21055.5</v>
      </c>
      <c r="H137" s="235">
        <v>9</v>
      </c>
      <c r="I137" s="299">
        <v>7.02</v>
      </c>
      <c r="J137" s="299">
        <v>2.92</v>
      </c>
      <c r="K137" s="299">
        <v>90</v>
      </c>
      <c r="L137" s="299">
        <v>0.09</v>
      </c>
      <c r="M137" s="299">
        <v>5.39</v>
      </c>
      <c r="N137" s="224">
        <f t="shared" si="7"/>
        <v>114.42</v>
      </c>
      <c r="O137" s="299">
        <f t="shared" si="4"/>
        <v>21169.919999999998</v>
      </c>
      <c r="P137" s="249" t="s">
        <v>4180</v>
      </c>
    </row>
    <row r="138" spans="2:18" ht="12.75" customHeight="1" x14ac:dyDescent="0.25">
      <c r="B138" s="295" t="s">
        <v>4184</v>
      </c>
      <c r="C138" s="249" t="s">
        <v>4185</v>
      </c>
      <c r="D138" s="231" t="s">
        <v>197</v>
      </c>
      <c r="E138" s="249">
        <v>400</v>
      </c>
      <c r="F138" s="299">
        <v>51.2</v>
      </c>
      <c r="G138" s="299">
        <f t="shared" si="5"/>
        <v>20480</v>
      </c>
      <c r="H138" s="235">
        <v>9</v>
      </c>
      <c r="N138" s="224">
        <f t="shared" si="7"/>
        <v>9</v>
      </c>
      <c r="O138" s="299">
        <f t="shared" si="4"/>
        <v>20489</v>
      </c>
      <c r="P138" s="249" t="s">
        <v>4186</v>
      </c>
    </row>
    <row r="139" spans="2:18" ht="12.75" customHeight="1" x14ac:dyDescent="0.25">
      <c r="B139" s="295" t="s">
        <v>4184</v>
      </c>
      <c r="C139" s="249" t="s">
        <v>4174</v>
      </c>
      <c r="D139" s="231" t="s">
        <v>197</v>
      </c>
      <c r="E139" s="249">
        <v>20</v>
      </c>
      <c r="F139" s="299">
        <v>1049.7</v>
      </c>
      <c r="G139" s="299">
        <f t="shared" si="5"/>
        <v>20994</v>
      </c>
      <c r="H139" s="235">
        <v>9</v>
      </c>
      <c r="I139" s="299">
        <v>4.7699999999999996</v>
      </c>
      <c r="J139" s="299">
        <v>2.68</v>
      </c>
      <c r="K139" s="299">
        <v>82</v>
      </c>
      <c r="L139" s="299">
        <v>0.08</v>
      </c>
      <c r="M139" s="299">
        <v>4.95</v>
      </c>
      <c r="N139" s="224">
        <f t="shared" si="7"/>
        <v>103.48</v>
      </c>
      <c r="O139" s="299">
        <f t="shared" si="4"/>
        <v>21097.48</v>
      </c>
      <c r="P139" s="249" t="s">
        <v>4186</v>
      </c>
    </row>
    <row r="140" spans="2:18" ht="12.75" customHeight="1" x14ac:dyDescent="0.25">
      <c r="B140" s="295" t="s">
        <v>4188</v>
      </c>
      <c r="C140" s="249" t="s">
        <v>4187</v>
      </c>
      <c r="D140" s="231" t="s">
        <v>197</v>
      </c>
      <c r="E140" s="249">
        <v>100</v>
      </c>
      <c r="F140" s="299">
        <v>228.3</v>
      </c>
      <c r="G140" s="299">
        <f t="shared" si="5"/>
        <v>22830</v>
      </c>
      <c r="H140" s="235">
        <v>9</v>
      </c>
      <c r="N140" s="224">
        <f t="shared" si="7"/>
        <v>9</v>
      </c>
      <c r="O140" s="299">
        <f t="shared" si="4"/>
        <v>22839</v>
      </c>
      <c r="P140" s="249" t="s">
        <v>4189</v>
      </c>
    </row>
    <row r="141" spans="2:18" ht="12.75" customHeight="1" x14ac:dyDescent="0.25">
      <c r="B141" s="295" t="s">
        <v>4188</v>
      </c>
      <c r="C141" s="249" t="s">
        <v>4174</v>
      </c>
      <c r="D141" s="231" t="s">
        <v>197</v>
      </c>
      <c r="E141" s="249">
        <v>20</v>
      </c>
      <c r="F141" s="299">
        <v>1051.25</v>
      </c>
      <c r="G141" s="299">
        <f t="shared" si="5"/>
        <v>21025</v>
      </c>
      <c r="H141" s="235">
        <v>9</v>
      </c>
      <c r="N141" s="224">
        <f t="shared" si="7"/>
        <v>9</v>
      </c>
      <c r="O141" s="299">
        <f t="shared" si="4"/>
        <v>21034</v>
      </c>
      <c r="P141" s="249" t="s">
        <v>4189</v>
      </c>
    </row>
    <row r="142" spans="2:18" ht="12.75" customHeight="1" x14ac:dyDescent="0.25">
      <c r="B142" s="295" t="s">
        <v>4188</v>
      </c>
      <c r="C142" s="249" t="s">
        <v>4174</v>
      </c>
      <c r="D142" s="231" t="s">
        <v>197</v>
      </c>
      <c r="E142" s="249">
        <v>20</v>
      </c>
      <c r="F142" s="299">
        <v>1051.5</v>
      </c>
      <c r="G142" s="299">
        <f t="shared" si="5"/>
        <v>21030</v>
      </c>
      <c r="I142" s="299">
        <v>6.08</v>
      </c>
      <c r="J142" s="299">
        <v>4.2300000000000004</v>
      </c>
      <c r="K142" s="299">
        <v>57</v>
      </c>
      <c r="L142" s="299">
        <v>0.13</v>
      </c>
      <c r="M142" s="299">
        <v>7.81</v>
      </c>
      <c r="N142" s="224">
        <f t="shared" si="7"/>
        <v>75.25</v>
      </c>
      <c r="O142" s="299">
        <f t="shared" si="4"/>
        <v>21105.25</v>
      </c>
      <c r="P142" s="249" t="s">
        <v>4189</v>
      </c>
    </row>
    <row r="143" spans="2:18" ht="12.75" customHeight="1" x14ac:dyDescent="0.25">
      <c r="B143" s="295" t="s">
        <v>4190</v>
      </c>
      <c r="C143" s="249" t="s">
        <v>4107</v>
      </c>
      <c r="D143" s="231" t="s">
        <v>197</v>
      </c>
      <c r="E143" s="249">
        <v>140</v>
      </c>
      <c r="F143" s="299">
        <v>174.6</v>
      </c>
      <c r="G143" s="299">
        <f t="shared" si="5"/>
        <v>24444</v>
      </c>
      <c r="H143" s="235">
        <v>9</v>
      </c>
      <c r="N143" s="224">
        <f t="shared" si="7"/>
        <v>9</v>
      </c>
      <c r="O143" s="299">
        <f t="shared" si="4"/>
        <v>24453</v>
      </c>
      <c r="P143" s="249" t="s">
        <v>4192</v>
      </c>
    </row>
    <row r="144" spans="2:18" ht="12.75" customHeight="1" x14ac:dyDescent="0.25">
      <c r="B144" s="295" t="s">
        <v>4190</v>
      </c>
      <c r="C144" s="249" t="s">
        <v>4167</v>
      </c>
      <c r="D144" s="231" t="s">
        <v>197</v>
      </c>
      <c r="E144" s="249">
        <v>25</v>
      </c>
      <c r="F144" s="299">
        <v>888.25</v>
      </c>
      <c r="G144" s="299">
        <f t="shared" si="5"/>
        <v>22206.25</v>
      </c>
      <c r="H144" s="235">
        <v>9</v>
      </c>
      <c r="I144" s="60"/>
      <c r="J144" s="60"/>
      <c r="K144" s="60"/>
      <c r="L144" s="60"/>
      <c r="M144" s="60"/>
      <c r="N144" s="224">
        <f t="shared" si="7"/>
        <v>9</v>
      </c>
      <c r="O144" s="299">
        <f t="shared" si="4"/>
        <v>22215.25</v>
      </c>
      <c r="P144" s="249" t="s">
        <v>4194</v>
      </c>
    </row>
    <row r="145" spans="2:16" ht="12.75" customHeight="1" x14ac:dyDescent="0.25">
      <c r="B145" s="295" t="s">
        <v>4190</v>
      </c>
      <c r="C145" s="249" t="s">
        <v>4167</v>
      </c>
      <c r="D145" s="231" t="s">
        <v>197</v>
      </c>
      <c r="E145" s="249">
        <v>25</v>
      </c>
      <c r="F145" s="299">
        <v>882</v>
      </c>
      <c r="G145" s="299">
        <f t="shared" si="5"/>
        <v>22050</v>
      </c>
      <c r="H145" s="235">
        <v>9</v>
      </c>
      <c r="I145" s="60"/>
      <c r="J145" s="60"/>
      <c r="K145" s="60"/>
      <c r="L145" s="60"/>
      <c r="M145" s="60"/>
      <c r="N145" s="224">
        <f t="shared" si="7"/>
        <v>9</v>
      </c>
      <c r="O145" s="299">
        <f t="shared" si="4"/>
        <v>22059</v>
      </c>
      <c r="P145" s="249" t="s">
        <v>4195</v>
      </c>
    </row>
    <row r="146" spans="2:16" ht="12.75" customHeight="1" x14ac:dyDescent="0.25">
      <c r="B146" s="295" t="s">
        <v>4190</v>
      </c>
      <c r="C146" s="249" t="s">
        <v>4156</v>
      </c>
      <c r="D146" s="231" t="s">
        <v>197</v>
      </c>
      <c r="E146" s="249">
        <v>65</v>
      </c>
      <c r="F146" s="299">
        <v>340.5</v>
      </c>
      <c r="G146" s="299">
        <f t="shared" si="5"/>
        <v>22132.5</v>
      </c>
      <c r="H146" s="235">
        <v>9</v>
      </c>
      <c r="I146" s="60"/>
      <c r="J146" s="60"/>
      <c r="K146" s="60"/>
      <c r="L146" s="60"/>
      <c r="M146" s="60"/>
      <c r="N146" s="224">
        <f t="shared" si="7"/>
        <v>9</v>
      </c>
      <c r="O146" s="299">
        <f t="shared" si="4"/>
        <v>22141.5</v>
      </c>
      <c r="P146" s="249" t="s">
        <v>4197</v>
      </c>
    </row>
    <row r="147" spans="2:16" ht="12.75" customHeight="1" x14ac:dyDescent="0.25">
      <c r="B147" s="295" t="s">
        <v>4190</v>
      </c>
      <c r="C147" s="249" t="s">
        <v>4174</v>
      </c>
      <c r="D147" s="231" t="s">
        <v>197</v>
      </c>
      <c r="E147" s="249">
        <v>15</v>
      </c>
      <c r="F147" s="299">
        <v>1081</v>
      </c>
      <c r="G147" s="299">
        <f t="shared" si="5"/>
        <v>16215</v>
      </c>
      <c r="H147" s="235">
        <v>9</v>
      </c>
      <c r="I147" s="60"/>
      <c r="J147" s="60"/>
      <c r="K147" s="60"/>
      <c r="L147" s="60"/>
      <c r="M147" s="60"/>
      <c r="N147" s="224">
        <f>SUM(H147:M147)</f>
        <v>9</v>
      </c>
      <c r="O147" s="299">
        <f t="shared" ref="O147:O178" si="8">G147+N147</f>
        <v>16224</v>
      </c>
      <c r="P147" s="249" t="s">
        <v>4202</v>
      </c>
    </row>
    <row r="148" spans="2:16" ht="12.75" customHeight="1" x14ac:dyDescent="0.25">
      <c r="B148" s="295" t="s">
        <v>4190</v>
      </c>
      <c r="C148" s="249" t="s">
        <v>4174</v>
      </c>
      <c r="D148" s="231" t="s">
        <v>197</v>
      </c>
      <c r="E148" s="249">
        <v>20</v>
      </c>
      <c r="F148" s="299">
        <v>1081</v>
      </c>
      <c r="G148" s="299">
        <f t="shared" si="5"/>
        <v>21620</v>
      </c>
      <c r="H148" s="235">
        <v>9</v>
      </c>
      <c r="I148" s="60"/>
      <c r="J148" s="60"/>
      <c r="K148" s="60"/>
      <c r="L148" s="60"/>
      <c r="M148" s="60"/>
      <c r="N148" s="224">
        <f>SUM(H148:M148)</f>
        <v>9</v>
      </c>
      <c r="O148" s="299">
        <f t="shared" si="8"/>
        <v>21629</v>
      </c>
      <c r="P148" s="249" t="s">
        <v>4203</v>
      </c>
    </row>
    <row r="149" spans="2:16" ht="12.75" customHeight="1" x14ac:dyDescent="0.25">
      <c r="B149" s="295" t="s">
        <v>4190</v>
      </c>
      <c r="C149" s="249" t="s">
        <v>4178</v>
      </c>
      <c r="D149" s="231" t="s">
        <v>197</v>
      </c>
      <c r="E149" s="249">
        <v>50</v>
      </c>
      <c r="F149" s="299">
        <v>399</v>
      </c>
      <c r="G149" s="299">
        <f t="shared" si="5"/>
        <v>19950</v>
      </c>
      <c r="H149" s="235">
        <v>9</v>
      </c>
      <c r="I149" s="60"/>
      <c r="J149" s="60"/>
      <c r="K149" s="60"/>
      <c r="L149" s="60"/>
      <c r="M149" s="60"/>
      <c r="N149" s="224">
        <f>SUM(H149:M149)</f>
        <v>9</v>
      </c>
      <c r="O149" s="299">
        <f t="shared" si="8"/>
        <v>19959</v>
      </c>
      <c r="P149" s="249" t="s">
        <v>4206</v>
      </c>
    </row>
    <row r="150" spans="2:16" ht="12.75" customHeight="1" x14ac:dyDescent="0.25">
      <c r="B150" s="295" t="s">
        <v>4190</v>
      </c>
      <c r="C150" s="249" t="s">
        <v>4179</v>
      </c>
      <c r="D150" s="231" t="s">
        <v>197</v>
      </c>
      <c r="E150" s="224">
        <v>100</v>
      </c>
      <c r="F150" s="299">
        <v>236</v>
      </c>
      <c r="G150" s="299">
        <f t="shared" si="5"/>
        <v>23600</v>
      </c>
      <c r="H150" s="235">
        <v>9</v>
      </c>
      <c r="I150" s="60"/>
      <c r="J150" s="60"/>
      <c r="K150" s="60"/>
      <c r="L150" s="60"/>
      <c r="M150" s="60"/>
      <c r="N150" s="224">
        <f>SUM(H150:M150)</f>
        <v>9</v>
      </c>
      <c r="O150" s="299">
        <f t="shared" si="8"/>
        <v>23609</v>
      </c>
      <c r="P150" s="249" t="s">
        <v>4207</v>
      </c>
    </row>
    <row r="151" spans="2:16" ht="12.75" customHeight="1" x14ac:dyDescent="0.25">
      <c r="B151" s="295" t="s">
        <v>4214</v>
      </c>
      <c r="C151" s="249" t="s">
        <v>4107</v>
      </c>
      <c r="D151" s="231" t="s">
        <v>197</v>
      </c>
      <c r="E151" s="249">
        <v>140</v>
      </c>
      <c r="F151" s="299">
        <v>175.4</v>
      </c>
      <c r="G151" s="299">
        <f t="shared" si="5"/>
        <v>24556</v>
      </c>
      <c r="N151" s="224">
        <f t="shared" ref="N151:N178" si="9">SUM(H151:M151)</f>
        <v>0</v>
      </c>
      <c r="O151" s="299">
        <f t="shared" si="8"/>
        <v>24556</v>
      </c>
      <c r="P151" s="249" t="s">
        <v>4215</v>
      </c>
    </row>
    <row r="152" spans="2:16" ht="12.75" customHeight="1" x14ac:dyDescent="0.25">
      <c r="B152" s="295" t="s">
        <v>4214</v>
      </c>
      <c r="C152" s="249" t="s">
        <v>4107</v>
      </c>
      <c r="D152" s="231" t="s">
        <v>197</v>
      </c>
      <c r="E152" s="249">
        <v>60</v>
      </c>
      <c r="F152" s="299">
        <v>175.4</v>
      </c>
      <c r="G152" s="299">
        <f t="shared" si="5"/>
        <v>10524</v>
      </c>
      <c r="H152" s="235">
        <v>9</v>
      </c>
      <c r="N152" s="224">
        <f t="shared" si="9"/>
        <v>9</v>
      </c>
      <c r="O152" s="299">
        <f t="shared" si="8"/>
        <v>10533</v>
      </c>
      <c r="P152" s="249" t="s">
        <v>4215</v>
      </c>
    </row>
    <row r="153" spans="2:16" ht="12.75" customHeight="1" x14ac:dyDescent="0.25">
      <c r="B153" s="295" t="s">
        <v>4211</v>
      </c>
      <c r="C153" s="249" t="s">
        <v>4185</v>
      </c>
      <c r="D153" s="231" t="s">
        <v>197</v>
      </c>
      <c r="E153" s="249">
        <v>500</v>
      </c>
      <c r="F153" s="299">
        <v>50.5</v>
      </c>
      <c r="G153" s="299">
        <f t="shared" si="5"/>
        <v>25250</v>
      </c>
      <c r="H153" s="235">
        <v>9</v>
      </c>
      <c r="N153" s="224">
        <f t="shared" si="9"/>
        <v>9</v>
      </c>
      <c r="O153" s="299">
        <f t="shared" si="8"/>
        <v>25259</v>
      </c>
      <c r="P153" s="249" t="s">
        <v>4217</v>
      </c>
    </row>
    <row r="154" spans="2:16" ht="12.75" customHeight="1" x14ac:dyDescent="0.25">
      <c r="B154" s="295" t="s">
        <v>4211</v>
      </c>
      <c r="C154" s="249" t="s">
        <v>4216</v>
      </c>
      <c r="D154" s="231" t="s">
        <v>197</v>
      </c>
      <c r="E154" s="249">
        <v>100</v>
      </c>
      <c r="F154" s="299">
        <v>332.4</v>
      </c>
      <c r="G154" s="299">
        <f t="shared" si="5"/>
        <v>33240</v>
      </c>
      <c r="H154" s="235">
        <v>9</v>
      </c>
      <c r="N154" s="224">
        <f t="shared" si="9"/>
        <v>9</v>
      </c>
      <c r="O154" s="299">
        <f t="shared" si="8"/>
        <v>33249</v>
      </c>
      <c r="P154" s="249" t="s">
        <v>4217</v>
      </c>
    </row>
    <row r="155" spans="2:16" ht="12.75" customHeight="1" x14ac:dyDescent="0.25">
      <c r="B155" s="295" t="s">
        <v>4211</v>
      </c>
      <c r="C155" s="249" t="s">
        <v>4216</v>
      </c>
      <c r="D155" s="231" t="s">
        <v>197</v>
      </c>
      <c r="E155" s="249">
        <v>100</v>
      </c>
      <c r="F155" s="299">
        <v>333</v>
      </c>
      <c r="G155" s="299">
        <f t="shared" si="5"/>
        <v>33300</v>
      </c>
      <c r="H155" s="235">
        <v>9</v>
      </c>
      <c r="N155" s="224">
        <f t="shared" si="9"/>
        <v>9</v>
      </c>
      <c r="O155" s="299">
        <f t="shared" si="8"/>
        <v>33309</v>
      </c>
      <c r="P155" s="249" t="s">
        <v>4217</v>
      </c>
    </row>
    <row r="156" spans="2:16" ht="12.75" customHeight="1" x14ac:dyDescent="0.25">
      <c r="B156" s="295" t="s">
        <v>4211</v>
      </c>
      <c r="C156" s="249" t="s">
        <v>4216</v>
      </c>
      <c r="D156" s="231" t="s">
        <v>197</v>
      </c>
      <c r="E156" s="249">
        <v>100</v>
      </c>
      <c r="F156" s="299">
        <v>333</v>
      </c>
      <c r="G156" s="299">
        <f t="shared" si="5"/>
        <v>33300</v>
      </c>
      <c r="H156" s="235">
        <v>9</v>
      </c>
      <c r="N156" s="224">
        <f t="shared" si="9"/>
        <v>9</v>
      </c>
      <c r="O156" s="299">
        <f t="shared" si="8"/>
        <v>33309</v>
      </c>
      <c r="P156" s="249" t="s">
        <v>4217</v>
      </c>
    </row>
    <row r="157" spans="2:16" ht="12.75" customHeight="1" x14ac:dyDescent="0.25">
      <c r="B157" s="295" t="s">
        <v>4211</v>
      </c>
      <c r="C157" s="249" t="s">
        <v>4178</v>
      </c>
      <c r="D157" s="231" t="s">
        <v>197</v>
      </c>
      <c r="E157" s="249">
        <v>70</v>
      </c>
      <c r="F157" s="299">
        <v>382</v>
      </c>
      <c r="G157" s="299">
        <f t="shared" si="5"/>
        <v>26740</v>
      </c>
      <c r="H157" s="235">
        <v>9</v>
      </c>
      <c r="I157" s="299">
        <v>11.25</v>
      </c>
      <c r="J157" s="299">
        <v>10.18</v>
      </c>
      <c r="K157" s="299">
        <v>255</v>
      </c>
      <c r="L157" s="299">
        <v>0.31</v>
      </c>
      <c r="M157" s="299">
        <v>18.79</v>
      </c>
      <c r="N157" s="224">
        <f t="shared" si="9"/>
        <v>304.53000000000003</v>
      </c>
      <c r="O157" s="299">
        <f t="shared" si="8"/>
        <v>27044.53</v>
      </c>
      <c r="P157" s="249" t="s">
        <v>4217</v>
      </c>
    </row>
    <row r="158" spans="2:16" ht="12.75" customHeight="1" x14ac:dyDescent="0.25">
      <c r="B158" s="295" t="s">
        <v>4218</v>
      </c>
      <c r="C158" s="249" t="s">
        <v>4219</v>
      </c>
      <c r="D158" s="231" t="s">
        <v>197</v>
      </c>
      <c r="E158" s="249">
        <v>25</v>
      </c>
      <c r="F158" s="299">
        <v>241.5</v>
      </c>
      <c r="G158" s="299">
        <f t="shared" si="5"/>
        <v>6037.5</v>
      </c>
      <c r="H158" s="235">
        <v>9</v>
      </c>
      <c r="N158" s="224">
        <f t="shared" si="9"/>
        <v>9</v>
      </c>
      <c r="O158" s="299">
        <f t="shared" si="8"/>
        <v>6046.5</v>
      </c>
      <c r="P158" s="249" t="s">
        <v>4220</v>
      </c>
    </row>
    <row r="159" spans="2:16" ht="12.75" customHeight="1" x14ac:dyDescent="0.25">
      <c r="B159" s="295" t="s">
        <v>4218</v>
      </c>
      <c r="C159" s="249" t="s">
        <v>4219</v>
      </c>
      <c r="D159" s="231" t="s">
        <v>197</v>
      </c>
      <c r="E159" s="249">
        <v>65</v>
      </c>
      <c r="F159" s="299">
        <v>242.6</v>
      </c>
      <c r="G159" s="299">
        <f t="shared" si="5"/>
        <v>15769</v>
      </c>
      <c r="N159" s="224">
        <f t="shared" si="9"/>
        <v>0</v>
      </c>
      <c r="O159" s="299">
        <f t="shared" si="8"/>
        <v>15769</v>
      </c>
      <c r="P159" s="249" t="s">
        <v>4220</v>
      </c>
    </row>
    <row r="160" spans="2:16" ht="12.75" customHeight="1" x14ac:dyDescent="0.25">
      <c r="B160" s="295" t="s">
        <v>4218</v>
      </c>
      <c r="C160" s="249" t="s">
        <v>4219</v>
      </c>
      <c r="D160" s="231" t="s">
        <v>197</v>
      </c>
      <c r="E160" s="249">
        <v>110</v>
      </c>
      <c r="F160" s="299">
        <v>239.7</v>
      </c>
      <c r="G160" s="299">
        <f t="shared" si="5"/>
        <v>26367</v>
      </c>
      <c r="H160" s="235">
        <v>9</v>
      </c>
      <c r="N160" s="224">
        <f t="shared" si="9"/>
        <v>9</v>
      </c>
      <c r="O160" s="299">
        <f t="shared" si="8"/>
        <v>26376</v>
      </c>
      <c r="P160" s="249" t="s">
        <v>4220</v>
      </c>
    </row>
    <row r="161" spans="2:16" ht="12.75" customHeight="1" x14ac:dyDescent="0.25">
      <c r="B161" s="295" t="s">
        <v>4218</v>
      </c>
      <c r="C161" s="249" t="s">
        <v>4156</v>
      </c>
      <c r="D161" s="231" t="s">
        <v>197</v>
      </c>
      <c r="E161" s="249">
        <v>60</v>
      </c>
      <c r="F161" s="299">
        <v>335</v>
      </c>
      <c r="G161" s="299">
        <f t="shared" si="5"/>
        <v>20100</v>
      </c>
      <c r="H161" s="235">
        <v>9</v>
      </c>
      <c r="N161" s="224">
        <f t="shared" si="9"/>
        <v>9</v>
      </c>
      <c r="O161" s="299">
        <f t="shared" si="8"/>
        <v>20109</v>
      </c>
      <c r="P161" s="249" t="s">
        <v>4220</v>
      </c>
    </row>
    <row r="162" spans="2:16" ht="12.75" customHeight="1" x14ac:dyDescent="0.25">
      <c r="B162" s="729" t="s">
        <v>4221</v>
      </c>
      <c r="C162" s="249" t="s">
        <v>4156</v>
      </c>
      <c r="D162" s="231" t="s">
        <v>197</v>
      </c>
      <c r="E162" s="249">
        <v>75</v>
      </c>
      <c r="F162" s="299">
        <v>330.5</v>
      </c>
      <c r="G162" s="299">
        <f t="shared" si="5"/>
        <v>24787.5</v>
      </c>
      <c r="H162" s="235">
        <v>9</v>
      </c>
      <c r="N162" s="224">
        <f t="shared" si="9"/>
        <v>9</v>
      </c>
      <c r="O162" s="299">
        <f t="shared" si="8"/>
        <v>24796.5</v>
      </c>
      <c r="P162" s="249" t="s">
        <v>4225</v>
      </c>
    </row>
    <row r="163" spans="2:16" ht="12.75" customHeight="1" x14ac:dyDescent="0.25">
      <c r="B163" s="729" t="s">
        <v>4221</v>
      </c>
      <c r="C163" s="249" t="s">
        <v>4224</v>
      </c>
      <c r="D163" s="231" t="s">
        <v>197</v>
      </c>
      <c r="E163" s="249">
        <v>14</v>
      </c>
      <c r="F163" s="299">
        <v>1035</v>
      </c>
      <c r="G163" s="299">
        <f t="shared" si="5"/>
        <v>14490</v>
      </c>
      <c r="H163" s="235">
        <v>9</v>
      </c>
      <c r="N163" s="224">
        <f t="shared" si="9"/>
        <v>9</v>
      </c>
      <c r="O163" s="299">
        <f t="shared" si="8"/>
        <v>14499</v>
      </c>
      <c r="P163" s="249" t="s">
        <v>4225</v>
      </c>
    </row>
    <row r="164" spans="2:16" ht="12.75" customHeight="1" x14ac:dyDescent="0.25">
      <c r="B164" s="729" t="s">
        <v>4221</v>
      </c>
      <c r="C164" s="249" t="s">
        <v>4224</v>
      </c>
      <c r="D164" s="231" t="s">
        <v>197</v>
      </c>
      <c r="E164" s="249">
        <v>10</v>
      </c>
      <c r="F164" s="299">
        <v>1034.75</v>
      </c>
      <c r="G164" s="299">
        <f t="shared" si="5"/>
        <v>10347.5</v>
      </c>
      <c r="N164" s="224">
        <f t="shared" si="9"/>
        <v>0</v>
      </c>
      <c r="O164" s="299">
        <f t="shared" si="8"/>
        <v>10347.5</v>
      </c>
      <c r="P164" s="249" t="s">
        <v>4225</v>
      </c>
    </row>
    <row r="165" spans="2:16" ht="12.75" customHeight="1" x14ac:dyDescent="0.25">
      <c r="B165" s="729" t="s">
        <v>4221</v>
      </c>
      <c r="C165" s="249" t="s">
        <v>4216</v>
      </c>
      <c r="D165" s="231" t="s">
        <v>197</v>
      </c>
      <c r="E165" s="249">
        <v>70</v>
      </c>
      <c r="F165" s="299">
        <v>342.05</v>
      </c>
      <c r="G165" s="299">
        <f t="shared" si="5"/>
        <v>23943.5</v>
      </c>
      <c r="H165" s="235">
        <v>9</v>
      </c>
      <c r="I165" s="299">
        <v>7.25</v>
      </c>
      <c r="J165" s="299">
        <v>4.76</v>
      </c>
      <c r="K165" s="299">
        <v>103</v>
      </c>
      <c r="L165" s="299">
        <v>0.15</v>
      </c>
      <c r="M165" s="299">
        <v>8.7899999999999991</v>
      </c>
      <c r="N165" s="224">
        <f t="shared" si="9"/>
        <v>132.94999999999999</v>
      </c>
      <c r="O165" s="299">
        <f t="shared" si="8"/>
        <v>24076.45</v>
      </c>
      <c r="P165" s="249" t="s">
        <v>4225</v>
      </c>
    </row>
    <row r="166" spans="2:16" ht="12.75" customHeight="1" x14ac:dyDescent="0.25">
      <c r="B166" s="729" t="s">
        <v>4226</v>
      </c>
      <c r="C166" s="730" t="s">
        <v>4216</v>
      </c>
      <c r="D166" s="731" t="s">
        <v>197</v>
      </c>
      <c r="E166" s="249">
        <v>65</v>
      </c>
      <c r="F166" s="299">
        <v>338</v>
      </c>
      <c r="G166" s="299">
        <f t="shared" si="5"/>
        <v>21970</v>
      </c>
      <c r="H166" s="235">
        <v>9</v>
      </c>
      <c r="N166" s="224">
        <f t="shared" si="9"/>
        <v>9</v>
      </c>
      <c r="O166" s="299">
        <f t="shared" si="8"/>
        <v>21979</v>
      </c>
      <c r="P166" s="730" t="s">
        <v>4230</v>
      </c>
    </row>
    <row r="167" spans="2:16" ht="12.75" customHeight="1" x14ac:dyDescent="0.25">
      <c r="B167" s="729" t="s">
        <v>4226</v>
      </c>
      <c r="C167" s="730" t="s">
        <v>4216</v>
      </c>
      <c r="D167" s="731" t="s">
        <v>197</v>
      </c>
      <c r="E167" s="249">
        <v>130</v>
      </c>
      <c r="F167" s="299">
        <v>331</v>
      </c>
      <c r="G167" s="299">
        <f t="shared" si="5"/>
        <v>43030</v>
      </c>
      <c r="H167" s="235">
        <v>9</v>
      </c>
      <c r="I167" s="299">
        <v>4.97</v>
      </c>
      <c r="J167" s="299">
        <v>4.26</v>
      </c>
      <c r="K167" s="299">
        <v>131</v>
      </c>
      <c r="L167" s="299">
        <v>0.13</v>
      </c>
      <c r="M167" s="299">
        <v>7.87</v>
      </c>
      <c r="N167" s="224">
        <f t="shared" si="9"/>
        <v>157.22999999999999</v>
      </c>
      <c r="O167" s="299">
        <f t="shared" si="8"/>
        <v>43187.23</v>
      </c>
      <c r="P167" s="730" t="s">
        <v>4230</v>
      </c>
    </row>
    <row r="168" spans="2:16" ht="12.75" customHeight="1" x14ac:dyDescent="0.25">
      <c r="B168" s="729" t="s">
        <v>4231</v>
      </c>
      <c r="C168" s="730" t="s">
        <v>4185</v>
      </c>
      <c r="D168" s="731" t="s">
        <v>197</v>
      </c>
      <c r="E168" s="249">
        <v>750</v>
      </c>
      <c r="F168" s="299">
        <v>47</v>
      </c>
      <c r="G168" s="299">
        <f t="shared" ref="G168:G178" si="10">E168*F168</f>
        <v>35250</v>
      </c>
      <c r="H168" s="235">
        <v>9</v>
      </c>
      <c r="N168" s="224">
        <f t="shared" si="9"/>
        <v>9</v>
      </c>
      <c r="O168" s="299">
        <f t="shared" si="8"/>
        <v>35259</v>
      </c>
      <c r="P168" s="730" t="s">
        <v>4233</v>
      </c>
    </row>
    <row r="169" spans="2:16" ht="12.75" customHeight="1" x14ac:dyDescent="0.25">
      <c r="B169" s="729" t="s">
        <v>4231</v>
      </c>
      <c r="C169" s="730" t="s">
        <v>4232</v>
      </c>
      <c r="D169" s="731" t="s">
        <v>197</v>
      </c>
      <c r="E169" s="249">
        <v>50</v>
      </c>
      <c r="F169" s="299">
        <v>65.3</v>
      </c>
      <c r="G169" s="299">
        <f t="shared" si="10"/>
        <v>3265</v>
      </c>
      <c r="H169" s="235">
        <v>9</v>
      </c>
      <c r="N169" s="224">
        <f t="shared" si="9"/>
        <v>9</v>
      </c>
      <c r="O169" s="299">
        <f t="shared" si="8"/>
        <v>3274</v>
      </c>
      <c r="P169" s="730" t="s">
        <v>4233</v>
      </c>
    </row>
    <row r="170" spans="2:16" ht="12.75" customHeight="1" x14ac:dyDescent="0.25">
      <c r="B170" s="729" t="s">
        <v>4231</v>
      </c>
      <c r="C170" s="730" t="s">
        <v>4232</v>
      </c>
      <c r="D170" s="731" t="s">
        <v>197</v>
      </c>
      <c r="E170" s="249">
        <v>500</v>
      </c>
      <c r="F170" s="299">
        <v>65.55</v>
      </c>
      <c r="G170" s="299">
        <f t="shared" si="10"/>
        <v>32775</v>
      </c>
      <c r="H170" s="235">
        <v>9</v>
      </c>
      <c r="N170" s="224">
        <f t="shared" si="9"/>
        <v>9</v>
      </c>
      <c r="O170" s="299">
        <f t="shared" si="8"/>
        <v>32784</v>
      </c>
      <c r="P170" s="730" t="s">
        <v>4233</v>
      </c>
    </row>
    <row r="171" spans="2:16" ht="12.75" customHeight="1" x14ac:dyDescent="0.25">
      <c r="B171" s="729" t="s">
        <v>4235</v>
      </c>
      <c r="C171" s="730" t="s">
        <v>4236</v>
      </c>
      <c r="D171" s="731" t="s">
        <v>197</v>
      </c>
      <c r="E171" s="249">
        <v>170</v>
      </c>
      <c r="F171" s="299">
        <v>131.30000000000001</v>
      </c>
      <c r="G171" s="299">
        <f t="shared" si="10"/>
        <v>22321.000000000004</v>
      </c>
      <c r="H171" s="235">
        <v>9</v>
      </c>
      <c r="N171" s="224">
        <f t="shared" si="9"/>
        <v>9</v>
      </c>
      <c r="O171" s="299">
        <f t="shared" si="8"/>
        <v>22330.000000000004</v>
      </c>
      <c r="P171" s="730" t="s">
        <v>4237</v>
      </c>
    </row>
    <row r="172" spans="2:16" ht="12.75" customHeight="1" x14ac:dyDescent="0.25">
      <c r="B172" s="729" t="s">
        <v>4235</v>
      </c>
      <c r="C172" s="730" t="s">
        <v>4224</v>
      </c>
      <c r="D172" s="731" t="s">
        <v>197</v>
      </c>
      <c r="E172" s="249">
        <v>33</v>
      </c>
      <c r="F172" s="299">
        <v>927.1</v>
      </c>
      <c r="G172" s="299">
        <f t="shared" si="10"/>
        <v>30594.3</v>
      </c>
      <c r="H172" s="235">
        <v>9</v>
      </c>
      <c r="N172" s="224">
        <f t="shared" si="9"/>
        <v>9</v>
      </c>
      <c r="O172" s="299">
        <f t="shared" si="8"/>
        <v>30603.3</v>
      </c>
      <c r="P172" s="730" t="s">
        <v>4237</v>
      </c>
    </row>
    <row r="173" spans="2:16" ht="12.75" customHeight="1" x14ac:dyDescent="0.25">
      <c r="B173" s="729" t="s">
        <v>4238</v>
      </c>
      <c r="C173" s="730" t="s">
        <v>1213</v>
      </c>
      <c r="D173" s="731" t="s">
        <v>197</v>
      </c>
      <c r="E173" s="249">
        <v>58</v>
      </c>
      <c r="F173" s="299">
        <v>174.6</v>
      </c>
      <c r="G173" s="299">
        <f t="shared" si="10"/>
        <v>10126.799999999999</v>
      </c>
      <c r="H173" s="235">
        <v>9</v>
      </c>
      <c r="N173" s="224">
        <f t="shared" si="9"/>
        <v>9</v>
      </c>
      <c r="O173" s="299">
        <f t="shared" si="8"/>
        <v>10135.799999999999</v>
      </c>
      <c r="P173" s="730" t="s">
        <v>4239</v>
      </c>
    </row>
    <row r="174" spans="2:16" ht="12.75" customHeight="1" x14ac:dyDescent="0.25">
      <c r="B174" s="729" t="s">
        <v>4238</v>
      </c>
      <c r="C174" s="730" t="s">
        <v>1213</v>
      </c>
      <c r="D174" s="731" t="s">
        <v>197</v>
      </c>
      <c r="E174" s="249">
        <v>58</v>
      </c>
      <c r="F174" s="299">
        <v>174.65</v>
      </c>
      <c r="G174" s="299">
        <f t="shared" si="10"/>
        <v>10129.700000000001</v>
      </c>
      <c r="N174" s="224">
        <f t="shared" si="9"/>
        <v>0</v>
      </c>
      <c r="O174" s="299">
        <f t="shared" si="8"/>
        <v>10129.700000000001</v>
      </c>
      <c r="P174" s="730" t="s">
        <v>4239</v>
      </c>
    </row>
    <row r="175" spans="2:16" ht="12.75" customHeight="1" x14ac:dyDescent="0.25">
      <c r="B175" s="729" t="s">
        <v>4238</v>
      </c>
      <c r="C175" s="730" t="s">
        <v>1213</v>
      </c>
      <c r="D175" s="731" t="s">
        <v>197</v>
      </c>
      <c r="E175" s="249">
        <v>4</v>
      </c>
      <c r="F175" s="299">
        <v>174.7</v>
      </c>
      <c r="G175" s="299">
        <f t="shared" si="10"/>
        <v>698.8</v>
      </c>
      <c r="I175" s="299">
        <v>2.39</v>
      </c>
      <c r="J175" s="299">
        <v>1.38</v>
      </c>
      <c r="K175" s="299">
        <v>43</v>
      </c>
      <c r="L175" s="299">
        <v>0.04</v>
      </c>
      <c r="M175" s="299">
        <v>2.5499999999999998</v>
      </c>
      <c r="N175" s="224">
        <f t="shared" si="9"/>
        <v>49.36</v>
      </c>
      <c r="O175" s="299">
        <f t="shared" si="8"/>
        <v>748.16</v>
      </c>
      <c r="P175" s="730" t="s">
        <v>4239</v>
      </c>
    </row>
    <row r="176" spans="2:16" ht="12.75" customHeight="1" x14ac:dyDescent="0.25">
      <c r="B176" s="729" t="s">
        <v>4240</v>
      </c>
      <c r="C176" s="730" t="s">
        <v>1213</v>
      </c>
      <c r="D176" s="731" t="s">
        <v>197</v>
      </c>
      <c r="E176" s="249">
        <v>180</v>
      </c>
      <c r="F176" s="299">
        <v>179.45</v>
      </c>
      <c r="G176" s="299">
        <f t="shared" si="10"/>
        <v>32300.999999999996</v>
      </c>
      <c r="H176" s="235">
        <v>9</v>
      </c>
      <c r="N176" s="224">
        <f t="shared" si="9"/>
        <v>9</v>
      </c>
      <c r="O176" s="299">
        <f t="shared" si="8"/>
        <v>32309.999999999996</v>
      </c>
      <c r="P176" s="730" t="s">
        <v>4241</v>
      </c>
    </row>
    <row r="177" spans="2:16" ht="12.75" customHeight="1" x14ac:dyDescent="0.25">
      <c r="B177" s="729" t="s">
        <v>4240</v>
      </c>
      <c r="C177" s="730" t="s">
        <v>4224</v>
      </c>
      <c r="D177" s="731" t="s">
        <v>197</v>
      </c>
      <c r="E177" s="249">
        <v>58</v>
      </c>
      <c r="F177" s="299">
        <v>933.6</v>
      </c>
      <c r="G177" s="299">
        <f t="shared" si="10"/>
        <v>54148.800000000003</v>
      </c>
      <c r="H177" s="235">
        <v>9</v>
      </c>
      <c r="N177" s="224">
        <f t="shared" si="9"/>
        <v>9</v>
      </c>
      <c r="O177" s="299">
        <f t="shared" si="8"/>
        <v>54157.8</v>
      </c>
      <c r="P177" s="730" t="s">
        <v>4241</v>
      </c>
    </row>
    <row r="178" spans="2:16" ht="12.75" customHeight="1" x14ac:dyDescent="0.25">
      <c r="B178" s="729" t="s">
        <v>4240</v>
      </c>
      <c r="C178" s="730" t="s">
        <v>4224</v>
      </c>
      <c r="D178" s="731" t="s">
        <v>197</v>
      </c>
      <c r="E178" s="249">
        <v>35</v>
      </c>
      <c r="F178" s="299">
        <v>934</v>
      </c>
      <c r="G178" s="299">
        <f t="shared" si="10"/>
        <v>32690</v>
      </c>
      <c r="H178" s="235">
        <v>9</v>
      </c>
      <c r="I178" s="299">
        <v>7.62</v>
      </c>
      <c r="J178" s="299">
        <v>7.75</v>
      </c>
      <c r="K178" s="299">
        <v>182</v>
      </c>
      <c r="L178" s="299">
        <v>0.24</v>
      </c>
      <c r="M178" s="299">
        <v>14.3</v>
      </c>
      <c r="N178" s="224">
        <f t="shared" si="9"/>
        <v>220.91000000000003</v>
      </c>
      <c r="O178" s="299">
        <f t="shared" si="8"/>
        <v>32910.910000000003</v>
      </c>
      <c r="P178" s="730" t="s">
        <v>4241</v>
      </c>
    </row>
    <row r="184" spans="2:16" ht="12.75" customHeight="1" x14ac:dyDescent="0.25">
      <c r="B184" s="350"/>
      <c r="C184" s="542"/>
      <c r="D184" s="229"/>
      <c r="E184" s="542"/>
      <c r="F184" s="246"/>
      <c r="G184" s="246"/>
      <c r="H184" s="230"/>
      <c r="I184" s="246"/>
      <c r="J184" s="243"/>
      <c r="K184" s="243"/>
      <c r="N184" s="257" t="s">
        <v>2121</v>
      </c>
      <c r="O184" s="257">
        <f>SUM(O40:O182)</f>
        <v>2414791.11</v>
      </c>
    </row>
    <row r="198" spans="1:18" ht="12.75" customHeight="1" x14ac:dyDescent="0.25">
      <c r="B198" s="350"/>
      <c r="C198" s="542"/>
      <c r="D198" s="229"/>
      <c r="E198" s="542"/>
      <c r="F198" s="246"/>
      <c r="G198" s="246"/>
      <c r="H198" s="230"/>
      <c r="I198" s="246"/>
      <c r="J198" s="246"/>
      <c r="K198" s="246"/>
      <c r="L198" s="246"/>
      <c r="M198" s="246"/>
      <c r="N198" s="245"/>
    </row>
    <row r="199" spans="1:18" ht="12.75" customHeight="1" x14ac:dyDescent="0.25">
      <c r="B199" s="350"/>
      <c r="C199" s="542"/>
      <c r="D199" s="229"/>
      <c r="E199" s="542"/>
      <c r="F199" s="246"/>
      <c r="G199" s="246"/>
      <c r="H199" s="230"/>
      <c r="I199" s="246"/>
      <c r="J199" s="246"/>
      <c r="K199" s="246"/>
      <c r="L199" s="246"/>
      <c r="M199" s="246"/>
      <c r="N199" s="245"/>
    </row>
    <row r="200" spans="1:18" ht="12.75" customHeight="1" x14ac:dyDescent="0.25">
      <c r="B200" s="734" t="s">
        <v>184</v>
      </c>
      <c r="C200" s="735" t="s">
        <v>2079</v>
      </c>
      <c r="D200" s="736" t="s">
        <v>186</v>
      </c>
      <c r="E200" s="735" t="s">
        <v>469</v>
      </c>
      <c r="F200" s="737" t="s">
        <v>188</v>
      </c>
      <c r="G200" s="737" t="s">
        <v>470</v>
      </c>
      <c r="H200" s="738" t="s">
        <v>471</v>
      </c>
      <c r="I200" s="739" t="s">
        <v>3368</v>
      </c>
      <c r="J200" s="739" t="s">
        <v>3367</v>
      </c>
      <c r="K200" s="739" t="s">
        <v>893</v>
      </c>
      <c r="L200" s="739" t="s">
        <v>3370</v>
      </c>
      <c r="M200" s="739" t="s">
        <v>2247</v>
      </c>
      <c r="N200" s="738" t="s">
        <v>3371</v>
      </c>
      <c r="O200" s="738" t="s">
        <v>3372</v>
      </c>
      <c r="P200" s="736" t="s">
        <v>1212</v>
      </c>
    </row>
    <row r="201" spans="1:18" s="231" customFormat="1" ht="13.2" x14ac:dyDescent="0.25">
      <c r="A201" s="250"/>
      <c r="B201" s="298" t="s">
        <v>3373</v>
      </c>
      <c r="C201" s="529" t="s">
        <v>3364</v>
      </c>
      <c r="D201" s="608" t="s">
        <v>369</v>
      </c>
      <c r="E201" s="2">
        <v>150</v>
      </c>
      <c r="F201" s="60">
        <v>138.9</v>
      </c>
      <c r="G201" s="60">
        <f t="shared" ref="G201:G264" si="11">E201*F201</f>
        <v>20835</v>
      </c>
      <c r="H201" s="235">
        <v>9</v>
      </c>
      <c r="I201" s="249"/>
      <c r="J201" s="249"/>
      <c r="K201" s="249"/>
      <c r="L201" s="249"/>
      <c r="M201" s="249"/>
      <c r="N201" s="60">
        <f t="shared" ref="N201:N247" si="12">SUM(H201:M201)</f>
        <v>9</v>
      </c>
      <c r="O201" s="299">
        <f t="shared" ref="O201:O215" si="13">G201-N201</f>
        <v>20826</v>
      </c>
      <c r="P201" s="529" t="s">
        <v>3374</v>
      </c>
    </row>
    <row r="202" spans="1:18" ht="12.75" customHeight="1" x14ac:dyDescent="0.25">
      <c r="B202" s="298" t="s">
        <v>3373</v>
      </c>
      <c r="C202" s="529" t="s">
        <v>3365</v>
      </c>
      <c r="D202" s="608" t="s">
        <v>369</v>
      </c>
      <c r="E202" s="2">
        <v>1300</v>
      </c>
      <c r="F202" s="60">
        <v>15.1</v>
      </c>
      <c r="G202" s="60">
        <f t="shared" si="11"/>
        <v>19630</v>
      </c>
      <c r="H202" s="235">
        <v>9</v>
      </c>
      <c r="I202" s="249">
        <v>2.38</v>
      </c>
      <c r="J202" s="249">
        <v>1.32</v>
      </c>
      <c r="K202" s="249">
        <v>40</v>
      </c>
      <c r="L202" s="249">
        <v>0.04</v>
      </c>
      <c r="M202" s="249">
        <v>2.4300000000000002</v>
      </c>
      <c r="N202" s="60">
        <f t="shared" si="12"/>
        <v>55.17</v>
      </c>
      <c r="O202" s="299">
        <f t="shared" si="13"/>
        <v>19574.830000000002</v>
      </c>
      <c r="P202" s="529" t="s">
        <v>3374</v>
      </c>
    </row>
    <row r="203" spans="1:18" ht="12.75" customHeight="1" x14ac:dyDescent="0.25">
      <c r="B203" s="298" t="s">
        <v>4046</v>
      </c>
      <c r="C203" s="529" t="s">
        <v>4048</v>
      </c>
      <c r="D203" s="608" t="s">
        <v>369</v>
      </c>
      <c r="E203" s="2">
        <v>100</v>
      </c>
      <c r="F203" s="60">
        <v>161.6</v>
      </c>
      <c r="G203" s="60">
        <f t="shared" si="11"/>
        <v>16160</v>
      </c>
      <c r="H203" s="235">
        <v>9</v>
      </c>
      <c r="I203" s="249"/>
      <c r="J203" s="249"/>
      <c r="K203" s="249"/>
      <c r="L203" s="249"/>
      <c r="M203" s="249"/>
      <c r="N203" s="60">
        <f t="shared" si="12"/>
        <v>9</v>
      </c>
      <c r="O203" s="299">
        <f t="shared" si="13"/>
        <v>16151</v>
      </c>
      <c r="P203" s="529" t="s">
        <v>4051</v>
      </c>
    </row>
    <row r="204" spans="1:18" s="231" customFormat="1" ht="13.2" x14ac:dyDescent="0.25">
      <c r="A204" s="250"/>
      <c r="B204" s="298" t="s">
        <v>4046</v>
      </c>
      <c r="C204" s="529" t="s">
        <v>4049</v>
      </c>
      <c r="D204" s="608" t="s">
        <v>369</v>
      </c>
      <c r="E204" s="2">
        <v>14</v>
      </c>
      <c r="F204" s="60">
        <v>423.75</v>
      </c>
      <c r="G204" s="60">
        <f t="shared" si="11"/>
        <v>5932.5</v>
      </c>
      <c r="H204" s="235">
        <v>9</v>
      </c>
      <c r="I204" s="60"/>
      <c r="J204" s="60"/>
      <c r="K204" s="60"/>
      <c r="L204" s="60"/>
      <c r="M204" s="299"/>
      <c r="N204" s="60">
        <f t="shared" si="12"/>
        <v>9</v>
      </c>
      <c r="O204" s="299">
        <f t="shared" si="13"/>
        <v>5923.5</v>
      </c>
      <c r="P204" s="529" t="s">
        <v>4051</v>
      </c>
    </row>
    <row r="205" spans="1:18" s="231" customFormat="1" ht="13.2" x14ac:dyDescent="0.25">
      <c r="A205" s="250"/>
      <c r="B205" s="298" t="s">
        <v>4046</v>
      </c>
      <c r="C205" s="529" t="s">
        <v>4049</v>
      </c>
      <c r="D205" s="608" t="s">
        <v>369</v>
      </c>
      <c r="E205" s="2">
        <v>35</v>
      </c>
      <c r="F205" s="60">
        <v>424.7</v>
      </c>
      <c r="G205" s="60">
        <f t="shared" si="11"/>
        <v>14864.5</v>
      </c>
      <c r="H205" s="235">
        <v>9</v>
      </c>
      <c r="I205" s="60"/>
      <c r="J205" s="60"/>
      <c r="K205" s="60"/>
      <c r="L205" s="60"/>
      <c r="M205" s="299"/>
      <c r="N205" s="60">
        <f t="shared" si="12"/>
        <v>9</v>
      </c>
      <c r="O205" s="299">
        <f t="shared" si="13"/>
        <v>14855.5</v>
      </c>
      <c r="P205" s="529" t="s">
        <v>4051</v>
      </c>
      <c r="Q205" s="91"/>
      <c r="R205" s="91"/>
    </row>
    <row r="206" spans="1:18" s="231" customFormat="1" ht="13.2" x14ac:dyDescent="0.25">
      <c r="A206" s="250"/>
      <c r="B206" s="298" t="s">
        <v>4046</v>
      </c>
      <c r="C206" s="529" t="s">
        <v>4049</v>
      </c>
      <c r="D206" s="608" t="s">
        <v>369</v>
      </c>
      <c r="E206" s="2">
        <v>21</v>
      </c>
      <c r="F206" s="60">
        <v>423.65</v>
      </c>
      <c r="G206" s="60">
        <f t="shared" si="11"/>
        <v>8896.65</v>
      </c>
      <c r="H206" s="235">
        <v>9</v>
      </c>
      <c r="I206" s="60"/>
      <c r="J206" s="60"/>
      <c r="K206" s="60"/>
      <c r="L206" s="60"/>
      <c r="M206" s="299"/>
      <c r="N206" s="60">
        <f t="shared" si="12"/>
        <v>9</v>
      </c>
      <c r="O206" s="299">
        <f t="shared" si="13"/>
        <v>8887.65</v>
      </c>
      <c r="P206" s="529" t="s">
        <v>4051</v>
      </c>
      <c r="Q206" s="91"/>
      <c r="R206" s="91"/>
    </row>
    <row r="207" spans="1:18" s="231" customFormat="1" ht="13.2" x14ac:dyDescent="0.25">
      <c r="A207" s="250"/>
      <c r="B207" s="298" t="s">
        <v>4050</v>
      </c>
      <c r="C207" s="529" t="s">
        <v>4048</v>
      </c>
      <c r="D207" s="608" t="s">
        <v>369</v>
      </c>
      <c r="E207" s="2">
        <v>100</v>
      </c>
      <c r="F207" s="60">
        <v>148.55000000000001</v>
      </c>
      <c r="G207" s="60">
        <f t="shared" si="11"/>
        <v>14855.000000000002</v>
      </c>
      <c r="H207" s="234">
        <v>9</v>
      </c>
      <c r="I207" s="60"/>
      <c r="J207" s="60"/>
      <c r="K207" s="60"/>
      <c r="L207" s="60"/>
      <c r="M207" s="299"/>
      <c r="N207" s="60">
        <f t="shared" si="12"/>
        <v>9</v>
      </c>
      <c r="O207" s="299">
        <f t="shared" si="13"/>
        <v>14846.000000000002</v>
      </c>
      <c r="P207" s="249" t="s">
        <v>4052</v>
      </c>
    </row>
    <row r="208" spans="1:18" s="231" customFormat="1" ht="13.2" x14ac:dyDescent="0.25">
      <c r="A208" s="250"/>
      <c r="B208" s="298" t="s">
        <v>4080</v>
      </c>
      <c r="C208" s="529" t="s">
        <v>4055</v>
      </c>
      <c r="D208" s="608" t="s">
        <v>369</v>
      </c>
      <c r="E208" s="2">
        <v>20</v>
      </c>
      <c r="F208" s="60">
        <v>173.55</v>
      </c>
      <c r="G208" s="60">
        <f t="shared" si="11"/>
        <v>3471</v>
      </c>
      <c r="H208" s="234">
        <v>9</v>
      </c>
      <c r="I208" s="60"/>
      <c r="J208" s="60"/>
      <c r="K208" s="60"/>
      <c r="L208" s="60"/>
      <c r="M208" s="299"/>
      <c r="N208" s="60">
        <f t="shared" si="12"/>
        <v>9</v>
      </c>
      <c r="O208" s="299">
        <f t="shared" si="13"/>
        <v>3462</v>
      </c>
      <c r="P208" s="2" t="s">
        <v>4057</v>
      </c>
    </row>
    <row r="209" spans="1:16" s="231" customFormat="1" ht="13.2" x14ac:dyDescent="0.25">
      <c r="A209" s="250"/>
      <c r="B209" s="298" t="s">
        <v>4080</v>
      </c>
      <c r="C209" s="529" t="s">
        <v>4049</v>
      </c>
      <c r="D209" s="608" t="s">
        <v>369</v>
      </c>
      <c r="E209" s="2">
        <v>70</v>
      </c>
      <c r="F209" s="60">
        <v>455</v>
      </c>
      <c r="G209" s="60">
        <f t="shared" si="11"/>
        <v>31850</v>
      </c>
      <c r="H209" s="234">
        <v>9</v>
      </c>
      <c r="I209" s="60"/>
      <c r="J209" s="60"/>
      <c r="K209" s="60"/>
      <c r="L209" s="60"/>
      <c r="M209" s="299"/>
      <c r="N209" s="60">
        <f t="shared" si="12"/>
        <v>9</v>
      </c>
      <c r="O209" s="299">
        <f t="shared" si="13"/>
        <v>31841</v>
      </c>
      <c r="P209" s="2" t="s">
        <v>4057</v>
      </c>
    </row>
    <row r="210" spans="1:16" ht="12.75" customHeight="1" x14ac:dyDescent="0.25">
      <c r="B210" s="295" t="s">
        <v>4081</v>
      </c>
      <c r="C210" s="249" t="s">
        <v>4056</v>
      </c>
      <c r="D210" s="231" t="s">
        <v>369</v>
      </c>
      <c r="E210" s="249">
        <v>15</v>
      </c>
      <c r="F210" s="299">
        <v>456.05</v>
      </c>
      <c r="G210" s="299">
        <f t="shared" si="11"/>
        <v>6840.75</v>
      </c>
      <c r="H210" s="235">
        <v>9</v>
      </c>
      <c r="N210" s="60">
        <f t="shared" si="12"/>
        <v>9</v>
      </c>
      <c r="O210" s="299">
        <f t="shared" si="13"/>
        <v>6831.75</v>
      </c>
      <c r="P210" s="249" t="s">
        <v>4062</v>
      </c>
    </row>
    <row r="211" spans="1:16" ht="12.75" customHeight="1" x14ac:dyDescent="0.25">
      <c r="B211" s="295" t="s">
        <v>4081</v>
      </c>
      <c r="C211" s="249" t="s">
        <v>4056</v>
      </c>
      <c r="D211" s="231" t="s">
        <v>369</v>
      </c>
      <c r="E211" s="249">
        <v>45</v>
      </c>
      <c r="F211" s="299">
        <v>456</v>
      </c>
      <c r="G211" s="299">
        <f t="shared" si="11"/>
        <v>20520</v>
      </c>
      <c r="N211" s="60">
        <f t="shared" si="12"/>
        <v>0</v>
      </c>
      <c r="O211" s="299">
        <f t="shared" si="13"/>
        <v>20520</v>
      </c>
      <c r="P211" s="249" t="s">
        <v>4062</v>
      </c>
    </row>
    <row r="212" spans="1:16" ht="12.75" customHeight="1" x14ac:dyDescent="0.25">
      <c r="B212" s="295" t="s">
        <v>4058</v>
      </c>
      <c r="C212" s="249" t="s">
        <v>1543</v>
      </c>
      <c r="D212" s="231" t="s">
        <v>369</v>
      </c>
      <c r="E212" s="249">
        <v>15</v>
      </c>
      <c r="F212" s="299">
        <v>1363.3</v>
      </c>
      <c r="G212" s="299">
        <f t="shared" si="11"/>
        <v>20449.5</v>
      </c>
      <c r="H212" s="235">
        <v>9</v>
      </c>
      <c r="N212" s="60">
        <f t="shared" si="12"/>
        <v>9</v>
      </c>
      <c r="O212" s="299">
        <f t="shared" si="13"/>
        <v>20440.5</v>
      </c>
      <c r="P212" s="249" t="s">
        <v>4066</v>
      </c>
    </row>
    <row r="213" spans="1:16" ht="12.75" customHeight="1" x14ac:dyDescent="0.25">
      <c r="B213" s="295" t="s">
        <v>4063</v>
      </c>
      <c r="C213" s="249" t="s">
        <v>4055</v>
      </c>
      <c r="D213" s="231" t="s">
        <v>369</v>
      </c>
      <c r="E213" s="249">
        <v>41</v>
      </c>
      <c r="F213" s="299">
        <v>166.5</v>
      </c>
      <c r="G213" s="299">
        <f t="shared" si="11"/>
        <v>6826.5</v>
      </c>
      <c r="H213" s="235">
        <v>9</v>
      </c>
      <c r="N213" s="60">
        <f t="shared" si="12"/>
        <v>9</v>
      </c>
      <c r="O213" s="299">
        <f t="shared" si="13"/>
        <v>6817.5</v>
      </c>
      <c r="P213" s="249" t="s">
        <v>4074</v>
      </c>
    </row>
    <row r="214" spans="1:16" ht="12.75" customHeight="1" x14ac:dyDescent="0.25">
      <c r="B214" s="295" t="s">
        <v>4063</v>
      </c>
      <c r="C214" s="249" t="s">
        <v>4055</v>
      </c>
      <c r="D214" s="231" t="s">
        <v>369</v>
      </c>
      <c r="E214" s="249">
        <v>4</v>
      </c>
      <c r="F214" s="299">
        <v>166.05</v>
      </c>
      <c r="G214" s="299">
        <f t="shared" si="11"/>
        <v>664.2</v>
      </c>
      <c r="N214" s="60">
        <f t="shared" si="12"/>
        <v>0</v>
      </c>
      <c r="O214" s="299">
        <f t="shared" si="13"/>
        <v>664.2</v>
      </c>
      <c r="P214" s="249" t="s">
        <v>4074</v>
      </c>
    </row>
    <row r="215" spans="1:16" ht="12.75" customHeight="1" x14ac:dyDescent="0.25">
      <c r="B215" s="295" t="s">
        <v>4063</v>
      </c>
      <c r="C215" s="249" t="s">
        <v>4060</v>
      </c>
      <c r="D215" s="231" t="s">
        <v>369</v>
      </c>
      <c r="E215" s="249">
        <v>5</v>
      </c>
      <c r="F215" s="299">
        <v>749.8</v>
      </c>
      <c r="G215" s="299">
        <f t="shared" si="11"/>
        <v>3749</v>
      </c>
      <c r="H215" s="235">
        <v>9</v>
      </c>
      <c r="N215" s="60">
        <f t="shared" si="12"/>
        <v>9</v>
      </c>
      <c r="O215" s="299">
        <f t="shared" si="13"/>
        <v>3740</v>
      </c>
      <c r="P215" s="249" t="s">
        <v>4074</v>
      </c>
    </row>
    <row r="216" spans="1:16" ht="12.75" customHeight="1" x14ac:dyDescent="0.25">
      <c r="B216" s="295" t="s">
        <v>4070</v>
      </c>
      <c r="C216" s="249" t="s">
        <v>4060</v>
      </c>
      <c r="D216" s="231" t="s">
        <v>369</v>
      </c>
      <c r="E216" s="249">
        <v>15</v>
      </c>
      <c r="F216" s="299">
        <v>740</v>
      </c>
      <c r="G216" s="299">
        <f t="shared" si="11"/>
        <v>11100</v>
      </c>
      <c r="H216" s="235">
        <v>9</v>
      </c>
      <c r="N216" s="60">
        <f t="shared" si="12"/>
        <v>9</v>
      </c>
      <c r="O216" s="531">
        <f>G216-N216</f>
        <v>11091</v>
      </c>
      <c r="P216" s="249" t="s">
        <v>4076</v>
      </c>
    </row>
    <row r="217" spans="1:16" ht="12.75" customHeight="1" x14ac:dyDescent="0.25">
      <c r="B217" s="295" t="s">
        <v>4072</v>
      </c>
      <c r="C217" s="249" t="s">
        <v>4056</v>
      </c>
      <c r="D217" s="231" t="s">
        <v>369</v>
      </c>
      <c r="E217" s="249">
        <v>2</v>
      </c>
      <c r="F217" s="299">
        <v>446</v>
      </c>
      <c r="G217" s="299">
        <f t="shared" si="11"/>
        <v>892</v>
      </c>
      <c r="N217" s="60">
        <f t="shared" si="12"/>
        <v>0</v>
      </c>
      <c r="O217" s="531">
        <f t="shared" ref="O217:O280" si="14">G217-N217</f>
        <v>892</v>
      </c>
      <c r="P217" s="249" t="s">
        <v>4079</v>
      </c>
    </row>
    <row r="218" spans="1:16" ht="12.75" customHeight="1" x14ac:dyDescent="0.25">
      <c r="B218" s="295" t="s">
        <v>4072</v>
      </c>
      <c r="C218" s="249" t="s">
        <v>4056</v>
      </c>
      <c r="D218" s="231" t="s">
        <v>369</v>
      </c>
      <c r="E218" s="249">
        <v>36</v>
      </c>
      <c r="F218" s="299">
        <v>446.5</v>
      </c>
      <c r="G218" s="299">
        <f t="shared" si="11"/>
        <v>16074</v>
      </c>
      <c r="N218" s="60">
        <f t="shared" si="12"/>
        <v>0</v>
      </c>
      <c r="O218" s="531">
        <f t="shared" si="14"/>
        <v>16074</v>
      </c>
      <c r="P218" s="249" t="s">
        <v>4079</v>
      </c>
    </row>
    <row r="219" spans="1:16" ht="12.75" customHeight="1" x14ac:dyDescent="0.25">
      <c r="B219" s="295" t="s">
        <v>4072</v>
      </c>
      <c r="C219" s="249" t="s">
        <v>4056</v>
      </c>
      <c r="D219" s="231" t="s">
        <v>369</v>
      </c>
      <c r="E219" s="249">
        <v>12</v>
      </c>
      <c r="F219" s="299">
        <v>446.25</v>
      </c>
      <c r="G219" s="299">
        <f t="shared" si="11"/>
        <v>5355</v>
      </c>
      <c r="N219" s="60">
        <f t="shared" si="12"/>
        <v>0</v>
      </c>
      <c r="O219" s="531">
        <f t="shared" si="14"/>
        <v>5355</v>
      </c>
      <c r="P219" s="249" t="s">
        <v>4079</v>
      </c>
    </row>
    <row r="220" spans="1:16" ht="12.75" customHeight="1" x14ac:dyDescent="0.25">
      <c r="B220" s="295" t="s">
        <v>4072</v>
      </c>
      <c r="C220" s="249" t="s">
        <v>4056</v>
      </c>
      <c r="D220" s="231" t="s">
        <v>369</v>
      </c>
      <c r="E220" s="249">
        <v>10</v>
      </c>
      <c r="F220" s="299">
        <v>446.15</v>
      </c>
      <c r="G220" s="299">
        <f t="shared" si="11"/>
        <v>4461.5</v>
      </c>
      <c r="N220" s="60">
        <f t="shared" si="12"/>
        <v>0</v>
      </c>
      <c r="O220" s="531">
        <f t="shared" si="14"/>
        <v>4461.5</v>
      </c>
      <c r="P220" s="249" t="s">
        <v>4079</v>
      </c>
    </row>
    <row r="221" spans="1:16" ht="12.75" customHeight="1" x14ac:dyDescent="0.25">
      <c r="B221" s="295" t="s">
        <v>4072</v>
      </c>
      <c r="C221" s="249" t="s">
        <v>4056</v>
      </c>
      <c r="D221" s="231" t="s">
        <v>369</v>
      </c>
      <c r="E221" s="249">
        <v>15</v>
      </c>
      <c r="F221" s="299">
        <v>446.3</v>
      </c>
      <c r="G221" s="299">
        <f t="shared" si="11"/>
        <v>6694.5</v>
      </c>
      <c r="H221" s="235">
        <v>9</v>
      </c>
      <c r="N221" s="60">
        <f t="shared" si="12"/>
        <v>9</v>
      </c>
      <c r="O221" s="531">
        <f t="shared" si="14"/>
        <v>6685.5</v>
      </c>
      <c r="P221" s="249" t="s">
        <v>4079</v>
      </c>
    </row>
    <row r="222" spans="1:16" ht="12.75" customHeight="1" x14ac:dyDescent="0.25">
      <c r="B222" s="295" t="s">
        <v>4075</v>
      </c>
      <c r="C222" s="249" t="s">
        <v>4064</v>
      </c>
      <c r="D222" s="231" t="s">
        <v>369</v>
      </c>
      <c r="E222" s="249">
        <v>5</v>
      </c>
      <c r="F222" s="299">
        <v>116</v>
      </c>
      <c r="G222" s="299">
        <f t="shared" si="11"/>
        <v>580</v>
      </c>
      <c r="H222" s="235">
        <v>9</v>
      </c>
      <c r="N222" s="60">
        <f t="shared" si="12"/>
        <v>9</v>
      </c>
      <c r="O222" s="531">
        <f t="shared" si="14"/>
        <v>571</v>
      </c>
      <c r="P222" s="249" t="s">
        <v>4084</v>
      </c>
    </row>
    <row r="223" spans="1:16" ht="12.75" customHeight="1" x14ac:dyDescent="0.25">
      <c r="B223" s="295" t="s">
        <v>4075</v>
      </c>
      <c r="C223" s="249" t="s">
        <v>4065</v>
      </c>
      <c r="D223" s="231" t="s">
        <v>369</v>
      </c>
      <c r="E223" s="249">
        <v>35</v>
      </c>
      <c r="F223" s="299">
        <v>524</v>
      </c>
      <c r="G223" s="299">
        <f t="shared" si="11"/>
        <v>18340</v>
      </c>
      <c r="H223" s="235">
        <v>9</v>
      </c>
      <c r="N223" s="60">
        <f t="shared" si="12"/>
        <v>9</v>
      </c>
      <c r="O223" s="531">
        <f t="shared" si="14"/>
        <v>18331</v>
      </c>
      <c r="P223" s="249" t="s">
        <v>4084</v>
      </c>
    </row>
    <row r="224" spans="1:16" ht="12.75" customHeight="1" x14ac:dyDescent="0.25">
      <c r="B224" s="295" t="s">
        <v>4075</v>
      </c>
      <c r="C224" s="249" t="s">
        <v>4078</v>
      </c>
      <c r="D224" s="231" t="s">
        <v>369</v>
      </c>
      <c r="E224" s="249">
        <v>75</v>
      </c>
      <c r="F224" s="299">
        <v>451.3</v>
      </c>
      <c r="G224" s="299">
        <f t="shared" si="11"/>
        <v>33847.5</v>
      </c>
      <c r="H224" s="235">
        <v>9</v>
      </c>
      <c r="I224" s="299">
        <v>8.19</v>
      </c>
      <c r="J224" s="299">
        <v>3.42</v>
      </c>
      <c r="K224" s="299">
        <v>105</v>
      </c>
      <c r="L224" s="299">
        <v>0.11</v>
      </c>
      <c r="M224" s="299">
        <v>6.31</v>
      </c>
      <c r="N224" s="60">
        <f t="shared" si="12"/>
        <v>132.03</v>
      </c>
      <c r="O224" s="531">
        <f t="shared" si="14"/>
        <v>33715.47</v>
      </c>
      <c r="P224" s="249" t="s">
        <v>4084</v>
      </c>
    </row>
    <row r="225" spans="1:19" ht="12.75" customHeight="1" x14ac:dyDescent="0.25">
      <c r="B225" s="295" t="s">
        <v>4077</v>
      </c>
      <c r="C225" s="249" t="s">
        <v>4060</v>
      </c>
      <c r="D225" s="231" t="s">
        <v>369</v>
      </c>
      <c r="E225" s="249">
        <v>20</v>
      </c>
      <c r="F225" s="299">
        <v>727</v>
      </c>
      <c r="G225" s="299">
        <f t="shared" si="11"/>
        <v>14540</v>
      </c>
      <c r="H225" s="235">
        <v>9</v>
      </c>
      <c r="N225" s="60">
        <f t="shared" si="12"/>
        <v>9</v>
      </c>
      <c r="O225" s="531">
        <f t="shared" si="14"/>
        <v>14531</v>
      </c>
      <c r="P225" s="249" t="s">
        <v>4089</v>
      </c>
    </row>
    <row r="226" spans="1:19" ht="12.75" customHeight="1" x14ac:dyDescent="0.25">
      <c r="B226" s="295" t="s">
        <v>4077</v>
      </c>
      <c r="C226" s="249" t="s">
        <v>4083</v>
      </c>
      <c r="D226" s="231" t="s">
        <v>369</v>
      </c>
      <c r="E226" s="249">
        <v>1000</v>
      </c>
      <c r="F226" s="299">
        <v>17.100000000000001</v>
      </c>
      <c r="G226" s="299">
        <f t="shared" si="11"/>
        <v>17100</v>
      </c>
      <c r="H226" s="235">
        <v>9</v>
      </c>
      <c r="N226" s="60">
        <f t="shared" si="12"/>
        <v>9</v>
      </c>
      <c r="O226" s="531">
        <f t="shared" si="14"/>
        <v>17091</v>
      </c>
      <c r="P226" s="249" t="s">
        <v>4089</v>
      </c>
    </row>
    <row r="227" spans="1:19" ht="12.75" customHeight="1" x14ac:dyDescent="0.25">
      <c r="B227" s="295" t="s">
        <v>4077</v>
      </c>
      <c r="C227" s="249" t="s">
        <v>4064</v>
      </c>
      <c r="D227" s="231" t="s">
        <v>369</v>
      </c>
      <c r="E227" s="249">
        <v>175</v>
      </c>
      <c r="F227" s="299">
        <v>118</v>
      </c>
      <c r="G227" s="299">
        <f t="shared" si="11"/>
        <v>20650</v>
      </c>
      <c r="H227" s="235">
        <v>9</v>
      </c>
      <c r="N227" s="60">
        <f t="shared" si="12"/>
        <v>9</v>
      </c>
      <c r="O227" s="531">
        <f t="shared" si="14"/>
        <v>20641</v>
      </c>
      <c r="P227" s="249" t="s">
        <v>4089</v>
      </c>
    </row>
    <row r="228" spans="1:19" ht="12.75" customHeight="1" x14ac:dyDescent="0.25">
      <c r="B228" s="295" t="s">
        <v>4077</v>
      </c>
      <c r="C228" s="249" t="s">
        <v>4065</v>
      </c>
      <c r="D228" s="231" t="s">
        <v>369</v>
      </c>
      <c r="E228" s="249">
        <v>30</v>
      </c>
      <c r="F228" s="299">
        <v>530</v>
      </c>
      <c r="G228" s="299">
        <f t="shared" si="11"/>
        <v>15900</v>
      </c>
      <c r="H228" s="235">
        <v>9</v>
      </c>
      <c r="N228" s="60">
        <f t="shared" si="12"/>
        <v>9</v>
      </c>
      <c r="O228" s="531">
        <f t="shared" si="14"/>
        <v>15891</v>
      </c>
      <c r="P228" s="249" t="s">
        <v>4089</v>
      </c>
    </row>
    <row r="229" spans="1:19" ht="12.75" customHeight="1" x14ac:dyDescent="0.25">
      <c r="B229" s="295" t="s">
        <v>4085</v>
      </c>
      <c r="C229" s="249" t="s">
        <v>4088</v>
      </c>
      <c r="D229" s="231" t="s">
        <v>369</v>
      </c>
      <c r="E229" s="249">
        <v>62</v>
      </c>
      <c r="F229" s="299">
        <v>886</v>
      </c>
      <c r="G229" s="299">
        <f t="shared" si="11"/>
        <v>54932</v>
      </c>
      <c r="N229" s="60">
        <f t="shared" si="12"/>
        <v>0</v>
      </c>
      <c r="O229" s="531">
        <f t="shared" si="14"/>
        <v>54932</v>
      </c>
      <c r="P229" s="249" t="s">
        <v>4092</v>
      </c>
    </row>
    <row r="230" spans="1:19" ht="12.75" customHeight="1" x14ac:dyDescent="0.25">
      <c r="B230" s="295" t="s">
        <v>4085</v>
      </c>
      <c r="C230" s="249" t="s">
        <v>4088</v>
      </c>
      <c r="D230" s="231" t="s">
        <v>369</v>
      </c>
      <c r="E230" s="249">
        <v>100</v>
      </c>
      <c r="F230" s="299">
        <v>884</v>
      </c>
      <c r="G230" s="299">
        <f t="shared" si="11"/>
        <v>88400</v>
      </c>
      <c r="H230" s="235">
        <v>9</v>
      </c>
      <c r="N230" s="60">
        <f t="shared" si="12"/>
        <v>9</v>
      </c>
      <c r="O230" s="531">
        <f t="shared" si="14"/>
        <v>88391</v>
      </c>
      <c r="P230" s="249" t="s">
        <v>4092</v>
      </c>
    </row>
    <row r="231" spans="1:19" ht="12.75" customHeight="1" x14ac:dyDescent="0.25">
      <c r="B231" s="295" t="s">
        <v>4085</v>
      </c>
      <c r="C231" s="249" t="s">
        <v>4088</v>
      </c>
      <c r="D231" s="231" t="s">
        <v>369</v>
      </c>
      <c r="E231" s="249">
        <v>38</v>
      </c>
      <c r="F231" s="299">
        <v>887.8</v>
      </c>
      <c r="G231" s="299">
        <f t="shared" si="11"/>
        <v>33736.400000000001</v>
      </c>
      <c r="H231" s="235">
        <v>9</v>
      </c>
      <c r="N231" s="60">
        <f t="shared" si="12"/>
        <v>9</v>
      </c>
      <c r="O231" s="531">
        <f t="shared" si="14"/>
        <v>33727.4</v>
      </c>
      <c r="P231" s="249" t="s">
        <v>4092</v>
      </c>
    </row>
    <row r="232" spans="1:19" ht="12.75" customHeight="1" x14ac:dyDescent="0.25">
      <c r="B232" s="295" t="s">
        <v>4085</v>
      </c>
      <c r="C232" s="249" t="s">
        <v>4088</v>
      </c>
      <c r="D232" s="231" t="s">
        <v>369</v>
      </c>
      <c r="E232" s="249">
        <v>38</v>
      </c>
      <c r="F232" s="299">
        <v>886</v>
      </c>
      <c r="G232" s="299">
        <f t="shared" si="11"/>
        <v>33668</v>
      </c>
      <c r="H232" s="235">
        <v>9</v>
      </c>
      <c r="N232" s="60">
        <f t="shared" si="12"/>
        <v>9</v>
      </c>
      <c r="O232" s="531">
        <f t="shared" si="14"/>
        <v>33659</v>
      </c>
      <c r="P232" s="249" t="s">
        <v>4092</v>
      </c>
    </row>
    <row r="233" spans="1:19" s="231" customFormat="1" ht="13.2" x14ac:dyDescent="0.25">
      <c r="A233" s="250"/>
      <c r="B233" s="298" t="s">
        <v>4093</v>
      </c>
      <c r="C233" s="529" t="s">
        <v>4090</v>
      </c>
      <c r="D233" s="608" t="s">
        <v>369</v>
      </c>
      <c r="E233" s="2">
        <v>150</v>
      </c>
      <c r="F233" s="60">
        <v>128.6</v>
      </c>
      <c r="G233" s="60">
        <f t="shared" si="11"/>
        <v>19290</v>
      </c>
      <c r="H233" s="234">
        <v>9</v>
      </c>
      <c r="I233" s="60"/>
      <c r="J233" s="60"/>
      <c r="K233" s="60"/>
      <c r="L233" s="60"/>
      <c r="M233" s="299"/>
      <c r="N233" s="60">
        <f t="shared" si="12"/>
        <v>9</v>
      </c>
      <c r="O233" s="531">
        <f t="shared" si="14"/>
        <v>19281</v>
      </c>
      <c r="P233" s="2" t="s">
        <v>4095</v>
      </c>
      <c r="Q233" s="91"/>
      <c r="R233" s="91"/>
    </row>
    <row r="234" spans="1:19" s="231" customFormat="1" ht="13.2" x14ac:dyDescent="0.25">
      <c r="A234" s="250"/>
      <c r="B234" s="298" t="s">
        <v>4093</v>
      </c>
      <c r="C234" s="529" t="s">
        <v>4082</v>
      </c>
      <c r="D234" s="608" t="s">
        <v>369</v>
      </c>
      <c r="E234" s="2">
        <v>50</v>
      </c>
      <c r="F234" s="60">
        <v>29.3</v>
      </c>
      <c r="G234" s="60">
        <f t="shared" si="11"/>
        <v>1465</v>
      </c>
      <c r="H234" s="234">
        <v>9</v>
      </c>
      <c r="I234" s="60"/>
      <c r="J234" s="60"/>
      <c r="K234" s="60"/>
      <c r="L234" s="60"/>
      <c r="M234" s="299"/>
      <c r="N234" s="60">
        <f t="shared" si="12"/>
        <v>9</v>
      </c>
      <c r="O234" s="531">
        <f t="shared" si="14"/>
        <v>1456</v>
      </c>
      <c r="P234" s="2" t="s">
        <v>4095</v>
      </c>
    </row>
    <row r="235" spans="1:19" s="231" customFormat="1" ht="13.2" x14ac:dyDescent="0.25">
      <c r="A235" s="250"/>
      <c r="B235" s="298" t="s">
        <v>4093</v>
      </c>
      <c r="C235" s="529" t="s">
        <v>4060</v>
      </c>
      <c r="D235" s="608" t="s">
        <v>369</v>
      </c>
      <c r="E235" s="2">
        <v>30</v>
      </c>
      <c r="F235" s="60">
        <v>720</v>
      </c>
      <c r="G235" s="60">
        <f t="shared" si="11"/>
        <v>21600</v>
      </c>
      <c r="H235" s="234">
        <v>9</v>
      </c>
      <c r="I235" s="60">
        <v>8.11</v>
      </c>
      <c r="J235" s="60">
        <v>2.76</v>
      </c>
      <c r="K235" s="60">
        <v>85</v>
      </c>
      <c r="L235" s="60">
        <v>0.09</v>
      </c>
      <c r="M235" s="299">
        <v>5.0999999999999996</v>
      </c>
      <c r="N235" s="60">
        <f t="shared" si="12"/>
        <v>110.06</v>
      </c>
      <c r="O235" s="531">
        <f t="shared" si="14"/>
        <v>21489.94</v>
      </c>
      <c r="P235" s="2" t="s">
        <v>4095</v>
      </c>
    </row>
    <row r="236" spans="1:19" s="231" customFormat="1" ht="13.2" x14ac:dyDescent="0.25">
      <c r="A236" s="250"/>
      <c r="B236" s="298" t="s">
        <v>4102</v>
      </c>
      <c r="C236" s="529" t="s">
        <v>4088</v>
      </c>
      <c r="D236" s="608" t="s">
        <v>369</v>
      </c>
      <c r="E236" s="2">
        <v>2</v>
      </c>
      <c r="F236" s="60">
        <v>922.05</v>
      </c>
      <c r="G236" s="60">
        <f t="shared" si="11"/>
        <v>1844.1</v>
      </c>
      <c r="H236" s="234">
        <v>9</v>
      </c>
      <c r="I236" s="60"/>
      <c r="J236" s="60"/>
      <c r="K236" s="60"/>
      <c r="L236" s="60"/>
      <c r="M236" s="299"/>
      <c r="N236" s="60">
        <f t="shared" si="12"/>
        <v>9</v>
      </c>
      <c r="O236" s="531">
        <f t="shared" si="14"/>
        <v>1835.1</v>
      </c>
      <c r="P236" s="529" t="s">
        <v>4106</v>
      </c>
      <c r="Q236" s="91"/>
      <c r="R236" s="91"/>
      <c r="S236" s="235"/>
    </row>
    <row r="237" spans="1:19" s="231" customFormat="1" ht="13.2" x14ac:dyDescent="0.25">
      <c r="A237" s="250"/>
      <c r="B237" s="298" t="s">
        <v>4102</v>
      </c>
      <c r="C237" s="529" t="s">
        <v>4088</v>
      </c>
      <c r="D237" s="608" t="s">
        <v>369</v>
      </c>
      <c r="E237" s="2">
        <v>13</v>
      </c>
      <c r="F237" s="60">
        <v>922.1</v>
      </c>
      <c r="G237" s="60">
        <f t="shared" si="11"/>
        <v>11987.300000000001</v>
      </c>
      <c r="H237" s="234">
        <v>9</v>
      </c>
      <c r="I237" s="60"/>
      <c r="J237" s="60"/>
      <c r="K237" s="60"/>
      <c r="L237" s="60"/>
      <c r="M237" s="299"/>
      <c r="N237" s="60">
        <f t="shared" si="12"/>
        <v>9</v>
      </c>
      <c r="O237" s="531">
        <f t="shared" si="14"/>
        <v>11978.300000000001</v>
      </c>
      <c r="P237" s="529" t="s">
        <v>4106</v>
      </c>
      <c r="Q237" s="91"/>
      <c r="R237" s="91"/>
    </row>
    <row r="238" spans="1:19" s="231" customFormat="1" ht="13.2" x14ac:dyDescent="0.25">
      <c r="A238" s="250"/>
      <c r="B238" s="298" t="s">
        <v>4102</v>
      </c>
      <c r="C238" s="529" t="s">
        <v>4073</v>
      </c>
      <c r="D238" s="608" t="s">
        <v>369</v>
      </c>
      <c r="E238" s="2">
        <v>1200</v>
      </c>
      <c r="F238" s="60">
        <v>11.8</v>
      </c>
      <c r="G238" s="60">
        <f t="shared" si="11"/>
        <v>14160</v>
      </c>
      <c r="H238" s="234">
        <v>9</v>
      </c>
      <c r="I238" s="60"/>
      <c r="J238" s="60"/>
      <c r="K238" s="60"/>
      <c r="L238" s="60"/>
      <c r="M238" s="299"/>
      <c r="N238" s="60">
        <f t="shared" si="12"/>
        <v>9</v>
      </c>
      <c r="O238" s="531">
        <f t="shared" si="14"/>
        <v>14151</v>
      </c>
      <c r="P238" s="529" t="s">
        <v>4106</v>
      </c>
    </row>
    <row r="239" spans="1:19" s="231" customFormat="1" ht="13.2" x14ac:dyDescent="0.25">
      <c r="A239" s="250"/>
      <c r="B239" s="298" t="s">
        <v>4102</v>
      </c>
      <c r="C239" s="529" t="s">
        <v>4091</v>
      </c>
      <c r="D239" s="608" t="s">
        <v>369</v>
      </c>
      <c r="E239" s="2">
        <v>75</v>
      </c>
      <c r="F239" s="60">
        <v>261.5</v>
      </c>
      <c r="G239" s="60">
        <f t="shared" si="11"/>
        <v>19612.5</v>
      </c>
      <c r="H239" s="234">
        <v>9</v>
      </c>
      <c r="I239" s="60"/>
      <c r="J239" s="60"/>
      <c r="K239" s="60"/>
      <c r="L239" s="60"/>
      <c r="M239" s="299"/>
      <c r="N239" s="60">
        <f t="shared" si="12"/>
        <v>9</v>
      </c>
      <c r="O239" s="531">
        <f t="shared" si="14"/>
        <v>19603.5</v>
      </c>
      <c r="P239" s="529" t="s">
        <v>4106</v>
      </c>
    </row>
    <row r="240" spans="1:19" ht="12.75" customHeight="1" x14ac:dyDescent="0.25">
      <c r="B240" s="298" t="s">
        <v>4102</v>
      </c>
      <c r="C240" s="249" t="s">
        <v>4104</v>
      </c>
      <c r="D240" s="231" t="s">
        <v>369</v>
      </c>
      <c r="E240" s="249">
        <v>100</v>
      </c>
      <c r="F240" s="299">
        <v>118.05</v>
      </c>
      <c r="G240" s="299">
        <f t="shared" si="11"/>
        <v>11805</v>
      </c>
      <c r="H240" s="235">
        <v>9</v>
      </c>
      <c r="N240" s="60">
        <f t="shared" si="12"/>
        <v>9</v>
      </c>
      <c r="O240" s="531">
        <f t="shared" si="14"/>
        <v>11796</v>
      </c>
      <c r="P240" s="529" t="s">
        <v>4106</v>
      </c>
    </row>
    <row r="241" spans="1:18" ht="12.75" customHeight="1" x14ac:dyDescent="0.25">
      <c r="B241" s="295" t="s">
        <v>4096</v>
      </c>
      <c r="C241" s="249" t="s">
        <v>4104</v>
      </c>
      <c r="D241" s="231" t="s">
        <v>369</v>
      </c>
      <c r="E241" s="249">
        <v>150</v>
      </c>
      <c r="F241" s="299">
        <v>115.25</v>
      </c>
      <c r="G241" s="299">
        <f t="shared" si="11"/>
        <v>17287.5</v>
      </c>
      <c r="H241" s="235">
        <v>9</v>
      </c>
      <c r="I241" s="299">
        <v>4.71</v>
      </c>
      <c r="J241" s="299">
        <v>2.2200000000000002</v>
      </c>
      <c r="K241" s="299">
        <v>68</v>
      </c>
      <c r="L241" s="299">
        <v>7.0000000000000007E-2</v>
      </c>
      <c r="M241" s="299">
        <v>4.0999999999999996</v>
      </c>
      <c r="N241" s="60">
        <f t="shared" si="12"/>
        <v>88.1</v>
      </c>
      <c r="O241" s="531">
        <f t="shared" si="14"/>
        <v>17199.400000000001</v>
      </c>
      <c r="P241" s="249" t="s">
        <v>4105</v>
      </c>
    </row>
    <row r="242" spans="1:18" ht="12.75" customHeight="1" x14ac:dyDescent="0.25">
      <c r="B242" s="295" t="s">
        <v>4096</v>
      </c>
      <c r="C242" s="249" t="s">
        <v>4103</v>
      </c>
      <c r="D242" s="231" t="s">
        <v>369</v>
      </c>
      <c r="E242" s="249">
        <v>100</v>
      </c>
      <c r="F242" s="299">
        <v>168.9</v>
      </c>
      <c r="G242" s="299">
        <f t="shared" si="11"/>
        <v>16890</v>
      </c>
      <c r="H242" s="235">
        <v>9</v>
      </c>
      <c r="N242" s="60">
        <f t="shared" si="12"/>
        <v>9</v>
      </c>
      <c r="O242" s="531">
        <f t="shared" si="14"/>
        <v>16881</v>
      </c>
      <c r="P242" s="249" t="s">
        <v>4105</v>
      </c>
    </row>
    <row r="243" spans="1:18" ht="12.75" customHeight="1" x14ac:dyDescent="0.25">
      <c r="B243" s="295" t="s">
        <v>4099</v>
      </c>
      <c r="C243" s="249" t="s">
        <v>4088</v>
      </c>
      <c r="D243" s="231" t="s">
        <v>369</v>
      </c>
      <c r="E243" s="249">
        <v>25</v>
      </c>
      <c r="F243" s="299">
        <v>883</v>
      </c>
      <c r="G243" s="299">
        <f t="shared" si="11"/>
        <v>22075</v>
      </c>
      <c r="H243" s="235">
        <v>9</v>
      </c>
      <c r="N243" s="60">
        <f t="shared" si="12"/>
        <v>9</v>
      </c>
      <c r="O243" s="531">
        <f t="shared" si="14"/>
        <v>22066</v>
      </c>
      <c r="P243" s="249" t="s">
        <v>4108</v>
      </c>
    </row>
    <row r="244" spans="1:18" ht="12.75" customHeight="1" x14ac:dyDescent="0.25">
      <c r="B244" s="295" t="s">
        <v>4099</v>
      </c>
      <c r="C244" s="249" t="s">
        <v>4088</v>
      </c>
      <c r="D244" s="231" t="s">
        <v>369</v>
      </c>
      <c r="E244" s="249">
        <v>20</v>
      </c>
      <c r="F244" s="299">
        <v>893.05</v>
      </c>
      <c r="G244" s="299">
        <f t="shared" si="11"/>
        <v>17861</v>
      </c>
      <c r="H244" s="235">
        <v>9</v>
      </c>
      <c r="N244" s="60">
        <f t="shared" si="12"/>
        <v>9</v>
      </c>
      <c r="O244" s="531">
        <f t="shared" si="14"/>
        <v>17852</v>
      </c>
      <c r="P244" s="249" t="s">
        <v>4108</v>
      </c>
    </row>
    <row r="245" spans="1:18" ht="12.75" customHeight="1" x14ac:dyDescent="0.25">
      <c r="B245" s="295" t="s">
        <v>4099</v>
      </c>
      <c r="C245" s="249" t="s">
        <v>4065</v>
      </c>
      <c r="D245" s="231" t="s">
        <v>369</v>
      </c>
      <c r="E245" s="249">
        <v>40</v>
      </c>
      <c r="F245" s="299">
        <v>501</v>
      </c>
      <c r="G245" s="299">
        <f t="shared" si="11"/>
        <v>20040</v>
      </c>
      <c r="H245" s="235">
        <v>9</v>
      </c>
      <c r="N245" s="60">
        <f t="shared" si="12"/>
        <v>9</v>
      </c>
      <c r="O245" s="531">
        <f t="shared" si="14"/>
        <v>20031</v>
      </c>
      <c r="P245" s="249" t="s">
        <v>4108</v>
      </c>
    </row>
    <row r="246" spans="1:18" ht="12.75" customHeight="1" x14ac:dyDescent="0.25">
      <c r="B246" s="295" t="s">
        <v>4099</v>
      </c>
      <c r="C246" s="249" t="s">
        <v>4088</v>
      </c>
      <c r="D246" s="231" t="s">
        <v>369</v>
      </c>
      <c r="E246" s="249">
        <v>5</v>
      </c>
      <c r="F246" s="299">
        <v>893.1</v>
      </c>
      <c r="G246" s="299">
        <f t="shared" si="11"/>
        <v>4465.5</v>
      </c>
      <c r="H246" s="235">
        <v>9</v>
      </c>
      <c r="N246" s="60">
        <f t="shared" si="12"/>
        <v>9</v>
      </c>
      <c r="O246" s="531">
        <f t="shared" si="14"/>
        <v>4456.5</v>
      </c>
      <c r="P246" s="249" t="s">
        <v>4108</v>
      </c>
    </row>
    <row r="247" spans="1:18" ht="12.75" customHeight="1" x14ac:dyDescent="0.25">
      <c r="B247" s="295" t="s">
        <v>4099</v>
      </c>
      <c r="C247" s="249" t="s">
        <v>4107</v>
      </c>
      <c r="D247" s="231" t="s">
        <v>369</v>
      </c>
      <c r="E247" s="249">
        <v>100</v>
      </c>
      <c r="F247" s="299">
        <v>159.5</v>
      </c>
      <c r="G247" s="299">
        <f t="shared" si="11"/>
        <v>15950</v>
      </c>
      <c r="H247" s="235">
        <v>9</v>
      </c>
      <c r="N247" s="60">
        <f t="shared" si="12"/>
        <v>9</v>
      </c>
      <c r="O247" s="531">
        <f t="shared" si="14"/>
        <v>15941</v>
      </c>
      <c r="P247" s="249" t="s">
        <v>4108</v>
      </c>
    </row>
    <row r="248" spans="1:18" ht="12.75" customHeight="1" x14ac:dyDescent="0.25">
      <c r="B248" s="295" t="s">
        <v>4114</v>
      </c>
      <c r="C248" s="249" t="s">
        <v>4094</v>
      </c>
      <c r="D248" s="231" t="s">
        <v>369</v>
      </c>
      <c r="E248" s="249">
        <v>250</v>
      </c>
      <c r="F248" s="299">
        <v>102.4</v>
      </c>
      <c r="G248" s="299">
        <f t="shared" si="11"/>
        <v>25600</v>
      </c>
      <c r="H248" s="235">
        <v>9</v>
      </c>
      <c r="N248" s="60">
        <f>SUM(H248:M248)</f>
        <v>9</v>
      </c>
      <c r="O248" s="531">
        <f t="shared" si="14"/>
        <v>25591</v>
      </c>
      <c r="P248" s="249" t="s">
        <v>4115</v>
      </c>
    </row>
    <row r="249" spans="1:18" ht="12.75" customHeight="1" x14ac:dyDescent="0.25">
      <c r="B249" s="295" t="s">
        <v>4114</v>
      </c>
      <c r="C249" s="249" t="s">
        <v>4073</v>
      </c>
      <c r="D249" s="231" t="s">
        <v>369</v>
      </c>
      <c r="E249" s="249">
        <v>500</v>
      </c>
      <c r="F249" s="299">
        <v>11.4</v>
      </c>
      <c r="G249" s="299">
        <f t="shared" si="11"/>
        <v>5700</v>
      </c>
      <c r="H249" s="235">
        <v>9</v>
      </c>
      <c r="N249" s="60">
        <f t="shared" ref="N249:N312" si="15">SUM(H249:M249)</f>
        <v>9</v>
      </c>
      <c r="O249" s="531">
        <f t="shared" si="14"/>
        <v>5691</v>
      </c>
      <c r="P249" s="249" t="s">
        <v>4115</v>
      </c>
    </row>
    <row r="250" spans="1:18" ht="12.75" customHeight="1" x14ac:dyDescent="0.25">
      <c r="B250" s="295" t="s">
        <v>4114</v>
      </c>
      <c r="C250" s="249" t="s">
        <v>4073</v>
      </c>
      <c r="D250" s="231" t="s">
        <v>369</v>
      </c>
      <c r="E250" s="249">
        <v>3000</v>
      </c>
      <c r="F250" s="299">
        <v>11.4</v>
      </c>
      <c r="G250" s="299">
        <f t="shared" si="11"/>
        <v>34200</v>
      </c>
      <c r="N250" s="60">
        <f t="shared" si="15"/>
        <v>0</v>
      </c>
      <c r="O250" s="531">
        <f t="shared" si="14"/>
        <v>34200</v>
      </c>
      <c r="P250" s="249" t="s">
        <v>4115</v>
      </c>
    </row>
    <row r="251" spans="1:18" ht="12.75" customHeight="1" x14ac:dyDescent="0.25">
      <c r="B251" s="295" t="s">
        <v>4114</v>
      </c>
      <c r="C251" s="249" t="s">
        <v>4073</v>
      </c>
      <c r="D251" s="231" t="s">
        <v>369</v>
      </c>
      <c r="E251" s="249">
        <v>2500</v>
      </c>
      <c r="F251" s="299">
        <v>11.15</v>
      </c>
      <c r="G251" s="299">
        <f t="shared" si="11"/>
        <v>27875</v>
      </c>
      <c r="H251" s="235">
        <v>9</v>
      </c>
      <c r="N251" s="60">
        <f t="shared" si="15"/>
        <v>9</v>
      </c>
      <c r="O251" s="531">
        <f t="shared" si="14"/>
        <v>27866</v>
      </c>
      <c r="P251" s="249" t="s">
        <v>4115</v>
      </c>
    </row>
    <row r="252" spans="1:18" s="231" customFormat="1" ht="13.2" x14ac:dyDescent="0.25">
      <c r="A252" s="250"/>
      <c r="B252" s="295" t="s">
        <v>4120</v>
      </c>
      <c r="C252" s="249" t="s">
        <v>4088</v>
      </c>
      <c r="D252" s="608" t="s">
        <v>369</v>
      </c>
      <c r="E252" s="2">
        <v>9</v>
      </c>
      <c r="F252" s="60">
        <v>842.3</v>
      </c>
      <c r="G252" s="60">
        <f t="shared" si="11"/>
        <v>7580.7</v>
      </c>
      <c r="H252" s="234">
        <v>9</v>
      </c>
      <c r="I252" s="60"/>
      <c r="J252" s="60"/>
      <c r="K252" s="60"/>
      <c r="L252" s="60"/>
      <c r="M252" s="299"/>
      <c r="N252" s="60">
        <f t="shared" si="15"/>
        <v>9</v>
      </c>
      <c r="O252" s="531">
        <f t="shared" si="14"/>
        <v>7571.7</v>
      </c>
      <c r="P252" s="249" t="s">
        <v>4121</v>
      </c>
    </row>
    <row r="253" spans="1:18" s="231" customFormat="1" ht="13.2" x14ac:dyDescent="0.25">
      <c r="A253" s="250"/>
      <c r="B253" s="295" t="s">
        <v>4120</v>
      </c>
      <c r="C253" s="249" t="s">
        <v>4088</v>
      </c>
      <c r="D253" s="608" t="s">
        <v>369</v>
      </c>
      <c r="E253" s="2">
        <v>14</v>
      </c>
      <c r="F253" s="60">
        <v>842.4</v>
      </c>
      <c r="G253" s="60">
        <f t="shared" si="11"/>
        <v>11793.6</v>
      </c>
      <c r="H253" s="234"/>
      <c r="I253" s="60"/>
      <c r="J253" s="60"/>
      <c r="K253" s="60"/>
      <c r="L253" s="60"/>
      <c r="M253" s="299"/>
      <c r="N253" s="60">
        <f t="shared" si="15"/>
        <v>0</v>
      </c>
      <c r="O253" s="531">
        <f t="shared" si="14"/>
        <v>11793.6</v>
      </c>
      <c r="P253" s="249" t="s">
        <v>4121</v>
      </c>
    </row>
    <row r="254" spans="1:18" s="231" customFormat="1" ht="13.2" x14ac:dyDescent="0.25">
      <c r="A254" s="250"/>
      <c r="B254" s="295" t="s">
        <v>4120</v>
      </c>
      <c r="C254" s="249" t="s">
        <v>4088</v>
      </c>
      <c r="D254" s="608" t="s">
        <v>369</v>
      </c>
      <c r="E254" s="2">
        <v>2</v>
      </c>
      <c r="F254" s="60">
        <v>842.45</v>
      </c>
      <c r="G254" s="60">
        <f t="shared" si="11"/>
        <v>1684.9</v>
      </c>
      <c r="H254" s="234"/>
      <c r="I254" s="60"/>
      <c r="J254" s="60"/>
      <c r="K254" s="60"/>
      <c r="L254" s="60"/>
      <c r="M254" s="299"/>
      <c r="N254" s="60">
        <f t="shared" si="15"/>
        <v>0</v>
      </c>
      <c r="O254" s="531">
        <f t="shared" si="14"/>
        <v>1684.9</v>
      </c>
      <c r="P254" s="249" t="s">
        <v>4121</v>
      </c>
    </row>
    <row r="255" spans="1:18" s="231" customFormat="1" ht="13.2" x14ac:dyDescent="0.25">
      <c r="A255" s="250"/>
      <c r="B255" s="295" t="s">
        <v>4120</v>
      </c>
      <c r="C255" s="249" t="s">
        <v>4088</v>
      </c>
      <c r="D255" s="608" t="s">
        <v>369</v>
      </c>
      <c r="E255" s="2">
        <v>25</v>
      </c>
      <c r="F255" s="60">
        <v>842.35</v>
      </c>
      <c r="G255" s="60">
        <f t="shared" si="11"/>
        <v>21058.75</v>
      </c>
      <c r="H255" s="234"/>
      <c r="I255" s="60"/>
      <c r="J255" s="60"/>
      <c r="K255" s="60"/>
      <c r="L255" s="60"/>
      <c r="M255" s="299"/>
      <c r="N255" s="60">
        <f t="shared" si="15"/>
        <v>0</v>
      </c>
      <c r="O255" s="531">
        <f t="shared" si="14"/>
        <v>21058.75</v>
      </c>
      <c r="P255" s="249" t="s">
        <v>4121</v>
      </c>
      <c r="Q255" s="91"/>
      <c r="R255" s="91"/>
    </row>
    <row r="256" spans="1:18" s="231" customFormat="1" ht="13.2" x14ac:dyDescent="0.25">
      <c r="A256" s="250"/>
      <c r="B256" s="295" t="s">
        <v>4120</v>
      </c>
      <c r="C256" s="249" t="s">
        <v>4082</v>
      </c>
      <c r="D256" s="608" t="s">
        <v>369</v>
      </c>
      <c r="E256" s="2">
        <v>750</v>
      </c>
      <c r="F256" s="60">
        <v>29.7</v>
      </c>
      <c r="G256" s="60">
        <f t="shared" si="11"/>
        <v>22275</v>
      </c>
      <c r="H256" s="234">
        <v>9</v>
      </c>
      <c r="I256" s="60">
        <v>2.48</v>
      </c>
      <c r="J256" s="60">
        <v>2.09</v>
      </c>
      <c r="K256" s="60">
        <v>64</v>
      </c>
      <c r="L256" s="60">
        <v>0.06</v>
      </c>
      <c r="M256" s="299">
        <v>3.86</v>
      </c>
      <c r="N256" s="60">
        <f t="shared" si="15"/>
        <v>81.489999999999995</v>
      </c>
      <c r="O256" s="531">
        <f t="shared" si="14"/>
        <v>22193.51</v>
      </c>
      <c r="P256" s="249" t="s">
        <v>4121</v>
      </c>
      <c r="Q256" s="91"/>
      <c r="R256" s="91"/>
    </row>
    <row r="257" spans="2:16" ht="12.75" customHeight="1" x14ac:dyDescent="0.25">
      <c r="B257" s="295" t="s">
        <v>4124</v>
      </c>
      <c r="C257" s="249" t="s">
        <v>4061</v>
      </c>
      <c r="D257" s="231" t="s">
        <v>369</v>
      </c>
      <c r="E257" s="249">
        <v>2000</v>
      </c>
      <c r="F257" s="299">
        <v>6.8</v>
      </c>
      <c r="G257" s="299">
        <f t="shared" si="11"/>
        <v>13600</v>
      </c>
      <c r="H257" s="235">
        <v>9</v>
      </c>
      <c r="I257" s="299">
        <v>2.3199999999999998</v>
      </c>
      <c r="J257" s="299">
        <v>0.84</v>
      </c>
      <c r="K257" s="299">
        <v>26</v>
      </c>
      <c r="L257" s="299">
        <v>0.03</v>
      </c>
      <c r="M257" s="299">
        <v>1.54</v>
      </c>
      <c r="N257" s="60">
        <f t="shared" si="15"/>
        <v>39.729999999999997</v>
      </c>
      <c r="O257" s="531">
        <f t="shared" si="14"/>
        <v>13560.27</v>
      </c>
      <c r="P257" s="249" t="s">
        <v>4125</v>
      </c>
    </row>
    <row r="258" spans="2:16" ht="12.75" customHeight="1" x14ac:dyDescent="0.25">
      <c r="B258" s="295" t="s">
        <v>4126</v>
      </c>
      <c r="C258" s="249" t="s">
        <v>4107</v>
      </c>
      <c r="D258" s="231" t="s">
        <v>369</v>
      </c>
      <c r="E258" s="249">
        <v>50</v>
      </c>
      <c r="F258" s="299">
        <v>160.6</v>
      </c>
      <c r="G258" s="299">
        <f t="shared" si="11"/>
        <v>8030</v>
      </c>
      <c r="H258" s="235">
        <v>9</v>
      </c>
      <c r="N258" s="60">
        <f t="shared" si="15"/>
        <v>9</v>
      </c>
      <c r="O258" s="531">
        <f t="shared" si="14"/>
        <v>8021</v>
      </c>
      <c r="P258" s="249" t="s">
        <v>4130</v>
      </c>
    </row>
    <row r="259" spans="2:16" ht="12.75" customHeight="1" x14ac:dyDescent="0.25">
      <c r="B259" s="295" t="s">
        <v>4126</v>
      </c>
      <c r="C259" s="249" t="s">
        <v>4082</v>
      </c>
      <c r="D259" s="231" t="s">
        <v>369</v>
      </c>
      <c r="E259" s="249">
        <v>1200</v>
      </c>
      <c r="F259" s="299">
        <v>32.950000000000003</v>
      </c>
      <c r="G259" s="299">
        <f t="shared" si="11"/>
        <v>39540</v>
      </c>
      <c r="H259" s="235">
        <v>9</v>
      </c>
      <c r="N259" s="60">
        <f t="shared" si="15"/>
        <v>9</v>
      </c>
      <c r="O259" s="531">
        <f t="shared" si="14"/>
        <v>39531</v>
      </c>
      <c r="P259" s="249" t="s">
        <v>4130</v>
      </c>
    </row>
    <row r="260" spans="2:16" ht="12.75" customHeight="1" x14ac:dyDescent="0.25">
      <c r="B260" s="295" t="s">
        <v>4132</v>
      </c>
      <c r="C260" s="249" t="s">
        <v>4129</v>
      </c>
      <c r="D260" s="231" t="s">
        <v>369</v>
      </c>
      <c r="E260" s="249">
        <v>500</v>
      </c>
      <c r="F260" s="299">
        <v>32</v>
      </c>
      <c r="G260" s="299">
        <f t="shared" si="11"/>
        <v>16000</v>
      </c>
      <c r="H260" s="235">
        <v>9</v>
      </c>
      <c r="I260" s="60">
        <v>3.46</v>
      </c>
      <c r="J260" s="60">
        <v>1.03</v>
      </c>
      <c r="K260" s="60">
        <v>32</v>
      </c>
      <c r="L260" s="60">
        <v>0.03</v>
      </c>
      <c r="M260" s="60">
        <v>1.89</v>
      </c>
      <c r="N260" s="60">
        <f t="shared" si="15"/>
        <v>47.410000000000004</v>
      </c>
      <c r="O260" s="531">
        <f t="shared" si="14"/>
        <v>15952.59</v>
      </c>
      <c r="P260" s="249" t="s">
        <v>4133</v>
      </c>
    </row>
    <row r="261" spans="2:16" ht="12.75" customHeight="1" x14ac:dyDescent="0.25">
      <c r="B261" s="295" t="s">
        <v>4131</v>
      </c>
      <c r="C261" s="249" t="s">
        <v>4127</v>
      </c>
      <c r="D261" s="231" t="s">
        <v>369</v>
      </c>
      <c r="E261" s="249">
        <v>350</v>
      </c>
      <c r="F261" s="299">
        <v>66.3</v>
      </c>
      <c r="G261" s="299">
        <f t="shared" si="11"/>
        <v>23205</v>
      </c>
      <c r="H261" s="235">
        <v>9</v>
      </c>
      <c r="I261" s="60"/>
      <c r="J261" s="60"/>
      <c r="K261" s="60"/>
      <c r="L261" s="60"/>
      <c r="M261" s="60"/>
      <c r="N261" s="60">
        <f t="shared" si="15"/>
        <v>9</v>
      </c>
      <c r="O261" s="531">
        <f t="shared" si="14"/>
        <v>23196</v>
      </c>
      <c r="P261" s="249" t="s">
        <v>4135</v>
      </c>
    </row>
    <row r="262" spans="2:16" ht="12.75" customHeight="1" x14ac:dyDescent="0.25">
      <c r="B262" s="295" t="s">
        <v>4131</v>
      </c>
      <c r="C262" s="249" t="s">
        <v>4127</v>
      </c>
      <c r="D262" s="231" t="s">
        <v>369</v>
      </c>
      <c r="E262" s="249">
        <v>50</v>
      </c>
      <c r="F262" s="299">
        <v>66.45</v>
      </c>
      <c r="G262" s="299">
        <f t="shared" si="11"/>
        <v>3322.5</v>
      </c>
      <c r="H262" s="235">
        <v>9</v>
      </c>
      <c r="I262" s="60"/>
      <c r="J262" s="60"/>
      <c r="K262" s="60"/>
      <c r="L262" s="60"/>
      <c r="M262" s="60"/>
      <c r="N262" s="60">
        <f t="shared" si="15"/>
        <v>9</v>
      </c>
      <c r="O262" s="531">
        <f t="shared" si="14"/>
        <v>3313.5</v>
      </c>
      <c r="P262" s="249" t="s">
        <v>4136</v>
      </c>
    </row>
    <row r="263" spans="2:16" ht="12.75" customHeight="1" x14ac:dyDescent="0.25">
      <c r="B263" s="295" t="s">
        <v>4131</v>
      </c>
      <c r="C263" s="249" t="s">
        <v>4107</v>
      </c>
      <c r="D263" s="231" t="s">
        <v>369</v>
      </c>
      <c r="E263" s="249">
        <v>150</v>
      </c>
      <c r="F263" s="299">
        <v>158.6</v>
      </c>
      <c r="G263" s="299">
        <f t="shared" si="11"/>
        <v>23790</v>
      </c>
      <c r="H263" s="235">
        <v>9</v>
      </c>
      <c r="I263" s="60"/>
      <c r="J263" s="60"/>
      <c r="K263" s="60"/>
      <c r="L263" s="60"/>
      <c r="M263" s="60"/>
      <c r="N263" s="60">
        <f t="shared" si="15"/>
        <v>9</v>
      </c>
      <c r="O263" s="531">
        <f t="shared" si="14"/>
        <v>23781</v>
      </c>
      <c r="P263" s="249" t="s">
        <v>4137</v>
      </c>
    </row>
    <row r="264" spans="2:16" ht="12.75" customHeight="1" x14ac:dyDescent="0.25">
      <c r="B264" s="295" t="s">
        <v>4146</v>
      </c>
      <c r="C264" s="249" t="s">
        <v>4094</v>
      </c>
      <c r="D264" s="231" t="s">
        <v>369</v>
      </c>
      <c r="E264" s="249">
        <v>200</v>
      </c>
      <c r="F264" s="299">
        <v>101.2</v>
      </c>
      <c r="G264" s="299">
        <f t="shared" si="11"/>
        <v>20240</v>
      </c>
      <c r="I264" s="60"/>
      <c r="J264" s="60"/>
      <c r="K264" s="60"/>
      <c r="L264" s="60"/>
      <c r="M264" s="60"/>
      <c r="N264" s="60">
        <f t="shared" si="15"/>
        <v>0</v>
      </c>
      <c r="O264" s="531">
        <f t="shared" si="14"/>
        <v>20240</v>
      </c>
      <c r="P264" s="249" t="s">
        <v>4148</v>
      </c>
    </row>
    <row r="265" spans="2:16" ht="12.75" customHeight="1" x14ac:dyDescent="0.25">
      <c r="B265" s="295" t="s">
        <v>4146</v>
      </c>
      <c r="C265" s="249" t="s">
        <v>4094</v>
      </c>
      <c r="D265" s="231" t="s">
        <v>369</v>
      </c>
      <c r="E265" s="249">
        <v>150</v>
      </c>
      <c r="F265" s="299">
        <v>103.55</v>
      </c>
      <c r="G265" s="299">
        <f t="shared" ref="G265:G318" si="16">E265*F265</f>
        <v>15532.5</v>
      </c>
      <c r="H265" s="235">
        <v>9</v>
      </c>
      <c r="I265" s="60"/>
      <c r="J265" s="60"/>
      <c r="K265" s="60"/>
      <c r="L265" s="60"/>
      <c r="M265" s="60"/>
      <c r="N265" s="60">
        <f t="shared" si="15"/>
        <v>9</v>
      </c>
      <c r="O265" s="531">
        <f t="shared" si="14"/>
        <v>15523.5</v>
      </c>
      <c r="P265" s="249" t="s">
        <v>4148</v>
      </c>
    </row>
    <row r="266" spans="2:16" ht="12.75" customHeight="1" x14ac:dyDescent="0.25">
      <c r="B266" s="295" t="s">
        <v>4146</v>
      </c>
      <c r="C266" s="249" t="s">
        <v>4134</v>
      </c>
      <c r="D266" s="231" t="s">
        <v>369</v>
      </c>
      <c r="E266" s="249">
        <v>10</v>
      </c>
      <c r="F266" s="299">
        <v>448.8</v>
      </c>
      <c r="G266" s="299">
        <f t="shared" si="16"/>
        <v>4488</v>
      </c>
      <c r="H266" s="235">
        <v>9</v>
      </c>
      <c r="I266" s="60">
        <v>4.68</v>
      </c>
      <c r="J266" s="60">
        <v>1.94</v>
      </c>
      <c r="K266" s="60">
        <v>60</v>
      </c>
      <c r="L266" s="60">
        <v>0.06</v>
      </c>
      <c r="M266" s="60">
        <v>3.58</v>
      </c>
      <c r="N266" s="60">
        <f t="shared" si="15"/>
        <v>79.260000000000005</v>
      </c>
      <c r="O266" s="531">
        <f t="shared" si="14"/>
        <v>4408.74</v>
      </c>
      <c r="P266" s="249" t="s">
        <v>4148</v>
      </c>
    </row>
    <row r="267" spans="2:16" ht="12.75" customHeight="1" x14ac:dyDescent="0.25">
      <c r="B267" s="295" t="s">
        <v>4152</v>
      </c>
      <c r="C267" s="249" t="s">
        <v>4147</v>
      </c>
      <c r="D267" s="231" t="s">
        <v>369</v>
      </c>
      <c r="E267" s="249">
        <v>40</v>
      </c>
      <c r="F267" s="299">
        <v>533.1</v>
      </c>
      <c r="G267" s="299">
        <f t="shared" si="16"/>
        <v>21324</v>
      </c>
      <c r="H267" s="235">
        <v>9</v>
      </c>
      <c r="N267" s="60">
        <f t="shared" si="15"/>
        <v>9</v>
      </c>
      <c r="O267" s="531">
        <f t="shared" si="14"/>
        <v>21315</v>
      </c>
      <c r="P267" s="249" t="s">
        <v>4154</v>
      </c>
    </row>
    <row r="268" spans="2:16" ht="12.75" customHeight="1" x14ac:dyDescent="0.25">
      <c r="B268" s="295" t="s">
        <v>4152</v>
      </c>
      <c r="C268" s="249" t="s">
        <v>4107</v>
      </c>
      <c r="D268" s="231" t="s">
        <v>369</v>
      </c>
      <c r="E268" s="249">
        <v>100</v>
      </c>
      <c r="F268" s="299">
        <v>149.30000000000001</v>
      </c>
      <c r="G268" s="299">
        <f t="shared" si="16"/>
        <v>14930.000000000002</v>
      </c>
      <c r="H268" s="235">
        <v>9</v>
      </c>
      <c r="N268" s="60">
        <f t="shared" si="15"/>
        <v>9</v>
      </c>
      <c r="O268" s="531">
        <f t="shared" si="14"/>
        <v>14921.000000000002</v>
      </c>
      <c r="P268" s="249" t="s">
        <v>4154</v>
      </c>
    </row>
    <row r="269" spans="2:16" ht="12.75" customHeight="1" x14ac:dyDescent="0.25">
      <c r="B269" s="295" t="s">
        <v>4152</v>
      </c>
      <c r="C269" s="249" t="s">
        <v>4107</v>
      </c>
      <c r="D269" s="231" t="s">
        <v>369</v>
      </c>
      <c r="E269" s="249">
        <v>45</v>
      </c>
      <c r="F269" s="299">
        <v>149.19999999999999</v>
      </c>
      <c r="G269" s="299">
        <f t="shared" si="16"/>
        <v>6713.9999999999991</v>
      </c>
      <c r="N269" s="60">
        <f t="shared" si="15"/>
        <v>0</v>
      </c>
      <c r="O269" s="531">
        <f t="shared" si="14"/>
        <v>6713.9999999999991</v>
      </c>
      <c r="P269" s="249" t="s">
        <v>4154</v>
      </c>
    </row>
    <row r="270" spans="2:16" ht="12.75" customHeight="1" x14ac:dyDescent="0.25">
      <c r="B270" s="295" t="s">
        <v>4152</v>
      </c>
      <c r="C270" s="249" t="s">
        <v>4107</v>
      </c>
      <c r="D270" s="231" t="s">
        <v>369</v>
      </c>
      <c r="E270" s="249">
        <v>5</v>
      </c>
      <c r="F270" s="299">
        <v>149.25</v>
      </c>
      <c r="G270" s="299">
        <f t="shared" si="16"/>
        <v>746.25</v>
      </c>
      <c r="N270" s="60">
        <f t="shared" si="15"/>
        <v>0</v>
      </c>
      <c r="O270" s="531">
        <f t="shared" si="14"/>
        <v>746.25</v>
      </c>
      <c r="P270" s="249" t="s">
        <v>4154</v>
      </c>
    </row>
    <row r="271" spans="2:16" ht="12.75" customHeight="1" x14ac:dyDescent="0.25">
      <c r="B271" s="295" t="s">
        <v>4152</v>
      </c>
      <c r="C271" s="249" t="s">
        <v>4073</v>
      </c>
      <c r="D271" s="231" t="s">
        <v>369</v>
      </c>
      <c r="E271" s="249">
        <v>1000</v>
      </c>
      <c r="F271" s="299">
        <v>11.9</v>
      </c>
      <c r="G271" s="299">
        <f t="shared" si="16"/>
        <v>11900</v>
      </c>
      <c r="H271" s="235">
        <v>9</v>
      </c>
      <c r="N271" s="60">
        <f t="shared" si="15"/>
        <v>9</v>
      </c>
      <c r="O271" s="531">
        <f t="shared" si="14"/>
        <v>11891</v>
      </c>
      <c r="P271" s="249" t="s">
        <v>4154</v>
      </c>
    </row>
    <row r="272" spans="2:16" ht="12.75" customHeight="1" x14ac:dyDescent="0.25">
      <c r="B272" s="295" t="s">
        <v>4161</v>
      </c>
      <c r="C272" s="249" t="s">
        <v>4156</v>
      </c>
      <c r="D272" s="231" t="s">
        <v>369</v>
      </c>
      <c r="E272" s="249">
        <v>65</v>
      </c>
      <c r="F272" s="299">
        <v>348.65</v>
      </c>
      <c r="G272" s="299">
        <f t="shared" si="16"/>
        <v>22662.25</v>
      </c>
      <c r="H272" s="235">
        <v>9</v>
      </c>
      <c r="N272" s="60">
        <f t="shared" si="15"/>
        <v>9</v>
      </c>
      <c r="O272" s="531">
        <f t="shared" si="14"/>
        <v>22653.25</v>
      </c>
      <c r="P272" s="249" t="s">
        <v>4163</v>
      </c>
    </row>
    <row r="273" spans="2:16" ht="12.75" customHeight="1" x14ac:dyDescent="0.25">
      <c r="B273" s="295" t="s">
        <v>4164</v>
      </c>
      <c r="C273" s="249" t="s">
        <v>4165</v>
      </c>
      <c r="D273" s="231" t="s">
        <v>369</v>
      </c>
      <c r="E273" s="249">
        <v>10</v>
      </c>
      <c r="F273" s="299">
        <v>1684</v>
      </c>
      <c r="G273" s="299">
        <f t="shared" si="16"/>
        <v>16840</v>
      </c>
      <c r="H273" s="235">
        <v>9</v>
      </c>
      <c r="N273" s="60">
        <f t="shared" si="15"/>
        <v>9</v>
      </c>
      <c r="O273" s="531">
        <f t="shared" si="14"/>
        <v>16831</v>
      </c>
      <c r="P273" s="249" t="s">
        <v>4168</v>
      </c>
    </row>
    <row r="274" spans="2:16" ht="12.75" customHeight="1" x14ac:dyDescent="0.25">
      <c r="B274" s="295" t="s">
        <v>4164</v>
      </c>
      <c r="C274" s="249" t="s">
        <v>4165</v>
      </c>
      <c r="D274" s="231" t="s">
        <v>369</v>
      </c>
      <c r="E274" s="249">
        <v>4</v>
      </c>
      <c r="F274" s="299">
        <v>1702.9</v>
      </c>
      <c r="G274" s="299">
        <f t="shared" si="16"/>
        <v>6811.6</v>
      </c>
      <c r="H274" s="235">
        <v>9</v>
      </c>
      <c r="N274" s="60">
        <f t="shared" si="15"/>
        <v>9</v>
      </c>
      <c r="O274" s="531">
        <f t="shared" si="14"/>
        <v>6802.6</v>
      </c>
      <c r="P274" s="249" t="s">
        <v>4168</v>
      </c>
    </row>
    <row r="275" spans="2:16" ht="12.75" customHeight="1" x14ac:dyDescent="0.25">
      <c r="B275" s="295" t="s">
        <v>4164</v>
      </c>
      <c r="C275" s="249" t="s">
        <v>4153</v>
      </c>
      <c r="D275" s="231" t="s">
        <v>369</v>
      </c>
      <c r="E275" s="249">
        <v>50</v>
      </c>
      <c r="F275" s="299">
        <v>135.19999999999999</v>
      </c>
      <c r="G275" s="299">
        <f t="shared" si="16"/>
        <v>6759.9999999999991</v>
      </c>
      <c r="H275" s="235">
        <v>9</v>
      </c>
      <c r="N275" s="60">
        <f t="shared" si="15"/>
        <v>9</v>
      </c>
      <c r="O275" s="531">
        <f t="shared" si="14"/>
        <v>6750.9999999999991</v>
      </c>
      <c r="P275" s="249" t="s">
        <v>4168</v>
      </c>
    </row>
    <row r="276" spans="2:16" ht="12.75" customHeight="1" x14ac:dyDescent="0.25">
      <c r="B276" s="295" t="s">
        <v>4164</v>
      </c>
      <c r="C276" s="249" t="s">
        <v>4128</v>
      </c>
      <c r="D276" s="231" t="s">
        <v>369</v>
      </c>
      <c r="E276" s="249">
        <v>400</v>
      </c>
      <c r="F276" s="299">
        <v>69.5</v>
      </c>
      <c r="G276" s="299">
        <f t="shared" si="16"/>
        <v>27800</v>
      </c>
      <c r="H276" s="235">
        <v>9</v>
      </c>
      <c r="N276" s="60">
        <f t="shared" si="15"/>
        <v>9</v>
      </c>
      <c r="O276" s="531">
        <f t="shared" si="14"/>
        <v>27791</v>
      </c>
      <c r="P276" s="249" t="s">
        <v>4168</v>
      </c>
    </row>
    <row r="277" spans="2:16" ht="12.75" customHeight="1" x14ac:dyDescent="0.25">
      <c r="B277" s="295" t="s">
        <v>4164</v>
      </c>
      <c r="C277" s="249" t="s">
        <v>4091</v>
      </c>
      <c r="D277" s="231" t="s">
        <v>369</v>
      </c>
      <c r="E277" s="249">
        <v>100</v>
      </c>
      <c r="F277" s="299">
        <v>255.5</v>
      </c>
      <c r="G277" s="299">
        <f t="shared" si="16"/>
        <v>25550</v>
      </c>
      <c r="H277" s="235">
        <v>9</v>
      </c>
      <c r="I277" s="299">
        <v>12.89</v>
      </c>
      <c r="J277" s="299">
        <v>5.44</v>
      </c>
      <c r="K277" s="299">
        <v>126</v>
      </c>
      <c r="L277" s="299">
        <v>0.17</v>
      </c>
      <c r="M277" s="299">
        <v>10.039999999999999</v>
      </c>
      <c r="N277" s="60">
        <f t="shared" si="15"/>
        <v>163.54</v>
      </c>
      <c r="O277" s="531">
        <f t="shared" si="14"/>
        <v>25386.46</v>
      </c>
      <c r="P277" s="249" t="s">
        <v>4168</v>
      </c>
    </row>
    <row r="278" spans="2:16" ht="12.75" customHeight="1" x14ac:dyDescent="0.25">
      <c r="B278" s="295" t="s">
        <v>4169</v>
      </c>
      <c r="C278" s="249" t="s">
        <v>4156</v>
      </c>
      <c r="D278" s="231" t="s">
        <v>369</v>
      </c>
      <c r="E278" s="249">
        <v>60</v>
      </c>
      <c r="F278" s="299">
        <v>333.85</v>
      </c>
      <c r="G278" s="299">
        <f t="shared" si="16"/>
        <v>20031</v>
      </c>
      <c r="H278" s="235">
        <v>9</v>
      </c>
      <c r="N278" s="224">
        <f t="shared" si="15"/>
        <v>9</v>
      </c>
      <c r="O278" s="531">
        <f t="shared" si="14"/>
        <v>20022</v>
      </c>
      <c r="P278" s="249" t="s">
        <v>4175</v>
      </c>
    </row>
    <row r="279" spans="2:16" ht="12.75" customHeight="1" x14ac:dyDescent="0.25">
      <c r="B279" s="295" t="s">
        <v>4176</v>
      </c>
      <c r="C279" s="249" t="s">
        <v>4134</v>
      </c>
      <c r="D279" s="231" t="s">
        <v>369</v>
      </c>
      <c r="E279" s="249">
        <v>50</v>
      </c>
      <c r="F279" s="299">
        <v>448.55</v>
      </c>
      <c r="G279" s="299">
        <f t="shared" si="16"/>
        <v>22427.5</v>
      </c>
      <c r="H279" s="235">
        <v>9</v>
      </c>
      <c r="N279" s="224">
        <f t="shared" si="15"/>
        <v>9</v>
      </c>
      <c r="O279" s="531">
        <f t="shared" si="14"/>
        <v>22418.5</v>
      </c>
      <c r="P279" s="249" t="s">
        <v>4180</v>
      </c>
    </row>
    <row r="280" spans="2:16" ht="12.75" customHeight="1" x14ac:dyDescent="0.25">
      <c r="B280" s="295" t="s">
        <v>4176</v>
      </c>
      <c r="C280" s="249" t="s">
        <v>4177</v>
      </c>
      <c r="D280" s="231" t="s">
        <v>369</v>
      </c>
      <c r="E280" s="249">
        <v>350</v>
      </c>
      <c r="F280" s="299">
        <v>58.2</v>
      </c>
      <c r="G280" s="299">
        <f t="shared" si="16"/>
        <v>20370</v>
      </c>
      <c r="H280" s="235">
        <v>9</v>
      </c>
      <c r="N280" s="224">
        <f t="shared" si="15"/>
        <v>9</v>
      </c>
      <c r="O280" s="531">
        <f t="shared" si="14"/>
        <v>20361</v>
      </c>
      <c r="P280" s="249" t="s">
        <v>4180</v>
      </c>
    </row>
    <row r="281" spans="2:16" ht="12.75" customHeight="1" x14ac:dyDescent="0.25">
      <c r="B281" s="295" t="s">
        <v>4184</v>
      </c>
      <c r="C281" s="249" t="s">
        <v>4166</v>
      </c>
      <c r="D281" s="231" t="s">
        <v>369</v>
      </c>
      <c r="E281" s="249">
        <v>70</v>
      </c>
      <c r="F281" s="299">
        <v>313.75</v>
      </c>
      <c r="G281" s="299">
        <f t="shared" si="16"/>
        <v>21962.5</v>
      </c>
      <c r="H281" s="235">
        <v>9</v>
      </c>
      <c r="N281" s="224">
        <f t="shared" si="15"/>
        <v>9</v>
      </c>
      <c r="O281" s="531">
        <f t="shared" ref="O281:O323" si="17">G281-N281</f>
        <v>21953.5</v>
      </c>
      <c r="P281" s="249" t="s">
        <v>4186</v>
      </c>
    </row>
    <row r="282" spans="2:16" ht="12.75" customHeight="1" x14ac:dyDescent="0.25">
      <c r="B282" s="295" t="s">
        <v>4184</v>
      </c>
      <c r="C282" s="249" t="s">
        <v>4153</v>
      </c>
      <c r="D282" s="231" t="s">
        <v>369</v>
      </c>
      <c r="E282" s="249">
        <v>150</v>
      </c>
      <c r="F282" s="299">
        <v>126.75</v>
      </c>
      <c r="G282" s="299">
        <f t="shared" si="16"/>
        <v>19012.5</v>
      </c>
      <c r="H282" s="235">
        <v>9</v>
      </c>
      <c r="N282" s="224">
        <f t="shared" si="15"/>
        <v>9</v>
      </c>
      <c r="O282" s="531">
        <f t="shared" si="17"/>
        <v>19003.5</v>
      </c>
      <c r="P282" s="249" t="s">
        <v>4186</v>
      </c>
    </row>
    <row r="283" spans="2:16" ht="12.75" customHeight="1" x14ac:dyDescent="0.25">
      <c r="B283" s="295" t="s">
        <v>4188</v>
      </c>
      <c r="C283" s="249" t="s">
        <v>4174</v>
      </c>
      <c r="D283" s="231" t="s">
        <v>369</v>
      </c>
      <c r="E283" s="249">
        <v>2</v>
      </c>
      <c r="F283" s="299">
        <v>1051</v>
      </c>
      <c r="G283" s="299">
        <f t="shared" si="16"/>
        <v>2102</v>
      </c>
      <c r="H283" s="235">
        <v>9</v>
      </c>
      <c r="N283" s="224">
        <f t="shared" si="15"/>
        <v>9</v>
      </c>
      <c r="O283" s="531">
        <f t="shared" si="17"/>
        <v>2093</v>
      </c>
      <c r="P283" s="249" t="s">
        <v>4189</v>
      </c>
    </row>
    <row r="284" spans="2:16" ht="12.75" customHeight="1" x14ac:dyDescent="0.25">
      <c r="B284" s="295" t="s">
        <v>4188</v>
      </c>
      <c r="C284" s="249" t="s">
        <v>4174</v>
      </c>
      <c r="D284" s="231" t="s">
        <v>369</v>
      </c>
      <c r="E284" s="249">
        <v>40</v>
      </c>
      <c r="F284" s="299">
        <v>1051</v>
      </c>
      <c r="G284" s="299">
        <f t="shared" si="16"/>
        <v>42040</v>
      </c>
      <c r="H284" s="235">
        <v>9</v>
      </c>
      <c r="N284" s="224">
        <f t="shared" si="15"/>
        <v>9</v>
      </c>
      <c r="O284" s="531">
        <f t="shared" si="17"/>
        <v>42031</v>
      </c>
      <c r="P284" s="249" t="s">
        <v>4189</v>
      </c>
    </row>
    <row r="285" spans="2:16" ht="12.75" customHeight="1" x14ac:dyDescent="0.25">
      <c r="B285" s="295" t="s">
        <v>4188</v>
      </c>
      <c r="C285" s="249" t="s">
        <v>4174</v>
      </c>
      <c r="D285" s="231" t="s">
        <v>369</v>
      </c>
      <c r="E285" s="249">
        <v>20</v>
      </c>
      <c r="F285" s="299">
        <v>1060.5999999999999</v>
      </c>
      <c r="G285" s="299">
        <f t="shared" si="16"/>
        <v>21212</v>
      </c>
      <c r="H285" s="235">
        <v>9</v>
      </c>
      <c r="N285" s="224">
        <f t="shared" si="15"/>
        <v>9</v>
      </c>
      <c r="O285" s="531">
        <f t="shared" si="17"/>
        <v>21203</v>
      </c>
      <c r="P285" s="249" t="s">
        <v>4189</v>
      </c>
    </row>
    <row r="286" spans="2:16" ht="12.75" customHeight="1" x14ac:dyDescent="0.25">
      <c r="B286" s="295" t="s">
        <v>4190</v>
      </c>
      <c r="C286" s="249" t="s">
        <v>4185</v>
      </c>
      <c r="D286" s="231" t="s">
        <v>369</v>
      </c>
      <c r="E286" s="249">
        <v>400</v>
      </c>
      <c r="F286" s="299">
        <v>51.2</v>
      </c>
      <c r="G286" s="299">
        <f t="shared" si="16"/>
        <v>20480</v>
      </c>
      <c r="H286" s="235">
        <v>9</v>
      </c>
      <c r="N286" s="224">
        <f t="shared" si="15"/>
        <v>9</v>
      </c>
      <c r="O286" s="531">
        <f t="shared" si="17"/>
        <v>20471</v>
      </c>
      <c r="P286" s="249" t="s">
        <v>4191</v>
      </c>
    </row>
    <row r="287" spans="2:16" ht="12.75" customHeight="1" x14ac:dyDescent="0.25">
      <c r="B287" s="295" t="s">
        <v>4190</v>
      </c>
      <c r="C287" s="249" t="s">
        <v>4167</v>
      </c>
      <c r="D287" s="231" t="s">
        <v>369</v>
      </c>
      <c r="E287" s="249">
        <v>25</v>
      </c>
      <c r="F287" s="299">
        <v>892</v>
      </c>
      <c r="G287" s="299">
        <f t="shared" si="16"/>
        <v>22300</v>
      </c>
      <c r="H287" s="235">
        <v>9</v>
      </c>
      <c r="I287" s="60"/>
      <c r="J287" s="60"/>
      <c r="K287" s="60"/>
      <c r="L287" s="60"/>
      <c r="M287" s="60"/>
      <c r="N287" s="224">
        <f t="shared" si="15"/>
        <v>9</v>
      </c>
      <c r="O287" s="531">
        <f t="shared" si="17"/>
        <v>22291</v>
      </c>
      <c r="P287" s="249" t="s">
        <v>4193</v>
      </c>
    </row>
    <row r="288" spans="2:16" ht="12.75" customHeight="1" x14ac:dyDescent="0.25">
      <c r="B288" s="295" t="s">
        <v>4190</v>
      </c>
      <c r="C288" s="249" t="s">
        <v>4156</v>
      </c>
      <c r="D288" s="231" t="s">
        <v>369</v>
      </c>
      <c r="E288" s="249">
        <v>65</v>
      </c>
      <c r="F288" s="299">
        <v>335.2</v>
      </c>
      <c r="G288" s="299">
        <f t="shared" si="16"/>
        <v>21788</v>
      </c>
      <c r="H288" s="235">
        <v>9</v>
      </c>
      <c r="I288" s="60"/>
      <c r="J288" s="60"/>
      <c r="K288" s="60"/>
      <c r="L288" s="60"/>
      <c r="M288" s="60"/>
      <c r="N288" s="224">
        <f t="shared" si="15"/>
        <v>9</v>
      </c>
      <c r="O288" s="531">
        <f t="shared" si="17"/>
        <v>21779</v>
      </c>
      <c r="P288" s="249" t="s">
        <v>4196</v>
      </c>
    </row>
    <row r="289" spans="1:16" ht="12.75" customHeight="1" x14ac:dyDescent="0.25">
      <c r="B289" s="295" t="s">
        <v>4190</v>
      </c>
      <c r="C289" s="249" t="s">
        <v>4187</v>
      </c>
      <c r="D289" s="231" t="s">
        <v>369</v>
      </c>
      <c r="E289" s="249">
        <v>100</v>
      </c>
      <c r="F289" s="299">
        <v>229.4</v>
      </c>
      <c r="G289" s="299">
        <f t="shared" si="16"/>
        <v>22940</v>
      </c>
      <c r="H289" s="235">
        <v>9</v>
      </c>
      <c r="I289" s="60"/>
      <c r="J289" s="60"/>
      <c r="K289" s="60"/>
      <c r="L289" s="60"/>
      <c r="M289" s="60"/>
      <c r="N289" s="224">
        <f t="shared" si="15"/>
        <v>9</v>
      </c>
      <c r="O289" s="531">
        <f t="shared" si="17"/>
        <v>22931</v>
      </c>
      <c r="P289" s="249" t="s">
        <v>4198</v>
      </c>
    </row>
    <row r="290" spans="1:16" ht="12.75" customHeight="1" x14ac:dyDescent="0.25">
      <c r="B290" s="295" t="s">
        <v>4190</v>
      </c>
      <c r="C290" s="249" t="s">
        <v>4174</v>
      </c>
      <c r="D290" s="231" t="s">
        <v>369</v>
      </c>
      <c r="E290" s="249">
        <v>7</v>
      </c>
      <c r="F290" s="299">
        <v>1058.25</v>
      </c>
      <c r="G290" s="299">
        <f t="shared" si="16"/>
        <v>7407.75</v>
      </c>
      <c r="H290" s="235">
        <v>9</v>
      </c>
      <c r="I290" s="60"/>
      <c r="J290" s="60"/>
      <c r="K290" s="60"/>
      <c r="L290" s="60"/>
      <c r="M290" s="60"/>
      <c r="N290" s="224">
        <f t="shared" si="15"/>
        <v>9</v>
      </c>
      <c r="O290" s="531">
        <f t="shared" si="17"/>
        <v>7398.75</v>
      </c>
      <c r="P290" s="249" t="s">
        <v>4199</v>
      </c>
    </row>
    <row r="291" spans="1:16" ht="12.75" customHeight="1" x14ac:dyDescent="0.25">
      <c r="B291" s="295" t="s">
        <v>4190</v>
      </c>
      <c r="C291" s="249" t="s">
        <v>4174</v>
      </c>
      <c r="D291" s="231" t="s">
        <v>369</v>
      </c>
      <c r="E291" s="249">
        <v>9</v>
      </c>
      <c r="F291" s="299">
        <v>1058.5</v>
      </c>
      <c r="G291" s="299">
        <f t="shared" si="16"/>
        <v>9526.5</v>
      </c>
      <c r="I291" s="60"/>
      <c r="J291" s="60"/>
      <c r="K291" s="60"/>
      <c r="L291" s="60"/>
      <c r="M291" s="60"/>
      <c r="N291" s="224">
        <f t="shared" si="15"/>
        <v>0</v>
      </c>
      <c r="O291" s="531">
        <f t="shared" si="17"/>
        <v>9526.5</v>
      </c>
      <c r="P291" s="249" t="s">
        <v>4200</v>
      </c>
    </row>
    <row r="292" spans="1:16" ht="12.75" customHeight="1" x14ac:dyDescent="0.25">
      <c r="B292" s="295" t="s">
        <v>4190</v>
      </c>
      <c r="C292" s="249" t="s">
        <v>4174</v>
      </c>
      <c r="D292" s="231" t="s">
        <v>369</v>
      </c>
      <c r="E292" s="249">
        <v>4</v>
      </c>
      <c r="F292" s="299">
        <v>1058.55</v>
      </c>
      <c r="G292" s="299">
        <f t="shared" si="16"/>
        <v>4234.2</v>
      </c>
      <c r="I292" s="60"/>
      <c r="J292" s="60"/>
      <c r="K292" s="60"/>
      <c r="L292" s="60"/>
      <c r="M292" s="60"/>
      <c r="N292" s="224">
        <f t="shared" si="15"/>
        <v>0</v>
      </c>
      <c r="O292" s="531">
        <f t="shared" si="17"/>
        <v>4234.2</v>
      </c>
      <c r="P292" s="249" t="s">
        <v>4201</v>
      </c>
    </row>
    <row r="293" spans="1:16" ht="12.75" customHeight="1" x14ac:dyDescent="0.25">
      <c r="B293" s="295" t="s">
        <v>4190</v>
      </c>
      <c r="C293" s="249" t="s">
        <v>4178</v>
      </c>
      <c r="D293" s="231" t="s">
        <v>369</v>
      </c>
      <c r="E293" s="249">
        <v>50</v>
      </c>
      <c r="F293" s="299">
        <v>400</v>
      </c>
      <c r="G293" s="299">
        <f t="shared" si="16"/>
        <v>20000</v>
      </c>
      <c r="H293" s="235">
        <v>9</v>
      </c>
      <c r="I293" s="60"/>
      <c r="J293" s="60"/>
      <c r="K293" s="60"/>
      <c r="L293" s="60"/>
      <c r="M293" s="60"/>
      <c r="N293" s="224">
        <f t="shared" si="15"/>
        <v>9</v>
      </c>
      <c r="O293" s="531">
        <f t="shared" si="17"/>
        <v>19991</v>
      </c>
      <c r="P293" s="249" t="s">
        <v>4204</v>
      </c>
    </row>
    <row r="294" spans="1:16" ht="12.75" customHeight="1" x14ac:dyDescent="0.25">
      <c r="B294" s="295" t="s">
        <v>4190</v>
      </c>
      <c r="C294" s="249" t="s">
        <v>4178</v>
      </c>
      <c r="D294" s="231" t="s">
        <v>369</v>
      </c>
      <c r="E294" s="249">
        <v>1</v>
      </c>
      <c r="F294" s="299">
        <v>394.5</v>
      </c>
      <c r="G294" s="299">
        <f t="shared" si="16"/>
        <v>394.5</v>
      </c>
      <c r="I294" s="60"/>
      <c r="J294" s="60"/>
      <c r="K294" s="60"/>
      <c r="L294" s="60"/>
      <c r="M294" s="60"/>
      <c r="N294" s="224">
        <f t="shared" si="15"/>
        <v>0</v>
      </c>
      <c r="O294" s="531">
        <f t="shared" si="17"/>
        <v>394.5</v>
      </c>
      <c r="P294" s="249" t="s">
        <v>4205</v>
      </c>
    </row>
    <row r="295" spans="1:16" s="231" customFormat="1" ht="13.2" x14ac:dyDescent="0.25">
      <c r="A295" s="250"/>
      <c r="B295" s="295" t="s">
        <v>4190</v>
      </c>
      <c r="C295" s="249" t="s">
        <v>4179</v>
      </c>
      <c r="D295" s="608" t="s">
        <v>369</v>
      </c>
      <c r="E295" s="249">
        <v>10</v>
      </c>
      <c r="F295" s="299">
        <v>233.25</v>
      </c>
      <c r="G295" s="60">
        <f t="shared" si="16"/>
        <v>2332.5</v>
      </c>
      <c r="H295" s="234">
        <v>9</v>
      </c>
      <c r="I295" s="60"/>
      <c r="J295" s="60"/>
      <c r="K295" s="60"/>
      <c r="L295" s="60"/>
      <c r="M295" s="299"/>
      <c r="N295" s="224">
        <f t="shared" si="15"/>
        <v>9</v>
      </c>
      <c r="O295" s="531">
        <f t="shared" si="17"/>
        <v>2323.5</v>
      </c>
      <c r="P295" s="249" t="s">
        <v>4208</v>
      </c>
    </row>
    <row r="296" spans="1:16" s="231" customFormat="1" ht="13.2" x14ac:dyDescent="0.25">
      <c r="A296" s="250"/>
      <c r="B296" s="295" t="s">
        <v>4190</v>
      </c>
      <c r="C296" s="249" t="s">
        <v>4179</v>
      </c>
      <c r="D296" s="608" t="s">
        <v>369</v>
      </c>
      <c r="E296" s="249">
        <v>90</v>
      </c>
      <c r="F296" s="299">
        <v>225</v>
      </c>
      <c r="G296" s="60">
        <f t="shared" si="16"/>
        <v>20250</v>
      </c>
      <c r="H296" s="234">
        <v>9</v>
      </c>
      <c r="I296" s="60"/>
      <c r="J296" s="60"/>
      <c r="K296" s="60"/>
      <c r="L296" s="60"/>
      <c r="M296" s="299"/>
      <c r="N296" s="224">
        <f t="shared" si="15"/>
        <v>9</v>
      </c>
      <c r="O296" s="531">
        <f t="shared" si="17"/>
        <v>20241</v>
      </c>
      <c r="P296" s="249" t="s">
        <v>4209</v>
      </c>
    </row>
    <row r="297" spans="1:16" ht="12.75" customHeight="1" x14ac:dyDescent="0.25">
      <c r="B297" s="295" t="s">
        <v>4190</v>
      </c>
      <c r="C297" s="249" t="s">
        <v>4179</v>
      </c>
      <c r="D297" s="231" t="s">
        <v>369</v>
      </c>
      <c r="E297" s="249">
        <v>90</v>
      </c>
      <c r="F297" s="299">
        <v>233.25</v>
      </c>
      <c r="G297" s="60">
        <f t="shared" si="16"/>
        <v>20992.5</v>
      </c>
      <c r="I297" s="299">
        <v>19.16</v>
      </c>
      <c r="J297" s="299">
        <v>11.21</v>
      </c>
      <c r="K297" s="299">
        <v>155</v>
      </c>
      <c r="L297" s="299">
        <v>0.34</v>
      </c>
      <c r="M297" s="299">
        <v>20.69</v>
      </c>
      <c r="N297" s="224">
        <f t="shared" si="15"/>
        <v>206.4</v>
      </c>
      <c r="O297" s="531">
        <f t="shared" si="17"/>
        <v>20786.099999999999</v>
      </c>
      <c r="P297" s="249" t="s">
        <v>4210</v>
      </c>
    </row>
    <row r="298" spans="1:16" ht="12.75" customHeight="1" x14ac:dyDescent="0.25">
      <c r="B298" s="295" t="s">
        <v>4214</v>
      </c>
      <c r="C298" s="249" t="s">
        <v>4107</v>
      </c>
      <c r="D298" s="231" t="s">
        <v>369</v>
      </c>
      <c r="E298" s="224">
        <v>140</v>
      </c>
      <c r="F298" s="299">
        <v>173</v>
      </c>
      <c r="G298" s="299">
        <f t="shared" si="16"/>
        <v>24220</v>
      </c>
      <c r="H298" s="235">
        <v>9</v>
      </c>
      <c r="N298" s="224">
        <f t="shared" si="15"/>
        <v>9</v>
      </c>
      <c r="O298" s="531">
        <f t="shared" si="17"/>
        <v>24211</v>
      </c>
      <c r="P298" s="249" t="s">
        <v>4215</v>
      </c>
    </row>
    <row r="299" spans="1:16" ht="12.75" customHeight="1" x14ac:dyDescent="0.25">
      <c r="B299" s="295" t="s">
        <v>4214</v>
      </c>
      <c r="C299" s="249" t="s">
        <v>4178</v>
      </c>
      <c r="D299" s="231" t="s">
        <v>369</v>
      </c>
      <c r="E299" s="249">
        <v>49</v>
      </c>
      <c r="F299" s="299">
        <v>390</v>
      </c>
      <c r="G299" s="299">
        <f t="shared" si="16"/>
        <v>19110</v>
      </c>
      <c r="H299" s="235">
        <v>9</v>
      </c>
      <c r="I299" s="299">
        <v>3.65</v>
      </c>
      <c r="J299" s="299">
        <v>2.5499999999999998</v>
      </c>
      <c r="K299" s="299">
        <v>36</v>
      </c>
      <c r="L299" s="299">
        <v>0.08</v>
      </c>
      <c r="M299" s="299">
        <v>4.7</v>
      </c>
      <c r="N299" s="224">
        <f t="shared" si="15"/>
        <v>55.980000000000004</v>
      </c>
      <c r="O299" s="531">
        <f t="shared" si="17"/>
        <v>19054.02</v>
      </c>
      <c r="P299" s="249" t="s">
        <v>4215</v>
      </c>
    </row>
    <row r="300" spans="1:16" ht="12.75" customHeight="1" x14ac:dyDescent="0.25">
      <c r="B300" s="295" t="s">
        <v>4211</v>
      </c>
      <c r="C300" s="249" t="s">
        <v>4107</v>
      </c>
      <c r="D300" s="231" t="s">
        <v>369</v>
      </c>
      <c r="E300" s="249">
        <v>200</v>
      </c>
      <c r="F300" s="299">
        <v>190</v>
      </c>
      <c r="G300" s="299">
        <f t="shared" si="16"/>
        <v>38000</v>
      </c>
      <c r="H300" s="235">
        <v>9</v>
      </c>
      <c r="N300" s="224">
        <f t="shared" si="15"/>
        <v>9</v>
      </c>
      <c r="O300" s="531">
        <f t="shared" si="17"/>
        <v>37991</v>
      </c>
      <c r="P300" s="249" t="s">
        <v>4217</v>
      </c>
    </row>
    <row r="301" spans="1:16" ht="12.75" customHeight="1" x14ac:dyDescent="0.25">
      <c r="B301" s="295" t="s">
        <v>4211</v>
      </c>
      <c r="C301" s="249" t="s">
        <v>4167</v>
      </c>
      <c r="D301" s="231" t="s">
        <v>369</v>
      </c>
      <c r="E301" s="249">
        <v>50</v>
      </c>
      <c r="F301" s="299">
        <v>1010</v>
      </c>
      <c r="G301" s="299">
        <f t="shared" si="16"/>
        <v>50500</v>
      </c>
      <c r="H301" s="235">
        <v>9</v>
      </c>
      <c r="N301" s="224">
        <f t="shared" si="15"/>
        <v>9</v>
      </c>
      <c r="O301" s="531">
        <f t="shared" si="17"/>
        <v>50491</v>
      </c>
      <c r="P301" s="249" t="s">
        <v>4217</v>
      </c>
    </row>
    <row r="302" spans="1:16" ht="12.75" customHeight="1" x14ac:dyDescent="0.25">
      <c r="B302" s="295" t="s">
        <v>4211</v>
      </c>
      <c r="C302" s="249" t="s">
        <v>4174</v>
      </c>
      <c r="D302" s="231" t="s">
        <v>369</v>
      </c>
      <c r="E302" s="249">
        <v>23</v>
      </c>
      <c r="F302" s="299">
        <v>1130.05</v>
      </c>
      <c r="G302" s="299">
        <f t="shared" si="16"/>
        <v>25991.149999999998</v>
      </c>
      <c r="N302" s="224">
        <f t="shared" si="15"/>
        <v>0</v>
      </c>
      <c r="O302" s="531">
        <f t="shared" si="17"/>
        <v>25991.149999999998</v>
      </c>
      <c r="P302" s="249" t="s">
        <v>4217</v>
      </c>
    </row>
    <row r="303" spans="1:16" ht="12.75" customHeight="1" x14ac:dyDescent="0.25">
      <c r="B303" s="295" t="s">
        <v>4211</v>
      </c>
      <c r="C303" s="249" t="s">
        <v>4174</v>
      </c>
      <c r="D303" s="231" t="s">
        <v>369</v>
      </c>
      <c r="E303" s="249">
        <v>12</v>
      </c>
      <c r="F303" s="299">
        <v>1130</v>
      </c>
      <c r="G303" s="299">
        <f t="shared" si="16"/>
        <v>13560</v>
      </c>
      <c r="H303" s="235">
        <v>9</v>
      </c>
      <c r="N303" s="224">
        <f t="shared" si="15"/>
        <v>9</v>
      </c>
      <c r="O303" s="531">
        <f t="shared" si="17"/>
        <v>13551</v>
      </c>
      <c r="P303" s="249" t="s">
        <v>4217</v>
      </c>
    </row>
    <row r="304" spans="1:16" ht="12.75" customHeight="1" x14ac:dyDescent="0.25">
      <c r="B304" s="295" t="s">
        <v>4211</v>
      </c>
      <c r="C304" s="249" t="s">
        <v>4216</v>
      </c>
      <c r="D304" s="231" t="s">
        <v>369</v>
      </c>
      <c r="E304" s="249">
        <v>100</v>
      </c>
      <c r="F304" s="299">
        <v>333</v>
      </c>
      <c r="G304" s="299">
        <f t="shared" si="16"/>
        <v>33300</v>
      </c>
      <c r="H304" s="235">
        <v>9</v>
      </c>
      <c r="N304" s="224">
        <f t="shared" si="15"/>
        <v>9</v>
      </c>
      <c r="O304" s="531">
        <f t="shared" si="17"/>
        <v>33291</v>
      </c>
      <c r="P304" s="249" t="s">
        <v>4217</v>
      </c>
    </row>
    <row r="305" spans="2:16" ht="12.75" customHeight="1" x14ac:dyDescent="0.25">
      <c r="B305" s="295" t="s">
        <v>4218</v>
      </c>
      <c r="C305" s="249" t="s">
        <v>4216</v>
      </c>
      <c r="D305" s="231" t="s">
        <v>369</v>
      </c>
      <c r="E305" s="249">
        <v>100</v>
      </c>
      <c r="F305" s="299">
        <v>334.2</v>
      </c>
      <c r="G305" s="299">
        <f t="shared" si="16"/>
        <v>33420</v>
      </c>
      <c r="H305" s="235">
        <v>9</v>
      </c>
      <c r="N305" s="224">
        <f t="shared" si="15"/>
        <v>9</v>
      </c>
      <c r="O305" s="531">
        <f t="shared" si="17"/>
        <v>33411</v>
      </c>
      <c r="P305" s="249" t="s">
        <v>4220</v>
      </c>
    </row>
    <row r="306" spans="2:16" ht="12.75" customHeight="1" x14ac:dyDescent="0.25">
      <c r="B306" s="295" t="s">
        <v>4218</v>
      </c>
      <c r="C306" s="249" t="s">
        <v>4178</v>
      </c>
      <c r="D306" s="231" t="s">
        <v>369</v>
      </c>
      <c r="E306" s="249">
        <v>70</v>
      </c>
      <c r="F306" s="299">
        <v>375.05</v>
      </c>
      <c r="G306" s="299">
        <f t="shared" si="16"/>
        <v>26253.5</v>
      </c>
      <c r="H306" s="235">
        <v>9</v>
      </c>
      <c r="I306" s="299">
        <v>6.06</v>
      </c>
      <c r="J306" s="299">
        <v>4.16</v>
      </c>
      <c r="K306" s="299">
        <v>128</v>
      </c>
      <c r="L306" s="299">
        <v>0.13</v>
      </c>
      <c r="M306" s="299">
        <v>7.68</v>
      </c>
      <c r="N306" s="224">
        <f t="shared" si="15"/>
        <v>155.03</v>
      </c>
      <c r="O306" s="531">
        <f t="shared" si="17"/>
        <v>26098.47</v>
      </c>
      <c r="P306" s="249" t="s">
        <v>4220</v>
      </c>
    </row>
    <row r="307" spans="2:16" ht="12.75" customHeight="1" x14ac:dyDescent="0.25">
      <c r="B307" s="729" t="s">
        <v>4221</v>
      </c>
      <c r="C307" s="249" t="s">
        <v>4219</v>
      </c>
      <c r="D307" s="231" t="s">
        <v>369</v>
      </c>
      <c r="E307" s="249">
        <v>100</v>
      </c>
      <c r="F307" s="299">
        <v>241</v>
      </c>
      <c r="G307" s="299">
        <f t="shared" si="16"/>
        <v>24100</v>
      </c>
      <c r="H307" s="235">
        <v>9</v>
      </c>
      <c r="N307" s="224">
        <f t="shared" si="15"/>
        <v>9</v>
      </c>
      <c r="O307" s="531">
        <f t="shared" si="17"/>
        <v>24091</v>
      </c>
      <c r="P307" s="249" t="s">
        <v>4225</v>
      </c>
    </row>
    <row r="308" spans="2:16" ht="13.2" x14ac:dyDescent="0.25">
      <c r="B308" s="729" t="s">
        <v>4221</v>
      </c>
      <c r="C308" s="249" t="s">
        <v>4224</v>
      </c>
      <c r="D308" s="231" t="s">
        <v>369</v>
      </c>
      <c r="E308" s="249">
        <v>24</v>
      </c>
      <c r="F308" s="299">
        <v>1032</v>
      </c>
      <c r="G308" s="299">
        <f t="shared" si="16"/>
        <v>24768</v>
      </c>
      <c r="H308" s="235">
        <v>9</v>
      </c>
      <c r="N308" s="224">
        <f t="shared" si="15"/>
        <v>9</v>
      </c>
      <c r="O308" s="531">
        <f t="shared" si="17"/>
        <v>24759</v>
      </c>
      <c r="P308" s="249" t="s">
        <v>4225</v>
      </c>
    </row>
    <row r="309" spans="2:16" ht="12.75" customHeight="1" x14ac:dyDescent="0.25">
      <c r="B309" s="729" t="s">
        <v>4221</v>
      </c>
      <c r="C309" s="249" t="s">
        <v>4185</v>
      </c>
      <c r="D309" s="231" t="s">
        <v>369</v>
      </c>
      <c r="E309" s="249">
        <v>500</v>
      </c>
      <c r="F309" s="299">
        <v>48.15</v>
      </c>
      <c r="G309" s="299">
        <f t="shared" si="16"/>
        <v>24075</v>
      </c>
      <c r="H309" s="235">
        <v>9</v>
      </c>
      <c r="N309" s="224">
        <f t="shared" si="15"/>
        <v>9</v>
      </c>
      <c r="O309" s="531">
        <f t="shared" si="17"/>
        <v>24066</v>
      </c>
      <c r="P309" s="249" t="s">
        <v>4225</v>
      </c>
    </row>
    <row r="310" spans="2:16" ht="12.75" customHeight="1" x14ac:dyDescent="0.25">
      <c r="B310" s="729" t="s">
        <v>4226</v>
      </c>
      <c r="C310" s="730" t="s">
        <v>4219</v>
      </c>
      <c r="D310" s="731" t="s">
        <v>369</v>
      </c>
      <c r="E310" s="249">
        <v>100</v>
      </c>
      <c r="F310" s="299">
        <v>227</v>
      </c>
      <c r="G310" s="299">
        <f t="shared" si="16"/>
        <v>22700</v>
      </c>
      <c r="H310" s="235">
        <v>9</v>
      </c>
      <c r="N310" s="224">
        <f t="shared" si="15"/>
        <v>9</v>
      </c>
      <c r="O310" s="531">
        <f t="shared" si="17"/>
        <v>22691</v>
      </c>
      <c r="P310" s="730" t="s">
        <v>4230</v>
      </c>
    </row>
    <row r="311" spans="2:16" ht="12.75" customHeight="1" x14ac:dyDescent="0.25">
      <c r="B311" s="729" t="s">
        <v>4226</v>
      </c>
      <c r="C311" s="730" t="s">
        <v>4156</v>
      </c>
      <c r="D311" s="731" t="s">
        <v>369</v>
      </c>
      <c r="E311" s="249">
        <v>133</v>
      </c>
      <c r="F311" s="299">
        <v>322</v>
      </c>
      <c r="G311" s="299">
        <f t="shared" si="16"/>
        <v>42826</v>
      </c>
      <c r="H311" s="235">
        <v>9</v>
      </c>
      <c r="N311" s="224">
        <f t="shared" si="15"/>
        <v>9</v>
      </c>
      <c r="O311" s="531">
        <f t="shared" si="17"/>
        <v>42817</v>
      </c>
      <c r="P311" s="730" t="s">
        <v>4230</v>
      </c>
    </row>
    <row r="312" spans="2:16" ht="12.75" customHeight="1" x14ac:dyDescent="0.25">
      <c r="B312" s="729" t="s">
        <v>4226</v>
      </c>
      <c r="C312" s="730" t="s">
        <v>4156</v>
      </c>
      <c r="D312" s="731" t="s">
        <v>369</v>
      </c>
      <c r="E312" s="249">
        <v>2</v>
      </c>
      <c r="F312" s="299">
        <v>322.05</v>
      </c>
      <c r="G312" s="299">
        <f t="shared" si="16"/>
        <v>644.1</v>
      </c>
      <c r="N312" s="224">
        <f t="shared" si="15"/>
        <v>0</v>
      </c>
      <c r="O312" s="531">
        <f t="shared" si="17"/>
        <v>644.1</v>
      </c>
      <c r="P312" s="730" t="s">
        <v>4230</v>
      </c>
    </row>
    <row r="313" spans="2:16" ht="12.75" customHeight="1" x14ac:dyDescent="0.25">
      <c r="B313" s="729" t="s">
        <v>4231</v>
      </c>
      <c r="C313" s="730" t="s">
        <v>4216</v>
      </c>
      <c r="D313" s="731" t="s">
        <v>369</v>
      </c>
      <c r="E313" s="249">
        <v>215</v>
      </c>
      <c r="F313" s="299">
        <v>328.35</v>
      </c>
      <c r="G313" s="299">
        <f t="shared" si="16"/>
        <v>70595.25</v>
      </c>
      <c r="H313" s="235">
        <v>9</v>
      </c>
      <c r="I313" s="299">
        <v>5.01</v>
      </c>
      <c r="J313" s="299">
        <v>4.6100000000000003</v>
      </c>
      <c r="K313" s="299">
        <v>142</v>
      </c>
      <c r="L313" s="299">
        <v>0.14000000000000001</v>
      </c>
      <c r="M313" s="299">
        <v>8.51</v>
      </c>
      <c r="N313" s="224">
        <f t="shared" ref="N313:N318" si="18">SUM(H313:M313)</f>
        <v>169.26999999999998</v>
      </c>
      <c r="O313" s="531">
        <f t="shared" si="17"/>
        <v>70425.98</v>
      </c>
      <c r="P313" s="730" t="s">
        <v>4233</v>
      </c>
    </row>
    <row r="314" spans="2:16" ht="12.75" customHeight="1" x14ac:dyDescent="0.25">
      <c r="B314" s="729" t="s">
        <v>4235</v>
      </c>
      <c r="C314" s="730" t="s">
        <v>4185</v>
      </c>
      <c r="D314" s="731" t="s">
        <v>369</v>
      </c>
      <c r="E314" s="249">
        <v>50</v>
      </c>
      <c r="F314" s="299">
        <v>46.85</v>
      </c>
      <c r="G314" s="299">
        <f t="shared" si="16"/>
        <v>2342.5</v>
      </c>
      <c r="H314" s="235">
        <v>9</v>
      </c>
      <c r="N314" s="224">
        <f t="shared" si="18"/>
        <v>9</v>
      </c>
      <c r="O314" s="531">
        <f t="shared" si="17"/>
        <v>2333.5</v>
      </c>
      <c r="P314" s="730" t="s">
        <v>4237</v>
      </c>
    </row>
    <row r="315" spans="2:16" ht="12.75" customHeight="1" x14ac:dyDescent="0.25">
      <c r="B315" s="729" t="s">
        <v>4235</v>
      </c>
      <c r="C315" s="730" t="s">
        <v>4232</v>
      </c>
      <c r="D315" s="731" t="s">
        <v>369</v>
      </c>
      <c r="E315" s="249">
        <v>50</v>
      </c>
      <c r="F315" s="299">
        <v>64.5</v>
      </c>
      <c r="G315" s="299">
        <f t="shared" si="16"/>
        <v>3225</v>
      </c>
      <c r="H315" s="235">
        <v>9</v>
      </c>
      <c r="N315" s="224">
        <f t="shared" si="18"/>
        <v>9</v>
      </c>
      <c r="O315" s="531">
        <f t="shared" si="17"/>
        <v>3216</v>
      </c>
      <c r="P315" s="730" t="s">
        <v>4237</v>
      </c>
    </row>
    <row r="316" spans="2:16" ht="12.75" customHeight="1" x14ac:dyDescent="0.25">
      <c r="B316" s="729" t="s">
        <v>4235</v>
      </c>
      <c r="C316" s="730" t="s">
        <v>4216</v>
      </c>
      <c r="D316" s="731" t="s">
        <v>369</v>
      </c>
      <c r="E316" s="249">
        <v>50</v>
      </c>
      <c r="F316" s="299">
        <v>323.10000000000002</v>
      </c>
      <c r="G316" s="299">
        <f t="shared" si="16"/>
        <v>16155.000000000002</v>
      </c>
      <c r="H316" s="235">
        <v>9</v>
      </c>
      <c r="N316" s="224">
        <f t="shared" si="18"/>
        <v>9</v>
      </c>
      <c r="O316" s="531">
        <f t="shared" si="17"/>
        <v>16146.000000000002</v>
      </c>
      <c r="P316" s="730" t="s">
        <v>4237</v>
      </c>
    </row>
    <row r="317" spans="2:16" ht="12.75" customHeight="1" x14ac:dyDescent="0.25">
      <c r="B317" s="729" t="s">
        <v>4235</v>
      </c>
      <c r="C317" s="730" t="s">
        <v>4216</v>
      </c>
      <c r="D317" s="731" t="s">
        <v>369</v>
      </c>
      <c r="E317" s="249">
        <v>100</v>
      </c>
      <c r="F317" s="299">
        <v>315</v>
      </c>
      <c r="G317" s="299">
        <f t="shared" si="16"/>
        <v>31500</v>
      </c>
      <c r="H317" s="235">
        <v>9</v>
      </c>
      <c r="I317" s="299">
        <v>7.09</v>
      </c>
      <c r="J317" s="299">
        <v>3.45</v>
      </c>
      <c r="K317" s="299">
        <v>106</v>
      </c>
      <c r="L317" s="299">
        <v>0.11</v>
      </c>
      <c r="M317" s="299">
        <v>6.37</v>
      </c>
      <c r="N317" s="224">
        <f t="shared" si="18"/>
        <v>132.01999999999998</v>
      </c>
      <c r="O317" s="531">
        <f t="shared" si="17"/>
        <v>31367.98</v>
      </c>
      <c r="P317" s="730" t="s">
        <v>4237</v>
      </c>
    </row>
    <row r="318" spans="2:16" ht="12.75" customHeight="1" x14ac:dyDescent="0.25">
      <c r="B318" s="729" t="s">
        <v>4238</v>
      </c>
      <c r="C318" s="730" t="s">
        <v>4236</v>
      </c>
      <c r="D318" s="731" t="s">
        <v>369</v>
      </c>
      <c r="E318" s="249">
        <v>170</v>
      </c>
      <c r="F318" s="299">
        <v>127</v>
      </c>
      <c r="G318" s="299">
        <f t="shared" si="16"/>
        <v>21590</v>
      </c>
      <c r="H318" s="235">
        <v>9</v>
      </c>
      <c r="N318" s="224">
        <f t="shared" si="18"/>
        <v>9</v>
      </c>
      <c r="O318" s="531">
        <f t="shared" si="17"/>
        <v>21581</v>
      </c>
      <c r="P318" s="730" t="s">
        <v>4239</v>
      </c>
    </row>
    <row r="319" spans="2:16" ht="12.75" customHeight="1" x14ac:dyDescent="0.25">
      <c r="B319" s="729" t="s">
        <v>4240</v>
      </c>
      <c r="C319" s="730" t="s">
        <v>4185</v>
      </c>
      <c r="D319" s="731" t="s">
        <v>369</v>
      </c>
      <c r="E319" s="249">
        <v>700</v>
      </c>
      <c r="F319" s="299">
        <v>46.75</v>
      </c>
      <c r="G319" s="299">
        <f>E319*F319</f>
        <v>32725</v>
      </c>
      <c r="H319" s="235">
        <v>9</v>
      </c>
      <c r="N319" s="224">
        <f>SUM(H319:M319)</f>
        <v>9</v>
      </c>
      <c r="O319" s="531">
        <f t="shared" si="17"/>
        <v>32716</v>
      </c>
      <c r="P319" s="730" t="s">
        <v>4241</v>
      </c>
    </row>
    <row r="320" spans="2:16" ht="12.75" customHeight="1" x14ac:dyDescent="0.25">
      <c r="B320" s="729" t="s">
        <v>4240</v>
      </c>
      <c r="C320" s="730" t="s">
        <v>4232</v>
      </c>
      <c r="D320" s="731" t="s">
        <v>369</v>
      </c>
      <c r="E320" s="249">
        <v>500</v>
      </c>
      <c r="F320" s="299">
        <v>65.599999999999994</v>
      </c>
      <c r="G320" s="299">
        <f>E320*F320</f>
        <v>32800</v>
      </c>
      <c r="H320" s="235">
        <v>9</v>
      </c>
      <c r="N320" s="224">
        <f>SUM(H320:M320)</f>
        <v>9</v>
      </c>
      <c r="O320" s="531">
        <f t="shared" si="17"/>
        <v>32791</v>
      </c>
      <c r="P320" s="730" t="s">
        <v>4241</v>
      </c>
    </row>
    <row r="321" spans="1:21" ht="12.75" customHeight="1" x14ac:dyDescent="0.25">
      <c r="B321" s="729" t="s">
        <v>4240</v>
      </c>
      <c r="C321" s="730" t="s">
        <v>1213</v>
      </c>
      <c r="D321" s="731" t="s">
        <v>369</v>
      </c>
      <c r="E321" s="249">
        <v>180</v>
      </c>
      <c r="F321" s="299">
        <v>178.95</v>
      </c>
      <c r="G321" s="299">
        <f>E321*F321</f>
        <v>32210.999999999996</v>
      </c>
      <c r="H321" s="235">
        <v>9</v>
      </c>
      <c r="N321" s="224">
        <f>SUM(H321:M321)</f>
        <v>9</v>
      </c>
      <c r="O321" s="531">
        <f t="shared" si="17"/>
        <v>32201.999999999996</v>
      </c>
      <c r="P321" s="730" t="s">
        <v>4241</v>
      </c>
    </row>
    <row r="322" spans="1:21" ht="12.75" customHeight="1" x14ac:dyDescent="0.25">
      <c r="B322" s="729" t="s">
        <v>4240</v>
      </c>
      <c r="C322" s="730" t="s">
        <v>1213</v>
      </c>
      <c r="D322" s="731" t="s">
        <v>369</v>
      </c>
      <c r="E322" s="249">
        <v>120</v>
      </c>
      <c r="F322" s="299">
        <v>178.95</v>
      </c>
      <c r="G322" s="299">
        <f>E322*F322</f>
        <v>21474</v>
      </c>
      <c r="N322" s="224">
        <f>SUM(H322:M322)</f>
        <v>0</v>
      </c>
      <c r="O322" s="531">
        <f t="shared" si="17"/>
        <v>21474</v>
      </c>
      <c r="P322" s="730" t="s">
        <v>4241</v>
      </c>
    </row>
    <row r="323" spans="1:21" ht="12.75" customHeight="1" x14ac:dyDescent="0.25">
      <c r="B323" s="729" t="s">
        <v>4242</v>
      </c>
      <c r="C323" s="730" t="s">
        <v>4224</v>
      </c>
      <c r="D323" s="731" t="s">
        <v>369</v>
      </c>
      <c r="E323" s="249">
        <v>126</v>
      </c>
      <c r="F323" s="299">
        <v>958.9</v>
      </c>
      <c r="G323" s="299">
        <f>E323*F323</f>
        <v>120821.4</v>
      </c>
      <c r="H323" s="235">
        <v>9</v>
      </c>
      <c r="I323" s="299">
        <v>1.6</v>
      </c>
      <c r="J323" s="299">
        <v>3.93</v>
      </c>
      <c r="K323" s="299">
        <v>121</v>
      </c>
      <c r="L323" s="299">
        <v>0.12</v>
      </c>
      <c r="M323" s="299">
        <v>7.25</v>
      </c>
      <c r="N323" s="224">
        <f>SUM(H323:M323)</f>
        <v>142.9</v>
      </c>
      <c r="O323" s="531">
        <f t="shared" si="17"/>
        <v>120678.5</v>
      </c>
      <c r="P323" s="730" t="s">
        <v>4245</v>
      </c>
    </row>
    <row r="324" spans="1:21" s="231" customFormat="1" ht="13.2" x14ac:dyDescent="0.25">
      <c r="A324" s="250"/>
      <c r="B324" s="298"/>
      <c r="C324" s="529"/>
      <c r="D324" s="608"/>
      <c r="E324" s="2"/>
      <c r="F324" s="60"/>
      <c r="G324" s="60"/>
      <c r="H324" s="234"/>
      <c r="I324" s="60"/>
      <c r="J324" s="60"/>
      <c r="K324" s="60"/>
      <c r="L324" s="60"/>
      <c r="M324" s="299"/>
      <c r="N324" s="529"/>
      <c r="O324" s="299"/>
      <c r="P324" s="249"/>
    </row>
    <row r="325" spans="1:21" s="231" customFormat="1" ht="13.2" x14ac:dyDescent="0.25">
      <c r="A325" s="250"/>
      <c r="B325" s="298"/>
      <c r="C325" s="529"/>
      <c r="D325" s="608"/>
      <c r="E325" s="2"/>
      <c r="F325" s="60"/>
      <c r="G325" s="60"/>
      <c r="H325" s="234"/>
      <c r="I325" s="60"/>
      <c r="J325" s="60"/>
      <c r="K325" s="60"/>
      <c r="L325" s="60"/>
      <c r="M325" s="299"/>
      <c r="N325" s="529"/>
      <c r="O325" s="299"/>
      <c r="P325" s="249"/>
    </row>
    <row r="326" spans="1:21" s="231" customFormat="1" ht="13.2" x14ac:dyDescent="0.25">
      <c r="A326" s="250"/>
      <c r="B326" s="298"/>
      <c r="C326" s="529"/>
      <c r="D326" s="608"/>
      <c r="E326" s="2"/>
      <c r="F326" s="60"/>
      <c r="G326" s="60"/>
      <c r="H326" s="234"/>
      <c r="I326" s="60"/>
      <c r="J326" s="60"/>
      <c r="K326" s="60"/>
      <c r="L326" s="60"/>
      <c r="M326" s="299"/>
      <c r="N326" s="529"/>
      <c r="O326" s="299"/>
      <c r="P326" s="249"/>
    </row>
    <row r="327" spans="1:21" s="231" customFormat="1" ht="13.2" x14ac:dyDescent="0.25">
      <c r="A327" s="250"/>
      <c r="B327" s="298"/>
      <c r="C327" s="529"/>
      <c r="D327" s="608"/>
      <c r="E327" s="2"/>
      <c r="F327" s="60"/>
      <c r="G327" s="60"/>
      <c r="H327" s="234"/>
      <c r="I327" s="60"/>
      <c r="J327" s="60"/>
      <c r="K327" s="60"/>
      <c r="L327" s="60"/>
      <c r="M327" s="299"/>
      <c r="N327" s="529"/>
      <c r="O327" s="299"/>
      <c r="P327" s="249"/>
    </row>
    <row r="328" spans="1:21" ht="12.75" customHeight="1" x14ac:dyDescent="0.25">
      <c r="B328" s="298"/>
      <c r="C328" s="529"/>
      <c r="D328" s="608"/>
      <c r="E328" s="2"/>
      <c r="F328" s="60"/>
      <c r="G328" s="60"/>
      <c r="I328" s="249"/>
      <c r="J328" s="249"/>
      <c r="K328" s="249"/>
      <c r="L328" s="249"/>
      <c r="M328" s="249"/>
      <c r="N328" s="60"/>
      <c r="P328" s="529"/>
    </row>
    <row r="329" spans="1:21" ht="12.75" customHeight="1" x14ac:dyDescent="0.25">
      <c r="B329" s="298"/>
      <c r="C329" s="529"/>
      <c r="D329" s="608"/>
      <c r="E329" s="2"/>
      <c r="F329" s="60"/>
      <c r="G329" s="60"/>
      <c r="I329" s="249"/>
      <c r="J329" s="249"/>
      <c r="K329" s="249"/>
      <c r="L329" s="249"/>
      <c r="M329" s="249"/>
      <c r="N329" s="60"/>
      <c r="P329" s="529"/>
    </row>
    <row r="330" spans="1:21" ht="12.75" customHeight="1" x14ac:dyDescent="0.25">
      <c r="B330" s="298"/>
      <c r="C330" s="529"/>
      <c r="D330" s="608"/>
      <c r="E330" s="2"/>
      <c r="F330" s="60"/>
      <c r="G330" s="60"/>
      <c r="I330" s="249"/>
      <c r="J330" s="249"/>
      <c r="K330" s="249"/>
      <c r="L330" s="249"/>
      <c r="M330" s="249"/>
      <c r="N330" s="60"/>
      <c r="P330" s="529"/>
      <c r="R330" s="1"/>
      <c r="S330" s="1"/>
      <c r="T330" s="1"/>
      <c r="U330" s="1"/>
    </row>
    <row r="331" spans="1:21" ht="13.2" x14ac:dyDescent="0.25">
      <c r="B331" s="298"/>
      <c r="C331" s="529"/>
      <c r="D331" s="608"/>
      <c r="E331" s="2"/>
      <c r="F331" s="60"/>
      <c r="G331" s="60"/>
      <c r="I331" s="249"/>
      <c r="J331" s="249"/>
      <c r="K331" s="249"/>
      <c r="L331" s="249"/>
      <c r="M331" s="249"/>
      <c r="N331" s="60"/>
      <c r="P331" s="529"/>
    </row>
    <row r="332" spans="1:21" ht="13.2" x14ac:dyDescent="0.25">
      <c r="B332" s="298"/>
      <c r="C332" s="529"/>
      <c r="D332" s="608"/>
      <c r="E332" s="2"/>
      <c r="F332" s="60"/>
      <c r="G332" s="60"/>
      <c r="I332" s="249"/>
      <c r="J332" s="249"/>
      <c r="K332" s="249"/>
      <c r="L332" s="249"/>
      <c r="M332" s="249"/>
      <c r="N332" s="60"/>
      <c r="P332" s="529"/>
    </row>
    <row r="333" spans="1:21" ht="13.2" x14ac:dyDescent="0.25">
      <c r="B333" s="298"/>
      <c r="C333" s="529"/>
      <c r="D333" s="608"/>
      <c r="E333" s="2"/>
      <c r="F333" s="60"/>
      <c r="G333" s="60"/>
      <c r="I333" s="249"/>
      <c r="J333" s="249"/>
      <c r="K333" s="249"/>
      <c r="L333" s="249"/>
      <c r="M333" s="249"/>
      <c r="N333" s="60"/>
      <c r="P333" s="529"/>
    </row>
    <row r="334" spans="1:21" ht="12.75" customHeight="1" x14ac:dyDescent="0.25">
      <c r="B334" s="16"/>
      <c r="C334" s="41"/>
      <c r="D334" s="91"/>
      <c r="E334" s="2"/>
      <c r="F334" s="60"/>
      <c r="G334" s="60"/>
      <c r="H334" s="234"/>
      <c r="I334" s="60"/>
      <c r="K334" s="257"/>
      <c r="N334" s="257" t="s">
        <v>2127</v>
      </c>
      <c r="O334" s="258">
        <f>SUM(O201:O333)</f>
        <v>2403962.41</v>
      </c>
    </row>
    <row r="335" spans="1:21" ht="12.75" customHeight="1" x14ac:dyDescent="0.25">
      <c r="B335" s="16"/>
      <c r="C335" s="41"/>
      <c r="D335" s="91"/>
      <c r="E335" s="2"/>
      <c r="F335" s="60"/>
      <c r="G335" s="60"/>
      <c r="H335" s="234"/>
      <c r="I335" s="60"/>
      <c r="K335" s="255"/>
      <c r="L335" s="255"/>
      <c r="M335" s="255"/>
      <c r="N335" s="261"/>
    </row>
    <row r="336" spans="1:21" ht="12.75" customHeight="1" x14ac:dyDescent="0.25">
      <c r="B336" s="16"/>
      <c r="C336" s="2"/>
      <c r="D336" s="91"/>
      <c r="E336" s="2"/>
      <c r="F336" s="60"/>
      <c r="G336" s="60"/>
      <c r="H336" s="234"/>
      <c r="I336" s="60"/>
      <c r="K336" s="257"/>
      <c r="N336" s="257" t="s">
        <v>2128</v>
      </c>
      <c r="O336" s="258">
        <f>O334-O184</f>
        <v>-10828.699999999721</v>
      </c>
    </row>
    <row r="337" spans="1:17" ht="12.75" customHeight="1" x14ac:dyDescent="0.25">
      <c r="B337" s="16"/>
      <c r="C337" s="41"/>
      <c r="D337" s="91"/>
      <c r="E337" s="2"/>
      <c r="F337" s="60"/>
      <c r="G337" s="60"/>
      <c r="H337" s="234"/>
      <c r="I337" s="60"/>
    </row>
    <row r="339" spans="1:17" ht="12.75" customHeight="1" thickBot="1" x14ac:dyDescent="0.3">
      <c r="K339" s="243"/>
      <c r="L339" s="243"/>
    </row>
    <row r="340" spans="1:17" ht="12.75" customHeight="1" thickBot="1" x14ac:dyDescent="0.3">
      <c r="B340" s="577" t="s">
        <v>1256</v>
      </c>
      <c r="C340" s="543"/>
      <c r="D340" s="677"/>
      <c r="E340" s="543"/>
      <c r="F340" s="543"/>
      <c r="G340" s="705"/>
      <c r="H340" s="693"/>
      <c r="I340" s="543"/>
      <c r="J340" s="543"/>
      <c r="K340" s="543"/>
      <c r="L340" s="543"/>
      <c r="M340" s="543"/>
      <c r="N340" s="251"/>
      <c r="O340" s="547"/>
    </row>
    <row r="341" spans="1:17" ht="12.75" customHeight="1" x14ac:dyDescent="0.25">
      <c r="B341" s="734" t="s">
        <v>184</v>
      </c>
      <c r="C341" s="735" t="s">
        <v>2079</v>
      </c>
      <c r="D341" s="736" t="s">
        <v>1258</v>
      </c>
      <c r="E341" s="737" t="s">
        <v>1257</v>
      </c>
      <c r="F341" s="735" t="s">
        <v>469</v>
      </c>
      <c r="G341" s="737" t="s">
        <v>188</v>
      </c>
      <c r="H341" s="754" t="s">
        <v>470</v>
      </c>
      <c r="I341" s="737" t="s">
        <v>1839</v>
      </c>
      <c r="J341" s="737" t="s">
        <v>1840</v>
      </c>
      <c r="K341" s="737" t="s">
        <v>2247</v>
      </c>
      <c r="L341" s="737" t="s">
        <v>1251</v>
      </c>
      <c r="M341" s="737" t="s">
        <v>1216</v>
      </c>
      <c r="N341" s="737" t="s">
        <v>668</v>
      </c>
      <c r="O341" s="737" t="s">
        <v>1212</v>
      </c>
      <c r="P341" s="735" t="s">
        <v>186</v>
      </c>
    </row>
    <row r="342" spans="1:17" ht="12.75" customHeight="1" x14ac:dyDescent="0.25">
      <c r="A342" s="743"/>
      <c r="B342" s="295" t="s">
        <v>3294</v>
      </c>
      <c r="C342" s="452" t="s">
        <v>3297</v>
      </c>
      <c r="D342" s="684" t="s">
        <v>1245</v>
      </c>
      <c r="E342" s="454">
        <v>6500</v>
      </c>
      <c r="F342" s="454">
        <v>300</v>
      </c>
      <c r="G342" s="455">
        <v>32.450000000000003</v>
      </c>
      <c r="H342" s="675">
        <f t="shared" ref="H342:H405" si="19">F342*G342</f>
        <v>9735</v>
      </c>
      <c r="I342" s="455">
        <v>54</v>
      </c>
      <c r="J342" s="450"/>
      <c r="K342" s="450"/>
      <c r="L342" s="450"/>
      <c r="M342" s="455">
        <f t="shared" ref="M342:M405" si="20">SUM(I342:L342)</f>
        <v>54</v>
      </c>
      <c r="N342" s="456">
        <f t="shared" ref="N342:N405" si="21">H342+M342</f>
        <v>9789</v>
      </c>
      <c r="O342" s="457" t="s">
        <v>3299</v>
      </c>
      <c r="P342" s="459" t="s">
        <v>197</v>
      </c>
      <c r="Q342" s="451"/>
    </row>
    <row r="343" spans="1:17" ht="12.75" customHeight="1" x14ac:dyDescent="0.25">
      <c r="A343" s="743"/>
      <c r="B343" s="295" t="s">
        <v>3294</v>
      </c>
      <c r="C343" s="452" t="s">
        <v>3297</v>
      </c>
      <c r="D343" s="684" t="s">
        <v>1245</v>
      </c>
      <c r="E343" s="454">
        <v>6500</v>
      </c>
      <c r="F343" s="454">
        <v>150</v>
      </c>
      <c r="G343" s="455">
        <v>30</v>
      </c>
      <c r="H343" s="675">
        <f t="shared" si="19"/>
        <v>4500</v>
      </c>
      <c r="I343" s="455">
        <v>27</v>
      </c>
      <c r="J343" s="299">
        <v>11.24</v>
      </c>
      <c r="K343" s="299">
        <v>1</v>
      </c>
      <c r="L343" s="299">
        <v>9.9600000000000009</v>
      </c>
      <c r="M343" s="455">
        <f t="shared" si="20"/>
        <v>49.2</v>
      </c>
      <c r="N343" s="456">
        <f t="shared" si="21"/>
        <v>4549.2</v>
      </c>
      <c r="O343" s="457" t="s">
        <v>3299</v>
      </c>
      <c r="P343" s="459" t="s">
        <v>197</v>
      </c>
      <c r="Q343" s="451"/>
    </row>
    <row r="344" spans="1:17" ht="12.75" customHeight="1" x14ac:dyDescent="0.25">
      <c r="A344" s="743"/>
      <c r="B344" s="295" t="s">
        <v>3302</v>
      </c>
      <c r="C344" s="452" t="s">
        <v>3297</v>
      </c>
      <c r="D344" s="684" t="s">
        <v>1245</v>
      </c>
      <c r="E344" s="454">
        <v>6500</v>
      </c>
      <c r="F344" s="454">
        <v>550</v>
      </c>
      <c r="G344" s="455">
        <v>18.5</v>
      </c>
      <c r="H344" s="675">
        <f t="shared" si="19"/>
        <v>10175</v>
      </c>
      <c r="I344" s="455">
        <v>99</v>
      </c>
      <c r="J344" s="457">
        <v>13.12</v>
      </c>
      <c r="K344" s="457">
        <v>1</v>
      </c>
      <c r="L344" s="457">
        <v>7.12</v>
      </c>
      <c r="M344" s="455">
        <f t="shared" si="20"/>
        <v>120.24000000000001</v>
      </c>
      <c r="N344" s="456">
        <f t="shared" si="21"/>
        <v>10295.24</v>
      </c>
      <c r="O344" s="457" t="s">
        <v>3303</v>
      </c>
      <c r="P344" s="463" t="s">
        <v>197</v>
      </c>
      <c r="Q344" s="451"/>
    </row>
    <row r="345" spans="1:17" ht="12.75" customHeight="1" x14ac:dyDescent="0.25">
      <c r="A345" s="743"/>
      <c r="B345" s="295" t="s">
        <v>3306</v>
      </c>
      <c r="C345" s="452" t="s">
        <v>3297</v>
      </c>
      <c r="D345" s="684" t="s">
        <v>1245</v>
      </c>
      <c r="E345" s="454">
        <v>6500</v>
      </c>
      <c r="F345" s="454">
        <v>100</v>
      </c>
      <c r="G345" s="455">
        <v>13.4</v>
      </c>
      <c r="H345" s="675">
        <f t="shared" si="19"/>
        <v>1340</v>
      </c>
      <c r="I345" s="455">
        <v>18</v>
      </c>
      <c r="J345" s="450"/>
      <c r="K345" s="450"/>
      <c r="L345" s="450"/>
      <c r="M345" s="455">
        <f t="shared" si="20"/>
        <v>18</v>
      </c>
      <c r="N345" s="456">
        <f t="shared" si="21"/>
        <v>1358</v>
      </c>
      <c r="O345" s="457" t="s">
        <v>3305</v>
      </c>
      <c r="P345" s="459" t="s">
        <v>197</v>
      </c>
      <c r="Q345" s="451"/>
    </row>
    <row r="346" spans="1:17" ht="13.2" x14ac:dyDescent="0.25">
      <c r="A346" s="743"/>
      <c r="B346" s="295" t="s">
        <v>3306</v>
      </c>
      <c r="C346" s="452" t="s">
        <v>3297</v>
      </c>
      <c r="D346" s="684" t="s">
        <v>1245</v>
      </c>
      <c r="E346" s="454">
        <v>6500</v>
      </c>
      <c r="F346" s="454">
        <v>50</v>
      </c>
      <c r="G346" s="455">
        <v>13.4</v>
      </c>
      <c r="H346" s="675">
        <f t="shared" si="19"/>
        <v>670</v>
      </c>
      <c r="I346" s="455">
        <v>9</v>
      </c>
      <c r="J346" s="450"/>
      <c r="K346" s="450"/>
      <c r="L346" s="450"/>
      <c r="M346" s="455">
        <f t="shared" si="20"/>
        <v>9</v>
      </c>
      <c r="N346" s="456">
        <f t="shared" si="21"/>
        <v>679</v>
      </c>
      <c r="O346" s="457" t="s">
        <v>3305</v>
      </c>
      <c r="P346" s="459" t="s">
        <v>197</v>
      </c>
      <c r="Q346" s="451"/>
    </row>
    <row r="347" spans="1:17" ht="12.75" customHeight="1" x14ac:dyDescent="0.25">
      <c r="A347" s="743"/>
      <c r="B347" s="295" t="s">
        <v>3306</v>
      </c>
      <c r="C347" s="452" t="s">
        <v>3297</v>
      </c>
      <c r="D347" s="684" t="s">
        <v>1245</v>
      </c>
      <c r="E347" s="454">
        <v>6500</v>
      </c>
      <c r="F347" s="454">
        <v>250</v>
      </c>
      <c r="G347" s="455">
        <v>13.4</v>
      </c>
      <c r="H347" s="675">
        <f t="shared" si="19"/>
        <v>3350</v>
      </c>
      <c r="I347" s="455">
        <v>45</v>
      </c>
      <c r="J347" s="450"/>
      <c r="K347" s="450"/>
      <c r="L347" s="450"/>
      <c r="M347" s="455">
        <f t="shared" si="20"/>
        <v>45</v>
      </c>
      <c r="N347" s="456">
        <f t="shared" si="21"/>
        <v>3395</v>
      </c>
      <c r="O347" s="457" t="s">
        <v>3305</v>
      </c>
      <c r="P347" s="459" t="s">
        <v>197</v>
      </c>
      <c r="Q347" s="451"/>
    </row>
    <row r="348" spans="1:17" ht="12.75" customHeight="1" x14ac:dyDescent="0.25">
      <c r="A348" s="743"/>
      <c r="B348" s="295" t="s">
        <v>3306</v>
      </c>
      <c r="C348" s="452" t="s">
        <v>3297</v>
      </c>
      <c r="D348" s="684" t="s">
        <v>1245</v>
      </c>
      <c r="E348" s="454">
        <v>6500</v>
      </c>
      <c r="F348" s="454">
        <v>50</v>
      </c>
      <c r="G348" s="455">
        <v>13.4</v>
      </c>
      <c r="H348" s="675">
        <f t="shared" si="19"/>
        <v>670</v>
      </c>
      <c r="I348" s="455">
        <v>9</v>
      </c>
      <c r="J348" s="457">
        <v>10.53</v>
      </c>
      <c r="K348" s="457">
        <v>1</v>
      </c>
      <c r="L348" s="457">
        <v>4.22</v>
      </c>
      <c r="M348" s="455">
        <f t="shared" si="20"/>
        <v>24.75</v>
      </c>
      <c r="N348" s="456">
        <f t="shared" si="21"/>
        <v>694.75</v>
      </c>
      <c r="O348" s="457" t="s">
        <v>3305</v>
      </c>
      <c r="P348" s="459" t="s">
        <v>197</v>
      </c>
      <c r="Q348" s="451"/>
    </row>
    <row r="349" spans="1:17" ht="12.75" customHeight="1" x14ac:dyDescent="0.25">
      <c r="A349" s="743"/>
      <c r="B349" s="295" t="s">
        <v>3311</v>
      </c>
      <c r="C349" s="452" t="s">
        <v>3297</v>
      </c>
      <c r="D349" s="684" t="s">
        <v>1245</v>
      </c>
      <c r="E349" s="454">
        <v>6500</v>
      </c>
      <c r="F349" s="454">
        <v>50</v>
      </c>
      <c r="G349" s="455">
        <v>7.7</v>
      </c>
      <c r="H349" s="675">
        <f t="shared" si="19"/>
        <v>385</v>
      </c>
      <c r="I349" s="455">
        <v>9</v>
      </c>
      <c r="J349" s="450"/>
      <c r="K349" s="450"/>
      <c r="L349" s="450"/>
      <c r="M349" s="455">
        <f t="shared" si="20"/>
        <v>9</v>
      </c>
      <c r="N349" s="456">
        <f t="shared" si="21"/>
        <v>394</v>
      </c>
      <c r="O349" s="457" t="s">
        <v>2936</v>
      </c>
      <c r="P349" s="459" t="s">
        <v>197</v>
      </c>
      <c r="Q349" s="451"/>
    </row>
    <row r="350" spans="1:17" ht="12.75" customHeight="1" x14ac:dyDescent="0.25">
      <c r="A350" s="743"/>
      <c r="B350" s="295" t="s">
        <v>3311</v>
      </c>
      <c r="C350" s="452" t="s">
        <v>3297</v>
      </c>
      <c r="D350" s="684" t="s">
        <v>1245</v>
      </c>
      <c r="E350" s="454">
        <v>6500</v>
      </c>
      <c r="F350" s="454">
        <v>50</v>
      </c>
      <c r="G350" s="455">
        <v>7.7</v>
      </c>
      <c r="H350" s="675">
        <f t="shared" si="19"/>
        <v>385</v>
      </c>
      <c r="I350" s="455">
        <v>9</v>
      </c>
      <c r="J350" s="450"/>
      <c r="K350" s="450"/>
      <c r="L350" s="450"/>
      <c r="M350" s="455">
        <f t="shared" si="20"/>
        <v>9</v>
      </c>
      <c r="N350" s="456">
        <f t="shared" si="21"/>
        <v>394</v>
      </c>
      <c r="O350" s="457" t="s">
        <v>2936</v>
      </c>
      <c r="P350" s="459" t="s">
        <v>197</v>
      </c>
      <c r="Q350" s="451"/>
    </row>
    <row r="351" spans="1:17" ht="12.75" customHeight="1" x14ac:dyDescent="0.25">
      <c r="A351" s="743"/>
      <c r="B351" s="295" t="s">
        <v>3311</v>
      </c>
      <c r="C351" s="452" t="s">
        <v>3297</v>
      </c>
      <c r="D351" s="684" t="s">
        <v>1245</v>
      </c>
      <c r="E351" s="454">
        <v>6500</v>
      </c>
      <c r="F351" s="454">
        <v>400</v>
      </c>
      <c r="G351" s="455">
        <v>7.7</v>
      </c>
      <c r="H351" s="675">
        <f t="shared" si="19"/>
        <v>3080</v>
      </c>
      <c r="I351" s="455">
        <v>72</v>
      </c>
      <c r="J351" s="450"/>
      <c r="K351" s="450"/>
      <c r="L351" s="450"/>
      <c r="M351" s="455">
        <f t="shared" si="20"/>
        <v>72</v>
      </c>
      <c r="N351" s="456">
        <f t="shared" si="21"/>
        <v>3152</v>
      </c>
      <c r="O351" s="457" t="s">
        <v>2936</v>
      </c>
      <c r="P351" s="459" t="s">
        <v>197</v>
      </c>
      <c r="Q351" s="451"/>
    </row>
    <row r="352" spans="1:17" ht="12.75" customHeight="1" x14ac:dyDescent="0.25">
      <c r="A352" s="743"/>
      <c r="B352" s="295" t="s">
        <v>3311</v>
      </c>
      <c r="C352" s="460" t="s">
        <v>3297</v>
      </c>
      <c r="D352" s="684" t="s">
        <v>1245</v>
      </c>
      <c r="E352" s="454">
        <v>6600</v>
      </c>
      <c r="F352" s="454">
        <v>1000</v>
      </c>
      <c r="G352" s="455">
        <v>12.2</v>
      </c>
      <c r="H352" s="675">
        <f t="shared" si="19"/>
        <v>12200</v>
      </c>
      <c r="I352" s="455">
        <v>180</v>
      </c>
      <c r="J352" s="450"/>
      <c r="K352" s="450"/>
      <c r="L352" s="450"/>
      <c r="M352" s="455">
        <f t="shared" si="20"/>
        <v>180</v>
      </c>
      <c r="N352" s="456">
        <f t="shared" si="21"/>
        <v>12380</v>
      </c>
      <c r="O352" s="457" t="s">
        <v>2936</v>
      </c>
      <c r="P352" s="459" t="s">
        <v>197</v>
      </c>
      <c r="Q352" s="451"/>
    </row>
    <row r="353" spans="1:18" ht="12.75" customHeight="1" x14ac:dyDescent="0.25">
      <c r="A353" s="743"/>
      <c r="B353" s="295" t="s">
        <v>3311</v>
      </c>
      <c r="C353" s="460" t="s">
        <v>3297</v>
      </c>
      <c r="D353" s="684" t="s">
        <v>1245</v>
      </c>
      <c r="E353" s="454">
        <v>6600</v>
      </c>
      <c r="F353" s="454">
        <v>100</v>
      </c>
      <c r="G353" s="455">
        <v>9.8000000000000007</v>
      </c>
      <c r="H353" s="675">
        <f t="shared" si="19"/>
        <v>980.00000000000011</v>
      </c>
      <c r="I353" s="455">
        <v>18</v>
      </c>
      <c r="J353" s="450"/>
      <c r="K353" s="450"/>
      <c r="L353" s="450"/>
      <c r="M353" s="455">
        <f t="shared" si="20"/>
        <v>18</v>
      </c>
      <c r="N353" s="456">
        <f t="shared" si="21"/>
        <v>998.00000000000011</v>
      </c>
      <c r="O353" s="457" t="s">
        <v>2936</v>
      </c>
      <c r="P353" s="459" t="s">
        <v>197</v>
      </c>
      <c r="Q353" s="451"/>
    </row>
    <row r="354" spans="1:18" ht="12.75" customHeight="1" x14ac:dyDescent="0.25">
      <c r="A354" s="743"/>
      <c r="B354" s="295" t="s">
        <v>3315</v>
      </c>
      <c r="C354" s="460" t="s">
        <v>3313</v>
      </c>
      <c r="D354" s="684" t="s">
        <v>1249</v>
      </c>
      <c r="E354" s="454">
        <v>1020</v>
      </c>
      <c r="F354" s="454">
        <v>250</v>
      </c>
      <c r="G354" s="455">
        <v>4.75</v>
      </c>
      <c r="H354" s="675">
        <f t="shared" si="19"/>
        <v>1187.5</v>
      </c>
      <c r="I354" s="455">
        <v>9</v>
      </c>
      <c r="J354" s="450"/>
      <c r="K354" s="450"/>
      <c r="L354" s="450"/>
      <c r="M354" s="455">
        <f t="shared" si="20"/>
        <v>9</v>
      </c>
      <c r="N354" s="456">
        <f t="shared" si="21"/>
        <v>1196.5</v>
      </c>
      <c r="O354" s="457" t="s">
        <v>2945</v>
      </c>
      <c r="P354" s="459" t="s">
        <v>197</v>
      </c>
      <c r="Q354" s="451"/>
    </row>
    <row r="355" spans="1:18" ht="13.2" x14ac:dyDescent="0.25">
      <c r="A355" s="743"/>
      <c r="B355" s="295" t="s">
        <v>3315</v>
      </c>
      <c r="C355" s="460" t="s">
        <v>3313</v>
      </c>
      <c r="D355" s="684" t="s">
        <v>1249</v>
      </c>
      <c r="E355" s="454">
        <v>1020</v>
      </c>
      <c r="F355" s="454">
        <v>250</v>
      </c>
      <c r="G355" s="455">
        <v>4.75</v>
      </c>
      <c r="H355" s="675">
        <f t="shared" si="19"/>
        <v>1187.5</v>
      </c>
      <c r="I355" s="455">
        <v>9</v>
      </c>
      <c r="J355" s="450"/>
      <c r="K355" s="450"/>
      <c r="L355" s="450"/>
      <c r="M355" s="455">
        <f t="shared" si="20"/>
        <v>9</v>
      </c>
      <c r="N355" s="456">
        <f t="shared" si="21"/>
        <v>1196.5</v>
      </c>
      <c r="O355" s="457" t="s">
        <v>2945</v>
      </c>
      <c r="P355" s="459" t="s">
        <v>197</v>
      </c>
      <c r="Q355" s="451"/>
      <c r="R355" s="247"/>
    </row>
    <row r="356" spans="1:18" ht="12.75" customHeight="1" x14ac:dyDescent="0.25">
      <c r="A356" s="743"/>
      <c r="B356" s="295" t="s">
        <v>3315</v>
      </c>
      <c r="C356" s="460" t="s">
        <v>3314</v>
      </c>
      <c r="D356" s="684" t="s">
        <v>1249</v>
      </c>
      <c r="E356" s="454">
        <v>130</v>
      </c>
      <c r="F356" s="454">
        <v>4000</v>
      </c>
      <c r="G356" s="455">
        <v>0.9</v>
      </c>
      <c r="H356" s="675">
        <f t="shared" si="19"/>
        <v>3600</v>
      </c>
      <c r="I356" s="455">
        <v>18</v>
      </c>
      <c r="J356" s="450"/>
      <c r="K356" s="450"/>
      <c r="L356" s="450"/>
      <c r="M356" s="455">
        <f t="shared" si="20"/>
        <v>18</v>
      </c>
      <c r="N356" s="456">
        <f t="shared" si="21"/>
        <v>3618</v>
      </c>
      <c r="O356" s="457" t="s">
        <v>2945</v>
      </c>
      <c r="P356" s="459" t="s">
        <v>197</v>
      </c>
      <c r="Q356" s="451"/>
    </row>
    <row r="357" spans="1:18" ht="12.75" customHeight="1" x14ac:dyDescent="0.25">
      <c r="A357" s="743"/>
      <c r="B357" s="295" t="s">
        <v>3315</v>
      </c>
      <c r="C357" s="460" t="s">
        <v>3313</v>
      </c>
      <c r="D357" s="684" t="s">
        <v>1249</v>
      </c>
      <c r="E357" s="454">
        <v>1020</v>
      </c>
      <c r="F357" s="454">
        <v>500</v>
      </c>
      <c r="G357" s="455">
        <v>4.8</v>
      </c>
      <c r="H357" s="675">
        <f t="shared" si="19"/>
        <v>2400</v>
      </c>
      <c r="I357" s="455">
        <v>18</v>
      </c>
      <c r="J357" s="450"/>
      <c r="K357" s="450"/>
      <c r="L357" s="450"/>
      <c r="M357" s="455">
        <f t="shared" si="20"/>
        <v>18</v>
      </c>
      <c r="N357" s="456">
        <f t="shared" si="21"/>
        <v>2418</v>
      </c>
      <c r="O357" s="457" t="s">
        <v>2945</v>
      </c>
      <c r="P357" s="459" t="s">
        <v>197</v>
      </c>
      <c r="Q357" s="451"/>
    </row>
    <row r="358" spans="1:18" ht="12.75" customHeight="1" x14ac:dyDescent="0.25">
      <c r="A358" s="743"/>
      <c r="B358" s="295" t="s">
        <v>3315</v>
      </c>
      <c r="C358" s="460" t="s">
        <v>3314</v>
      </c>
      <c r="D358" s="684" t="s">
        <v>1249</v>
      </c>
      <c r="E358" s="454">
        <v>130</v>
      </c>
      <c r="F358" s="454">
        <v>2000</v>
      </c>
      <c r="G358" s="455">
        <v>1.05</v>
      </c>
      <c r="H358" s="675">
        <f t="shared" si="19"/>
        <v>2100</v>
      </c>
      <c r="I358" s="455">
        <v>9</v>
      </c>
      <c r="J358" s="450"/>
      <c r="K358" s="450"/>
      <c r="L358" s="450"/>
      <c r="M358" s="455">
        <f t="shared" si="20"/>
        <v>9</v>
      </c>
      <c r="N358" s="456">
        <f t="shared" si="21"/>
        <v>2109</v>
      </c>
      <c r="O358" s="457" t="s">
        <v>2945</v>
      </c>
      <c r="P358" s="459" t="s">
        <v>197</v>
      </c>
      <c r="Q358" s="451"/>
    </row>
    <row r="359" spans="1:18" ht="12.75" customHeight="1" x14ac:dyDescent="0.25">
      <c r="A359" s="743"/>
      <c r="B359" s="295" t="s">
        <v>3315</v>
      </c>
      <c r="C359" s="460" t="s">
        <v>3313</v>
      </c>
      <c r="D359" s="684" t="s">
        <v>1249</v>
      </c>
      <c r="E359" s="454">
        <v>1020</v>
      </c>
      <c r="F359" s="454">
        <v>250</v>
      </c>
      <c r="G359" s="455">
        <v>4.8</v>
      </c>
      <c r="H359" s="675">
        <f t="shared" si="19"/>
        <v>1200</v>
      </c>
      <c r="I359" s="455">
        <v>9</v>
      </c>
      <c r="J359" s="450"/>
      <c r="K359" s="450"/>
      <c r="L359" s="450"/>
      <c r="M359" s="455">
        <f t="shared" si="20"/>
        <v>9</v>
      </c>
      <c r="N359" s="456">
        <f t="shared" si="21"/>
        <v>1209</v>
      </c>
      <c r="O359" s="457" t="s">
        <v>2945</v>
      </c>
      <c r="P359" s="459" t="s">
        <v>197</v>
      </c>
      <c r="Q359" s="451"/>
    </row>
    <row r="360" spans="1:18" ht="12.75" customHeight="1" x14ac:dyDescent="0.25">
      <c r="A360" s="743"/>
      <c r="B360" s="295" t="s">
        <v>3315</v>
      </c>
      <c r="C360" s="460" t="s">
        <v>3313</v>
      </c>
      <c r="D360" s="684" t="s">
        <v>1249</v>
      </c>
      <c r="E360" s="454">
        <v>1020</v>
      </c>
      <c r="F360" s="454">
        <v>250</v>
      </c>
      <c r="G360" s="455">
        <v>4.8</v>
      </c>
      <c r="H360" s="675">
        <f t="shared" si="19"/>
        <v>1200</v>
      </c>
      <c r="I360" s="455">
        <v>9</v>
      </c>
      <c r="J360" s="450"/>
      <c r="K360" s="450"/>
      <c r="L360" s="450"/>
      <c r="M360" s="455">
        <f t="shared" si="20"/>
        <v>9</v>
      </c>
      <c r="N360" s="456">
        <f t="shared" si="21"/>
        <v>1209</v>
      </c>
      <c r="O360" s="457" t="s">
        <v>2945</v>
      </c>
      <c r="P360" s="459" t="s">
        <v>197</v>
      </c>
      <c r="Q360" s="451"/>
    </row>
    <row r="361" spans="1:18" ht="12.75" customHeight="1" x14ac:dyDescent="0.25">
      <c r="A361" s="743"/>
      <c r="B361" s="295" t="s">
        <v>3315</v>
      </c>
      <c r="C361" s="460" t="s">
        <v>3313</v>
      </c>
      <c r="D361" s="684" t="s">
        <v>1249</v>
      </c>
      <c r="E361" s="454">
        <v>1020</v>
      </c>
      <c r="F361" s="454">
        <v>250</v>
      </c>
      <c r="G361" s="455">
        <v>4.8</v>
      </c>
      <c r="H361" s="675">
        <f t="shared" si="19"/>
        <v>1200</v>
      </c>
      <c r="I361" s="455">
        <v>9</v>
      </c>
      <c r="J361" s="450"/>
      <c r="K361" s="450"/>
      <c r="L361" s="450"/>
      <c r="M361" s="455">
        <f t="shared" si="20"/>
        <v>9</v>
      </c>
      <c r="N361" s="456">
        <f t="shared" si="21"/>
        <v>1209</v>
      </c>
      <c r="O361" s="457" t="s">
        <v>2945</v>
      </c>
      <c r="P361" s="459" t="s">
        <v>197</v>
      </c>
      <c r="Q361" s="451"/>
    </row>
    <row r="362" spans="1:18" ht="12.75" customHeight="1" x14ac:dyDescent="0.25">
      <c r="A362" s="743"/>
      <c r="B362" s="295" t="s">
        <v>3315</v>
      </c>
      <c r="C362" s="460" t="s">
        <v>3313</v>
      </c>
      <c r="D362" s="684" t="s">
        <v>1249</v>
      </c>
      <c r="E362" s="454">
        <v>1020</v>
      </c>
      <c r="F362" s="454">
        <v>250</v>
      </c>
      <c r="G362" s="455">
        <v>4.8</v>
      </c>
      <c r="H362" s="675">
        <f t="shared" si="19"/>
        <v>1200</v>
      </c>
      <c r="I362" s="455">
        <v>9</v>
      </c>
      <c r="J362" s="450"/>
      <c r="K362" s="450"/>
      <c r="L362" s="450"/>
      <c r="M362" s="455">
        <f t="shared" si="20"/>
        <v>9</v>
      </c>
      <c r="N362" s="456">
        <f t="shared" si="21"/>
        <v>1209</v>
      </c>
      <c r="O362" s="457" t="s">
        <v>2945</v>
      </c>
      <c r="P362" s="463" t="s">
        <v>197</v>
      </c>
      <c r="Q362" s="451"/>
    </row>
    <row r="363" spans="1:18" ht="12.75" customHeight="1" x14ac:dyDescent="0.25">
      <c r="A363" s="743"/>
      <c r="B363" s="295" t="s">
        <v>3348</v>
      </c>
      <c r="C363" s="460" t="s">
        <v>3345</v>
      </c>
      <c r="D363" s="684" t="s">
        <v>1249</v>
      </c>
      <c r="E363" s="454">
        <v>135</v>
      </c>
      <c r="F363" s="454">
        <v>6000</v>
      </c>
      <c r="G363" s="455">
        <v>0.4</v>
      </c>
      <c r="H363" s="675">
        <f t="shared" si="19"/>
        <v>2400</v>
      </c>
      <c r="I363" s="455">
        <v>27</v>
      </c>
      <c r="J363" s="450"/>
      <c r="K363" s="450"/>
      <c r="L363" s="450"/>
      <c r="M363" s="455">
        <f t="shared" si="20"/>
        <v>27</v>
      </c>
      <c r="N363" s="456">
        <f t="shared" si="21"/>
        <v>2427</v>
      </c>
      <c r="O363" s="457" t="s">
        <v>2953</v>
      </c>
      <c r="P363" s="463" t="s">
        <v>197</v>
      </c>
      <c r="Q363" s="451"/>
    </row>
    <row r="364" spans="1:18" ht="12.75" customHeight="1" x14ac:dyDescent="0.25">
      <c r="A364" s="743"/>
      <c r="B364" s="295" t="s">
        <v>3348</v>
      </c>
      <c r="C364" s="460" t="s">
        <v>3346</v>
      </c>
      <c r="D364" s="684" t="s">
        <v>1245</v>
      </c>
      <c r="E364" s="454">
        <v>400</v>
      </c>
      <c r="F364" s="454">
        <v>1000</v>
      </c>
      <c r="G364" s="455">
        <v>3.8</v>
      </c>
      <c r="H364" s="675">
        <f t="shared" si="19"/>
        <v>3800</v>
      </c>
      <c r="I364" s="455">
        <v>9</v>
      </c>
      <c r="J364" s="450"/>
      <c r="K364" s="450"/>
      <c r="L364" s="450"/>
      <c r="M364" s="455">
        <f t="shared" si="20"/>
        <v>9</v>
      </c>
      <c r="N364" s="456">
        <f t="shared" si="21"/>
        <v>3809</v>
      </c>
      <c r="O364" s="457" t="s">
        <v>2953</v>
      </c>
      <c r="P364" s="463" t="s">
        <v>197</v>
      </c>
      <c r="Q364" s="451"/>
    </row>
    <row r="365" spans="1:18" ht="12.75" customHeight="1" x14ac:dyDescent="0.25">
      <c r="A365" s="743"/>
      <c r="B365" s="295" t="s">
        <v>3342</v>
      </c>
      <c r="C365" s="460" t="s">
        <v>3345</v>
      </c>
      <c r="D365" s="684" t="s">
        <v>1249</v>
      </c>
      <c r="E365" s="454">
        <v>135</v>
      </c>
      <c r="F365" s="454">
        <v>4000</v>
      </c>
      <c r="G365" s="455">
        <v>0.3</v>
      </c>
      <c r="H365" s="675">
        <f t="shared" si="19"/>
        <v>1200</v>
      </c>
      <c r="I365" s="455">
        <v>18</v>
      </c>
      <c r="J365" s="457">
        <v>2.3199999999999998</v>
      </c>
      <c r="K365" s="457">
        <v>1</v>
      </c>
      <c r="L365" s="457">
        <v>0.84</v>
      </c>
      <c r="M365" s="455">
        <f t="shared" si="20"/>
        <v>22.16</v>
      </c>
      <c r="N365" s="456">
        <f t="shared" si="21"/>
        <v>1222.1600000000001</v>
      </c>
      <c r="O365" s="465" t="s">
        <v>3350</v>
      </c>
      <c r="P365" s="463" t="s">
        <v>197</v>
      </c>
      <c r="Q365" s="451"/>
    </row>
    <row r="366" spans="1:18" ht="12.75" customHeight="1" x14ac:dyDescent="0.25">
      <c r="A366" s="743"/>
      <c r="B366" s="295" t="s">
        <v>3351</v>
      </c>
      <c r="C366" s="460" t="s">
        <v>3346</v>
      </c>
      <c r="D366" s="685" t="s">
        <v>1245</v>
      </c>
      <c r="E366" s="454">
        <v>420</v>
      </c>
      <c r="F366" s="454">
        <v>1000</v>
      </c>
      <c r="G366" s="455">
        <v>6.3</v>
      </c>
      <c r="H366" s="675">
        <f t="shared" si="19"/>
        <v>6300</v>
      </c>
      <c r="I366" s="455">
        <v>9</v>
      </c>
      <c r="J366" s="450"/>
      <c r="K366" s="450"/>
      <c r="L366" s="450"/>
      <c r="M366" s="455">
        <f t="shared" si="20"/>
        <v>9</v>
      </c>
      <c r="N366" s="456">
        <f t="shared" si="21"/>
        <v>6309</v>
      </c>
      <c r="O366" s="465" t="s">
        <v>3353</v>
      </c>
      <c r="P366" s="463" t="s">
        <v>197</v>
      </c>
      <c r="Q366" s="451"/>
    </row>
    <row r="367" spans="1:18" ht="12.75" customHeight="1" x14ac:dyDescent="0.25">
      <c r="A367" s="743"/>
      <c r="B367" s="295" t="s">
        <v>3354</v>
      </c>
      <c r="C367" s="295" t="s">
        <v>3346</v>
      </c>
      <c r="D367" s="684" t="s">
        <v>1245</v>
      </c>
      <c r="E367" s="454">
        <v>410</v>
      </c>
      <c r="F367" s="454">
        <v>1000</v>
      </c>
      <c r="G367" s="455">
        <v>1.5</v>
      </c>
      <c r="H367" s="675">
        <f t="shared" si="19"/>
        <v>1500</v>
      </c>
      <c r="I367" s="455">
        <v>9</v>
      </c>
      <c r="J367" s="457">
        <v>1.24</v>
      </c>
      <c r="K367" s="457">
        <v>1</v>
      </c>
      <c r="L367" s="457">
        <v>1.05</v>
      </c>
      <c r="M367" s="455">
        <f t="shared" si="20"/>
        <v>12.290000000000001</v>
      </c>
      <c r="N367" s="456">
        <f t="shared" si="21"/>
        <v>1512.29</v>
      </c>
      <c r="O367" s="457" t="s">
        <v>3356</v>
      </c>
      <c r="P367" s="463" t="s">
        <v>197</v>
      </c>
      <c r="Q367" s="451"/>
    </row>
    <row r="368" spans="1:18" ht="13.2" x14ac:dyDescent="0.25">
      <c r="A368" s="743"/>
      <c r="B368" s="295" t="s">
        <v>3358</v>
      </c>
      <c r="C368" s="295" t="s">
        <v>3346</v>
      </c>
      <c r="D368" s="684" t="s">
        <v>1245</v>
      </c>
      <c r="E368" s="454">
        <v>410</v>
      </c>
      <c r="F368" s="454">
        <v>1000</v>
      </c>
      <c r="G368" s="455">
        <v>0.65</v>
      </c>
      <c r="H368" s="675">
        <f t="shared" si="19"/>
        <v>650</v>
      </c>
      <c r="I368" s="455">
        <v>9</v>
      </c>
      <c r="J368" s="457">
        <v>1.17</v>
      </c>
      <c r="K368" s="457">
        <v>1</v>
      </c>
      <c r="L368" s="457">
        <v>0.46</v>
      </c>
      <c r="M368" s="455">
        <f t="shared" si="20"/>
        <v>11.63</v>
      </c>
      <c r="N368" s="456">
        <f t="shared" si="21"/>
        <v>661.63</v>
      </c>
      <c r="O368" s="457" t="s">
        <v>3357</v>
      </c>
      <c r="P368" s="463" t="s">
        <v>197</v>
      </c>
      <c r="Q368" s="451"/>
      <c r="R368" s="247"/>
    </row>
    <row r="369" spans="1:18" ht="12.75" customHeight="1" x14ac:dyDescent="0.25">
      <c r="A369" s="743"/>
      <c r="B369" s="295" t="s">
        <v>3373</v>
      </c>
      <c r="C369" s="460" t="s">
        <v>3377</v>
      </c>
      <c r="D369" s="685" t="s">
        <v>1249</v>
      </c>
      <c r="E369" s="454">
        <v>270</v>
      </c>
      <c r="F369" s="454">
        <v>1000</v>
      </c>
      <c r="G369" s="455">
        <v>10</v>
      </c>
      <c r="H369" s="675">
        <f t="shared" si="19"/>
        <v>10000</v>
      </c>
      <c r="I369" s="455">
        <v>9</v>
      </c>
      <c r="J369" s="450"/>
      <c r="K369" s="450"/>
      <c r="L369" s="450"/>
      <c r="M369" s="455">
        <f t="shared" si="20"/>
        <v>9</v>
      </c>
      <c r="N369" s="456">
        <f t="shared" si="21"/>
        <v>10009</v>
      </c>
      <c r="O369" s="457" t="s">
        <v>3378</v>
      </c>
      <c r="P369" s="463" t="s">
        <v>197</v>
      </c>
      <c r="Q369" s="451"/>
    </row>
    <row r="370" spans="1:18" ht="13.2" x14ac:dyDescent="0.25">
      <c r="A370" s="743"/>
      <c r="B370" s="295" t="s">
        <v>3373</v>
      </c>
      <c r="C370" s="460" t="s">
        <v>3377</v>
      </c>
      <c r="D370" s="685" t="s">
        <v>1249</v>
      </c>
      <c r="E370" s="454">
        <v>270</v>
      </c>
      <c r="F370" s="454">
        <v>1000</v>
      </c>
      <c r="G370" s="455">
        <v>10.1</v>
      </c>
      <c r="H370" s="675">
        <f t="shared" si="19"/>
        <v>10100</v>
      </c>
      <c r="I370" s="455">
        <v>9</v>
      </c>
      <c r="J370" s="457">
        <v>3.96</v>
      </c>
      <c r="K370" s="457">
        <v>2</v>
      </c>
      <c r="L370" s="457">
        <v>14.07</v>
      </c>
      <c r="M370" s="455">
        <f t="shared" si="20"/>
        <v>29.03</v>
      </c>
      <c r="N370" s="456">
        <f t="shared" si="21"/>
        <v>10129.030000000001</v>
      </c>
      <c r="O370" s="465" t="s">
        <v>3378</v>
      </c>
      <c r="P370" s="463" t="s">
        <v>197</v>
      </c>
      <c r="Q370" s="451"/>
      <c r="R370" s="247"/>
    </row>
    <row r="371" spans="1:18" ht="12.75" customHeight="1" x14ac:dyDescent="0.25">
      <c r="A371" s="743"/>
      <c r="B371" s="295" t="s">
        <v>3381</v>
      </c>
      <c r="C371" s="452" t="s">
        <v>3380</v>
      </c>
      <c r="D371" s="684" t="s">
        <v>1249</v>
      </c>
      <c r="E371" s="454">
        <v>20</v>
      </c>
      <c r="F371" s="454">
        <v>12000</v>
      </c>
      <c r="G371" s="455">
        <v>1.3</v>
      </c>
      <c r="H371" s="675">
        <f t="shared" si="19"/>
        <v>15600</v>
      </c>
      <c r="I371" s="455">
        <v>9</v>
      </c>
      <c r="J371" s="450"/>
      <c r="K371" s="450"/>
      <c r="L371" s="450"/>
      <c r="M371" s="455">
        <f t="shared" si="20"/>
        <v>9</v>
      </c>
      <c r="N371" s="456">
        <f t="shared" si="21"/>
        <v>15609</v>
      </c>
      <c r="O371" s="457" t="s">
        <v>3382</v>
      </c>
      <c r="P371" s="463" t="s">
        <v>197</v>
      </c>
      <c r="Q371" s="451"/>
    </row>
    <row r="372" spans="1:18" ht="12.75" customHeight="1" x14ac:dyDescent="0.25">
      <c r="A372" s="743"/>
      <c r="B372" s="295" t="s">
        <v>3383</v>
      </c>
      <c r="C372" s="460" t="s">
        <v>3379</v>
      </c>
      <c r="D372" s="684" t="s">
        <v>1245</v>
      </c>
      <c r="E372" s="454">
        <v>900</v>
      </c>
      <c r="F372" s="454">
        <v>500</v>
      </c>
      <c r="G372" s="455">
        <v>23</v>
      </c>
      <c r="H372" s="675">
        <f t="shared" si="19"/>
        <v>11500</v>
      </c>
      <c r="I372" s="455">
        <v>18</v>
      </c>
      <c r="J372" s="450"/>
      <c r="K372" s="450"/>
      <c r="L372" s="450"/>
      <c r="M372" s="455">
        <f t="shared" si="20"/>
        <v>18</v>
      </c>
      <c r="N372" s="456">
        <f t="shared" si="21"/>
        <v>11518</v>
      </c>
      <c r="O372" s="465" t="s">
        <v>3010</v>
      </c>
      <c r="P372" s="463" t="s">
        <v>197</v>
      </c>
      <c r="Q372" s="451"/>
    </row>
    <row r="373" spans="1:18" ht="13.2" x14ac:dyDescent="0.25">
      <c r="A373" s="743"/>
      <c r="B373" s="295" t="s">
        <v>3383</v>
      </c>
      <c r="C373" s="460" t="s">
        <v>3379</v>
      </c>
      <c r="D373" s="685" t="s">
        <v>1245</v>
      </c>
      <c r="E373" s="454">
        <v>900</v>
      </c>
      <c r="F373" s="454">
        <v>250</v>
      </c>
      <c r="G373" s="455">
        <v>22</v>
      </c>
      <c r="H373" s="675">
        <f t="shared" si="19"/>
        <v>5500</v>
      </c>
      <c r="I373" s="455">
        <v>9</v>
      </c>
      <c r="J373" s="450"/>
      <c r="K373" s="450"/>
      <c r="L373" s="450"/>
      <c r="M373" s="455">
        <f t="shared" si="20"/>
        <v>9</v>
      </c>
      <c r="N373" s="456">
        <f t="shared" si="21"/>
        <v>5509</v>
      </c>
      <c r="O373" s="465" t="s">
        <v>3010</v>
      </c>
      <c r="P373" s="463" t="s">
        <v>197</v>
      </c>
      <c r="Q373" s="451"/>
      <c r="R373" s="247"/>
    </row>
    <row r="374" spans="1:18" ht="12.75" customHeight="1" x14ac:dyDescent="0.25">
      <c r="A374" s="743"/>
      <c r="B374" s="295" t="s">
        <v>3383</v>
      </c>
      <c r="C374" s="460" t="s">
        <v>3379</v>
      </c>
      <c r="D374" s="684" t="s">
        <v>1245</v>
      </c>
      <c r="E374" s="454">
        <v>900</v>
      </c>
      <c r="F374" s="454">
        <v>250</v>
      </c>
      <c r="G374" s="455">
        <v>23.6</v>
      </c>
      <c r="H374" s="675">
        <f t="shared" si="19"/>
        <v>5900</v>
      </c>
      <c r="I374" s="455">
        <v>9</v>
      </c>
      <c r="J374" s="450"/>
      <c r="K374" s="450"/>
      <c r="L374" s="450"/>
      <c r="M374" s="455">
        <f t="shared" si="20"/>
        <v>9</v>
      </c>
      <c r="N374" s="456">
        <f t="shared" si="21"/>
        <v>5909</v>
      </c>
      <c r="O374" s="465" t="s">
        <v>3010</v>
      </c>
      <c r="P374" s="463" t="s">
        <v>197</v>
      </c>
      <c r="Q374" s="451"/>
    </row>
    <row r="375" spans="1:18" ht="13.2" x14ac:dyDescent="0.25">
      <c r="A375" s="743"/>
      <c r="B375" s="295" t="s">
        <v>3383</v>
      </c>
      <c r="C375" s="460" t="s">
        <v>3379</v>
      </c>
      <c r="D375" s="685" t="s">
        <v>1245</v>
      </c>
      <c r="E375" s="454">
        <v>900</v>
      </c>
      <c r="F375" s="454">
        <v>250</v>
      </c>
      <c r="G375" s="455">
        <v>23</v>
      </c>
      <c r="H375" s="675">
        <f t="shared" si="19"/>
        <v>5750</v>
      </c>
      <c r="I375" s="455">
        <v>9</v>
      </c>
      <c r="J375" s="457">
        <v>11.85</v>
      </c>
      <c r="K375" s="457">
        <f>3+3</f>
        <v>6</v>
      </c>
      <c r="L375" s="463">
        <v>32.869999999999997</v>
      </c>
      <c r="M375" s="455">
        <f t="shared" si="20"/>
        <v>59.72</v>
      </c>
      <c r="N375" s="456">
        <f t="shared" si="21"/>
        <v>5809.72</v>
      </c>
      <c r="O375" s="465" t="s">
        <v>3010</v>
      </c>
      <c r="P375" s="459" t="s">
        <v>197</v>
      </c>
      <c r="Q375" s="451"/>
      <c r="R375" s="247"/>
    </row>
    <row r="376" spans="1:18" ht="12.75" customHeight="1" x14ac:dyDescent="0.25">
      <c r="A376" s="743"/>
      <c r="B376" s="295" t="s">
        <v>3393</v>
      </c>
      <c r="C376" s="295" t="s">
        <v>3391</v>
      </c>
      <c r="D376" s="684" t="s">
        <v>1245</v>
      </c>
      <c r="E376" s="454">
        <v>7000</v>
      </c>
      <c r="F376" s="454">
        <v>150</v>
      </c>
      <c r="G376" s="455">
        <v>190</v>
      </c>
      <c r="H376" s="675">
        <f t="shared" si="19"/>
        <v>28500</v>
      </c>
      <c r="I376" s="455">
        <v>27</v>
      </c>
      <c r="J376" s="450"/>
      <c r="K376" s="450"/>
      <c r="L376" s="450"/>
      <c r="M376" s="455">
        <f t="shared" si="20"/>
        <v>27</v>
      </c>
      <c r="N376" s="456">
        <f t="shared" si="21"/>
        <v>28527</v>
      </c>
      <c r="O376" s="465" t="s">
        <v>3011</v>
      </c>
      <c r="P376" s="463" t="s">
        <v>197</v>
      </c>
      <c r="Q376" s="451"/>
    </row>
    <row r="377" spans="1:18" ht="12.75" customHeight="1" x14ac:dyDescent="0.25">
      <c r="A377" s="743"/>
      <c r="B377" s="295" t="s">
        <v>3393</v>
      </c>
      <c r="C377" s="460" t="s">
        <v>3391</v>
      </c>
      <c r="D377" s="684" t="s">
        <v>1245</v>
      </c>
      <c r="E377" s="454">
        <v>7000</v>
      </c>
      <c r="F377" s="454">
        <v>50</v>
      </c>
      <c r="G377" s="455">
        <v>190</v>
      </c>
      <c r="H377" s="675">
        <f t="shared" si="19"/>
        <v>9500</v>
      </c>
      <c r="I377" s="455">
        <v>9</v>
      </c>
      <c r="J377" s="450"/>
      <c r="K377" s="450"/>
      <c r="L377" s="450"/>
      <c r="M377" s="455">
        <f t="shared" si="20"/>
        <v>9</v>
      </c>
      <c r="N377" s="456">
        <f t="shared" si="21"/>
        <v>9509</v>
      </c>
      <c r="O377" s="465" t="s">
        <v>3011</v>
      </c>
      <c r="P377" s="463" t="s">
        <v>197</v>
      </c>
      <c r="Q377" s="451"/>
    </row>
    <row r="378" spans="1:18" ht="12.75" customHeight="1" x14ac:dyDescent="0.25">
      <c r="A378" s="743"/>
      <c r="B378" s="295" t="s">
        <v>3393</v>
      </c>
      <c r="C378" s="460" t="s">
        <v>3392</v>
      </c>
      <c r="D378" s="684" t="s">
        <v>1245</v>
      </c>
      <c r="E378" s="454">
        <v>510</v>
      </c>
      <c r="F378" s="454">
        <v>500</v>
      </c>
      <c r="G378" s="455">
        <v>20.7</v>
      </c>
      <c r="H378" s="675">
        <f t="shared" si="19"/>
        <v>10350</v>
      </c>
      <c r="I378" s="455">
        <v>9</v>
      </c>
      <c r="J378" s="450"/>
      <c r="K378" s="450"/>
      <c r="L378" s="450"/>
      <c r="M378" s="455">
        <f t="shared" si="20"/>
        <v>9</v>
      </c>
      <c r="N378" s="456">
        <f t="shared" si="21"/>
        <v>10359</v>
      </c>
      <c r="O378" s="465" t="s">
        <v>3011</v>
      </c>
      <c r="P378" s="463" t="s">
        <v>197</v>
      </c>
      <c r="Q378" s="451"/>
    </row>
    <row r="379" spans="1:18" ht="12.75" customHeight="1" x14ac:dyDescent="0.25">
      <c r="A379" s="743"/>
      <c r="B379" s="295" t="s">
        <v>3393</v>
      </c>
      <c r="C379" s="460" t="s">
        <v>3392</v>
      </c>
      <c r="D379" s="684" t="s">
        <v>1245</v>
      </c>
      <c r="E379" s="454">
        <v>510</v>
      </c>
      <c r="F379" s="454">
        <v>500</v>
      </c>
      <c r="G379" s="455">
        <v>21.2</v>
      </c>
      <c r="H379" s="675">
        <f t="shared" si="19"/>
        <v>10600</v>
      </c>
      <c r="I379" s="455">
        <v>9</v>
      </c>
      <c r="J379" s="457">
        <v>14.4</v>
      </c>
      <c r="K379" s="457">
        <f>3+5</f>
        <v>8</v>
      </c>
      <c r="L379" s="457">
        <v>53.45</v>
      </c>
      <c r="M379" s="455">
        <f t="shared" si="20"/>
        <v>84.85</v>
      </c>
      <c r="N379" s="456">
        <f t="shared" si="21"/>
        <v>10684.85</v>
      </c>
      <c r="O379" s="465" t="s">
        <v>3011</v>
      </c>
      <c r="P379" s="463" t="s">
        <v>197</v>
      </c>
      <c r="Q379" s="451"/>
    </row>
    <row r="380" spans="1:18" ht="12.75" customHeight="1" x14ac:dyDescent="0.25">
      <c r="A380" s="743"/>
      <c r="B380" s="295" t="s">
        <v>3384</v>
      </c>
      <c r="C380" s="463" t="s">
        <v>3395</v>
      </c>
      <c r="D380" s="684" t="s">
        <v>1249</v>
      </c>
      <c r="E380" s="454">
        <v>20</v>
      </c>
      <c r="F380" s="454">
        <v>13000</v>
      </c>
      <c r="G380" s="455">
        <v>0.75</v>
      </c>
      <c r="H380" s="675">
        <f t="shared" si="19"/>
        <v>9750</v>
      </c>
      <c r="I380" s="455">
        <v>9</v>
      </c>
      <c r="J380" s="450"/>
      <c r="K380" s="450"/>
      <c r="L380" s="450"/>
      <c r="M380" s="455">
        <f t="shared" si="20"/>
        <v>9</v>
      </c>
      <c r="N380" s="456">
        <f t="shared" si="21"/>
        <v>9759</v>
      </c>
      <c r="O380" s="457" t="s">
        <v>1252</v>
      </c>
      <c r="P380" s="463" t="s">
        <v>197</v>
      </c>
      <c r="Q380" s="451"/>
    </row>
    <row r="381" spans="1:18" ht="12.75" customHeight="1" x14ac:dyDescent="0.25">
      <c r="A381" s="743"/>
      <c r="B381" s="295" t="s">
        <v>3399</v>
      </c>
      <c r="C381" s="452" t="s">
        <v>3379</v>
      </c>
      <c r="D381" s="684" t="s">
        <v>1249</v>
      </c>
      <c r="E381" s="454">
        <v>960</v>
      </c>
      <c r="F381" s="454">
        <v>1000</v>
      </c>
      <c r="G381" s="455">
        <v>7.95</v>
      </c>
      <c r="H381" s="675">
        <f t="shared" si="19"/>
        <v>7950</v>
      </c>
      <c r="I381" s="455">
        <v>36</v>
      </c>
      <c r="J381" s="450"/>
      <c r="K381" s="450"/>
      <c r="L381" s="450"/>
      <c r="M381" s="455">
        <f t="shared" si="20"/>
        <v>36</v>
      </c>
      <c r="N381" s="456">
        <f t="shared" si="21"/>
        <v>7986</v>
      </c>
      <c r="O381" s="457" t="s">
        <v>3400</v>
      </c>
      <c r="P381" s="459" t="s">
        <v>197</v>
      </c>
      <c r="Q381" s="451"/>
    </row>
    <row r="382" spans="1:18" ht="12.75" customHeight="1" x14ac:dyDescent="0.25">
      <c r="A382" s="743"/>
      <c r="B382" s="295" t="s">
        <v>3399</v>
      </c>
      <c r="C382" s="452" t="s">
        <v>3379</v>
      </c>
      <c r="D382" s="684" t="s">
        <v>1249</v>
      </c>
      <c r="E382" s="454">
        <v>960</v>
      </c>
      <c r="F382" s="454">
        <v>500</v>
      </c>
      <c r="G382" s="455">
        <v>6.7</v>
      </c>
      <c r="H382" s="675">
        <f t="shared" si="19"/>
        <v>3350</v>
      </c>
      <c r="I382" s="455">
        <v>18</v>
      </c>
      <c r="J382" s="450"/>
      <c r="K382" s="450"/>
      <c r="L382" s="450"/>
      <c r="M382" s="455">
        <f t="shared" si="20"/>
        <v>18</v>
      </c>
      <c r="N382" s="456">
        <f t="shared" si="21"/>
        <v>3368</v>
      </c>
      <c r="O382" s="457" t="s">
        <v>3400</v>
      </c>
      <c r="P382" s="459" t="s">
        <v>197</v>
      </c>
      <c r="Q382" s="451"/>
    </row>
    <row r="383" spans="1:18" ht="12.75" customHeight="1" x14ac:dyDescent="0.25">
      <c r="A383" s="743"/>
      <c r="B383" s="295" t="s">
        <v>3399</v>
      </c>
      <c r="C383" s="452" t="s">
        <v>3379</v>
      </c>
      <c r="D383" s="684" t="s">
        <v>1249</v>
      </c>
      <c r="E383" s="454">
        <v>960</v>
      </c>
      <c r="F383" s="454">
        <v>750</v>
      </c>
      <c r="G383" s="455">
        <v>5.65</v>
      </c>
      <c r="H383" s="675">
        <f t="shared" si="19"/>
        <v>4237.5</v>
      </c>
      <c r="I383" s="455">
        <v>27</v>
      </c>
      <c r="J383" s="450"/>
      <c r="K383" s="450"/>
      <c r="L383" s="450"/>
      <c r="M383" s="455">
        <f t="shared" si="20"/>
        <v>27</v>
      </c>
      <c r="N383" s="456">
        <f t="shared" si="21"/>
        <v>4264.5</v>
      </c>
      <c r="O383" s="457" t="s">
        <v>3400</v>
      </c>
      <c r="P383" s="459" t="s">
        <v>197</v>
      </c>
      <c r="Q383" s="451"/>
    </row>
    <row r="384" spans="1:18" ht="12.75" customHeight="1" x14ac:dyDescent="0.25">
      <c r="A384" s="743"/>
      <c r="B384" s="295" t="s">
        <v>3399</v>
      </c>
      <c r="C384" s="452" t="s">
        <v>3379</v>
      </c>
      <c r="D384" s="684" t="s">
        <v>1249</v>
      </c>
      <c r="E384" s="454">
        <v>960</v>
      </c>
      <c r="F384" s="454">
        <v>250</v>
      </c>
      <c r="G384" s="455">
        <v>5.8</v>
      </c>
      <c r="H384" s="675">
        <f t="shared" si="19"/>
        <v>1450</v>
      </c>
      <c r="I384" s="455">
        <v>9</v>
      </c>
      <c r="J384" s="450"/>
      <c r="K384" s="450"/>
      <c r="L384" s="450"/>
      <c r="M384" s="455">
        <f t="shared" si="20"/>
        <v>9</v>
      </c>
      <c r="N384" s="456">
        <f t="shared" si="21"/>
        <v>1459</v>
      </c>
      <c r="O384" s="457" t="s">
        <v>3400</v>
      </c>
      <c r="P384" s="459" t="s">
        <v>197</v>
      </c>
      <c r="Q384" s="451"/>
    </row>
    <row r="385" spans="1:17" ht="12.75" customHeight="1" x14ac:dyDescent="0.25">
      <c r="A385" s="743"/>
      <c r="B385" s="295" t="s">
        <v>3399</v>
      </c>
      <c r="C385" s="452" t="s">
        <v>3379</v>
      </c>
      <c r="D385" s="684" t="s">
        <v>1249</v>
      </c>
      <c r="E385" s="454">
        <v>960</v>
      </c>
      <c r="F385" s="454">
        <v>500</v>
      </c>
      <c r="G385" s="455">
        <v>4.25</v>
      </c>
      <c r="H385" s="675">
        <f t="shared" si="19"/>
        <v>2125</v>
      </c>
      <c r="I385" s="455">
        <v>18</v>
      </c>
      <c r="J385" s="457">
        <v>17.739999999999998</v>
      </c>
      <c r="K385" s="457">
        <f>3+3</f>
        <v>6</v>
      </c>
      <c r="L385" s="457">
        <v>26.57</v>
      </c>
      <c r="M385" s="455">
        <f t="shared" si="20"/>
        <v>68.31</v>
      </c>
      <c r="N385" s="456">
        <f t="shared" si="21"/>
        <v>2193.31</v>
      </c>
      <c r="O385" s="457" t="s">
        <v>3400</v>
      </c>
      <c r="P385" s="459" t="s">
        <v>197</v>
      </c>
      <c r="Q385" s="451"/>
    </row>
    <row r="386" spans="1:17" ht="12.75" customHeight="1" x14ac:dyDescent="0.25">
      <c r="A386" s="743"/>
      <c r="B386" s="295" t="s">
        <v>3404</v>
      </c>
      <c r="C386" s="463" t="s">
        <v>3379</v>
      </c>
      <c r="D386" s="684" t="s">
        <v>1249</v>
      </c>
      <c r="E386" s="454">
        <v>960</v>
      </c>
      <c r="F386" s="454">
        <v>250</v>
      </c>
      <c r="G386" s="455">
        <v>4</v>
      </c>
      <c r="H386" s="675">
        <f t="shared" si="19"/>
        <v>1000</v>
      </c>
      <c r="I386" s="455">
        <v>9</v>
      </c>
      <c r="J386" s="450"/>
      <c r="K386" s="450"/>
      <c r="L386" s="450"/>
      <c r="M386" s="455">
        <f t="shared" si="20"/>
        <v>9</v>
      </c>
      <c r="N386" s="456">
        <f t="shared" si="21"/>
        <v>1009</v>
      </c>
      <c r="O386" s="457" t="s">
        <v>3406</v>
      </c>
      <c r="P386" s="463" t="s">
        <v>197</v>
      </c>
      <c r="Q386" s="451"/>
    </row>
    <row r="387" spans="1:17" ht="12.75" customHeight="1" x14ac:dyDescent="0.25">
      <c r="A387" s="743"/>
      <c r="B387" s="295" t="s">
        <v>3404</v>
      </c>
      <c r="C387" s="460" t="s">
        <v>3379</v>
      </c>
      <c r="D387" s="684" t="s">
        <v>1249</v>
      </c>
      <c r="E387" s="454">
        <v>960</v>
      </c>
      <c r="F387" s="454">
        <v>250</v>
      </c>
      <c r="G387" s="455">
        <v>4</v>
      </c>
      <c r="H387" s="675">
        <f t="shared" si="19"/>
        <v>1000</v>
      </c>
      <c r="I387" s="455">
        <v>9</v>
      </c>
      <c r="J387" s="457">
        <v>2.39</v>
      </c>
      <c r="K387" s="457">
        <v>1</v>
      </c>
      <c r="L387" s="457">
        <v>1.4</v>
      </c>
      <c r="M387" s="455">
        <f t="shared" si="20"/>
        <v>13.790000000000001</v>
      </c>
      <c r="N387" s="456">
        <f t="shared" si="21"/>
        <v>1013.79</v>
      </c>
      <c r="O387" s="457" t="s">
        <v>3406</v>
      </c>
      <c r="P387" s="463" t="s">
        <v>197</v>
      </c>
      <c r="Q387" s="451"/>
    </row>
    <row r="388" spans="1:17" ht="12.75" customHeight="1" x14ac:dyDescent="0.25">
      <c r="A388" s="743"/>
      <c r="B388" s="295" t="s">
        <v>3408</v>
      </c>
      <c r="C388" s="460" t="s">
        <v>3379</v>
      </c>
      <c r="D388" s="684" t="s">
        <v>1249</v>
      </c>
      <c r="E388" s="454">
        <v>960</v>
      </c>
      <c r="F388" s="454">
        <v>250</v>
      </c>
      <c r="G388" s="455">
        <v>3.45</v>
      </c>
      <c r="H388" s="675">
        <f t="shared" si="19"/>
        <v>862.5</v>
      </c>
      <c r="I388" s="455">
        <v>9</v>
      </c>
      <c r="J388" s="457">
        <v>1.18</v>
      </c>
      <c r="K388" s="457">
        <v>1</v>
      </c>
      <c r="L388" s="457">
        <v>0.6</v>
      </c>
      <c r="M388" s="455">
        <f t="shared" si="20"/>
        <v>11.78</v>
      </c>
      <c r="N388" s="456">
        <f t="shared" si="21"/>
        <v>874.28</v>
      </c>
      <c r="O388" s="457" t="s">
        <v>3407</v>
      </c>
      <c r="P388" s="463" t="s">
        <v>197</v>
      </c>
      <c r="Q388" s="451"/>
    </row>
    <row r="389" spans="1:17" ht="12.75" customHeight="1" x14ac:dyDescent="0.25">
      <c r="A389" s="743"/>
      <c r="B389" s="295" t="s">
        <v>3409</v>
      </c>
      <c r="C389" s="460" t="s">
        <v>3379</v>
      </c>
      <c r="D389" s="684" t="s">
        <v>1249</v>
      </c>
      <c r="E389" s="454">
        <v>960</v>
      </c>
      <c r="F389" s="454">
        <v>250</v>
      </c>
      <c r="G389" s="455">
        <v>1.85</v>
      </c>
      <c r="H389" s="675">
        <f t="shared" si="19"/>
        <v>462.5</v>
      </c>
      <c r="I389" s="455">
        <v>9</v>
      </c>
      <c r="J389" s="457">
        <v>1.1499999999999999</v>
      </c>
      <c r="K389" s="457">
        <v>1</v>
      </c>
      <c r="L389" s="457">
        <v>0.32</v>
      </c>
      <c r="M389" s="455">
        <f t="shared" si="20"/>
        <v>11.47</v>
      </c>
      <c r="N389" s="456">
        <f t="shared" si="21"/>
        <v>473.97</v>
      </c>
      <c r="O389" s="457" t="s">
        <v>3414</v>
      </c>
      <c r="P389" s="463" t="s">
        <v>197</v>
      </c>
      <c r="Q389" s="451"/>
    </row>
    <row r="390" spans="1:17" ht="12.75" customHeight="1" x14ac:dyDescent="0.25">
      <c r="A390" s="743"/>
      <c r="B390" s="295" t="s">
        <v>3419</v>
      </c>
      <c r="C390" s="460" t="s">
        <v>3428</v>
      </c>
      <c r="D390" s="684" t="s">
        <v>1249</v>
      </c>
      <c r="E390" s="454">
        <v>2100</v>
      </c>
      <c r="F390" s="454">
        <v>125</v>
      </c>
      <c r="G390" s="455">
        <v>40</v>
      </c>
      <c r="H390" s="675">
        <f t="shared" si="19"/>
        <v>5000</v>
      </c>
      <c r="I390" s="455">
        <v>9</v>
      </c>
      <c r="J390" s="450"/>
      <c r="K390" s="450"/>
      <c r="L390" s="450"/>
      <c r="M390" s="455">
        <f t="shared" si="20"/>
        <v>9</v>
      </c>
      <c r="N390" s="456">
        <f t="shared" si="21"/>
        <v>5009</v>
      </c>
      <c r="O390" s="457" t="s">
        <v>3423</v>
      </c>
      <c r="P390" s="463" t="s">
        <v>197</v>
      </c>
      <c r="Q390" s="451"/>
    </row>
    <row r="391" spans="1:17" ht="12.75" customHeight="1" x14ac:dyDescent="0.25">
      <c r="A391" s="743"/>
      <c r="B391" s="295" t="s">
        <v>3419</v>
      </c>
      <c r="C391" s="460" t="s">
        <v>3429</v>
      </c>
      <c r="D391" s="684" t="s">
        <v>1245</v>
      </c>
      <c r="E391" s="454">
        <v>600</v>
      </c>
      <c r="F391" s="454">
        <v>500</v>
      </c>
      <c r="G391" s="455">
        <v>8.5</v>
      </c>
      <c r="H391" s="675">
        <f t="shared" si="19"/>
        <v>4250</v>
      </c>
      <c r="I391" s="455">
        <v>9</v>
      </c>
      <c r="J391" s="450"/>
      <c r="K391" s="450"/>
      <c r="L391" s="450"/>
      <c r="M391" s="455">
        <f t="shared" si="20"/>
        <v>9</v>
      </c>
      <c r="N391" s="456">
        <f t="shared" si="21"/>
        <v>4259</v>
      </c>
      <c r="O391" s="457" t="s">
        <v>3423</v>
      </c>
      <c r="P391" s="463" t="s">
        <v>197</v>
      </c>
      <c r="Q391" s="451"/>
    </row>
    <row r="392" spans="1:17" ht="12.75" customHeight="1" x14ac:dyDescent="0.25">
      <c r="A392" s="743"/>
      <c r="B392" s="295" t="s">
        <v>3422</v>
      </c>
      <c r="C392" s="460" t="s">
        <v>3430</v>
      </c>
      <c r="D392" s="684" t="s">
        <v>1249</v>
      </c>
      <c r="E392" s="454">
        <v>1000</v>
      </c>
      <c r="F392" s="454">
        <v>250</v>
      </c>
      <c r="G392" s="455">
        <v>6.25</v>
      </c>
      <c r="H392" s="675">
        <f t="shared" si="19"/>
        <v>1562.5</v>
      </c>
      <c r="I392" s="455">
        <v>9</v>
      </c>
      <c r="J392" s="450"/>
      <c r="K392" s="450"/>
      <c r="L392" s="450"/>
      <c r="M392" s="455">
        <f t="shared" si="20"/>
        <v>9</v>
      </c>
      <c r="N392" s="456">
        <f t="shared" si="21"/>
        <v>1571.5</v>
      </c>
      <c r="O392" s="457" t="s">
        <v>3426</v>
      </c>
      <c r="P392" s="463" t="s">
        <v>197</v>
      </c>
      <c r="Q392" s="451"/>
    </row>
    <row r="393" spans="1:17" ht="12.75" customHeight="1" x14ac:dyDescent="0.25">
      <c r="A393" s="743"/>
      <c r="B393" s="295" t="s">
        <v>3422</v>
      </c>
      <c r="C393" s="460" t="s">
        <v>3430</v>
      </c>
      <c r="D393" s="684" t="s">
        <v>1249</v>
      </c>
      <c r="E393" s="454">
        <v>1000</v>
      </c>
      <c r="F393" s="454">
        <v>500</v>
      </c>
      <c r="G393" s="455">
        <v>6.25</v>
      </c>
      <c r="H393" s="675">
        <f t="shared" si="19"/>
        <v>3125</v>
      </c>
      <c r="I393" s="455">
        <v>18</v>
      </c>
      <c r="J393" s="450"/>
      <c r="K393" s="450"/>
      <c r="L393" s="450"/>
      <c r="M393" s="455">
        <f t="shared" si="20"/>
        <v>18</v>
      </c>
      <c r="N393" s="456">
        <f t="shared" si="21"/>
        <v>3143</v>
      </c>
      <c r="O393" s="457" t="s">
        <v>3426</v>
      </c>
      <c r="P393" s="463" t="s">
        <v>197</v>
      </c>
      <c r="Q393" s="451"/>
    </row>
    <row r="394" spans="1:17" ht="12.75" customHeight="1" x14ac:dyDescent="0.25">
      <c r="A394" s="743"/>
      <c r="B394" s="295" t="s">
        <v>3422</v>
      </c>
      <c r="C394" s="452" t="s">
        <v>3430</v>
      </c>
      <c r="D394" s="684" t="s">
        <v>1249</v>
      </c>
      <c r="E394" s="454">
        <v>1000</v>
      </c>
      <c r="F394" s="454">
        <v>250</v>
      </c>
      <c r="G394" s="455">
        <v>6.25</v>
      </c>
      <c r="H394" s="675">
        <f t="shared" si="19"/>
        <v>1562.5</v>
      </c>
      <c r="I394" s="455">
        <v>9</v>
      </c>
      <c r="J394" s="450"/>
      <c r="K394" s="450"/>
      <c r="L394" s="450"/>
      <c r="M394" s="455">
        <f t="shared" si="20"/>
        <v>9</v>
      </c>
      <c r="N394" s="456">
        <f t="shared" si="21"/>
        <v>1571.5</v>
      </c>
      <c r="O394" s="457" t="s">
        <v>3426</v>
      </c>
      <c r="P394" s="463" t="s">
        <v>197</v>
      </c>
      <c r="Q394" s="451"/>
    </row>
    <row r="395" spans="1:17" ht="12.75" customHeight="1" x14ac:dyDescent="0.25">
      <c r="A395" s="743"/>
      <c r="B395" s="295" t="s">
        <v>3422</v>
      </c>
      <c r="C395" s="452" t="s">
        <v>3430</v>
      </c>
      <c r="D395" s="684" t="s">
        <v>1249</v>
      </c>
      <c r="E395" s="454">
        <v>1000</v>
      </c>
      <c r="F395" s="454">
        <v>250</v>
      </c>
      <c r="G395" s="455">
        <v>5.95</v>
      </c>
      <c r="H395" s="675">
        <f t="shared" si="19"/>
        <v>1487.5</v>
      </c>
      <c r="I395" s="455">
        <v>9</v>
      </c>
      <c r="J395" s="450"/>
      <c r="K395" s="450"/>
      <c r="L395" s="450"/>
      <c r="M395" s="455">
        <f t="shared" si="20"/>
        <v>9</v>
      </c>
      <c r="N395" s="456">
        <f t="shared" si="21"/>
        <v>1496.5</v>
      </c>
      <c r="O395" s="457" t="s">
        <v>3426</v>
      </c>
      <c r="P395" s="463" t="s">
        <v>197</v>
      </c>
      <c r="Q395" s="451"/>
    </row>
    <row r="396" spans="1:17" ht="12.75" customHeight="1" x14ac:dyDescent="0.25">
      <c r="A396" s="743"/>
      <c r="B396" s="295" t="s">
        <v>3422</v>
      </c>
      <c r="C396" s="452" t="s">
        <v>3431</v>
      </c>
      <c r="D396" s="684" t="s">
        <v>1249</v>
      </c>
      <c r="E396" s="454">
        <v>160</v>
      </c>
      <c r="F396" s="454">
        <v>2000</v>
      </c>
      <c r="G396" s="455">
        <v>4.75</v>
      </c>
      <c r="H396" s="675">
        <f t="shared" si="19"/>
        <v>9500</v>
      </c>
      <c r="I396" s="455">
        <v>9</v>
      </c>
      <c r="J396" s="450"/>
      <c r="K396" s="450"/>
      <c r="L396" s="450"/>
      <c r="M396" s="455">
        <f t="shared" si="20"/>
        <v>9</v>
      </c>
      <c r="N396" s="456">
        <f t="shared" si="21"/>
        <v>9509</v>
      </c>
      <c r="O396" s="457" t="s">
        <v>3426</v>
      </c>
      <c r="P396" s="463" t="s">
        <v>197</v>
      </c>
      <c r="Q396" s="451"/>
    </row>
    <row r="397" spans="1:17" ht="12.75" customHeight="1" x14ac:dyDescent="0.25">
      <c r="A397" s="743"/>
      <c r="B397" s="295" t="s">
        <v>3432</v>
      </c>
      <c r="C397" s="452" t="s">
        <v>3436</v>
      </c>
      <c r="D397" s="684" t="s">
        <v>1249</v>
      </c>
      <c r="E397" s="454">
        <v>880</v>
      </c>
      <c r="F397" s="454">
        <v>500</v>
      </c>
      <c r="G397" s="455">
        <v>5.25</v>
      </c>
      <c r="H397" s="675">
        <f t="shared" si="19"/>
        <v>2625</v>
      </c>
      <c r="I397" s="455">
        <v>9</v>
      </c>
      <c r="J397" s="450"/>
      <c r="K397" s="450"/>
      <c r="L397" s="450"/>
      <c r="M397" s="455">
        <f t="shared" si="20"/>
        <v>9</v>
      </c>
      <c r="N397" s="456">
        <f t="shared" si="21"/>
        <v>2634</v>
      </c>
      <c r="O397" s="457" t="s">
        <v>3437</v>
      </c>
      <c r="P397" s="463" t="s">
        <v>197</v>
      </c>
      <c r="Q397" s="451"/>
    </row>
    <row r="398" spans="1:17" ht="12.75" customHeight="1" x14ac:dyDescent="0.25">
      <c r="A398" s="743"/>
      <c r="B398" s="295" t="s">
        <v>3432</v>
      </c>
      <c r="C398" s="452" t="s">
        <v>3436</v>
      </c>
      <c r="D398" s="684" t="s">
        <v>1249</v>
      </c>
      <c r="E398" s="454">
        <v>880</v>
      </c>
      <c r="F398" s="454">
        <v>500</v>
      </c>
      <c r="G398" s="455">
        <v>8</v>
      </c>
      <c r="H398" s="675">
        <f t="shared" si="19"/>
        <v>4000</v>
      </c>
      <c r="I398" s="455">
        <v>9</v>
      </c>
      <c r="J398" s="450"/>
      <c r="K398" s="450"/>
      <c r="L398" s="450"/>
      <c r="M398" s="455">
        <f t="shared" si="20"/>
        <v>9</v>
      </c>
      <c r="N398" s="456">
        <f t="shared" si="21"/>
        <v>4009</v>
      </c>
      <c r="O398" s="457" t="s">
        <v>3437</v>
      </c>
      <c r="P398" s="463" t="s">
        <v>197</v>
      </c>
      <c r="Q398" s="451"/>
    </row>
    <row r="399" spans="1:17" ht="12.75" customHeight="1" x14ac:dyDescent="0.25">
      <c r="A399" s="743"/>
      <c r="B399" s="295" t="s">
        <v>3438</v>
      </c>
      <c r="C399" s="460" t="s">
        <v>3436</v>
      </c>
      <c r="D399" s="684" t="s">
        <v>1249</v>
      </c>
      <c r="E399" s="454">
        <v>880</v>
      </c>
      <c r="F399" s="454">
        <v>1000</v>
      </c>
      <c r="G399" s="455">
        <v>7</v>
      </c>
      <c r="H399" s="675">
        <f t="shared" si="19"/>
        <v>7000</v>
      </c>
      <c r="I399" s="455">
        <v>18</v>
      </c>
      <c r="J399" s="450"/>
      <c r="K399" s="450"/>
      <c r="L399" s="450"/>
      <c r="M399" s="455">
        <f t="shared" si="20"/>
        <v>18</v>
      </c>
      <c r="N399" s="456">
        <f t="shared" si="21"/>
        <v>7018</v>
      </c>
      <c r="O399" s="457" t="s">
        <v>2252</v>
      </c>
      <c r="P399" s="459" t="s">
        <v>197</v>
      </c>
      <c r="Q399" s="451"/>
    </row>
    <row r="400" spans="1:17" ht="12.75" customHeight="1" x14ac:dyDescent="0.25">
      <c r="A400" s="743"/>
      <c r="B400" s="295" t="s">
        <v>3438</v>
      </c>
      <c r="C400" s="460" t="s">
        <v>3436</v>
      </c>
      <c r="D400" s="684" t="s">
        <v>1249</v>
      </c>
      <c r="E400" s="454">
        <v>880</v>
      </c>
      <c r="F400" s="454">
        <v>1000</v>
      </c>
      <c r="G400" s="455">
        <v>5.4</v>
      </c>
      <c r="H400" s="675">
        <f t="shared" si="19"/>
        <v>5400</v>
      </c>
      <c r="I400" s="455">
        <v>18</v>
      </c>
      <c r="J400" s="450"/>
      <c r="K400" s="450"/>
      <c r="L400" s="450"/>
      <c r="M400" s="455">
        <f t="shared" si="20"/>
        <v>18</v>
      </c>
      <c r="N400" s="456">
        <f t="shared" si="21"/>
        <v>5418</v>
      </c>
      <c r="O400" s="457" t="s">
        <v>2252</v>
      </c>
      <c r="P400" s="459" t="s">
        <v>197</v>
      </c>
      <c r="Q400" s="451"/>
    </row>
    <row r="401" spans="1:18" ht="13.2" x14ac:dyDescent="0.25">
      <c r="A401" s="743"/>
      <c r="B401" s="295" t="s">
        <v>3438</v>
      </c>
      <c r="C401" s="460" t="s">
        <v>3431</v>
      </c>
      <c r="D401" s="684" t="s">
        <v>1249</v>
      </c>
      <c r="E401" s="454">
        <v>160</v>
      </c>
      <c r="F401" s="454">
        <v>2000</v>
      </c>
      <c r="G401" s="455">
        <v>2</v>
      </c>
      <c r="H401" s="675">
        <f t="shared" si="19"/>
        <v>4000</v>
      </c>
      <c r="I401" s="455">
        <v>9</v>
      </c>
      <c r="J401" s="450"/>
      <c r="K401" s="450"/>
      <c r="L401" s="450"/>
      <c r="M401" s="455">
        <f t="shared" si="20"/>
        <v>9</v>
      </c>
      <c r="N401" s="456">
        <f t="shared" si="21"/>
        <v>4009</v>
      </c>
      <c r="O401" s="457" t="s">
        <v>2252</v>
      </c>
      <c r="P401" s="459" t="s">
        <v>197</v>
      </c>
      <c r="Q401" s="451"/>
      <c r="R401" s="247"/>
    </row>
    <row r="402" spans="1:18" ht="12.75" customHeight="1" x14ac:dyDescent="0.25">
      <c r="A402" s="743"/>
      <c r="B402" s="295" t="s">
        <v>3438</v>
      </c>
      <c r="C402" s="460" t="s">
        <v>3431</v>
      </c>
      <c r="D402" s="684" t="s">
        <v>1249</v>
      </c>
      <c r="E402" s="454">
        <v>160</v>
      </c>
      <c r="F402" s="454">
        <v>2000</v>
      </c>
      <c r="G402" s="455">
        <v>1.1000000000000001</v>
      </c>
      <c r="H402" s="675">
        <f t="shared" si="19"/>
        <v>2200</v>
      </c>
      <c r="I402" s="455">
        <v>9</v>
      </c>
      <c r="J402" s="457">
        <v>15.19</v>
      </c>
      <c r="K402" s="457">
        <f>3+3</f>
        <v>6</v>
      </c>
      <c r="L402" s="457">
        <v>23.83</v>
      </c>
      <c r="M402" s="455">
        <f t="shared" si="20"/>
        <v>54.019999999999996</v>
      </c>
      <c r="N402" s="456">
        <f t="shared" si="21"/>
        <v>2254.02</v>
      </c>
      <c r="O402" s="457" t="s">
        <v>2252</v>
      </c>
      <c r="P402" s="459" t="s">
        <v>197</v>
      </c>
      <c r="Q402" s="451"/>
    </row>
    <row r="403" spans="1:18" ht="12.75" customHeight="1" x14ac:dyDescent="0.25">
      <c r="A403" s="743"/>
      <c r="B403" s="295" t="s">
        <v>3441</v>
      </c>
      <c r="C403" s="452" t="s">
        <v>3440</v>
      </c>
      <c r="D403" s="684" t="s">
        <v>1249</v>
      </c>
      <c r="E403" s="454">
        <v>1720</v>
      </c>
      <c r="F403" s="454">
        <v>250</v>
      </c>
      <c r="G403" s="455">
        <v>16.399999999999999</v>
      </c>
      <c r="H403" s="675">
        <f t="shared" si="19"/>
        <v>4100</v>
      </c>
      <c r="I403" s="455">
        <v>9</v>
      </c>
      <c r="J403" s="457">
        <v>1.46</v>
      </c>
      <c r="K403" s="457">
        <v>1</v>
      </c>
      <c r="L403" s="457">
        <v>2.87</v>
      </c>
      <c r="M403" s="455">
        <f t="shared" si="20"/>
        <v>14.330000000000002</v>
      </c>
      <c r="N403" s="456">
        <f t="shared" si="21"/>
        <v>4114.33</v>
      </c>
      <c r="O403" s="457" t="s">
        <v>3442</v>
      </c>
      <c r="P403" s="463" t="s">
        <v>197</v>
      </c>
      <c r="Q403" s="451"/>
    </row>
    <row r="404" spans="1:18" ht="12.75" customHeight="1" x14ac:dyDescent="0.25">
      <c r="A404" s="743"/>
      <c r="B404" s="295" t="s">
        <v>3443</v>
      </c>
      <c r="C404" s="460" t="s">
        <v>3436</v>
      </c>
      <c r="D404" s="684" t="s">
        <v>1249</v>
      </c>
      <c r="E404" s="454">
        <v>880</v>
      </c>
      <c r="F404" s="454">
        <v>500</v>
      </c>
      <c r="G404" s="455">
        <v>2.95</v>
      </c>
      <c r="H404" s="675">
        <f t="shared" si="19"/>
        <v>1475</v>
      </c>
      <c r="I404" s="455">
        <v>9</v>
      </c>
      <c r="J404" s="450"/>
      <c r="K404" s="450"/>
      <c r="L404" s="450"/>
      <c r="M404" s="455">
        <f t="shared" si="20"/>
        <v>9</v>
      </c>
      <c r="N404" s="456">
        <f t="shared" si="21"/>
        <v>1484</v>
      </c>
      <c r="O404" s="457" t="s">
        <v>2248</v>
      </c>
      <c r="P404" s="459" t="s">
        <v>197</v>
      </c>
      <c r="Q404" s="451"/>
    </row>
    <row r="405" spans="1:18" ht="12.75" customHeight="1" x14ac:dyDescent="0.25">
      <c r="A405" s="743"/>
      <c r="B405" s="295" t="s">
        <v>3443</v>
      </c>
      <c r="C405" s="460" t="s">
        <v>3431</v>
      </c>
      <c r="D405" s="684" t="s">
        <v>1249</v>
      </c>
      <c r="E405" s="454">
        <v>160</v>
      </c>
      <c r="F405" s="454">
        <v>2000</v>
      </c>
      <c r="G405" s="455">
        <v>1.25</v>
      </c>
      <c r="H405" s="675">
        <f t="shared" si="19"/>
        <v>2500</v>
      </c>
      <c r="I405" s="455">
        <v>9</v>
      </c>
      <c r="J405" s="450"/>
      <c r="K405" s="450"/>
      <c r="L405" s="450"/>
      <c r="M405" s="455">
        <f t="shared" si="20"/>
        <v>9</v>
      </c>
      <c r="N405" s="456">
        <f t="shared" si="21"/>
        <v>2509</v>
      </c>
      <c r="O405" s="457" t="s">
        <v>2248</v>
      </c>
      <c r="P405" s="459" t="s">
        <v>197</v>
      </c>
      <c r="Q405" s="451"/>
    </row>
    <row r="406" spans="1:18" ht="13.2" x14ac:dyDescent="0.25">
      <c r="A406" s="743"/>
      <c r="B406" s="295" t="s">
        <v>3443</v>
      </c>
      <c r="C406" s="460" t="s">
        <v>3431</v>
      </c>
      <c r="D406" s="684" t="s">
        <v>1249</v>
      </c>
      <c r="E406" s="454">
        <v>160</v>
      </c>
      <c r="F406" s="454">
        <v>2000</v>
      </c>
      <c r="G406" s="455">
        <v>1.25</v>
      </c>
      <c r="H406" s="675">
        <f t="shared" ref="H406:H469" si="22">F406*G406</f>
        <v>2500</v>
      </c>
      <c r="I406" s="455">
        <v>9</v>
      </c>
      <c r="J406" s="450"/>
      <c r="K406" s="450"/>
      <c r="L406" s="450"/>
      <c r="M406" s="455">
        <f t="shared" ref="M406:M435" si="23">SUM(I406:L406)</f>
        <v>9</v>
      </c>
      <c r="N406" s="456">
        <f t="shared" ref="N406:N461" si="24">H406+M406</f>
        <v>2509</v>
      </c>
      <c r="O406" s="457" t="s">
        <v>2248</v>
      </c>
      <c r="P406" s="459" t="s">
        <v>197</v>
      </c>
      <c r="Q406" s="451"/>
      <c r="R406" s="247"/>
    </row>
    <row r="407" spans="1:18" ht="12.75" customHeight="1" x14ac:dyDescent="0.25">
      <c r="A407" s="743"/>
      <c r="B407" s="295" t="s">
        <v>3443</v>
      </c>
      <c r="C407" s="460" t="s">
        <v>3431</v>
      </c>
      <c r="D407" s="684" t="s">
        <v>1249</v>
      </c>
      <c r="E407" s="454">
        <v>160</v>
      </c>
      <c r="F407" s="454">
        <v>2000</v>
      </c>
      <c r="G407" s="455">
        <v>1.1499999999999999</v>
      </c>
      <c r="H407" s="675">
        <f t="shared" si="22"/>
        <v>2300</v>
      </c>
      <c r="I407" s="455">
        <v>9</v>
      </c>
      <c r="J407" s="450"/>
      <c r="K407" s="450"/>
      <c r="L407" s="450"/>
      <c r="M407" s="455">
        <f t="shared" si="23"/>
        <v>9</v>
      </c>
      <c r="N407" s="456">
        <f t="shared" si="24"/>
        <v>2309</v>
      </c>
      <c r="O407" s="457" t="s">
        <v>2248</v>
      </c>
      <c r="P407" s="459" t="s">
        <v>197</v>
      </c>
      <c r="Q407" s="451"/>
    </row>
    <row r="408" spans="1:18" ht="12.75" customHeight="1" x14ac:dyDescent="0.25">
      <c r="A408" s="743"/>
      <c r="B408" s="295" t="s">
        <v>3448</v>
      </c>
      <c r="C408" s="460" t="s">
        <v>3446</v>
      </c>
      <c r="D408" s="684" t="s">
        <v>1249</v>
      </c>
      <c r="E408" s="454">
        <v>135</v>
      </c>
      <c r="F408" s="454">
        <v>2000</v>
      </c>
      <c r="G408" s="455">
        <v>1.6</v>
      </c>
      <c r="H408" s="675">
        <f t="shared" si="22"/>
        <v>3200</v>
      </c>
      <c r="I408" s="455">
        <v>9</v>
      </c>
      <c r="J408" s="701"/>
      <c r="K408" s="701"/>
      <c r="L408" s="701"/>
      <c r="M408" s="455">
        <f t="shared" si="23"/>
        <v>9</v>
      </c>
      <c r="N408" s="456">
        <f t="shared" si="24"/>
        <v>3209</v>
      </c>
      <c r="O408" s="457" t="s">
        <v>3447</v>
      </c>
      <c r="P408" s="463" t="s">
        <v>197</v>
      </c>
      <c r="Q408" s="451"/>
    </row>
    <row r="409" spans="1:18" ht="12.75" customHeight="1" x14ac:dyDescent="0.25">
      <c r="A409" s="743"/>
      <c r="B409" s="295" t="s">
        <v>3448</v>
      </c>
      <c r="C409" s="460" t="s">
        <v>3446</v>
      </c>
      <c r="D409" s="684" t="s">
        <v>1249</v>
      </c>
      <c r="E409" s="454">
        <v>135</v>
      </c>
      <c r="F409" s="454">
        <v>2000</v>
      </c>
      <c r="G409" s="455">
        <v>1.65</v>
      </c>
      <c r="H409" s="675">
        <f t="shared" si="22"/>
        <v>3300</v>
      </c>
      <c r="I409" s="455">
        <v>9</v>
      </c>
      <c r="J409" s="701"/>
      <c r="K409" s="701"/>
      <c r="L409" s="701"/>
      <c r="M409" s="455">
        <f t="shared" si="23"/>
        <v>9</v>
      </c>
      <c r="N409" s="456">
        <f t="shared" si="24"/>
        <v>3309</v>
      </c>
      <c r="O409" s="457" t="s">
        <v>3447</v>
      </c>
      <c r="P409" s="463" t="s">
        <v>197</v>
      </c>
      <c r="Q409" s="451"/>
    </row>
    <row r="410" spans="1:18" ht="13.2" x14ac:dyDescent="0.25">
      <c r="A410" s="743"/>
      <c r="B410" s="295" t="s">
        <v>3448</v>
      </c>
      <c r="C410" s="460" t="s">
        <v>3431</v>
      </c>
      <c r="D410" s="684" t="s">
        <v>1249</v>
      </c>
      <c r="E410" s="454">
        <v>160</v>
      </c>
      <c r="F410" s="454">
        <v>2000</v>
      </c>
      <c r="G410" s="455">
        <v>1.5</v>
      </c>
      <c r="H410" s="675">
        <f t="shared" si="22"/>
        <v>3000</v>
      </c>
      <c r="I410" s="455">
        <v>9</v>
      </c>
      <c r="J410" s="702">
        <f>16.62+3</f>
        <v>19.62</v>
      </c>
      <c r="K410" s="702">
        <v>2</v>
      </c>
      <c r="L410" s="702">
        <v>17.5</v>
      </c>
      <c r="M410" s="455">
        <f t="shared" si="23"/>
        <v>48.120000000000005</v>
      </c>
      <c r="N410" s="456">
        <f t="shared" si="24"/>
        <v>3048.12</v>
      </c>
      <c r="O410" s="457" t="s">
        <v>3447</v>
      </c>
      <c r="P410" s="459" t="s">
        <v>197</v>
      </c>
      <c r="Q410" s="451"/>
      <c r="R410" s="247"/>
    </row>
    <row r="411" spans="1:18" ht="12.75" customHeight="1" x14ac:dyDescent="0.25">
      <c r="A411" s="743"/>
      <c r="B411" s="295" t="s">
        <v>3468</v>
      </c>
      <c r="C411" s="452" t="s">
        <v>3466</v>
      </c>
      <c r="D411" s="684" t="s">
        <v>1249</v>
      </c>
      <c r="E411" s="454">
        <v>125</v>
      </c>
      <c r="F411" s="454">
        <v>4000</v>
      </c>
      <c r="G411" s="455">
        <v>1.1000000000000001</v>
      </c>
      <c r="H411" s="675">
        <f t="shared" si="22"/>
        <v>4400</v>
      </c>
      <c r="I411" s="455">
        <v>9</v>
      </c>
      <c r="J411" s="450"/>
      <c r="K411" s="450"/>
      <c r="L411" s="450"/>
      <c r="M411" s="455">
        <f t="shared" si="23"/>
        <v>9</v>
      </c>
      <c r="N411" s="456">
        <f t="shared" si="24"/>
        <v>4409</v>
      </c>
      <c r="O411" s="457" t="s">
        <v>3467</v>
      </c>
      <c r="P411" s="463" t="s">
        <v>197</v>
      </c>
      <c r="Q411" s="451"/>
    </row>
    <row r="412" spans="1:18" ht="12.75" customHeight="1" x14ac:dyDescent="0.25">
      <c r="A412" s="743"/>
      <c r="B412" s="295" t="s">
        <v>3468</v>
      </c>
      <c r="C412" s="452" t="s">
        <v>3446</v>
      </c>
      <c r="D412" s="684" t="s">
        <v>1249</v>
      </c>
      <c r="E412" s="454">
        <v>135</v>
      </c>
      <c r="F412" s="454">
        <v>2000</v>
      </c>
      <c r="G412" s="455">
        <v>1.6</v>
      </c>
      <c r="H412" s="675">
        <f t="shared" si="22"/>
        <v>3200</v>
      </c>
      <c r="I412" s="455">
        <v>9</v>
      </c>
      <c r="J412" s="457">
        <v>2.88</v>
      </c>
      <c r="K412" s="457">
        <v>1</v>
      </c>
      <c r="L412" s="457">
        <v>5.32</v>
      </c>
      <c r="M412" s="455">
        <f t="shared" si="23"/>
        <v>18.2</v>
      </c>
      <c r="N412" s="456">
        <f t="shared" si="24"/>
        <v>3218.2</v>
      </c>
      <c r="O412" s="457" t="s">
        <v>3467</v>
      </c>
      <c r="P412" s="463" t="s">
        <v>197</v>
      </c>
      <c r="Q412" s="451"/>
    </row>
    <row r="413" spans="1:18" ht="12.75" customHeight="1" x14ac:dyDescent="0.25">
      <c r="A413" s="743"/>
      <c r="B413" s="295" t="s">
        <v>3473</v>
      </c>
      <c r="C413" s="452" t="s">
        <v>3475</v>
      </c>
      <c r="D413" s="684" t="s">
        <v>1245</v>
      </c>
      <c r="E413" s="454">
        <v>7400</v>
      </c>
      <c r="F413" s="454">
        <v>200</v>
      </c>
      <c r="G413" s="455">
        <v>20.5</v>
      </c>
      <c r="H413" s="675">
        <f t="shared" si="22"/>
        <v>4100</v>
      </c>
      <c r="I413" s="455">
        <v>36</v>
      </c>
      <c r="J413" s="450"/>
      <c r="K413" s="450"/>
      <c r="L413" s="703"/>
      <c r="M413" s="455">
        <f t="shared" si="23"/>
        <v>36</v>
      </c>
      <c r="N413" s="456">
        <f t="shared" si="24"/>
        <v>4136</v>
      </c>
      <c r="O413" s="457" t="s">
        <v>3476</v>
      </c>
      <c r="P413" s="463" t="s">
        <v>197</v>
      </c>
      <c r="Q413" s="451"/>
    </row>
    <row r="414" spans="1:18" ht="12.75" customHeight="1" x14ac:dyDescent="0.25">
      <c r="A414" s="743"/>
      <c r="B414" s="295" t="s">
        <v>3473</v>
      </c>
      <c r="C414" s="452" t="s">
        <v>3475</v>
      </c>
      <c r="D414" s="684" t="s">
        <v>1245</v>
      </c>
      <c r="E414" s="454">
        <v>7400</v>
      </c>
      <c r="F414" s="454">
        <v>100</v>
      </c>
      <c r="G414" s="455">
        <v>20.7</v>
      </c>
      <c r="H414" s="675">
        <f t="shared" si="22"/>
        <v>2070</v>
      </c>
      <c r="I414" s="455">
        <v>18</v>
      </c>
      <c r="J414" s="450"/>
      <c r="K414" s="450"/>
      <c r="L414" s="703"/>
      <c r="M414" s="455">
        <f t="shared" si="23"/>
        <v>18</v>
      </c>
      <c r="N414" s="456">
        <f t="shared" si="24"/>
        <v>2088</v>
      </c>
      <c r="O414" s="457" t="s">
        <v>3476</v>
      </c>
      <c r="P414" s="463" t="s">
        <v>197</v>
      </c>
      <c r="Q414" s="451"/>
    </row>
    <row r="415" spans="1:18" ht="12.75" customHeight="1" x14ac:dyDescent="0.25">
      <c r="A415" s="743"/>
      <c r="B415" s="295" t="s">
        <v>3473</v>
      </c>
      <c r="C415" s="452" t="s">
        <v>3475</v>
      </c>
      <c r="D415" s="684" t="s">
        <v>1245</v>
      </c>
      <c r="E415" s="454">
        <v>7400</v>
      </c>
      <c r="F415" s="454">
        <v>100</v>
      </c>
      <c r="G415" s="455">
        <v>11</v>
      </c>
      <c r="H415" s="675">
        <f t="shared" si="22"/>
        <v>1100</v>
      </c>
      <c r="I415" s="455">
        <v>18</v>
      </c>
      <c r="J415" s="457">
        <f>14.58+1</f>
        <v>15.58</v>
      </c>
      <c r="K415" s="457">
        <v>1</v>
      </c>
      <c r="L415" s="457">
        <v>9.99</v>
      </c>
      <c r="M415" s="455">
        <f t="shared" si="23"/>
        <v>44.57</v>
      </c>
      <c r="N415" s="456">
        <f t="shared" si="24"/>
        <v>1144.57</v>
      </c>
      <c r="O415" s="457" t="s">
        <v>3476</v>
      </c>
      <c r="P415" s="463" t="s">
        <v>197</v>
      </c>
      <c r="Q415" s="451"/>
    </row>
    <row r="416" spans="1:18" ht="12.75" customHeight="1" x14ac:dyDescent="0.25">
      <c r="A416" s="743"/>
      <c r="B416" s="295" t="s">
        <v>3477</v>
      </c>
      <c r="C416" s="452" t="s">
        <v>3430</v>
      </c>
      <c r="D416" s="684" t="s">
        <v>1249</v>
      </c>
      <c r="E416" s="454">
        <v>1020</v>
      </c>
      <c r="F416" s="454">
        <v>250</v>
      </c>
      <c r="G416" s="455">
        <v>1.75</v>
      </c>
      <c r="H416" s="675">
        <f t="shared" si="22"/>
        <v>437.5</v>
      </c>
      <c r="I416" s="455">
        <v>9</v>
      </c>
      <c r="J416" s="450"/>
      <c r="K416" s="450"/>
      <c r="L416" s="450"/>
      <c r="M416" s="455">
        <f t="shared" si="23"/>
        <v>9</v>
      </c>
      <c r="N416" s="456">
        <f t="shared" si="24"/>
        <v>446.5</v>
      </c>
      <c r="O416" s="457" t="s">
        <v>2393</v>
      </c>
      <c r="P416" s="463" t="s">
        <v>197</v>
      </c>
      <c r="Q416" s="451"/>
    </row>
    <row r="417" spans="1:18" ht="13.2" x14ac:dyDescent="0.25">
      <c r="A417" s="743"/>
      <c r="B417" s="295" t="s">
        <v>3477</v>
      </c>
      <c r="C417" s="452" t="s">
        <v>3430</v>
      </c>
      <c r="D417" s="684" t="s">
        <v>1249</v>
      </c>
      <c r="E417" s="454">
        <v>1020</v>
      </c>
      <c r="F417" s="454">
        <v>250</v>
      </c>
      <c r="G417" s="455">
        <v>1.75</v>
      </c>
      <c r="H417" s="675">
        <f t="shared" si="22"/>
        <v>437.5</v>
      </c>
      <c r="I417" s="455">
        <v>9</v>
      </c>
      <c r="J417" s="457">
        <v>11.28</v>
      </c>
      <c r="K417" s="457">
        <v>1</v>
      </c>
      <c r="L417" s="457">
        <v>1.26</v>
      </c>
      <c r="M417" s="455">
        <f t="shared" si="23"/>
        <v>22.540000000000003</v>
      </c>
      <c r="N417" s="456">
        <f t="shared" si="24"/>
        <v>460.04</v>
      </c>
      <c r="O417" s="457" t="s">
        <v>2393</v>
      </c>
      <c r="P417" s="463" t="s">
        <v>197</v>
      </c>
      <c r="Q417" s="451"/>
      <c r="R417" s="247"/>
    </row>
    <row r="418" spans="1:18" ht="13.2" x14ac:dyDescent="0.25">
      <c r="A418" s="743"/>
      <c r="B418" s="295" t="s">
        <v>3477</v>
      </c>
      <c r="C418" s="452" t="s">
        <v>3478</v>
      </c>
      <c r="D418" s="684" t="s">
        <v>1249</v>
      </c>
      <c r="E418" s="454">
        <v>2700</v>
      </c>
      <c r="F418" s="454">
        <v>125</v>
      </c>
      <c r="G418" s="455">
        <v>11.25</v>
      </c>
      <c r="H418" s="675">
        <f t="shared" si="22"/>
        <v>1406.25</v>
      </c>
      <c r="I418" s="455">
        <v>9</v>
      </c>
      <c r="J418" s="450"/>
      <c r="K418" s="450"/>
      <c r="L418" s="703"/>
      <c r="M418" s="455">
        <f t="shared" si="23"/>
        <v>9</v>
      </c>
      <c r="N418" s="456">
        <f t="shared" si="24"/>
        <v>1415.25</v>
      </c>
      <c r="O418" s="457" t="s">
        <v>3480</v>
      </c>
      <c r="P418" s="463" t="s">
        <v>197</v>
      </c>
      <c r="Q418" s="451"/>
      <c r="R418" s="247"/>
    </row>
    <row r="419" spans="1:18" ht="12.75" customHeight="1" x14ac:dyDescent="0.25">
      <c r="A419" s="743"/>
      <c r="B419" s="295" t="s">
        <v>3477</v>
      </c>
      <c r="C419" s="452" t="s">
        <v>3478</v>
      </c>
      <c r="D419" s="684" t="s">
        <v>1249</v>
      </c>
      <c r="E419" s="454">
        <v>2700</v>
      </c>
      <c r="F419" s="454">
        <v>125</v>
      </c>
      <c r="G419" s="455">
        <v>11.3</v>
      </c>
      <c r="H419" s="675">
        <f t="shared" si="22"/>
        <v>1412.5</v>
      </c>
      <c r="I419" s="455">
        <v>9</v>
      </c>
      <c r="J419" s="450"/>
      <c r="K419" s="450"/>
      <c r="L419" s="703"/>
      <c r="M419" s="455">
        <f t="shared" si="23"/>
        <v>9</v>
      </c>
      <c r="N419" s="456">
        <f t="shared" si="24"/>
        <v>1421.5</v>
      </c>
      <c r="O419" s="457" t="s">
        <v>3480</v>
      </c>
      <c r="P419" s="463" t="s">
        <v>197</v>
      </c>
      <c r="Q419" s="451"/>
    </row>
    <row r="420" spans="1:18" ht="12.75" customHeight="1" x14ac:dyDescent="0.25">
      <c r="A420" s="743"/>
      <c r="B420" s="295" t="s">
        <v>3477</v>
      </c>
      <c r="C420" s="452" t="s">
        <v>3478</v>
      </c>
      <c r="D420" s="684" t="s">
        <v>1249</v>
      </c>
      <c r="E420" s="454">
        <v>2700</v>
      </c>
      <c r="F420" s="454">
        <v>125</v>
      </c>
      <c r="G420" s="455">
        <v>11.3</v>
      </c>
      <c r="H420" s="675">
        <f t="shared" si="22"/>
        <v>1412.5</v>
      </c>
      <c r="I420" s="455">
        <v>9</v>
      </c>
      <c r="J420" s="457">
        <v>6.04</v>
      </c>
      <c r="K420" s="457">
        <v>1</v>
      </c>
      <c r="L420" s="457">
        <v>3.92</v>
      </c>
      <c r="M420" s="455">
        <f t="shared" si="23"/>
        <v>19.96</v>
      </c>
      <c r="N420" s="456">
        <f t="shared" si="24"/>
        <v>1432.46</v>
      </c>
      <c r="O420" s="457" t="s">
        <v>3480</v>
      </c>
      <c r="P420" s="463" t="s">
        <v>197</v>
      </c>
      <c r="Q420" s="451"/>
    </row>
    <row r="421" spans="1:18" ht="12.75" customHeight="1" x14ac:dyDescent="0.25">
      <c r="B421" s="295" t="s">
        <v>3487</v>
      </c>
      <c r="C421" s="452" t="s">
        <v>3490</v>
      </c>
      <c r="D421" s="684" t="s">
        <v>1249</v>
      </c>
      <c r="E421" s="454">
        <v>40</v>
      </c>
      <c r="F421" s="454">
        <v>10000</v>
      </c>
      <c r="G421" s="455">
        <v>0.8</v>
      </c>
      <c r="H421" s="675">
        <f t="shared" si="22"/>
        <v>8000</v>
      </c>
      <c r="I421" s="455">
        <v>9</v>
      </c>
      <c r="J421" s="450"/>
      <c r="K421" s="450"/>
      <c r="L421" s="450"/>
      <c r="M421" s="455">
        <f t="shared" si="23"/>
        <v>9</v>
      </c>
      <c r="N421" s="456">
        <f t="shared" si="24"/>
        <v>8009</v>
      </c>
      <c r="O421" s="299" t="s">
        <v>3493</v>
      </c>
      <c r="P421" s="249" t="s">
        <v>197</v>
      </c>
    </row>
    <row r="422" spans="1:18" ht="12.75" customHeight="1" x14ac:dyDescent="0.25">
      <c r="B422" s="295" t="s">
        <v>3487</v>
      </c>
      <c r="C422" s="452" t="s">
        <v>3491</v>
      </c>
      <c r="D422" s="684" t="s">
        <v>1249</v>
      </c>
      <c r="E422" s="454">
        <v>1000</v>
      </c>
      <c r="F422" s="454">
        <v>250</v>
      </c>
      <c r="G422" s="455">
        <v>18</v>
      </c>
      <c r="H422" s="675">
        <f t="shared" si="22"/>
        <v>4500</v>
      </c>
      <c r="I422" s="455">
        <v>9</v>
      </c>
      <c r="J422" s="450"/>
      <c r="K422" s="450"/>
      <c r="L422" s="450"/>
      <c r="M422" s="455">
        <f t="shared" si="23"/>
        <v>9</v>
      </c>
      <c r="N422" s="456">
        <f t="shared" si="24"/>
        <v>4509</v>
      </c>
      <c r="O422" s="299" t="s">
        <v>3493</v>
      </c>
      <c r="P422" s="249" t="s">
        <v>197</v>
      </c>
    </row>
    <row r="423" spans="1:18" ht="12.75" customHeight="1" x14ac:dyDescent="0.25">
      <c r="B423" s="295" t="s">
        <v>3487</v>
      </c>
      <c r="C423" s="452" t="s">
        <v>3492</v>
      </c>
      <c r="D423" s="684" t="s">
        <v>1249</v>
      </c>
      <c r="E423" s="454">
        <v>140</v>
      </c>
      <c r="F423" s="454">
        <v>2000</v>
      </c>
      <c r="G423" s="455">
        <v>3.2</v>
      </c>
      <c r="H423" s="675">
        <f t="shared" si="22"/>
        <v>6400</v>
      </c>
      <c r="I423" s="455">
        <v>9</v>
      </c>
      <c r="J423" s="299">
        <v>4.9800000000000004</v>
      </c>
      <c r="K423" s="299">
        <v>2</v>
      </c>
      <c r="L423" s="299">
        <v>13.23</v>
      </c>
      <c r="M423" s="455">
        <f t="shared" si="23"/>
        <v>29.21</v>
      </c>
      <c r="N423" s="456">
        <f t="shared" si="24"/>
        <v>6429.21</v>
      </c>
      <c r="O423" s="299" t="s">
        <v>3493</v>
      </c>
      <c r="P423" s="249" t="s">
        <v>197</v>
      </c>
    </row>
    <row r="424" spans="1:18" ht="12.75" customHeight="1" x14ac:dyDescent="0.25">
      <c r="B424" s="295" t="s">
        <v>3495</v>
      </c>
      <c r="C424" s="452" t="s">
        <v>3491</v>
      </c>
      <c r="D424" s="684" t="s">
        <v>1249</v>
      </c>
      <c r="E424" s="454">
        <v>1000</v>
      </c>
      <c r="F424" s="454">
        <v>250</v>
      </c>
      <c r="G424" s="455">
        <v>17.850000000000001</v>
      </c>
      <c r="H424" s="675">
        <f t="shared" si="22"/>
        <v>4462.5</v>
      </c>
      <c r="I424" s="455">
        <v>9</v>
      </c>
      <c r="J424" s="450"/>
      <c r="K424" s="450"/>
      <c r="L424" s="450"/>
      <c r="M424" s="455">
        <f t="shared" si="23"/>
        <v>9</v>
      </c>
      <c r="N424" s="456">
        <f t="shared" si="24"/>
        <v>4471.5</v>
      </c>
      <c r="O424" s="299" t="s">
        <v>2426</v>
      </c>
      <c r="P424" s="249" t="s">
        <v>197</v>
      </c>
    </row>
    <row r="425" spans="1:18" ht="12.75" customHeight="1" x14ac:dyDescent="0.25">
      <c r="B425" s="295" t="s">
        <v>3495</v>
      </c>
      <c r="C425" s="452" t="s">
        <v>3494</v>
      </c>
      <c r="D425" s="684" t="s">
        <v>1249</v>
      </c>
      <c r="E425" s="454">
        <v>460</v>
      </c>
      <c r="F425" s="454">
        <v>1000</v>
      </c>
      <c r="G425" s="455">
        <v>8.5500000000000007</v>
      </c>
      <c r="H425" s="675">
        <f t="shared" si="22"/>
        <v>8550</v>
      </c>
      <c r="I425" s="455">
        <v>9</v>
      </c>
      <c r="J425" s="299">
        <f>6.66+2</f>
        <v>8.66</v>
      </c>
      <c r="K425" s="299">
        <v>2</v>
      </c>
      <c r="L425" s="299">
        <v>17.87</v>
      </c>
      <c r="M425" s="455">
        <f t="shared" si="23"/>
        <v>37.53</v>
      </c>
      <c r="N425" s="456">
        <f t="shared" si="24"/>
        <v>8587.5300000000007</v>
      </c>
      <c r="O425" s="299" t="s">
        <v>2426</v>
      </c>
      <c r="P425" s="249" t="s">
        <v>197</v>
      </c>
    </row>
    <row r="426" spans="1:18" ht="12.75" customHeight="1" x14ac:dyDescent="0.25">
      <c r="B426" s="295" t="s">
        <v>3503</v>
      </c>
      <c r="C426" s="452" t="s">
        <v>3491</v>
      </c>
      <c r="D426" s="684" t="s">
        <v>1249</v>
      </c>
      <c r="E426" s="454">
        <v>1040</v>
      </c>
      <c r="F426" s="454">
        <v>500</v>
      </c>
      <c r="G426" s="455">
        <v>12.9</v>
      </c>
      <c r="H426" s="675">
        <f t="shared" si="22"/>
        <v>6450</v>
      </c>
      <c r="I426" s="455">
        <v>18</v>
      </c>
      <c r="J426" s="450"/>
      <c r="K426" s="450"/>
      <c r="L426" s="450"/>
      <c r="M426" s="455">
        <f t="shared" si="23"/>
        <v>18</v>
      </c>
      <c r="N426" s="456">
        <f t="shared" si="24"/>
        <v>6468</v>
      </c>
      <c r="O426" s="299" t="s">
        <v>1019</v>
      </c>
      <c r="P426" s="249" t="s">
        <v>197</v>
      </c>
    </row>
    <row r="427" spans="1:18" ht="12.75" customHeight="1" x14ac:dyDescent="0.25">
      <c r="B427" s="295" t="s">
        <v>3503</v>
      </c>
      <c r="C427" s="452" t="s">
        <v>3491</v>
      </c>
      <c r="D427" s="684" t="s">
        <v>1249</v>
      </c>
      <c r="E427" s="454">
        <v>1040</v>
      </c>
      <c r="F427" s="454">
        <v>250</v>
      </c>
      <c r="G427" s="455">
        <v>11.95</v>
      </c>
      <c r="H427" s="675">
        <f t="shared" si="22"/>
        <v>2987.5</v>
      </c>
      <c r="I427" s="455">
        <v>9</v>
      </c>
      <c r="J427" s="450"/>
      <c r="K427" s="450"/>
      <c r="L427" s="450"/>
      <c r="M427" s="455">
        <f t="shared" si="23"/>
        <v>9</v>
      </c>
      <c r="N427" s="456">
        <f t="shared" si="24"/>
        <v>2996.5</v>
      </c>
      <c r="O427" s="299" t="s">
        <v>1019</v>
      </c>
      <c r="P427" s="249" t="s">
        <v>197</v>
      </c>
    </row>
    <row r="428" spans="1:18" ht="12.75" customHeight="1" x14ac:dyDescent="0.25">
      <c r="B428" s="295" t="s">
        <v>3503</v>
      </c>
      <c r="C428" s="452" t="s">
        <v>3501</v>
      </c>
      <c r="D428" s="684" t="s">
        <v>1249</v>
      </c>
      <c r="E428" s="454">
        <v>880</v>
      </c>
      <c r="F428" s="454">
        <v>500</v>
      </c>
      <c r="G428" s="455">
        <v>11.8</v>
      </c>
      <c r="H428" s="675">
        <f t="shared" si="22"/>
        <v>5900</v>
      </c>
      <c r="I428" s="455">
        <v>9</v>
      </c>
      <c r="J428" s="450"/>
      <c r="K428" s="450"/>
      <c r="L428" s="450"/>
      <c r="M428" s="455">
        <f t="shared" si="23"/>
        <v>9</v>
      </c>
      <c r="N428" s="456">
        <f t="shared" si="24"/>
        <v>5909</v>
      </c>
      <c r="O428" s="299" t="s">
        <v>1019</v>
      </c>
      <c r="P428" s="249" t="s">
        <v>197</v>
      </c>
    </row>
    <row r="429" spans="1:18" ht="12.75" customHeight="1" x14ac:dyDescent="0.25">
      <c r="B429" s="295" t="s">
        <v>3503</v>
      </c>
      <c r="C429" s="452" t="s">
        <v>3502</v>
      </c>
      <c r="D429" s="684" t="s">
        <v>1249</v>
      </c>
      <c r="E429" s="454">
        <v>1080</v>
      </c>
      <c r="F429" s="454">
        <v>250</v>
      </c>
      <c r="G429" s="455">
        <v>15.2</v>
      </c>
      <c r="H429" s="675">
        <f t="shared" si="22"/>
        <v>3800</v>
      </c>
      <c r="I429" s="455">
        <v>9</v>
      </c>
      <c r="J429" s="450"/>
      <c r="K429" s="450"/>
      <c r="L429" s="450"/>
      <c r="M429" s="455">
        <f t="shared" si="23"/>
        <v>9</v>
      </c>
      <c r="N429" s="456">
        <f t="shared" si="24"/>
        <v>3809</v>
      </c>
      <c r="O429" s="299" t="s">
        <v>1019</v>
      </c>
      <c r="P429" s="249" t="s">
        <v>197</v>
      </c>
    </row>
    <row r="430" spans="1:18" ht="12.75" customHeight="1" x14ac:dyDescent="0.25">
      <c r="B430" s="295" t="s">
        <v>3503</v>
      </c>
      <c r="C430" s="452" t="s">
        <v>3502</v>
      </c>
      <c r="D430" s="684" t="s">
        <v>1249</v>
      </c>
      <c r="E430" s="454">
        <v>1080</v>
      </c>
      <c r="F430" s="454">
        <v>250</v>
      </c>
      <c r="G430" s="455">
        <v>15.2</v>
      </c>
      <c r="H430" s="675">
        <f t="shared" si="22"/>
        <v>3800</v>
      </c>
      <c r="I430" s="455">
        <v>9</v>
      </c>
      <c r="J430" s="450"/>
      <c r="K430" s="450"/>
      <c r="L430" s="450"/>
      <c r="M430" s="455">
        <f t="shared" si="23"/>
        <v>9</v>
      </c>
      <c r="N430" s="456">
        <f t="shared" si="24"/>
        <v>3809</v>
      </c>
      <c r="O430" s="299" t="s">
        <v>1019</v>
      </c>
      <c r="P430" s="249" t="s">
        <v>197</v>
      </c>
    </row>
    <row r="431" spans="1:18" ht="12.75" customHeight="1" x14ac:dyDescent="0.25">
      <c r="B431" s="295" t="s">
        <v>3496</v>
      </c>
      <c r="C431" s="295" t="s">
        <v>3502</v>
      </c>
      <c r="D431" s="684" t="s">
        <v>1249</v>
      </c>
      <c r="E431" s="454">
        <v>1080</v>
      </c>
      <c r="F431" s="454">
        <v>250</v>
      </c>
      <c r="G431" s="455">
        <v>12.75</v>
      </c>
      <c r="H431" s="675">
        <f t="shared" si="22"/>
        <v>3187.5</v>
      </c>
      <c r="I431" s="455">
        <v>9</v>
      </c>
      <c r="J431" s="450"/>
      <c r="K431" s="450"/>
      <c r="L431" s="450"/>
      <c r="M431" s="455">
        <f t="shared" si="23"/>
        <v>9</v>
      </c>
      <c r="N431" s="456">
        <f t="shared" si="24"/>
        <v>3196.5</v>
      </c>
      <c r="O431" s="299" t="s">
        <v>1021</v>
      </c>
      <c r="P431" s="249" t="s">
        <v>197</v>
      </c>
    </row>
    <row r="432" spans="1:18" ht="12.75" customHeight="1" x14ac:dyDescent="0.25">
      <c r="B432" s="295" t="s">
        <v>3496</v>
      </c>
      <c r="C432" s="295" t="s">
        <v>3502</v>
      </c>
      <c r="D432" s="684" t="s">
        <v>1249</v>
      </c>
      <c r="E432" s="454">
        <v>1080</v>
      </c>
      <c r="F432" s="454">
        <v>250</v>
      </c>
      <c r="G432" s="455">
        <v>12.9</v>
      </c>
      <c r="H432" s="675">
        <f t="shared" si="22"/>
        <v>3225</v>
      </c>
      <c r="I432" s="455">
        <v>9</v>
      </c>
      <c r="J432" s="450"/>
      <c r="K432" s="450"/>
      <c r="L432" s="450"/>
      <c r="M432" s="455">
        <f t="shared" si="23"/>
        <v>9</v>
      </c>
      <c r="N432" s="456">
        <f t="shared" si="24"/>
        <v>3234</v>
      </c>
      <c r="O432" s="299" t="s">
        <v>1021</v>
      </c>
      <c r="P432" s="249" t="s">
        <v>197</v>
      </c>
    </row>
    <row r="433" spans="1:18" ht="12.75" customHeight="1" x14ac:dyDescent="0.25">
      <c r="B433" s="295" t="s">
        <v>3496</v>
      </c>
      <c r="C433" s="295" t="s">
        <v>3502</v>
      </c>
      <c r="D433" s="684" t="s">
        <v>1249</v>
      </c>
      <c r="E433" s="454">
        <v>1080</v>
      </c>
      <c r="F433" s="454">
        <v>250</v>
      </c>
      <c r="G433" s="455">
        <v>12.9</v>
      </c>
      <c r="H433" s="675">
        <f t="shared" si="22"/>
        <v>3225</v>
      </c>
      <c r="I433" s="455">
        <v>9</v>
      </c>
      <c r="J433" s="299">
        <f>5.74+1</f>
        <v>6.74</v>
      </c>
      <c r="K433" s="299">
        <v>1</v>
      </c>
      <c r="L433" s="299">
        <v>10.42</v>
      </c>
      <c r="M433" s="455">
        <f t="shared" si="23"/>
        <v>27.160000000000004</v>
      </c>
      <c r="N433" s="456">
        <f t="shared" si="24"/>
        <v>3252.16</v>
      </c>
      <c r="O433" s="299" t="s">
        <v>1021</v>
      </c>
      <c r="P433" s="249" t="s">
        <v>197</v>
      </c>
    </row>
    <row r="434" spans="1:18" ht="12.75" customHeight="1" x14ac:dyDescent="0.25">
      <c r="B434" s="295" t="s">
        <v>3498</v>
      </c>
      <c r="C434" s="295" t="s">
        <v>3491</v>
      </c>
      <c r="D434" s="684" t="s">
        <v>1249</v>
      </c>
      <c r="E434" s="454">
        <v>1040</v>
      </c>
      <c r="F434" s="454">
        <v>250</v>
      </c>
      <c r="G434" s="455">
        <v>13</v>
      </c>
      <c r="H434" s="675">
        <f t="shared" si="22"/>
        <v>3250</v>
      </c>
      <c r="I434" s="455">
        <v>9</v>
      </c>
      <c r="J434" s="450"/>
      <c r="K434" s="450"/>
      <c r="L434" s="450"/>
      <c r="M434" s="455">
        <f t="shared" si="23"/>
        <v>9</v>
      </c>
      <c r="N434" s="456">
        <f t="shared" si="24"/>
        <v>3259</v>
      </c>
      <c r="O434" s="299" t="s">
        <v>2429</v>
      </c>
      <c r="P434" s="249" t="s">
        <v>197</v>
      </c>
    </row>
    <row r="435" spans="1:18" ht="12.75" customHeight="1" x14ac:dyDescent="0.25">
      <c r="B435" s="295" t="s">
        <v>3498</v>
      </c>
      <c r="C435" s="295" t="s">
        <v>3491</v>
      </c>
      <c r="D435" s="684" t="s">
        <v>1249</v>
      </c>
      <c r="E435" s="454">
        <v>1040</v>
      </c>
      <c r="F435" s="454">
        <v>250</v>
      </c>
      <c r="G435" s="455">
        <v>13</v>
      </c>
      <c r="H435" s="675">
        <f t="shared" si="22"/>
        <v>3250</v>
      </c>
      <c r="I435" s="455">
        <v>9</v>
      </c>
      <c r="J435" s="299">
        <v>2.78</v>
      </c>
      <c r="K435" s="299">
        <v>1</v>
      </c>
      <c r="L435" s="299">
        <v>4.55</v>
      </c>
      <c r="M435" s="455">
        <f t="shared" si="23"/>
        <v>17.329999999999998</v>
      </c>
      <c r="N435" s="456">
        <f t="shared" si="24"/>
        <v>3267.33</v>
      </c>
      <c r="O435" s="299" t="s">
        <v>2429</v>
      </c>
      <c r="P435" s="249" t="s">
        <v>197</v>
      </c>
    </row>
    <row r="436" spans="1:18" ht="12.75" customHeight="1" x14ac:dyDescent="0.25">
      <c r="B436" s="295" t="s">
        <v>3514</v>
      </c>
      <c r="C436" s="295" t="s">
        <v>3509</v>
      </c>
      <c r="D436" s="684" t="s">
        <v>1245</v>
      </c>
      <c r="E436" s="454">
        <v>230</v>
      </c>
      <c r="F436" s="299">
        <v>2000</v>
      </c>
      <c r="G436" s="455">
        <v>2.2000000000000002</v>
      </c>
      <c r="H436" s="675">
        <f t="shared" si="22"/>
        <v>4400</v>
      </c>
      <c r="I436" s="455">
        <v>9</v>
      </c>
      <c r="J436" s="450"/>
      <c r="K436" s="450"/>
      <c r="L436" s="450"/>
      <c r="M436" s="455">
        <f>SUM(I436:L436)</f>
        <v>9</v>
      </c>
      <c r="N436" s="456">
        <f t="shared" si="24"/>
        <v>4409</v>
      </c>
      <c r="O436" s="299" t="s">
        <v>2296</v>
      </c>
      <c r="P436" s="249" t="s">
        <v>197</v>
      </c>
    </row>
    <row r="437" spans="1:18" ht="12.75" customHeight="1" x14ac:dyDescent="0.25">
      <c r="B437" s="295" t="s">
        <v>3514</v>
      </c>
      <c r="C437" s="295" t="s">
        <v>3509</v>
      </c>
      <c r="D437" s="684" t="s">
        <v>1245</v>
      </c>
      <c r="E437" s="454">
        <v>230</v>
      </c>
      <c r="F437" s="454">
        <v>2000</v>
      </c>
      <c r="G437" s="455">
        <v>2.2000000000000002</v>
      </c>
      <c r="H437" s="675">
        <f t="shared" si="22"/>
        <v>4400</v>
      </c>
      <c r="I437" s="455">
        <v>9</v>
      </c>
      <c r="J437" s="450"/>
      <c r="K437" s="450"/>
      <c r="L437" s="450"/>
      <c r="M437" s="455">
        <f t="shared" ref="M437:M500" si="25">SUM(I437:L437)</f>
        <v>9</v>
      </c>
      <c r="N437" s="456">
        <f t="shared" si="24"/>
        <v>4409</v>
      </c>
      <c r="O437" s="299" t="s">
        <v>2296</v>
      </c>
      <c r="P437" s="249" t="s">
        <v>197</v>
      </c>
    </row>
    <row r="438" spans="1:18" ht="12.75" customHeight="1" x14ac:dyDescent="0.25">
      <c r="B438" s="295" t="s">
        <v>3514</v>
      </c>
      <c r="C438" s="295" t="s">
        <v>3510</v>
      </c>
      <c r="D438" s="684" t="s">
        <v>1245</v>
      </c>
      <c r="E438" s="454">
        <v>37.5</v>
      </c>
      <c r="F438" s="454">
        <v>9000</v>
      </c>
      <c r="G438" s="455">
        <v>1.2</v>
      </c>
      <c r="H438" s="675">
        <f t="shared" si="22"/>
        <v>10800</v>
      </c>
      <c r="I438" s="455">
        <v>9</v>
      </c>
      <c r="J438" s="450"/>
      <c r="K438" s="450"/>
      <c r="L438" s="450"/>
      <c r="M438" s="455">
        <f t="shared" si="25"/>
        <v>9</v>
      </c>
      <c r="N438" s="456">
        <f t="shared" si="24"/>
        <v>10809</v>
      </c>
      <c r="O438" s="299" t="s">
        <v>2296</v>
      </c>
      <c r="P438" s="249" t="s">
        <v>197</v>
      </c>
    </row>
    <row r="439" spans="1:18" ht="12.75" customHeight="1" x14ac:dyDescent="0.25">
      <c r="B439" s="295" t="s">
        <v>3514</v>
      </c>
      <c r="C439" s="295" t="s">
        <v>3511</v>
      </c>
      <c r="D439" s="684" t="s">
        <v>1245</v>
      </c>
      <c r="E439" s="454">
        <v>1650</v>
      </c>
      <c r="F439" s="454">
        <v>250</v>
      </c>
      <c r="G439" s="455">
        <v>24</v>
      </c>
      <c r="H439" s="675">
        <f t="shared" si="22"/>
        <v>6000</v>
      </c>
      <c r="I439" s="455">
        <v>9</v>
      </c>
      <c r="J439" s="450"/>
      <c r="K439" s="450"/>
      <c r="L439" s="450"/>
      <c r="M439" s="455">
        <f t="shared" si="25"/>
        <v>9</v>
      </c>
      <c r="N439" s="456">
        <f t="shared" si="24"/>
        <v>6009</v>
      </c>
      <c r="O439" s="299" t="s">
        <v>2296</v>
      </c>
      <c r="P439" s="249" t="s">
        <v>197</v>
      </c>
    </row>
    <row r="440" spans="1:18" ht="12.75" customHeight="1" x14ac:dyDescent="0.25">
      <c r="B440" s="295" t="s">
        <v>3514</v>
      </c>
      <c r="C440" s="295" t="s">
        <v>3511</v>
      </c>
      <c r="D440" s="684" t="s">
        <v>1245</v>
      </c>
      <c r="E440" s="454">
        <v>1650</v>
      </c>
      <c r="F440" s="454">
        <v>250</v>
      </c>
      <c r="G440" s="455">
        <v>24.5</v>
      </c>
      <c r="H440" s="675">
        <f t="shared" si="22"/>
        <v>6125</v>
      </c>
      <c r="I440" s="455">
        <v>9</v>
      </c>
      <c r="J440" s="450"/>
      <c r="K440" s="450"/>
      <c r="L440" s="450"/>
      <c r="M440" s="455">
        <f t="shared" si="25"/>
        <v>9</v>
      </c>
      <c r="N440" s="456">
        <f t="shared" si="24"/>
        <v>6134</v>
      </c>
      <c r="O440" s="299" t="s">
        <v>2296</v>
      </c>
      <c r="P440" s="249" t="s">
        <v>197</v>
      </c>
    </row>
    <row r="441" spans="1:18" ht="12.75" customHeight="1" x14ac:dyDescent="0.25">
      <c r="B441" s="295" t="s">
        <v>3514</v>
      </c>
      <c r="C441" s="295" t="s">
        <v>3512</v>
      </c>
      <c r="D441" s="684" t="s">
        <v>1245</v>
      </c>
      <c r="E441" s="454">
        <v>100</v>
      </c>
      <c r="F441" s="454">
        <v>4000</v>
      </c>
      <c r="G441" s="455">
        <v>2.25</v>
      </c>
      <c r="H441" s="675">
        <f t="shared" si="22"/>
        <v>9000</v>
      </c>
      <c r="I441" s="455">
        <v>9</v>
      </c>
      <c r="J441" s="450"/>
      <c r="K441" s="450"/>
      <c r="L441" s="450"/>
      <c r="M441" s="455">
        <f t="shared" si="25"/>
        <v>9</v>
      </c>
      <c r="N441" s="456">
        <f t="shared" si="24"/>
        <v>9009</v>
      </c>
      <c r="O441" s="299" t="s">
        <v>2296</v>
      </c>
      <c r="P441" s="249" t="s">
        <v>197</v>
      </c>
    </row>
    <row r="442" spans="1:18" ht="12.75" customHeight="1" x14ac:dyDescent="0.25">
      <c r="B442" s="295" t="s">
        <v>3514</v>
      </c>
      <c r="C442" s="295" t="s">
        <v>3513</v>
      </c>
      <c r="D442" s="684" t="s">
        <v>1245</v>
      </c>
      <c r="E442" s="454">
        <v>2600</v>
      </c>
      <c r="F442" s="454">
        <v>125</v>
      </c>
      <c r="G442" s="455">
        <v>69.849999999999994</v>
      </c>
      <c r="H442" s="675">
        <f t="shared" si="22"/>
        <v>8731.25</v>
      </c>
      <c r="I442" s="455">
        <v>9</v>
      </c>
      <c r="J442" s="450"/>
      <c r="K442" s="450"/>
      <c r="L442" s="450"/>
      <c r="M442" s="455">
        <f t="shared" si="25"/>
        <v>9</v>
      </c>
      <c r="N442" s="456">
        <f t="shared" si="24"/>
        <v>8740.25</v>
      </c>
      <c r="O442" s="299" t="s">
        <v>2296</v>
      </c>
      <c r="P442" s="249" t="s">
        <v>197</v>
      </c>
    </row>
    <row r="443" spans="1:18" ht="12.75" customHeight="1" x14ac:dyDescent="0.25">
      <c r="A443" s="743"/>
      <c r="B443" s="295" t="s">
        <v>3518</v>
      </c>
      <c r="C443" s="537" t="s">
        <v>3492</v>
      </c>
      <c r="D443" s="684" t="s">
        <v>1249</v>
      </c>
      <c r="E443" s="454">
        <v>140</v>
      </c>
      <c r="F443" s="454">
        <v>2000</v>
      </c>
      <c r="G443" s="455">
        <v>2.9</v>
      </c>
      <c r="H443" s="675">
        <f t="shared" si="22"/>
        <v>5800</v>
      </c>
      <c r="I443" s="455">
        <v>9</v>
      </c>
      <c r="J443" s="450"/>
      <c r="K443" s="450"/>
      <c r="L443" s="450"/>
      <c r="M443" s="455">
        <f t="shared" si="25"/>
        <v>9</v>
      </c>
      <c r="N443" s="456">
        <f t="shared" si="24"/>
        <v>5809</v>
      </c>
      <c r="O443" s="457" t="s">
        <v>3517</v>
      </c>
      <c r="P443" s="463" t="s">
        <v>197</v>
      </c>
      <c r="Q443" s="451"/>
    </row>
    <row r="444" spans="1:18" ht="13.2" x14ac:dyDescent="0.25">
      <c r="A444" s="743"/>
      <c r="B444" s="295" t="s">
        <v>3518</v>
      </c>
      <c r="C444" s="537" t="s">
        <v>3492</v>
      </c>
      <c r="D444" s="685" t="s">
        <v>1249</v>
      </c>
      <c r="E444" s="454">
        <v>140</v>
      </c>
      <c r="F444" s="454">
        <v>2000</v>
      </c>
      <c r="G444" s="455">
        <v>2.9</v>
      </c>
      <c r="H444" s="675">
        <f t="shared" si="22"/>
        <v>5800</v>
      </c>
      <c r="I444" s="455">
        <v>9</v>
      </c>
      <c r="J444" s="450"/>
      <c r="K444" s="450"/>
      <c r="L444" s="450"/>
      <c r="M444" s="455">
        <f t="shared" si="25"/>
        <v>9</v>
      </c>
      <c r="N444" s="456">
        <f t="shared" si="24"/>
        <v>5809</v>
      </c>
      <c r="O444" s="457" t="s">
        <v>3517</v>
      </c>
      <c r="P444" s="463" t="s">
        <v>197</v>
      </c>
      <c r="Q444" s="451"/>
      <c r="R444" s="247"/>
    </row>
    <row r="445" spans="1:18" ht="12.75" customHeight="1" x14ac:dyDescent="0.25">
      <c r="A445" s="743"/>
      <c r="B445" s="295" t="s">
        <v>3518</v>
      </c>
      <c r="C445" s="537" t="s">
        <v>3515</v>
      </c>
      <c r="D445" s="684" t="s">
        <v>1249</v>
      </c>
      <c r="E445" s="454">
        <v>150</v>
      </c>
      <c r="F445" s="454">
        <v>2000</v>
      </c>
      <c r="G445" s="455">
        <v>2.1</v>
      </c>
      <c r="H445" s="675">
        <f t="shared" si="22"/>
        <v>4200</v>
      </c>
      <c r="I445" s="455">
        <v>9</v>
      </c>
      <c r="J445" s="450"/>
      <c r="K445" s="450"/>
      <c r="L445" s="450"/>
      <c r="M445" s="455">
        <f t="shared" si="25"/>
        <v>9</v>
      </c>
      <c r="N445" s="456">
        <f t="shared" si="24"/>
        <v>4209</v>
      </c>
      <c r="O445" s="457" t="s">
        <v>3517</v>
      </c>
      <c r="P445" s="463" t="s">
        <v>197</v>
      </c>
      <c r="Q445" s="451"/>
    </row>
    <row r="446" spans="1:18" ht="13.2" x14ac:dyDescent="0.25">
      <c r="A446" s="743"/>
      <c r="B446" s="295" t="s">
        <v>3518</v>
      </c>
      <c r="C446" s="537" t="s">
        <v>3515</v>
      </c>
      <c r="D446" s="685" t="s">
        <v>1249</v>
      </c>
      <c r="E446" s="454">
        <v>150</v>
      </c>
      <c r="F446" s="454">
        <v>2000</v>
      </c>
      <c r="G446" s="455">
        <v>1.9</v>
      </c>
      <c r="H446" s="675">
        <f t="shared" si="22"/>
        <v>3800</v>
      </c>
      <c r="I446" s="455">
        <v>9</v>
      </c>
      <c r="J446" s="450"/>
      <c r="K446" s="450"/>
      <c r="L446" s="450"/>
      <c r="M446" s="455">
        <f t="shared" si="25"/>
        <v>9</v>
      </c>
      <c r="N446" s="456">
        <f t="shared" si="24"/>
        <v>3809</v>
      </c>
      <c r="O446" s="457" t="s">
        <v>3517</v>
      </c>
      <c r="P446" s="459" t="s">
        <v>197</v>
      </c>
      <c r="Q446" s="451"/>
      <c r="R446" s="247"/>
    </row>
    <row r="447" spans="1:18" ht="12.75" customHeight="1" x14ac:dyDescent="0.25">
      <c r="A447" s="743"/>
      <c r="B447" s="295" t="s">
        <v>3518</v>
      </c>
      <c r="C447" s="537" t="s">
        <v>3515</v>
      </c>
      <c r="D447" s="684" t="s">
        <v>1249</v>
      </c>
      <c r="E447" s="454">
        <v>150</v>
      </c>
      <c r="F447" s="454">
        <v>2000</v>
      </c>
      <c r="G447" s="455">
        <v>2.0499999999999998</v>
      </c>
      <c r="H447" s="675">
        <f t="shared" si="22"/>
        <v>4100</v>
      </c>
      <c r="I447" s="455">
        <v>9</v>
      </c>
      <c r="J447" s="450"/>
      <c r="K447" s="450"/>
      <c r="L447" s="450"/>
      <c r="M447" s="455">
        <f t="shared" si="25"/>
        <v>9</v>
      </c>
      <c r="N447" s="456">
        <f t="shared" si="24"/>
        <v>4109</v>
      </c>
      <c r="O447" s="457" t="s">
        <v>3517</v>
      </c>
      <c r="P447" s="463" t="s">
        <v>197</v>
      </c>
      <c r="Q447" s="451"/>
    </row>
    <row r="448" spans="1:18" ht="12.75" customHeight="1" x14ac:dyDescent="0.25">
      <c r="A448" s="743"/>
      <c r="B448" s="295" t="s">
        <v>3518</v>
      </c>
      <c r="C448" s="537" t="s">
        <v>3516</v>
      </c>
      <c r="D448" s="684" t="s">
        <v>1245</v>
      </c>
      <c r="E448" s="454">
        <v>480</v>
      </c>
      <c r="F448" s="454">
        <v>1000</v>
      </c>
      <c r="G448" s="455">
        <v>7.45</v>
      </c>
      <c r="H448" s="675">
        <f t="shared" si="22"/>
        <v>7450</v>
      </c>
      <c r="I448" s="455">
        <v>9</v>
      </c>
      <c r="J448" s="450"/>
      <c r="K448" s="450"/>
      <c r="L448" s="450"/>
      <c r="M448" s="455">
        <f t="shared" si="25"/>
        <v>9</v>
      </c>
      <c r="N448" s="456">
        <f t="shared" si="24"/>
        <v>7459</v>
      </c>
      <c r="O448" s="457" t="s">
        <v>3517</v>
      </c>
      <c r="P448" s="463" t="s">
        <v>197</v>
      </c>
      <c r="Q448" s="451"/>
    </row>
    <row r="449" spans="1:18" ht="12.75" customHeight="1" x14ac:dyDescent="0.25">
      <c r="A449" s="743"/>
      <c r="B449" s="295" t="s">
        <v>3518</v>
      </c>
      <c r="C449" s="537" t="s">
        <v>3516</v>
      </c>
      <c r="D449" s="684" t="s">
        <v>1245</v>
      </c>
      <c r="E449" s="454">
        <v>480</v>
      </c>
      <c r="F449" s="454">
        <v>1000</v>
      </c>
      <c r="G449" s="455">
        <v>7.65</v>
      </c>
      <c r="H449" s="675">
        <f t="shared" si="22"/>
        <v>7650</v>
      </c>
      <c r="I449" s="455">
        <v>9</v>
      </c>
      <c r="J449" s="450"/>
      <c r="K449" s="450"/>
      <c r="L449" s="450"/>
      <c r="M449" s="455">
        <f t="shared" si="25"/>
        <v>9</v>
      </c>
      <c r="N449" s="456">
        <f t="shared" si="24"/>
        <v>7659</v>
      </c>
      <c r="O449" s="457" t="s">
        <v>3517</v>
      </c>
      <c r="P449" s="463" t="s">
        <v>197</v>
      </c>
      <c r="Q449" s="451"/>
    </row>
    <row r="450" spans="1:18" ht="13.2" x14ac:dyDescent="0.25">
      <c r="A450" s="743"/>
      <c r="B450" s="295" t="s">
        <v>3520</v>
      </c>
      <c r="C450" s="537" t="s">
        <v>3521</v>
      </c>
      <c r="D450" s="684" t="s">
        <v>1249</v>
      </c>
      <c r="E450" s="454">
        <v>360</v>
      </c>
      <c r="F450" s="454">
        <v>1000</v>
      </c>
      <c r="G450" s="455">
        <v>3.5</v>
      </c>
      <c r="H450" s="675">
        <f t="shared" si="22"/>
        <v>3500</v>
      </c>
      <c r="I450" s="455">
        <v>9</v>
      </c>
      <c r="J450" s="450"/>
      <c r="K450" s="450"/>
      <c r="L450" s="450"/>
      <c r="M450" s="455">
        <f t="shared" si="25"/>
        <v>9</v>
      </c>
      <c r="N450" s="456">
        <f t="shared" si="24"/>
        <v>3509</v>
      </c>
      <c r="O450" s="465" t="s">
        <v>3523</v>
      </c>
      <c r="P450" s="459" t="s">
        <v>197</v>
      </c>
      <c r="Q450" s="451"/>
      <c r="R450" s="247"/>
    </row>
    <row r="451" spans="1:18" ht="12.75" customHeight="1" x14ac:dyDescent="0.25">
      <c r="A451" s="743"/>
      <c r="B451" s="295" t="s">
        <v>3520</v>
      </c>
      <c r="C451" s="537" t="s">
        <v>3521</v>
      </c>
      <c r="D451" s="684" t="s">
        <v>1249</v>
      </c>
      <c r="E451" s="454">
        <v>360</v>
      </c>
      <c r="F451" s="454">
        <v>1000</v>
      </c>
      <c r="G451" s="455">
        <v>3.5</v>
      </c>
      <c r="H451" s="675">
        <f t="shared" si="22"/>
        <v>3500</v>
      </c>
      <c r="I451" s="455">
        <v>9</v>
      </c>
      <c r="J451" s="450"/>
      <c r="K451" s="450"/>
      <c r="L451" s="450"/>
      <c r="M451" s="455">
        <f t="shared" si="25"/>
        <v>9</v>
      </c>
      <c r="N451" s="456">
        <f t="shared" si="24"/>
        <v>3509</v>
      </c>
      <c r="O451" s="465" t="s">
        <v>3523</v>
      </c>
      <c r="P451" s="463" t="s">
        <v>197</v>
      </c>
      <c r="Q451" s="451"/>
    </row>
    <row r="452" spans="1:18" ht="12.75" customHeight="1" x14ac:dyDescent="0.25">
      <c r="A452" s="743"/>
      <c r="B452" s="295" t="s">
        <v>3520</v>
      </c>
      <c r="C452" s="537" t="s">
        <v>3521</v>
      </c>
      <c r="D452" s="684" t="s">
        <v>1249</v>
      </c>
      <c r="E452" s="454">
        <v>360</v>
      </c>
      <c r="F452" s="454">
        <v>1000</v>
      </c>
      <c r="G452" s="455">
        <v>3.3</v>
      </c>
      <c r="H452" s="675">
        <f t="shared" si="22"/>
        <v>3300</v>
      </c>
      <c r="I452" s="455">
        <v>9</v>
      </c>
      <c r="J452" s="450"/>
      <c r="K452" s="450"/>
      <c r="L452" s="450"/>
      <c r="M452" s="455">
        <f t="shared" si="25"/>
        <v>9</v>
      </c>
      <c r="N452" s="456">
        <f t="shared" si="24"/>
        <v>3309</v>
      </c>
      <c r="O452" s="465" t="s">
        <v>3523</v>
      </c>
      <c r="P452" s="463" t="s">
        <v>197</v>
      </c>
      <c r="Q452" s="451"/>
    </row>
    <row r="453" spans="1:18" ht="12.75" customHeight="1" x14ac:dyDescent="0.25">
      <c r="A453" s="743"/>
      <c r="B453" s="295" t="s">
        <v>3520</v>
      </c>
      <c r="C453" s="537" t="s">
        <v>3521</v>
      </c>
      <c r="D453" s="684" t="s">
        <v>1249</v>
      </c>
      <c r="E453" s="454">
        <v>360</v>
      </c>
      <c r="F453" s="454">
        <v>1000</v>
      </c>
      <c r="G453" s="455">
        <v>3.4</v>
      </c>
      <c r="H453" s="675">
        <f t="shared" si="22"/>
        <v>3400</v>
      </c>
      <c r="I453" s="455">
        <v>9</v>
      </c>
      <c r="J453" s="450"/>
      <c r="K453" s="450"/>
      <c r="L453" s="450"/>
      <c r="M453" s="455">
        <f t="shared" si="25"/>
        <v>9</v>
      </c>
      <c r="N453" s="456">
        <f t="shared" si="24"/>
        <v>3409</v>
      </c>
      <c r="O453" s="465" t="s">
        <v>3523</v>
      </c>
      <c r="P453" s="463" t="s">
        <v>197</v>
      </c>
      <c r="Q453" s="451"/>
    </row>
    <row r="454" spans="1:18" ht="12.75" customHeight="1" x14ac:dyDescent="0.25">
      <c r="A454" s="743"/>
      <c r="B454" s="295" t="s">
        <v>3520</v>
      </c>
      <c r="C454" s="537" t="s">
        <v>3521</v>
      </c>
      <c r="D454" s="684" t="s">
        <v>1249</v>
      </c>
      <c r="E454" s="454">
        <v>360</v>
      </c>
      <c r="F454" s="454">
        <v>1000</v>
      </c>
      <c r="G454" s="455">
        <v>3.1</v>
      </c>
      <c r="H454" s="675">
        <f t="shared" si="22"/>
        <v>3100</v>
      </c>
      <c r="I454" s="455">
        <v>9</v>
      </c>
      <c r="J454" s="450"/>
      <c r="K454" s="450"/>
      <c r="L454" s="450"/>
      <c r="M454" s="455">
        <f t="shared" si="25"/>
        <v>9</v>
      </c>
      <c r="N454" s="456">
        <f t="shared" si="24"/>
        <v>3109</v>
      </c>
      <c r="O454" s="465" t="s">
        <v>3523</v>
      </c>
      <c r="P454" s="463" t="s">
        <v>197</v>
      </c>
      <c r="Q454" s="451"/>
    </row>
    <row r="455" spans="1:18" ht="12.75" customHeight="1" x14ac:dyDescent="0.25">
      <c r="A455" s="743"/>
      <c r="B455" s="295" t="s">
        <v>3520</v>
      </c>
      <c r="C455" s="537" t="s">
        <v>3521</v>
      </c>
      <c r="D455" s="684" t="s">
        <v>1249</v>
      </c>
      <c r="E455" s="454">
        <v>360</v>
      </c>
      <c r="F455" s="454">
        <v>1000</v>
      </c>
      <c r="G455" s="455">
        <v>3.1</v>
      </c>
      <c r="H455" s="675">
        <f t="shared" si="22"/>
        <v>3100</v>
      </c>
      <c r="I455" s="455">
        <v>9</v>
      </c>
      <c r="J455" s="450"/>
      <c r="K455" s="450"/>
      <c r="L455" s="450"/>
      <c r="M455" s="455">
        <f t="shared" si="25"/>
        <v>9</v>
      </c>
      <c r="N455" s="456">
        <f t="shared" si="24"/>
        <v>3109</v>
      </c>
      <c r="O455" s="465" t="s">
        <v>3523</v>
      </c>
      <c r="P455" s="463" t="s">
        <v>197</v>
      </c>
      <c r="Q455" s="451"/>
    </row>
    <row r="456" spans="1:18" ht="12.75" customHeight="1" x14ac:dyDescent="0.25">
      <c r="A456" s="743"/>
      <c r="B456" s="295" t="s">
        <v>3520</v>
      </c>
      <c r="C456" s="537" t="s">
        <v>3492</v>
      </c>
      <c r="D456" s="684" t="s">
        <v>1249</v>
      </c>
      <c r="E456" s="454">
        <v>140</v>
      </c>
      <c r="F456" s="454">
        <v>4000</v>
      </c>
      <c r="G456" s="455">
        <v>2.4500000000000002</v>
      </c>
      <c r="H456" s="675">
        <f t="shared" si="22"/>
        <v>9800</v>
      </c>
      <c r="I456" s="455">
        <v>18</v>
      </c>
      <c r="J456" s="450"/>
      <c r="K456" s="450"/>
      <c r="L456" s="450"/>
      <c r="M456" s="455">
        <f t="shared" si="25"/>
        <v>18</v>
      </c>
      <c r="N456" s="456">
        <f t="shared" si="24"/>
        <v>9818</v>
      </c>
      <c r="O456" s="465" t="s">
        <v>3523</v>
      </c>
      <c r="P456" s="463" t="s">
        <v>197</v>
      </c>
      <c r="Q456" s="451"/>
    </row>
    <row r="457" spans="1:18" ht="12.75" customHeight="1" x14ac:dyDescent="0.25">
      <c r="A457" s="743"/>
      <c r="B457" s="295" t="s">
        <v>3520</v>
      </c>
      <c r="C457" s="537" t="s">
        <v>3492</v>
      </c>
      <c r="D457" s="684" t="s">
        <v>1249</v>
      </c>
      <c r="E457" s="454">
        <v>145</v>
      </c>
      <c r="F457" s="454">
        <v>2000</v>
      </c>
      <c r="G457" s="455">
        <v>1.5</v>
      </c>
      <c r="H457" s="675">
        <f t="shared" si="22"/>
        <v>3000</v>
      </c>
      <c r="I457" s="455">
        <v>9</v>
      </c>
      <c r="J457" s="450"/>
      <c r="K457" s="450"/>
      <c r="L457" s="450"/>
      <c r="M457" s="455">
        <f t="shared" si="25"/>
        <v>9</v>
      </c>
      <c r="N457" s="456">
        <f t="shared" si="24"/>
        <v>3009</v>
      </c>
      <c r="O457" s="465" t="s">
        <v>3523</v>
      </c>
      <c r="P457" s="463" t="s">
        <v>197</v>
      </c>
      <c r="Q457" s="451"/>
    </row>
    <row r="458" spans="1:18" ht="12.75" customHeight="1" x14ac:dyDescent="0.25">
      <c r="A458" s="743"/>
      <c r="B458" s="295" t="s">
        <v>3520</v>
      </c>
      <c r="C458" s="537" t="s">
        <v>3516</v>
      </c>
      <c r="D458" s="684" t="s">
        <v>1245</v>
      </c>
      <c r="E458" s="454">
        <v>480</v>
      </c>
      <c r="F458" s="454">
        <v>1000</v>
      </c>
      <c r="G458" s="455">
        <v>6.95</v>
      </c>
      <c r="H458" s="675">
        <f t="shared" si="22"/>
        <v>6950</v>
      </c>
      <c r="I458" s="455">
        <v>9</v>
      </c>
      <c r="J458" s="450"/>
      <c r="K458" s="450"/>
      <c r="L458" s="450"/>
      <c r="M458" s="455">
        <f t="shared" si="25"/>
        <v>9</v>
      </c>
      <c r="N458" s="456">
        <f t="shared" si="24"/>
        <v>6959</v>
      </c>
      <c r="O458" s="465" t="s">
        <v>3523</v>
      </c>
      <c r="P458" s="463" t="s">
        <v>197</v>
      </c>
      <c r="Q458" s="451"/>
    </row>
    <row r="459" spans="1:18" ht="12.75" customHeight="1" x14ac:dyDescent="0.25">
      <c r="A459" s="743"/>
      <c r="B459" s="295" t="s">
        <v>3520</v>
      </c>
      <c r="C459" s="537" t="s">
        <v>3516</v>
      </c>
      <c r="D459" s="684" t="s">
        <v>1245</v>
      </c>
      <c r="E459" s="454">
        <v>480</v>
      </c>
      <c r="F459" s="454">
        <v>1000</v>
      </c>
      <c r="G459" s="455">
        <v>6.95</v>
      </c>
      <c r="H459" s="675">
        <f t="shared" si="22"/>
        <v>6950</v>
      </c>
      <c r="I459" s="455">
        <v>9</v>
      </c>
      <c r="J459" s="450"/>
      <c r="K459" s="450"/>
      <c r="L459" s="450"/>
      <c r="M459" s="455">
        <f t="shared" si="25"/>
        <v>9</v>
      </c>
      <c r="N459" s="456">
        <f t="shared" si="24"/>
        <v>6959</v>
      </c>
      <c r="O459" s="465" t="s">
        <v>3523</v>
      </c>
      <c r="P459" s="463" t="s">
        <v>197</v>
      </c>
      <c r="Q459" s="451"/>
    </row>
    <row r="460" spans="1:18" ht="12.75" customHeight="1" x14ac:dyDescent="0.25">
      <c r="A460" s="743"/>
      <c r="B460" s="295" t="s">
        <v>3520</v>
      </c>
      <c r="C460" s="538" t="s">
        <v>3522</v>
      </c>
      <c r="D460" s="684" t="s">
        <v>1245</v>
      </c>
      <c r="E460" s="454">
        <v>460</v>
      </c>
      <c r="F460" s="454">
        <v>1000</v>
      </c>
      <c r="G460" s="455">
        <v>5.95</v>
      </c>
      <c r="H460" s="675">
        <f t="shared" si="22"/>
        <v>5950</v>
      </c>
      <c r="I460" s="455">
        <v>9</v>
      </c>
      <c r="J460" s="450"/>
      <c r="K460" s="450"/>
      <c r="L460" s="450"/>
      <c r="M460" s="455">
        <f t="shared" si="25"/>
        <v>9</v>
      </c>
      <c r="N460" s="456">
        <f t="shared" si="24"/>
        <v>5959</v>
      </c>
      <c r="O460" s="465" t="s">
        <v>3523</v>
      </c>
      <c r="P460" s="463" t="s">
        <v>197</v>
      </c>
      <c r="Q460" s="451"/>
    </row>
    <row r="461" spans="1:18" ht="12.75" customHeight="1" x14ac:dyDescent="0.25">
      <c r="A461" s="743"/>
      <c r="B461" s="295" t="s">
        <v>3520</v>
      </c>
      <c r="C461" s="538" t="s">
        <v>3522</v>
      </c>
      <c r="D461" s="684" t="s">
        <v>1245</v>
      </c>
      <c r="E461" s="454">
        <v>460</v>
      </c>
      <c r="F461" s="454">
        <v>2000</v>
      </c>
      <c r="G461" s="455">
        <v>4</v>
      </c>
      <c r="H461" s="675">
        <f t="shared" si="22"/>
        <v>8000</v>
      </c>
      <c r="I461" s="455">
        <v>18</v>
      </c>
      <c r="J461" s="450"/>
      <c r="K461" s="450"/>
      <c r="L461" s="450"/>
      <c r="M461" s="455">
        <f t="shared" si="25"/>
        <v>18</v>
      </c>
      <c r="N461" s="456">
        <f t="shared" si="24"/>
        <v>8018</v>
      </c>
      <c r="O461" s="465" t="s">
        <v>3523</v>
      </c>
      <c r="P461" s="463" t="s">
        <v>197</v>
      </c>
      <c r="Q461" s="451"/>
    </row>
    <row r="462" spans="1:18" ht="12.75" customHeight="1" x14ac:dyDescent="0.25">
      <c r="A462" s="743"/>
      <c r="B462" s="295" t="s">
        <v>3530</v>
      </c>
      <c r="C462" s="537" t="s">
        <v>3521</v>
      </c>
      <c r="D462" s="684" t="s">
        <v>1249</v>
      </c>
      <c r="E462" s="454">
        <v>360</v>
      </c>
      <c r="F462" s="454">
        <v>1000</v>
      </c>
      <c r="G462" s="455">
        <v>2.5499999999999998</v>
      </c>
      <c r="H462" s="675">
        <f t="shared" si="22"/>
        <v>2550</v>
      </c>
      <c r="I462" s="455">
        <v>9</v>
      </c>
      <c r="J462" s="450"/>
      <c r="K462" s="450"/>
      <c r="L462" s="450"/>
      <c r="M462" s="455">
        <f t="shared" si="25"/>
        <v>9</v>
      </c>
      <c r="N462" s="456">
        <f>H462+M462</f>
        <v>2559</v>
      </c>
      <c r="O462" s="465" t="s">
        <v>1714</v>
      </c>
      <c r="P462" s="463" t="s">
        <v>197</v>
      </c>
      <c r="Q462" s="451"/>
    </row>
    <row r="463" spans="1:18" ht="12.75" customHeight="1" x14ac:dyDescent="0.25">
      <c r="A463" s="743"/>
      <c r="B463" s="295" t="s">
        <v>3530</v>
      </c>
      <c r="C463" s="537" t="s">
        <v>3521</v>
      </c>
      <c r="D463" s="684" t="s">
        <v>1249</v>
      </c>
      <c r="E463" s="454">
        <v>360</v>
      </c>
      <c r="F463" s="454">
        <v>1000</v>
      </c>
      <c r="G463" s="455">
        <v>2.35</v>
      </c>
      <c r="H463" s="675">
        <f t="shared" si="22"/>
        <v>2350</v>
      </c>
      <c r="I463" s="455">
        <v>9</v>
      </c>
      <c r="J463" s="450"/>
      <c r="K463" s="450"/>
      <c r="L463" s="450"/>
      <c r="M463" s="455">
        <f t="shared" si="25"/>
        <v>9</v>
      </c>
      <c r="N463" s="456">
        <f t="shared" ref="N463:N522" si="26">H463+M463</f>
        <v>2359</v>
      </c>
      <c r="O463" s="465" t="s">
        <v>1714</v>
      </c>
      <c r="P463" s="463" t="s">
        <v>197</v>
      </c>
      <c r="Q463" s="451"/>
    </row>
    <row r="464" spans="1:18" ht="12.75" customHeight="1" x14ac:dyDescent="0.25">
      <c r="A464" s="743"/>
      <c r="B464" s="295" t="s">
        <v>3530</v>
      </c>
      <c r="C464" s="537" t="s">
        <v>3521</v>
      </c>
      <c r="D464" s="684" t="s">
        <v>1249</v>
      </c>
      <c r="E464" s="454">
        <v>360</v>
      </c>
      <c r="F464" s="454">
        <v>1000</v>
      </c>
      <c r="G464" s="455">
        <v>2.4</v>
      </c>
      <c r="H464" s="675">
        <f t="shared" si="22"/>
        <v>2400</v>
      </c>
      <c r="I464" s="455">
        <v>9</v>
      </c>
      <c r="J464" s="450"/>
      <c r="K464" s="450"/>
      <c r="L464" s="450"/>
      <c r="M464" s="455">
        <f t="shared" si="25"/>
        <v>9</v>
      </c>
      <c r="N464" s="456">
        <f t="shared" si="26"/>
        <v>2409</v>
      </c>
      <c r="O464" s="465" t="s">
        <v>1714</v>
      </c>
      <c r="P464" s="463" t="s">
        <v>197</v>
      </c>
      <c r="Q464" s="451"/>
    </row>
    <row r="465" spans="1:18" ht="13.2" x14ac:dyDescent="0.25">
      <c r="A465" s="743"/>
      <c r="B465" s="295" t="s">
        <v>3530</v>
      </c>
      <c r="C465" s="537" t="s">
        <v>3521</v>
      </c>
      <c r="D465" s="685" t="s">
        <v>1249</v>
      </c>
      <c r="E465" s="454">
        <v>360</v>
      </c>
      <c r="F465" s="454">
        <v>1000</v>
      </c>
      <c r="G465" s="455">
        <v>2.2999999999999998</v>
      </c>
      <c r="H465" s="675">
        <f t="shared" si="22"/>
        <v>2300</v>
      </c>
      <c r="I465" s="455">
        <v>9</v>
      </c>
      <c r="J465" s="450"/>
      <c r="K465" s="450"/>
      <c r="L465" s="450"/>
      <c r="M465" s="455">
        <f t="shared" si="25"/>
        <v>9</v>
      </c>
      <c r="N465" s="456">
        <f t="shared" si="26"/>
        <v>2309</v>
      </c>
      <c r="O465" s="465" t="s">
        <v>1714</v>
      </c>
      <c r="P465" s="459" t="s">
        <v>197</v>
      </c>
      <c r="Q465" s="451"/>
      <c r="R465" s="247"/>
    </row>
    <row r="466" spans="1:18" ht="12.75" customHeight="1" x14ac:dyDescent="0.25">
      <c r="A466" s="743"/>
      <c r="B466" s="295" t="s">
        <v>3530</v>
      </c>
      <c r="C466" s="537" t="s">
        <v>3527</v>
      </c>
      <c r="D466" s="684" t="s">
        <v>1245</v>
      </c>
      <c r="E466" s="454">
        <v>370</v>
      </c>
      <c r="F466" s="454">
        <v>1000</v>
      </c>
      <c r="G466" s="455">
        <v>7.2</v>
      </c>
      <c r="H466" s="675">
        <f t="shared" si="22"/>
        <v>7200</v>
      </c>
      <c r="I466" s="455">
        <v>9</v>
      </c>
      <c r="J466" s="450"/>
      <c r="K466" s="450"/>
      <c r="L466" s="450"/>
      <c r="M466" s="455">
        <f t="shared" si="25"/>
        <v>9</v>
      </c>
      <c r="N466" s="456">
        <f t="shared" si="26"/>
        <v>7209</v>
      </c>
      <c r="O466" s="465" t="s">
        <v>1714</v>
      </c>
      <c r="P466" s="463" t="s">
        <v>197</v>
      </c>
      <c r="Q466" s="451"/>
    </row>
    <row r="467" spans="1:18" ht="12.75" customHeight="1" x14ac:dyDescent="0.25">
      <c r="A467" s="743"/>
      <c r="B467" s="295" t="s">
        <v>3530</v>
      </c>
      <c r="C467" s="537" t="s">
        <v>3528</v>
      </c>
      <c r="D467" s="684" t="s">
        <v>1245</v>
      </c>
      <c r="E467" s="454">
        <v>340</v>
      </c>
      <c r="F467" s="454">
        <v>1000</v>
      </c>
      <c r="G467" s="455">
        <v>3.8</v>
      </c>
      <c r="H467" s="675">
        <f t="shared" si="22"/>
        <v>3800</v>
      </c>
      <c r="I467" s="455">
        <v>9</v>
      </c>
      <c r="J467" s="450"/>
      <c r="K467" s="450"/>
      <c r="L467" s="450"/>
      <c r="M467" s="455">
        <f t="shared" si="25"/>
        <v>9</v>
      </c>
      <c r="N467" s="456">
        <f t="shared" si="26"/>
        <v>3809</v>
      </c>
      <c r="O467" s="465" t="s">
        <v>1714</v>
      </c>
      <c r="P467" s="463" t="s">
        <v>197</v>
      </c>
      <c r="Q467" s="451"/>
    </row>
    <row r="468" spans="1:18" ht="12.75" customHeight="1" x14ac:dyDescent="0.25">
      <c r="A468" s="743"/>
      <c r="B468" s="295" t="s">
        <v>3530</v>
      </c>
      <c r="C468" s="537" t="s">
        <v>3529</v>
      </c>
      <c r="D468" s="684" t="s">
        <v>1245</v>
      </c>
      <c r="E468" s="454">
        <v>190</v>
      </c>
      <c r="F468" s="454">
        <v>2000</v>
      </c>
      <c r="G468" s="455">
        <v>3.35</v>
      </c>
      <c r="H468" s="675">
        <f t="shared" si="22"/>
        <v>6700</v>
      </c>
      <c r="I468" s="455">
        <v>9</v>
      </c>
      <c r="J468" s="450"/>
      <c r="K468" s="450"/>
      <c r="L468" s="450"/>
      <c r="M468" s="455">
        <f t="shared" si="25"/>
        <v>9</v>
      </c>
      <c r="N468" s="456">
        <f t="shared" si="26"/>
        <v>6709</v>
      </c>
      <c r="O468" s="465" t="s">
        <v>1714</v>
      </c>
      <c r="P468" s="463" t="s">
        <v>197</v>
      </c>
      <c r="Q468" s="451"/>
    </row>
    <row r="469" spans="1:18" ht="12.75" customHeight="1" x14ac:dyDescent="0.25">
      <c r="A469" s="743"/>
      <c r="B469" s="295" t="s">
        <v>3530</v>
      </c>
      <c r="C469" s="537" t="s">
        <v>3529</v>
      </c>
      <c r="D469" s="684" t="s">
        <v>1245</v>
      </c>
      <c r="E469" s="454">
        <v>190</v>
      </c>
      <c r="F469" s="454">
        <v>2000</v>
      </c>
      <c r="G469" s="455">
        <v>3.5</v>
      </c>
      <c r="H469" s="675">
        <f t="shared" si="22"/>
        <v>7000</v>
      </c>
      <c r="I469" s="455">
        <v>9</v>
      </c>
      <c r="J469" s="450"/>
      <c r="K469" s="450"/>
      <c r="L469" s="450"/>
      <c r="M469" s="455">
        <f t="shared" si="25"/>
        <v>9</v>
      </c>
      <c r="N469" s="456">
        <f t="shared" si="26"/>
        <v>7009</v>
      </c>
      <c r="O469" s="465" t="s">
        <v>1714</v>
      </c>
      <c r="P469" s="463" t="s">
        <v>197</v>
      </c>
      <c r="Q469" s="451"/>
    </row>
    <row r="470" spans="1:18" ht="12.75" customHeight="1" x14ac:dyDescent="0.25">
      <c r="A470" s="743"/>
      <c r="B470" s="295" t="s">
        <v>3530</v>
      </c>
      <c r="C470" s="537" t="s">
        <v>3516</v>
      </c>
      <c r="D470" s="684" t="s">
        <v>1245</v>
      </c>
      <c r="E470" s="454">
        <v>480</v>
      </c>
      <c r="F470" s="454">
        <v>1000</v>
      </c>
      <c r="G470" s="455">
        <v>7</v>
      </c>
      <c r="H470" s="675">
        <f t="shared" ref="H470:H533" si="27">F470*G470</f>
        <v>7000</v>
      </c>
      <c r="I470" s="455">
        <v>9</v>
      </c>
      <c r="J470" s="457">
        <f>27.06+5</f>
        <v>32.06</v>
      </c>
      <c r="K470" s="457">
        <v>5</v>
      </c>
      <c r="L470" s="457">
        <v>47.92</v>
      </c>
      <c r="M470" s="455">
        <f t="shared" si="25"/>
        <v>93.98</v>
      </c>
      <c r="N470" s="456">
        <f t="shared" si="26"/>
        <v>7093.98</v>
      </c>
      <c r="O470" s="465" t="s">
        <v>1714</v>
      </c>
      <c r="P470" s="463" t="s">
        <v>197</v>
      </c>
      <c r="Q470" s="451"/>
    </row>
    <row r="471" spans="1:18" ht="12.75" customHeight="1" x14ac:dyDescent="0.25">
      <c r="A471" s="743"/>
      <c r="B471" s="295" t="s">
        <v>3534</v>
      </c>
      <c r="C471" s="537" t="s">
        <v>3521</v>
      </c>
      <c r="D471" s="684" t="s">
        <v>1249</v>
      </c>
      <c r="E471" s="454">
        <v>350</v>
      </c>
      <c r="F471" s="454">
        <v>1000</v>
      </c>
      <c r="G471" s="455">
        <v>3.4</v>
      </c>
      <c r="H471" s="675">
        <f t="shared" si="27"/>
        <v>3400</v>
      </c>
      <c r="I471" s="455">
        <v>9</v>
      </c>
      <c r="J471" s="450"/>
      <c r="K471" s="450"/>
      <c r="L471" s="450"/>
      <c r="M471" s="455">
        <f t="shared" si="25"/>
        <v>9</v>
      </c>
      <c r="N471" s="456">
        <f t="shared" si="26"/>
        <v>3409</v>
      </c>
      <c r="O471" s="457" t="s">
        <v>279</v>
      </c>
      <c r="P471" s="463" t="s">
        <v>197</v>
      </c>
      <c r="Q471" s="451"/>
    </row>
    <row r="472" spans="1:18" ht="12.75" customHeight="1" x14ac:dyDescent="0.25">
      <c r="A472" s="743"/>
      <c r="B472" s="295" t="s">
        <v>3534</v>
      </c>
      <c r="C472" s="537" t="s">
        <v>3521</v>
      </c>
      <c r="D472" s="684" t="s">
        <v>1249</v>
      </c>
      <c r="E472" s="454">
        <v>350</v>
      </c>
      <c r="F472" s="454">
        <v>1000</v>
      </c>
      <c r="G472" s="455">
        <v>3.15</v>
      </c>
      <c r="H472" s="675">
        <f t="shared" si="27"/>
        <v>3150</v>
      </c>
      <c r="I472" s="455">
        <v>9</v>
      </c>
      <c r="J472" s="450"/>
      <c r="K472" s="450"/>
      <c r="L472" s="450"/>
      <c r="M472" s="455">
        <f t="shared" si="25"/>
        <v>9</v>
      </c>
      <c r="N472" s="456">
        <f t="shared" si="26"/>
        <v>3159</v>
      </c>
      <c r="O472" s="457" t="s">
        <v>279</v>
      </c>
      <c r="P472" s="463" t="s">
        <v>197</v>
      </c>
      <c r="Q472" s="451"/>
    </row>
    <row r="473" spans="1:18" ht="12.75" customHeight="1" x14ac:dyDescent="0.25">
      <c r="A473" s="743"/>
      <c r="B473" s="295" t="s">
        <v>3534</v>
      </c>
      <c r="C473" s="537" t="s">
        <v>3521</v>
      </c>
      <c r="D473" s="684" t="s">
        <v>1249</v>
      </c>
      <c r="E473" s="454">
        <v>350</v>
      </c>
      <c r="F473" s="454">
        <v>1000</v>
      </c>
      <c r="G473" s="455">
        <v>3.05</v>
      </c>
      <c r="H473" s="675">
        <f t="shared" si="27"/>
        <v>3050</v>
      </c>
      <c r="I473" s="455">
        <v>9</v>
      </c>
      <c r="J473" s="450"/>
      <c r="K473" s="450"/>
      <c r="L473" s="450"/>
      <c r="M473" s="455">
        <f t="shared" si="25"/>
        <v>9</v>
      </c>
      <c r="N473" s="456">
        <f t="shared" si="26"/>
        <v>3059</v>
      </c>
      <c r="O473" s="457" t="s">
        <v>279</v>
      </c>
      <c r="P473" s="463" t="s">
        <v>197</v>
      </c>
      <c r="Q473" s="451"/>
    </row>
    <row r="474" spans="1:18" ht="12.75" customHeight="1" x14ac:dyDescent="0.25">
      <c r="A474" s="743"/>
      <c r="B474" s="295" t="s">
        <v>3534</v>
      </c>
      <c r="C474" s="538" t="s">
        <v>3529</v>
      </c>
      <c r="D474" s="684" t="s">
        <v>1245</v>
      </c>
      <c r="E474" s="454">
        <v>190</v>
      </c>
      <c r="F474" s="454">
        <v>2000</v>
      </c>
      <c r="G474" s="455">
        <v>3.05</v>
      </c>
      <c r="H474" s="675">
        <f t="shared" si="27"/>
        <v>6100</v>
      </c>
      <c r="I474" s="455">
        <v>9</v>
      </c>
      <c r="J474" s="450"/>
      <c r="K474" s="450"/>
      <c r="L474" s="450"/>
      <c r="M474" s="455">
        <f t="shared" si="25"/>
        <v>9</v>
      </c>
      <c r="N474" s="456">
        <f t="shared" si="26"/>
        <v>6109</v>
      </c>
      <c r="O474" s="457" t="s">
        <v>279</v>
      </c>
      <c r="P474" s="463" t="s">
        <v>197</v>
      </c>
      <c r="Q474" s="451"/>
    </row>
    <row r="475" spans="1:18" ht="12.75" customHeight="1" x14ac:dyDescent="0.25">
      <c r="A475" s="743"/>
      <c r="B475" s="295" t="s">
        <v>3534</v>
      </c>
      <c r="C475" s="538" t="s">
        <v>3492</v>
      </c>
      <c r="D475" s="684" t="s">
        <v>1249</v>
      </c>
      <c r="E475" s="454">
        <v>140</v>
      </c>
      <c r="F475" s="454">
        <v>2000</v>
      </c>
      <c r="G475" s="455">
        <v>2.25</v>
      </c>
      <c r="H475" s="675">
        <f t="shared" si="27"/>
        <v>4500</v>
      </c>
      <c r="I475" s="455">
        <v>9</v>
      </c>
      <c r="J475" s="450"/>
      <c r="K475" s="450"/>
      <c r="L475" s="450"/>
      <c r="M475" s="455">
        <f t="shared" si="25"/>
        <v>9</v>
      </c>
      <c r="N475" s="456">
        <f t="shared" si="26"/>
        <v>4509</v>
      </c>
      <c r="O475" s="457" t="s">
        <v>279</v>
      </c>
      <c r="P475" s="463" t="s">
        <v>197</v>
      </c>
      <c r="Q475" s="451"/>
    </row>
    <row r="476" spans="1:18" ht="12.75" customHeight="1" x14ac:dyDescent="0.25">
      <c r="A476" s="743"/>
      <c r="B476" s="295" t="s">
        <v>3534</v>
      </c>
      <c r="C476" s="538" t="s">
        <v>3492</v>
      </c>
      <c r="D476" s="684" t="s">
        <v>1249</v>
      </c>
      <c r="E476" s="454">
        <v>140</v>
      </c>
      <c r="F476" s="454">
        <v>2000</v>
      </c>
      <c r="G476" s="455">
        <v>2.2000000000000002</v>
      </c>
      <c r="H476" s="675">
        <f t="shared" si="27"/>
        <v>4400</v>
      </c>
      <c r="I476" s="455">
        <v>9</v>
      </c>
      <c r="J476" s="450"/>
      <c r="K476" s="450"/>
      <c r="L476" s="450"/>
      <c r="M476" s="455">
        <f t="shared" si="25"/>
        <v>9</v>
      </c>
      <c r="N476" s="456">
        <f t="shared" si="26"/>
        <v>4409</v>
      </c>
      <c r="O476" s="457" t="s">
        <v>279</v>
      </c>
      <c r="P476" s="463" t="s">
        <v>197</v>
      </c>
      <c r="Q476" s="451"/>
    </row>
    <row r="477" spans="1:18" ht="12.75" customHeight="1" x14ac:dyDescent="0.25">
      <c r="A477" s="743"/>
      <c r="B477" s="295" t="s">
        <v>3534</v>
      </c>
      <c r="C477" s="538" t="s">
        <v>3516</v>
      </c>
      <c r="D477" s="684" t="s">
        <v>1245</v>
      </c>
      <c r="E477" s="454">
        <v>480</v>
      </c>
      <c r="F477" s="454">
        <v>1000</v>
      </c>
      <c r="G477" s="455">
        <v>5.3</v>
      </c>
      <c r="H477" s="675">
        <f t="shared" si="27"/>
        <v>5300</v>
      </c>
      <c r="I477" s="455">
        <v>9</v>
      </c>
      <c r="J477" s="450"/>
      <c r="K477" s="450"/>
      <c r="L477" s="450"/>
      <c r="M477" s="455">
        <f t="shared" si="25"/>
        <v>9</v>
      </c>
      <c r="N477" s="456">
        <f t="shared" si="26"/>
        <v>5309</v>
      </c>
      <c r="O477" s="457" t="s">
        <v>279</v>
      </c>
      <c r="P477" s="463" t="s">
        <v>197</v>
      </c>
      <c r="Q477" s="451"/>
    </row>
    <row r="478" spans="1:18" ht="12.75" customHeight="1" x14ac:dyDescent="0.25">
      <c r="A478" s="743"/>
      <c r="B478" s="295" t="s">
        <v>3534</v>
      </c>
      <c r="C478" s="538" t="s">
        <v>3522</v>
      </c>
      <c r="D478" s="684" t="s">
        <v>1245</v>
      </c>
      <c r="E478" s="454">
        <v>480</v>
      </c>
      <c r="F478" s="454">
        <v>1000</v>
      </c>
      <c r="G478" s="455">
        <v>5.7</v>
      </c>
      <c r="H478" s="675">
        <f t="shared" si="27"/>
        <v>5700</v>
      </c>
      <c r="I478" s="455">
        <v>9</v>
      </c>
      <c r="J478" s="457">
        <f>6+23.99</f>
        <v>29.99</v>
      </c>
      <c r="K478" s="457">
        <v>5</v>
      </c>
      <c r="L478" s="457">
        <v>50.05</v>
      </c>
      <c r="M478" s="455">
        <f t="shared" si="25"/>
        <v>94.039999999999992</v>
      </c>
      <c r="N478" s="456">
        <f t="shared" si="26"/>
        <v>5794.04</v>
      </c>
      <c r="O478" s="457" t="s">
        <v>279</v>
      </c>
      <c r="P478" s="463" t="s">
        <v>197</v>
      </c>
      <c r="Q478" s="451"/>
    </row>
    <row r="479" spans="1:18" ht="12.75" customHeight="1" x14ac:dyDescent="0.25">
      <c r="B479" s="295" t="s">
        <v>3541</v>
      </c>
      <c r="C479" s="538" t="s">
        <v>3516</v>
      </c>
      <c r="D479" s="684" t="s">
        <v>1245</v>
      </c>
      <c r="E479" s="454">
        <v>480</v>
      </c>
      <c r="F479" s="454">
        <v>1000</v>
      </c>
      <c r="G479" s="455">
        <v>2.2999999999999998</v>
      </c>
      <c r="H479" s="675">
        <f t="shared" si="27"/>
        <v>2300</v>
      </c>
      <c r="I479" s="299">
        <v>9</v>
      </c>
      <c r="J479" s="450"/>
      <c r="K479" s="450"/>
      <c r="L479" s="450"/>
      <c r="M479" s="455">
        <f t="shared" si="25"/>
        <v>9</v>
      </c>
      <c r="N479" s="456">
        <f t="shared" si="26"/>
        <v>2309</v>
      </c>
      <c r="O479" s="299" t="s">
        <v>3544</v>
      </c>
      <c r="P479" s="463" t="s">
        <v>197</v>
      </c>
    </row>
    <row r="480" spans="1:18" ht="12.75" customHeight="1" x14ac:dyDescent="0.25">
      <c r="B480" s="295" t="s">
        <v>3541</v>
      </c>
      <c r="C480" s="538" t="s">
        <v>3516</v>
      </c>
      <c r="D480" s="684" t="s">
        <v>1245</v>
      </c>
      <c r="E480" s="454">
        <v>480</v>
      </c>
      <c r="F480" s="454">
        <v>1000</v>
      </c>
      <c r="G480" s="455">
        <v>2.35</v>
      </c>
      <c r="H480" s="675">
        <f t="shared" si="27"/>
        <v>2350</v>
      </c>
      <c r="I480" s="299">
        <v>9</v>
      </c>
      <c r="J480" s="450"/>
      <c r="K480" s="450"/>
      <c r="L480" s="450"/>
      <c r="M480" s="455">
        <f t="shared" si="25"/>
        <v>9</v>
      </c>
      <c r="N480" s="456">
        <f t="shared" si="26"/>
        <v>2359</v>
      </c>
      <c r="O480" s="299" t="s">
        <v>3544</v>
      </c>
      <c r="P480" s="463" t="s">
        <v>197</v>
      </c>
    </row>
    <row r="481" spans="2:16" ht="12.75" customHeight="1" x14ac:dyDescent="0.25">
      <c r="B481" s="295" t="s">
        <v>3541</v>
      </c>
      <c r="C481" s="538" t="s">
        <v>3516</v>
      </c>
      <c r="D481" s="684" t="s">
        <v>1245</v>
      </c>
      <c r="E481" s="454">
        <v>480</v>
      </c>
      <c r="F481" s="454">
        <v>1000</v>
      </c>
      <c r="G481" s="455">
        <v>1.8</v>
      </c>
      <c r="H481" s="675">
        <f t="shared" si="27"/>
        <v>1800</v>
      </c>
      <c r="I481" s="299">
        <v>9</v>
      </c>
      <c r="J481" s="450"/>
      <c r="K481" s="450"/>
      <c r="L481" s="450"/>
      <c r="M481" s="455">
        <f t="shared" si="25"/>
        <v>9</v>
      </c>
      <c r="N481" s="456">
        <f t="shared" si="26"/>
        <v>1809</v>
      </c>
      <c r="O481" s="299" t="s">
        <v>3544</v>
      </c>
      <c r="P481" s="463" t="s">
        <v>197</v>
      </c>
    </row>
    <row r="482" spans="2:16" ht="12.75" customHeight="1" x14ac:dyDescent="0.25">
      <c r="B482" s="295" t="s">
        <v>3541</v>
      </c>
      <c r="C482" s="538" t="s">
        <v>3522</v>
      </c>
      <c r="D482" s="684" t="s">
        <v>1245</v>
      </c>
      <c r="E482" s="454">
        <v>480</v>
      </c>
      <c r="F482" s="454">
        <v>2000</v>
      </c>
      <c r="G482" s="455">
        <v>2.4</v>
      </c>
      <c r="H482" s="675">
        <f t="shared" si="27"/>
        <v>4800</v>
      </c>
      <c r="I482" s="299">
        <v>18</v>
      </c>
      <c r="J482" s="299">
        <v>6.53</v>
      </c>
      <c r="K482" s="299">
        <v>1</v>
      </c>
      <c r="L482" s="299">
        <v>7.88</v>
      </c>
      <c r="M482" s="455">
        <f t="shared" si="25"/>
        <v>33.410000000000004</v>
      </c>
      <c r="N482" s="456">
        <f t="shared" si="26"/>
        <v>4833.41</v>
      </c>
      <c r="O482" s="299" t="s">
        <v>3544</v>
      </c>
      <c r="P482" s="463" t="s">
        <v>197</v>
      </c>
    </row>
    <row r="483" spans="2:16" ht="12.75" customHeight="1" x14ac:dyDescent="0.25">
      <c r="B483" s="295" t="s">
        <v>3546</v>
      </c>
      <c r="C483" s="538" t="s">
        <v>3516</v>
      </c>
      <c r="D483" s="684" t="s">
        <v>1245</v>
      </c>
      <c r="E483" s="454">
        <v>480</v>
      </c>
      <c r="F483" s="454">
        <v>1000</v>
      </c>
      <c r="G483" s="455">
        <v>1.1000000000000001</v>
      </c>
      <c r="H483" s="675">
        <f t="shared" si="27"/>
        <v>1100</v>
      </c>
      <c r="I483" s="299">
        <v>9</v>
      </c>
      <c r="J483" s="450"/>
      <c r="K483" s="450"/>
      <c r="L483" s="450"/>
      <c r="M483" s="455">
        <f t="shared" si="25"/>
        <v>9</v>
      </c>
      <c r="N483" s="456">
        <f t="shared" si="26"/>
        <v>1109</v>
      </c>
      <c r="O483" s="299" t="s">
        <v>3545</v>
      </c>
      <c r="P483" s="249" t="s">
        <v>197</v>
      </c>
    </row>
    <row r="484" spans="2:16" ht="12.75" customHeight="1" x14ac:dyDescent="0.25">
      <c r="B484" s="295" t="s">
        <v>3546</v>
      </c>
      <c r="C484" s="538" t="s">
        <v>3516</v>
      </c>
      <c r="D484" s="684" t="s">
        <v>1245</v>
      </c>
      <c r="E484" s="454">
        <v>480</v>
      </c>
      <c r="F484" s="454">
        <v>1000</v>
      </c>
      <c r="G484" s="455">
        <v>1.1000000000000001</v>
      </c>
      <c r="H484" s="675">
        <f t="shared" si="27"/>
        <v>1100</v>
      </c>
      <c r="I484" s="299">
        <v>9</v>
      </c>
      <c r="J484" s="450"/>
      <c r="K484" s="450"/>
      <c r="L484" s="450"/>
      <c r="M484" s="455">
        <f t="shared" si="25"/>
        <v>9</v>
      </c>
      <c r="N484" s="456">
        <f t="shared" si="26"/>
        <v>1109</v>
      </c>
      <c r="O484" s="299" t="s">
        <v>3545</v>
      </c>
      <c r="P484" s="249" t="s">
        <v>197</v>
      </c>
    </row>
    <row r="485" spans="2:16" ht="12.75" customHeight="1" x14ac:dyDescent="0.25">
      <c r="B485" s="295" t="s">
        <v>3546</v>
      </c>
      <c r="C485" s="538" t="s">
        <v>3516</v>
      </c>
      <c r="D485" s="684" t="s">
        <v>1245</v>
      </c>
      <c r="E485" s="454">
        <v>480</v>
      </c>
      <c r="F485" s="454">
        <v>3000</v>
      </c>
      <c r="G485" s="455">
        <v>0.6</v>
      </c>
      <c r="H485" s="675">
        <f t="shared" si="27"/>
        <v>1800</v>
      </c>
      <c r="I485" s="299">
        <v>27</v>
      </c>
      <c r="J485" s="450"/>
      <c r="K485" s="450"/>
      <c r="L485" s="450"/>
      <c r="M485" s="455">
        <f t="shared" si="25"/>
        <v>27</v>
      </c>
      <c r="N485" s="456">
        <f t="shared" si="26"/>
        <v>1827</v>
      </c>
      <c r="O485" s="299" t="s">
        <v>3545</v>
      </c>
      <c r="P485" s="249" t="s">
        <v>197</v>
      </c>
    </row>
    <row r="486" spans="2:16" ht="12.75" customHeight="1" x14ac:dyDescent="0.25">
      <c r="B486" s="295" t="s">
        <v>3546</v>
      </c>
      <c r="C486" s="538" t="s">
        <v>3522</v>
      </c>
      <c r="D486" s="684" t="s">
        <v>1245</v>
      </c>
      <c r="E486" s="454">
        <v>480</v>
      </c>
      <c r="F486" s="454">
        <v>1000</v>
      </c>
      <c r="G486" s="455">
        <v>1.8</v>
      </c>
      <c r="H486" s="675">
        <f t="shared" si="27"/>
        <v>1800</v>
      </c>
      <c r="I486" s="299">
        <v>9</v>
      </c>
      <c r="J486" s="299">
        <v>7.17</v>
      </c>
      <c r="K486" s="299">
        <v>1</v>
      </c>
      <c r="L486" s="299">
        <v>4.0599999999999996</v>
      </c>
      <c r="M486" s="455">
        <f t="shared" si="25"/>
        <v>21.23</v>
      </c>
      <c r="N486" s="456">
        <f t="shared" si="26"/>
        <v>1821.23</v>
      </c>
      <c r="O486" s="299" t="s">
        <v>3545</v>
      </c>
      <c r="P486" s="249" t="s">
        <v>197</v>
      </c>
    </row>
    <row r="487" spans="2:16" ht="12.75" customHeight="1" x14ac:dyDescent="0.25">
      <c r="B487" s="295" t="s">
        <v>3549</v>
      </c>
      <c r="C487" s="536" t="s">
        <v>3516</v>
      </c>
      <c r="D487" s="686" t="s">
        <v>1245</v>
      </c>
      <c r="E487" s="454">
        <v>480</v>
      </c>
      <c r="F487" s="454">
        <v>1000</v>
      </c>
      <c r="G487" s="455">
        <v>0.45</v>
      </c>
      <c r="H487" s="675">
        <f t="shared" si="27"/>
        <v>450</v>
      </c>
      <c r="I487" s="299">
        <v>9</v>
      </c>
      <c r="J487" s="299">
        <v>1.1499999999999999</v>
      </c>
      <c r="K487" s="299">
        <v>1</v>
      </c>
      <c r="L487" s="299">
        <v>0.32</v>
      </c>
      <c r="M487" s="455">
        <f t="shared" si="25"/>
        <v>11.47</v>
      </c>
      <c r="N487" s="456">
        <f t="shared" si="26"/>
        <v>461.47</v>
      </c>
      <c r="O487" s="299" t="s">
        <v>3552</v>
      </c>
      <c r="P487" s="249" t="s">
        <v>197</v>
      </c>
    </row>
    <row r="488" spans="2:16" ht="12.75" customHeight="1" x14ac:dyDescent="0.25">
      <c r="B488" s="295" t="s">
        <v>3556</v>
      </c>
      <c r="C488" s="536" t="s">
        <v>3529</v>
      </c>
      <c r="D488" s="686" t="s">
        <v>1245</v>
      </c>
      <c r="E488" s="454">
        <v>190</v>
      </c>
      <c r="F488" s="454">
        <v>2000</v>
      </c>
      <c r="G488" s="455">
        <v>0.65</v>
      </c>
      <c r="H488" s="675">
        <f t="shared" si="27"/>
        <v>1300</v>
      </c>
      <c r="I488" s="299">
        <v>9</v>
      </c>
      <c r="J488" s="450"/>
      <c r="K488" s="450"/>
      <c r="L488" s="450"/>
      <c r="M488" s="455">
        <f t="shared" si="25"/>
        <v>9</v>
      </c>
      <c r="N488" s="456">
        <f t="shared" si="26"/>
        <v>1309</v>
      </c>
      <c r="O488" s="299" t="s">
        <v>3558</v>
      </c>
      <c r="P488" s="249" t="s">
        <v>197</v>
      </c>
    </row>
    <row r="489" spans="2:16" ht="12.75" customHeight="1" x14ac:dyDescent="0.25">
      <c r="B489" s="295" t="s">
        <v>3556</v>
      </c>
      <c r="C489" s="536" t="s">
        <v>3516</v>
      </c>
      <c r="D489" s="686" t="s">
        <v>1245</v>
      </c>
      <c r="E489" s="454">
        <v>480</v>
      </c>
      <c r="F489" s="454">
        <v>1000</v>
      </c>
      <c r="G489" s="455">
        <v>0.4</v>
      </c>
      <c r="H489" s="675">
        <f t="shared" si="27"/>
        <v>400</v>
      </c>
      <c r="I489" s="299">
        <v>9</v>
      </c>
      <c r="J489" s="299">
        <v>2.37</v>
      </c>
      <c r="K489" s="299">
        <v>1</v>
      </c>
      <c r="L489" s="299">
        <v>1.19</v>
      </c>
      <c r="M489" s="455">
        <f t="shared" si="25"/>
        <v>13.56</v>
      </c>
      <c r="N489" s="456">
        <f t="shared" si="26"/>
        <v>413.56</v>
      </c>
      <c r="O489" s="299" t="s">
        <v>3558</v>
      </c>
      <c r="P489" s="249" t="s">
        <v>197</v>
      </c>
    </row>
    <row r="490" spans="2:16" ht="12.75" customHeight="1" x14ac:dyDescent="0.25">
      <c r="B490" s="295" t="s">
        <v>3559</v>
      </c>
      <c r="C490" s="536" t="s">
        <v>3563</v>
      </c>
      <c r="D490" s="686" t="s">
        <v>1245</v>
      </c>
      <c r="E490" s="454">
        <v>260</v>
      </c>
      <c r="F490" s="454">
        <v>2000</v>
      </c>
      <c r="G490" s="455">
        <v>3.3</v>
      </c>
      <c r="H490" s="675">
        <f t="shared" si="27"/>
        <v>6600</v>
      </c>
      <c r="I490" s="299">
        <v>9</v>
      </c>
      <c r="J490" s="299">
        <v>1.68</v>
      </c>
      <c r="K490" s="299">
        <v>1</v>
      </c>
      <c r="L490" s="299">
        <v>4.62</v>
      </c>
      <c r="M490" s="299">
        <f t="shared" si="25"/>
        <v>16.3</v>
      </c>
      <c r="N490" s="456">
        <f t="shared" si="26"/>
        <v>6616.3</v>
      </c>
      <c r="O490" s="299" t="s">
        <v>1037</v>
      </c>
      <c r="P490" s="249" t="s">
        <v>197</v>
      </c>
    </row>
    <row r="491" spans="2:16" ht="12.75" customHeight="1" x14ac:dyDescent="0.25">
      <c r="B491" s="295" t="s">
        <v>3561</v>
      </c>
      <c r="C491" s="536" t="s">
        <v>3564</v>
      </c>
      <c r="D491" s="686" t="s">
        <v>1245</v>
      </c>
      <c r="E491" s="454">
        <v>180</v>
      </c>
      <c r="F491" s="454">
        <v>2000</v>
      </c>
      <c r="G491" s="455">
        <v>3.6</v>
      </c>
      <c r="H491" s="675">
        <f t="shared" si="27"/>
        <v>7200</v>
      </c>
      <c r="I491" s="299">
        <v>9</v>
      </c>
      <c r="J491" s="450"/>
      <c r="K491" s="450"/>
      <c r="L491" s="450"/>
      <c r="M491" s="299">
        <f t="shared" si="25"/>
        <v>9</v>
      </c>
      <c r="N491" s="456">
        <f t="shared" si="26"/>
        <v>7209</v>
      </c>
      <c r="O491" s="299" t="s">
        <v>2482</v>
      </c>
      <c r="P491" s="249" t="s">
        <v>197</v>
      </c>
    </row>
    <row r="492" spans="2:16" ht="12.75" customHeight="1" x14ac:dyDescent="0.25">
      <c r="B492" s="295" t="s">
        <v>3561</v>
      </c>
      <c r="C492" s="536" t="s">
        <v>3564</v>
      </c>
      <c r="D492" s="686" t="s">
        <v>1245</v>
      </c>
      <c r="E492" s="454">
        <v>180</v>
      </c>
      <c r="F492" s="454">
        <v>2000</v>
      </c>
      <c r="G492" s="455">
        <v>3.6</v>
      </c>
      <c r="H492" s="675">
        <f t="shared" si="27"/>
        <v>7200</v>
      </c>
      <c r="I492" s="299">
        <v>9</v>
      </c>
      <c r="J492" s="299">
        <v>3.47</v>
      </c>
      <c r="K492" s="299">
        <v>1</v>
      </c>
      <c r="L492" s="299">
        <v>10.08</v>
      </c>
      <c r="M492" s="299">
        <f t="shared" si="25"/>
        <v>23.55</v>
      </c>
      <c r="N492" s="456">
        <f t="shared" si="26"/>
        <v>7223.55</v>
      </c>
      <c r="O492" s="299" t="s">
        <v>2482</v>
      </c>
      <c r="P492" s="249" t="s">
        <v>197</v>
      </c>
    </row>
    <row r="493" spans="2:16" ht="12.75" customHeight="1" x14ac:dyDescent="0.25">
      <c r="B493" s="295" t="s">
        <v>3568</v>
      </c>
      <c r="C493" s="536" t="s">
        <v>3565</v>
      </c>
      <c r="D493" s="686" t="s">
        <v>1245</v>
      </c>
      <c r="E493" s="454">
        <v>170</v>
      </c>
      <c r="F493" s="454">
        <v>2000</v>
      </c>
      <c r="G493" s="455">
        <v>2</v>
      </c>
      <c r="H493" s="675">
        <f t="shared" si="27"/>
        <v>4000</v>
      </c>
      <c r="I493" s="299">
        <v>9</v>
      </c>
      <c r="J493" s="450"/>
      <c r="K493" s="450"/>
      <c r="L493" s="450"/>
      <c r="M493" s="299">
        <f t="shared" si="25"/>
        <v>9</v>
      </c>
      <c r="N493" s="456">
        <f t="shared" si="26"/>
        <v>4009</v>
      </c>
      <c r="O493" s="299" t="s">
        <v>2484</v>
      </c>
      <c r="P493" s="249" t="s">
        <v>197</v>
      </c>
    </row>
    <row r="494" spans="2:16" ht="12.75" customHeight="1" x14ac:dyDescent="0.25">
      <c r="B494" s="295" t="s">
        <v>3568</v>
      </c>
      <c r="C494" s="536" t="s">
        <v>3565</v>
      </c>
      <c r="D494" s="686" t="s">
        <v>1245</v>
      </c>
      <c r="E494" s="454">
        <v>170</v>
      </c>
      <c r="F494" s="454">
        <v>2000</v>
      </c>
      <c r="G494" s="455">
        <v>2.5</v>
      </c>
      <c r="H494" s="675">
        <f t="shared" si="27"/>
        <v>5000</v>
      </c>
      <c r="I494" s="299">
        <v>9</v>
      </c>
      <c r="J494" s="450"/>
      <c r="K494" s="450"/>
      <c r="L494" s="450"/>
      <c r="M494" s="299">
        <f t="shared" si="25"/>
        <v>9</v>
      </c>
      <c r="N494" s="456">
        <f t="shared" si="26"/>
        <v>5009</v>
      </c>
      <c r="O494" s="299" t="s">
        <v>2484</v>
      </c>
      <c r="P494" s="249" t="s">
        <v>197</v>
      </c>
    </row>
    <row r="495" spans="2:16" ht="12.75" customHeight="1" x14ac:dyDescent="0.25">
      <c r="B495" s="295" t="s">
        <v>3568</v>
      </c>
      <c r="C495" s="536" t="s">
        <v>3566</v>
      </c>
      <c r="D495" s="686" t="s">
        <v>1245</v>
      </c>
      <c r="E495" s="454">
        <v>1400</v>
      </c>
      <c r="F495" s="454">
        <v>500</v>
      </c>
      <c r="G495" s="455">
        <v>17</v>
      </c>
      <c r="H495" s="675">
        <f t="shared" si="27"/>
        <v>8500</v>
      </c>
      <c r="I495" s="299">
        <v>18</v>
      </c>
      <c r="J495" s="450"/>
      <c r="K495" s="450"/>
      <c r="L495" s="450"/>
      <c r="M495" s="299">
        <f t="shared" si="25"/>
        <v>18</v>
      </c>
      <c r="N495" s="456">
        <f t="shared" si="26"/>
        <v>8518</v>
      </c>
      <c r="O495" s="299" t="s">
        <v>2484</v>
      </c>
      <c r="P495" s="249" t="s">
        <v>197</v>
      </c>
    </row>
    <row r="496" spans="2:16" ht="12.75" customHeight="1" x14ac:dyDescent="0.25">
      <c r="B496" s="295" t="s">
        <v>3568</v>
      </c>
      <c r="C496" s="536" t="s">
        <v>3563</v>
      </c>
      <c r="D496" s="686" t="s">
        <v>1245</v>
      </c>
      <c r="E496" s="454">
        <v>260</v>
      </c>
      <c r="F496" s="454">
        <v>2000</v>
      </c>
      <c r="G496" s="455">
        <v>2.9</v>
      </c>
      <c r="H496" s="675">
        <f t="shared" si="27"/>
        <v>5800</v>
      </c>
      <c r="I496" s="299">
        <v>9</v>
      </c>
      <c r="J496" s="450"/>
      <c r="K496" s="450"/>
      <c r="L496" s="450"/>
      <c r="M496" s="299">
        <f t="shared" si="25"/>
        <v>9</v>
      </c>
      <c r="N496" s="456">
        <f t="shared" si="26"/>
        <v>5809</v>
      </c>
      <c r="O496" s="299" t="s">
        <v>2484</v>
      </c>
      <c r="P496" s="249" t="s">
        <v>197</v>
      </c>
    </row>
    <row r="497" spans="2:16" ht="12.75" customHeight="1" x14ac:dyDescent="0.25">
      <c r="B497" s="295" t="s">
        <v>3568</v>
      </c>
      <c r="C497" s="536" t="s">
        <v>3567</v>
      </c>
      <c r="D497" s="686" t="s">
        <v>1245</v>
      </c>
      <c r="E497" s="454">
        <v>500</v>
      </c>
      <c r="F497" s="454">
        <v>1000</v>
      </c>
      <c r="G497" s="455">
        <v>3.2</v>
      </c>
      <c r="H497" s="675">
        <f t="shared" si="27"/>
        <v>3200</v>
      </c>
      <c r="I497" s="299">
        <v>9</v>
      </c>
      <c r="J497" s="450"/>
      <c r="K497" s="450"/>
      <c r="L497" s="450"/>
      <c r="M497" s="299">
        <f t="shared" si="25"/>
        <v>9</v>
      </c>
      <c r="N497" s="456">
        <f t="shared" si="26"/>
        <v>3209</v>
      </c>
      <c r="O497" s="299" t="s">
        <v>2484</v>
      </c>
      <c r="P497" s="249" t="s">
        <v>197</v>
      </c>
    </row>
    <row r="498" spans="2:16" ht="12.75" customHeight="1" x14ac:dyDescent="0.25">
      <c r="B498" s="295" t="s">
        <v>3568</v>
      </c>
      <c r="C498" s="536" t="s">
        <v>3567</v>
      </c>
      <c r="D498" s="686" t="s">
        <v>1245</v>
      </c>
      <c r="E498" s="454">
        <v>500</v>
      </c>
      <c r="F498" s="454">
        <v>1000</v>
      </c>
      <c r="G498" s="455">
        <v>3.2</v>
      </c>
      <c r="H498" s="675">
        <f t="shared" si="27"/>
        <v>3200</v>
      </c>
      <c r="I498" s="299">
        <v>9</v>
      </c>
      <c r="J498" s="450"/>
      <c r="K498" s="450"/>
      <c r="L498" s="450"/>
      <c r="M498" s="299">
        <f t="shared" si="25"/>
        <v>9</v>
      </c>
      <c r="N498" s="456">
        <f t="shared" si="26"/>
        <v>3209</v>
      </c>
      <c r="O498" s="299" t="s">
        <v>2484</v>
      </c>
      <c r="P498" s="249" t="s">
        <v>197</v>
      </c>
    </row>
    <row r="499" spans="2:16" ht="12.75" customHeight="1" x14ac:dyDescent="0.25">
      <c r="B499" s="295" t="s">
        <v>3568</v>
      </c>
      <c r="C499" s="536" t="s">
        <v>3567</v>
      </c>
      <c r="D499" s="686" t="s">
        <v>1245</v>
      </c>
      <c r="E499" s="454">
        <v>500</v>
      </c>
      <c r="F499" s="454">
        <v>1000</v>
      </c>
      <c r="G499" s="455">
        <v>3</v>
      </c>
      <c r="H499" s="675">
        <f t="shared" si="27"/>
        <v>3000</v>
      </c>
      <c r="I499" s="299">
        <v>9</v>
      </c>
      <c r="J499" s="299">
        <v>11.73</v>
      </c>
      <c r="K499" s="299">
        <v>2</v>
      </c>
      <c r="L499" s="299">
        <v>22.89</v>
      </c>
      <c r="M499" s="299">
        <f t="shared" si="25"/>
        <v>45.620000000000005</v>
      </c>
      <c r="N499" s="456">
        <f t="shared" si="26"/>
        <v>3045.62</v>
      </c>
      <c r="O499" s="299" t="s">
        <v>2484</v>
      </c>
      <c r="P499" s="249" t="s">
        <v>197</v>
      </c>
    </row>
    <row r="500" spans="2:16" ht="12.75" customHeight="1" x14ac:dyDescent="0.25">
      <c r="B500" s="295" t="s">
        <v>3590</v>
      </c>
      <c r="C500" s="536" t="s">
        <v>3566</v>
      </c>
      <c r="D500" s="686" t="s">
        <v>1245</v>
      </c>
      <c r="E500" s="454">
        <v>1400</v>
      </c>
      <c r="F500" s="454">
        <v>500</v>
      </c>
      <c r="G500" s="455">
        <v>13.6</v>
      </c>
      <c r="H500" s="675">
        <f t="shared" si="27"/>
        <v>6800</v>
      </c>
      <c r="I500" s="299">
        <v>18</v>
      </c>
      <c r="J500" s="299">
        <v>2.81</v>
      </c>
      <c r="K500" s="299">
        <v>1</v>
      </c>
      <c r="L500" s="299">
        <v>4.76</v>
      </c>
      <c r="M500" s="299">
        <f t="shared" si="25"/>
        <v>26.57</v>
      </c>
      <c r="N500" s="456">
        <f t="shared" si="26"/>
        <v>6826.57</v>
      </c>
      <c r="O500" s="299" t="s">
        <v>3591</v>
      </c>
      <c r="P500" s="249" t="s">
        <v>197</v>
      </c>
    </row>
    <row r="501" spans="2:16" ht="12.75" customHeight="1" x14ac:dyDescent="0.25">
      <c r="B501" s="295" t="s">
        <v>3592</v>
      </c>
      <c r="C501" s="536" t="s">
        <v>3567</v>
      </c>
      <c r="D501" s="686" t="s">
        <v>1245</v>
      </c>
      <c r="E501" s="454">
        <v>500</v>
      </c>
      <c r="F501" s="454">
        <v>2000</v>
      </c>
      <c r="G501" s="455">
        <v>3.45</v>
      </c>
      <c r="H501" s="675">
        <f t="shared" si="27"/>
        <v>6900</v>
      </c>
      <c r="I501" s="299">
        <v>18</v>
      </c>
      <c r="J501" s="450"/>
      <c r="K501" s="450"/>
      <c r="L501" s="450"/>
      <c r="M501" s="299">
        <f t="shared" ref="M501:M522" si="28">SUM(I501:L501)</f>
        <v>18</v>
      </c>
      <c r="N501" s="456">
        <f t="shared" si="26"/>
        <v>6918</v>
      </c>
      <c r="O501" s="299" t="s">
        <v>32</v>
      </c>
      <c r="P501" s="249" t="s">
        <v>197</v>
      </c>
    </row>
    <row r="502" spans="2:16" ht="12.75" customHeight="1" x14ac:dyDescent="0.25">
      <c r="B502" s="295" t="s">
        <v>3594</v>
      </c>
      <c r="C502" s="536" t="s">
        <v>3563</v>
      </c>
      <c r="D502" s="686" t="s">
        <v>1245</v>
      </c>
      <c r="E502" s="454">
        <v>260</v>
      </c>
      <c r="F502" s="454">
        <v>2000</v>
      </c>
      <c r="G502" s="455">
        <v>0.95</v>
      </c>
      <c r="H502" s="675">
        <f t="shared" si="27"/>
        <v>1900</v>
      </c>
      <c r="I502" s="299">
        <v>9</v>
      </c>
      <c r="J502" s="450"/>
      <c r="K502" s="450"/>
      <c r="L502" s="450"/>
      <c r="M502" s="299">
        <f t="shared" si="28"/>
        <v>9</v>
      </c>
      <c r="N502" s="456">
        <f t="shared" si="26"/>
        <v>1909</v>
      </c>
      <c r="O502" s="299" t="s">
        <v>3599</v>
      </c>
      <c r="P502" s="249" t="s">
        <v>197</v>
      </c>
    </row>
    <row r="503" spans="2:16" ht="12.75" customHeight="1" x14ac:dyDescent="0.25">
      <c r="B503" s="295" t="s">
        <v>3594</v>
      </c>
      <c r="C503" s="536" t="s">
        <v>3563</v>
      </c>
      <c r="D503" s="686" t="s">
        <v>1245</v>
      </c>
      <c r="E503" s="454">
        <v>260</v>
      </c>
      <c r="F503" s="454">
        <v>2000</v>
      </c>
      <c r="G503" s="455">
        <v>0.95</v>
      </c>
      <c r="H503" s="675">
        <f t="shared" si="27"/>
        <v>1900</v>
      </c>
      <c r="I503" s="299">
        <v>9</v>
      </c>
      <c r="J503" s="450"/>
      <c r="K503" s="450"/>
      <c r="L503" s="450"/>
      <c r="M503" s="299">
        <f t="shared" si="28"/>
        <v>9</v>
      </c>
      <c r="N503" s="456">
        <f t="shared" si="26"/>
        <v>1909</v>
      </c>
      <c r="O503" s="299" t="s">
        <v>3599</v>
      </c>
      <c r="P503" s="249" t="s">
        <v>197</v>
      </c>
    </row>
    <row r="504" spans="2:16" ht="12.75" customHeight="1" x14ac:dyDescent="0.25">
      <c r="B504" s="295" t="s">
        <v>3594</v>
      </c>
      <c r="C504" s="536" t="s">
        <v>3563</v>
      </c>
      <c r="D504" s="686" t="s">
        <v>1245</v>
      </c>
      <c r="E504" s="454">
        <v>260</v>
      </c>
      <c r="F504" s="454">
        <v>2000</v>
      </c>
      <c r="G504" s="455">
        <v>0.95</v>
      </c>
      <c r="H504" s="675">
        <f t="shared" si="27"/>
        <v>1900</v>
      </c>
      <c r="I504" s="299">
        <v>9</v>
      </c>
      <c r="J504" s="299">
        <v>3.83</v>
      </c>
      <c r="K504" s="299">
        <v>1</v>
      </c>
      <c r="L504" s="299">
        <v>3.99</v>
      </c>
      <c r="M504" s="299">
        <f t="shared" si="28"/>
        <v>17.82</v>
      </c>
      <c r="N504" s="456">
        <f t="shared" si="26"/>
        <v>1917.82</v>
      </c>
      <c r="O504" s="299" t="s">
        <v>3599</v>
      </c>
      <c r="P504" s="249" t="s">
        <v>197</v>
      </c>
    </row>
    <row r="505" spans="2:16" ht="12.75" customHeight="1" x14ac:dyDescent="0.25">
      <c r="B505" s="295" t="s">
        <v>3601</v>
      </c>
      <c r="C505" s="536" t="s">
        <v>3564</v>
      </c>
      <c r="D505" s="686" t="s">
        <v>1245</v>
      </c>
      <c r="E505" s="454">
        <v>180</v>
      </c>
      <c r="F505" s="454">
        <v>4000</v>
      </c>
      <c r="G505" s="455">
        <v>1.5</v>
      </c>
      <c r="H505" s="675">
        <f t="shared" si="27"/>
        <v>6000</v>
      </c>
      <c r="I505" s="299">
        <v>18</v>
      </c>
      <c r="J505" s="299">
        <v>2.74</v>
      </c>
      <c r="K505" s="299">
        <v>1</v>
      </c>
      <c r="L505" s="299">
        <v>4.2</v>
      </c>
      <c r="M505" s="299">
        <f t="shared" si="28"/>
        <v>25.94</v>
      </c>
      <c r="N505" s="456">
        <f t="shared" si="26"/>
        <v>6025.94</v>
      </c>
      <c r="O505" s="299" t="s">
        <v>1437</v>
      </c>
      <c r="P505" s="249" t="s">
        <v>197</v>
      </c>
    </row>
    <row r="506" spans="2:16" ht="12.75" customHeight="1" x14ac:dyDescent="0.25">
      <c r="B506" s="295" t="s">
        <v>3610</v>
      </c>
      <c r="C506" s="536" t="s">
        <v>3608</v>
      </c>
      <c r="D506" s="686" t="s">
        <v>1245</v>
      </c>
      <c r="E506" s="454">
        <v>7950</v>
      </c>
      <c r="F506" s="454">
        <v>200</v>
      </c>
      <c r="G506" s="455">
        <v>13.2</v>
      </c>
      <c r="H506" s="675">
        <f t="shared" si="27"/>
        <v>2640</v>
      </c>
      <c r="I506" s="299">
        <v>36</v>
      </c>
      <c r="J506" s="450"/>
      <c r="K506" s="450"/>
      <c r="L506" s="450"/>
      <c r="M506" s="299">
        <f t="shared" si="28"/>
        <v>36</v>
      </c>
      <c r="N506" s="456">
        <f t="shared" si="26"/>
        <v>2676</v>
      </c>
      <c r="O506" s="299" t="s">
        <v>3609</v>
      </c>
      <c r="P506" s="249" t="s">
        <v>197</v>
      </c>
    </row>
    <row r="507" spans="2:16" ht="12.75" customHeight="1" x14ac:dyDescent="0.25">
      <c r="B507" s="295" t="s">
        <v>3614</v>
      </c>
      <c r="C507" s="536" t="s">
        <v>3611</v>
      </c>
      <c r="D507" s="686" t="s">
        <v>1249</v>
      </c>
      <c r="E507" s="454">
        <v>22.5</v>
      </c>
      <c r="F507" s="454">
        <v>12000</v>
      </c>
      <c r="G507" s="455">
        <v>0.5</v>
      </c>
      <c r="H507" s="675">
        <f t="shared" si="27"/>
        <v>6000</v>
      </c>
      <c r="I507" s="299">
        <v>9</v>
      </c>
      <c r="J507" s="450"/>
      <c r="K507" s="450"/>
      <c r="L507" s="450"/>
      <c r="M507" s="299">
        <f t="shared" si="28"/>
        <v>9</v>
      </c>
      <c r="N507" s="456">
        <f t="shared" si="26"/>
        <v>6009</v>
      </c>
      <c r="O507" s="299" t="s">
        <v>3615</v>
      </c>
      <c r="P507" s="249" t="s">
        <v>197</v>
      </c>
    </row>
    <row r="508" spans="2:16" ht="12.75" customHeight="1" x14ac:dyDescent="0.25">
      <c r="B508" s="295" t="s">
        <v>3614</v>
      </c>
      <c r="C508" s="536" t="s">
        <v>3612</v>
      </c>
      <c r="D508" s="686" t="s">
        <v>1249</v>
      </c>
      <c r="E508" s="454">
        <v>560</v>
      </c>
      <c r="F508" s="454">
        <v>1000</v>
      </c>
      <c r="G508" s="455">
        <v>4.7</v>
      </c>
      <c r="H508" s="675">
        <f t="shared" si="27"/>
        <v>4700</v>
      </c>
      <c r="I508" s="299">
        <v>9</v>
      </c>
      <c r="J508" s="450"/>
      <c r="K508" s="450"/>
      <c r="L508" s="450"/>
      <c r="M508" s="299">
        <f t="shared" si="28"/>
        <v>9</v>
      </c>
      <c r="N508" s="456">
        <f t="shared" si="26"/>
        <v>4709</v>
      </c>
      <c r="O508" s="299" t="s">
        <v>3615</v>
      </c>
      <c r="P508" s="249" t="s">
        <v>197</v>
      </c>
    </row>
    <row r="509" spans="2:16" ht="12.75" customHeight="1" x14ac:dyDescent="0.25">
      <c r="B509" s="295" t="s">
        <v>3614</v>
      </c>
      <c r="C509" s="536" t="s">
        <v>3613</v>
      </c>
      <c r="D509" s="686" t="s">
        <v>1249</v>
      </c>
      <c r="E509" s="454">
        <v>25</v>
      </c>
      <c r="F509" s="454">
        <v>17000</v>
      </c>
      <c r="G509" s="455">
        <v>0.7</v>
      </c>
      <c r="H509" s="675">
        <f t="shared" si="27"/>
        <v>11900</v>
      </c>
      <c r="I509" s="299">
        <v>9</v>
      </c>
      <c r="J509" s="450"/>
      <c r="K509" s="450"/>
      <c r="L509" s="450"/>
      <c r="M509" s="299">
        <f t="shared" si="28"/>
        <v>9</v>
      </c>
      <c r="N509" s="456">
        <f t="shared" si="26"/>
        <v>11909</v>
      </c>
      <c r="O509" s="299" t="s">
        <v>3615</v>
      </c>
      <c r="P509" s="249" t="s">
        <v>197</v>
      </c>
    </row>
    <row r="510" spans="2:16" ht="12.75" customHeight="1" x14ac:dyDescent="0.25">
      <c r="B510" s="295" t="s">
        <v>3618</v>
      </c>
      <c r="C510" s="536" t="s">
        <v>3616</v>
      </c>
      <c r="D510" s="686" t="s">
        <v>1249</v>
      </c>
      <c r="E510" s="454">
        <v>55</v>
      </c>
      <c r="F510" s="454">
        <v>8000</v>
      </c>
      <c r="G510" s="455">
        <v>0.75</v>
      </c>
      <c r="H510" s="675">
        <f t="shared" si="27"/>
        <v>6000</v>
      </c>
      <c r="I510" s="299">
        <v>9</v>
      </c>
      <c r="J510" s="450"/>
      <c r="K510" s="450"/>
      <c r="L510" s="450"/>
      <c r="M510" s="299">
        <f t="shared" si="28"/>
        <v>9</v>
      </c>
      <c r="N510" s="456">
        <f t="shared" si="26"/>
        <v>6009</v>
      </c>
      <c r="O510" s="299" t="s">
        <v>2478</v>
      </c>
      <c r="P510" s="249" t="s">
        <v>197</v>
      </c>
    </row>
    <row r="511" spans="2:16" ht="12.75" customHeight="1" x14ac:dyDescent="0.25">
      <c r="B511" s="295" t="s">
        <v>3618</v>
      </c>
      <c r="C511" s="536" t="s">
        <v>3616</v>
      </c>
      <c r="D511" s="686" t="s">
        <v>1249</v>
      </c>
      <c r="E511" s="454">
        <v>55</v>
      </c>
      <c r="F511" s="454">
        <v>8000</v>
      </c>
      <c r="G511" s="455">
        <v>0.75</v>
      </c>
      <c r="H511" s="675">
        <f t="shared" si="27"/>
        <v>6000</v>
      </c>
      <c r="I511" s="299">
        <v>9</v>
      </c>
      <c r="J511" s="450"/>
      <c r="K511" s="450"/>
      <c r="L511" s="450"/>
      <c r="M511" s="299">
        <f t="shared" si="28"/>
        <v>9</v>
      </c>
      <c r="N511" s="456">
        <f t="shared" si="26"/>
        <v>6009</v>
      </c>
      <c r="O511" s="299" t="s">
        <v>2478</v>
      </c>
      <c r="P511" s="249" t="s">
        <v>197</v>
      </c>
    </row>
    <row r="512" spans="2:16" ht="12.75" customHeight="1" x14ac:dyDescent="0.25">
      <c r="B512" s="295" t="s">
        <v>3618</v>
      </c>
      <c r="C512" s="536" t="s">
        <v>3617</v>
      </c>
      <c r="D512" s="686" t="s">
        <v>1249</v>
      </c>
      <c r="E512" s="454">
        <v>85</v>
      </c>
      <c r="F512" s="454">
        <v>4000</v>
      </c>
      <c r="G512" s="455">
        <v>1.3</v>
      </c>
      <c r="H512" s="675">
        <f t="shared" si="27"/>
        <v>5200</v>
      </c>
      <c r="I512" s="299">
        <v>9</v>
      </c>
      <c r="J512" s="450"/>
      <c r="K512" s="450"/>
      <c r="L512" s="450"/>
      <c r="M512" s="299">
        <f t="shared" si="28"/>
        <v>9</v>
      </c>
      <c r="N512" s="456">
        <f t="shared" si="26"/>
        <v>5209</v>
      </c>
      <c r="O512" s="299" t="s">
        <v>2478</v>
      </c>
      <c r="P512" s="249" t="s">
        <v>197</v>
      </c>
    </row>
    <row r="513" spans="2:16" ht="12.75" customHeight="1" x14ac:dyDescent="0.25">
      <c r="B513" s="295" t="s">
        <v>3618</v>
      </c>
      <c r="C513" s="536" t="s">
        <v>3617</v>
      </c>
      <c r="D513" s="686" t="s">
        <v>1249</v>
      </c>
      <c r="E513" s="454">
        <v>85</v>
      </c>
      <c r="F513" s="454">
        <v>4000</v>
      </c>
      <c r="G513" s="455">
        <v>1.3</v>
      </c>
      <c r="H513" s="675">
        <f t="shared" si="27"/>
        <v>5200</v>
      </c>
      <c r="I513" s="299">
        <v>9</v>
      </c>
      <c r="J513" s="450"/>
      <c r="K513" s="450"/>
      <c r="L513" s="450"/>
      <c r="M513" s="299">
        <f t="shared" si="28"/>
        <v>9</v>
      </c>
      <c r="N513" s="456">
        <f t="shared" si="26"/>
        <v>5209</v>
      </c>
      <c r="O513" s="299" t="s">
        <v>2478</v>
      </c>
      <c r="P513" s="249" t="s">
        <v>197</v>
      </c>
    </row>
    <row r="514" spans="2:16" ht="12.75" customHeight="1" x14ac:dyDescent="0.25">
      <c r="B514" s="295" t="s">
        <v>3619</v>
      </c>
      <c r="C514" s="295" t="s">
        <v>3616</v>
      </c>
      <c r="D514" s="687" t="s">
        <v>1249</v>
      </c>
      <c r="E514" s="454">
        <v>55</v>
      </c>
      <c r="F514" s="454">
        <v>16000</v>
      </c>
      <c r="G514" s="455">
        <v>0.5</v>
      </c>
      <c r="H514" s="675">
        <f t="shared" si="27"/>
        <v>8000</v>
      </c>
      <c r="I514" s="299">
        <v>18</v>
      </c>
      <c r="J514" s="450"/>
      <c r="K514" s="450"/>
      <c r="L514" s="450"/>
      <c r="M514" s="299">
        <f t="shared" si="28"/>
        <v>18</v>
      </c>
      <c r="N514" s="456">
        <f t="shared" si="26"/>
        <v>8018</v>
      </c>
      <c r="O514" s="299" t="s">
        <v>2701</v>
      </c>
      <c r="P514" s="249" t="s">
        <v>197</v>
      </c>
    </row>
    <row r="515" spans="2:16" ht="12.75" customHeight="1" x14ac:dyDescent="0.25">
      <c r="B515" s="295" t="s">
        <v>3619</v>
      </c>
      <c r="C515" s="295" t="s">
        <v>3617</v>
      </c>
      <c r="D515" s="687" t="s">
        <v>1249</v>
      </c>
      <c r="E515" s="454">
        <v>85</v>
      </c>
      <c r="F515" s="454">
        <v>4000</v>
      </c>
      <c r="G515" s="455">
        <v>0.95</v>
      </c>
      <c r="H515" s="675">
        <f t="shared" si="27"/>
        <v>3800</v>
      </c>
      <c r="I515" s="299">
        <v>9</v>
      </c>
      <c r="J515" s="299">
        <v>4.3600000000000003</v>
      </c>
      <c r="K515" s="299">
        <v>1</v>
      </c>
      <c r="L515" s="299">
        <v>8.26</v>
      </c>
      <c r="M515" s="299">
        <f t="shared" si="28"/>
        <v>22.619999999999997</v>
      </c>
      <c r="N515" s="456">
        <f t="shared" si="26"/>
        <v>3822.62</v>
      </c>
      <c r="O515" s="299" t="s">
        <v>2701</v>
      </c>
      <c r="P515" s="249" t="s">
        <v>197</v>
      </c>
    </row>
    <row r="516" spans="2:16" ht="12.75" customHeight="1" x14ac:dyDescent="0.25">
      <c r="B516" s="295" t="s">
        <v>3622</v>
      </c>
      <c r="C516" s="295" t="s">
        <v>3616</v>
      </c>
      <c r="D516" s="687" t="s">
        <v>1249</v>
      </c>
      <c r="E516" s="454">
        <v>55</v>
      </c>
      <c r="F516" s="454">
        <v>8000</v>
      </c>
      <c r="G516" s="455">
        <v>0.25</v>
      </c>
      <c r="H516" s="675">
        <f t="shared" si="27"/>
        <v>2000</v>
      </c>
      <c r="I516" s="299">
        <v>9</v>
      </c>
      <c r="J516" s="450"/>
      <c r="K516" s="450"/>
      <c r="L516" s="450"/>
      <c r="M516" s="299">
        <f t="shared" si="28"/>
        <v>9</v>
      </c>
      <c r="N516" s="456">
        <f t="shared" si="26"/>
        <v>2009</v>
      </c>
      <c r="O516" s="299" t="s">
        <v>3628</v>
      </c>
      <c r="P516" s="249" t="s">
        <v>197</v>
      </c>
    </row>
    <row r="517" spans="2:16" ht="12.75" customHeight="1" x14ac:dyDescent="0.25">
      <c r="B517" s="295" t="s">
        <v>3622</v>
      </c>
      <c r="C517" s="295" t="s">
        <v>3616</v>
      </c>
      <c r="D517" s="687" t="s">
        <v>1249</v>
      </c>
      <c r="E517" s="454">
        <v>55</v>
      </c>
      <c r="F517" s="454">
        <v>8000</v>
      </c>
      <c r="G517" s="455">
        <v>0.25</v>
      </c>
      <c r="H517" s="675">
        <f t="shared" si="27"/>
        <v>2000</v>
      </c>
      <c r="I517" s="299">
        <v>9</v>
      </c>
      <c r="J517" s="299">
        <v>2.57</v>
      </c>
      <c r="K517" s="299">
        <v>1</v>
      </c>
      <c r="L517" s="299">
        <v>2.81</v>
      </c>
      <c r="M517" s="299">
        <f t="shared" si="28"/>
        <v>15.38</v>
      </c>
      <c r="N517" s="456">
        <f t="shared" si="26"/>
        <v>2015.38</v>
      </c>
      <c r="O517" s="299" t="s">
        <v>3628</v>
      </c>
      <c r="P517" s="249" t="s">
        <v>197</v>
      </c>
    </row>
    <row r="518" spans="2:16" ht="12.75" customHeight="1" x14ac:dyDescent="0.25">
      <c r="B518" s="295" t="s">
        <v>3627</v>
      </c>
      <c r="C518" s="295" t="s">
        <v>3617</v>
      </c>
      <c r="D518" s="687" t="s">
        <v>1249</v>
      </c>
      <c r="E518" s="454">
        <v>85</v>
      </c>
      <c r="F518" s="454">
        <v>12000</v>
      </c>
      <c r="G518" s="455">
        <v>0.75</v>
      </c>
      <c r="H518" s="675">
        <f t="shared" si="27"/>
        <v>9000</v>
      </c>
      <c r="I518" s="299">
        <v>27</v>
      </c>
      <c r="J518" s="450"/>
      <c r="K518" s="450"/>
      <c r="L518" s="450"/>
      <c r="M518" s="299">
        <f t="shared" si="28"/>
        <v>27</v>
      </c>
      <c r="N518" s="456">
        <f t="shared" si="26"/>
        <v>9027</v>
      </c>
      <c r="O518" s="299" t="s">
        <v>2765</v>
      </c>
      <c r="P518" s="249" t="s">
        <v>197</v>
      </c>
    </row>
    <row r="519" spans="2:16" ht="12.75" customHeight="1" x14ac:dyDescent="0.25">
      <c r="B519" s="295" t="s">
        <v>3627</v>
      </c>
      <c r="C519" s="295" t="s">
        <v>3617</v>
      </c>
      <c r="D519" s="687" t="s">
        <v>1249</v>
      </c>
      <c r="E519" s="454">
        <v>85</v>
      </c>
      <c r="F519" s="454">
        <v>8000</v>
      </c>
      <c r="G519" s="455">
        <v>0.75</v>
      </c>
      <c r="H519" s="675">
        <f t="shared" si="27"/>
        <v>6000</v>
      </c>
      <c r="I519" s="299">
        <v>18</v>
      </c>
      <c r="J519" s="450"/>
      <c r="K519" s="450"/>
      <c r="L519" s="450"/>
      <c r="M519" s="299">
        <f t="shared" si="28"/>
        <v>18</v>
      </c>
      <c r="N519" s="456">
        <f t="shared" si="26"/>
        <v>6018</v>
      </c>
      <c r="O519" s="299" t="s">
        <v>2765</v>
      </c>
      <c r="P519" s="249" t="s">
        <v>197</v>
      </c>
    </row>
    <row r="520" spans="2:16" ht="12.75" customHeight="1" x14ac:dyDescent="0.25">
      <c r="B520" s="295" t="s">
        <v>3631</v>
      </c>
      <c r="C520" s="574" t="s">
        <v>3633</v>
      </c>
      <c r="D520" s="688" t="s">
        <v>1249</v>
      </c>
      <c r="E520" s="249">
        <v>85</v>
      </c>
      <c r="F520" s="454">
        <v>8000</v>
      </c>
      <c r="G520" s="247">
        <v>0.3</v>
      </c>
      <c r="H520" s="675">
        <f t="shared" si="27"/>
        <v>2400</v>
      </c>
      <c r="I520" s="299">
        <v>18</v>
      </c>
      <c r="J520" s="450"/>
      <c r="K520" s="450"/>
      <c r="L520" s="450"/>
      <c r="M520" s="299">
        <f t="shared" si="28"/>
        <v>18</v>
      </c>
      <c r="N520" s="456">
        <f t="shared" si="26"/>
        <v>2418</v>
      </c>
      <c r="O520" s="299" t="s">
        <v>1122</v>
      </c>
      <c r="P520" s="249" t="s">
        <v>197</v>
      </c>
    </row>
    <row r="521" spans="2:16" ht="12.75" customHeight="1" x14ac:dyDescent="0.25">
      <c r="B521" s="295" t="s">
        <v>3631</v>
      </c>
      <c r="C521" s="574" t="s">
        <v>3633</v>
      </c>
      <c r="D521" s="688" t="s">
        <v>1249</v>
      </c>
      <c r="E521" s="249">
        <v>85</v>
      </c>
      <c r="F521" s="454">
        <v>4000</v>
      </c>
      <c r="G521" s="247">
        <v>0.3</v>
      </c>
      <c r="H521" s="675">
        <f t="shared" si="27"/>
        <v>1200</v>
      </c>
      <c r="I521" s="299">
        <v>9</v>
      </c>
      <c r="J521" s="450"/>
      <c r="K521" s="450"/>
      <c r="L521" s="450"/>
      <c r="M521" s="299">
        <f t="shared" si="28"/>
        <v>9</v>
      </c>
      <c r="N521" s="456">
        <f t="shared" si="26"/>
        <v>1209</v>
      </c>
      <c r="O521" s="299" t="s">
        <v>1122</v>
      </c>
      <c r="P521" s="249" t="s">
        <v>197</v>
      </c>
    </row>
    <row r="522" spans="2:16" ht="12.75" customHeight="1" x14ac:dyDescent="0.25">
      <c r="B522" s="295" t="s">
        <v>3631</v>
      </c>
      <c r="C522" s="574" t="s">
        <v>3633</v>
      </c>
      <c r="D522" s="688" t="s">
        <v>1249</v>
      </c>
      <c r="E522" s="249">
        <v>85</v>
      </c>
      <c r="F522" s="454">
        <v>8000</v>
      </c>
      <c r="G522" s="247">
        <v>0.3</v>
      </c>
      <c r="H522" s="675">
        <f t="shared" si="27"/>
        <v>2400</v>
      </c>
      <c r="I522" s="299">
        <v>18</v>
      </c>
      <c r="J522" s="299">
        <f>7.5+1</f>
        <v>8.5</v>
      </c>
      <c r="K522" s="299">
        <v>1</v>
      </c>
      <c r="L522" s="299">
        <v>6.71</v>
      </c>
      <c r="M522" s="299">
        <f t="shared" si="28"/>
        <v>34.21</v>
      </c>
      <c r="N522" s="456">
        <f t="shared" si="26"/>
        <v>2434.21</v>
      </c>
      <c r="O522" s="299" t="s">
        <v>1122</v>
      </c>
      <c r="P522" s="249" t="s">
        <v>197</v>
      </c>
    </row>
    <row r="523" spans="2:16" ht="12.75" customHeight="1" x14ac:dyDescent="0.25">
      <c r="B523" s="295" t="s">
        <v>3637</v>
      </c>
      <c r="C523" s="295" t="s">
        <v>3617</v>
      </c>
      <c r="D523" s="687" t="s">
        <v>1249</v>
      </c>
      <c r="E523" s="454">
        <v>85</v>
      </c>
      <c r="F523" s="454">
        <v>20000</v>
      </c>
      <c r="G523" s="455">
        <v>0.2</v>
      </c>
      <c r="H523" s="675">
        <f t="shared" si="27"/>
        <v>4000</v>
      </c>
      <c r="I523" s="299">
        <v>45</v>
      </c>
      <c r="J523" s="299">
        <v>5.91</v>
      </c>
      <c r="K523" s="299">
        <v>1</v>
      </c>
      <c r="L523" s="299">
        <v>2.8</v>
      </c>
      <c r="M523" s="299">
        <f>SUM(I523:L523)</f>
        <v>54.709999999999994</v>
      </c>
      <c r="N523" s="456">
        <f>H523+M523</f>
        <v>4054.71</v>
      </c>
      <c r="O523" s="299" t="s">
        <v>1132</v>
      </c>
      <c r="P523" s="249" t="s">
        <v>197</v>
      </c>
    </row>
    <row r="524" spans="2:16" ht="12.75" customHeight="1" x14ac:dyDescent="0.25">
      <c r="B524" s="295" t="s">
        <v>3640</v>
      </c>
      <c r="C524" s="295" t="s">
        <v>3639</v>
      </c>
      <c r="D524" s="687" t="s">
        <v>1249</v>
      </c>
      <c r="E524" s="454">
        <v>35</v>
      </c>
      <c r="F524" s="454">
        <v>18000</v>
      </c>
      <c r="G524" s="455">
        <v>0.6</v>
      </c>
      <c r="H524" s="675">
        <f t="shared" si="27"/>
        <v>10800</v>
      </c>
      <c r="I524" s="299">
        <v>18</v>
      </c>
      <c r="J524" s="450"/>
      <c r="K524" s="450"/>
      <c r="L524" s="450"/>
      <c r="M524" s="299">
        <f>SUM(I524:L524)</f>
        <v>18</v>
      </c>
      <c r="N524" s="456">
        <f t="shared" ref="N524:N549" si="29">H524+M524</f>
        <v>10818</v>
      </c>
      <c r="O524" s="299" t="s">
        <v>3061</v>
      </c>
      <c r="P524" s="249" t="s">
        <v>197</v>
      </c>
    </row>
    <row r="525" spans="2:16" ht="12.75" customHeight="1" x14ac:dyDescent="0.25">
      <c r="B525" s="295" t="s">
        <v>3641</v>
      </c>
      <c r="C525" s="295" t="s">
        <v>3639</v>
      </c>
      <c r="D525" s="687" t="s">
        <v>1249</v>
      </c>
      <c r="E525" s="454">
        <v>35</v>
      </c>
      <c r="F525" s="454">
        <v>9000</v>
      </c>
      <c r="G525" s="455">
        <v>0.4</v>
      </c>
      <c r="H525" s="675">
        <f t="shared" si="27"/>
        <v>3600</v>
      </c>
      <c r="I525" s="299">
        <v>9</v>
      </c>
      <c r="J525" s="299">
        <v>1.42</v>
      </c>
      <c r="K525" s="299">
        <v>1</v>
      </c>
      <c r="L525" s="299">
        <v>2.52</v>
      </c>
      <c r="M525" s="299">
        <f>SUM(I525:L525)</f>
        <v>13.94</v>
      </c>
      <c r="N525" s="456">
        <f t="shared" si="29"/>
        <v>3613.94</v>
      </c>
      <c r="O525" s="299" t="s">
        <v>2057</v>
      </c>
      <c r="P525" s="249" t="s">
        <v>197</v>
      </c>
    </row>
    <row r="526" spans="2:16" ht="12.75" customHeight="1" x14ac:dyDescent="0.25">
      <c r="B526" s="295" t="s">
        <v>3644</v>
      </c>
      <c r="C526" s="295" t="s">
        <v>3639</v>
      </c>
      <c r="D526" s="687" t="s">
        <v>1249</v>
      </c>
      <c r="E526" s="454">
        <v>35</v>
      </c>
      <c r="F526" s="454">
        <v>9000</v>
      </c>
      <c r="G526" s="455">
        <v>0.25</v>
      </c>
      <c r="H526" s="675">
        <f t="shared" si="27"/>
        <v>2250</v>
      </c>
      <c r="I526" s="299">
        <v>9</v>
      </c>
      <c r="J526" s="299">
        <v>1.31</v>
      </c>
      <c r="K526" s="299">
        <v>1</v>
      </c>
      <c r="L526" s="299">
        <v>1.58</v>
      </c>
      <c r="M526" s="299">
        <f>SUM(I526:L526)</f>
        <v>12.89</v>
      </c>
      <c r="N526" s="456">
        <f t="shared" si="29"/>
        <v>2262.89</v>
      </c>
      <c r="O526" s="299" t="s">
        <v>51</v>
      </c>
      <c r="P526" s="249" t="s">
        <v>197</v>
      </c>
    </row>
    <row r="527" spans="2:16" ht="12.75" customHeight="1" x14ac:dyDescent="0.25">
      <c r="B527" s="295" t="s">
        <v>3646</v>
      </c>
      <c r="C527" s="295" t="s">
        <v>3645</v>
      </c>
      <c r="D527" s="687" t="s">
        <v>1249</v>
      </c>
      <c r="E527" s="454">
        <v>8200</v>
      </c>
      <c r="F527" s="454">
        <v>200</v>
      </c>
      <c r="G527" s="455">
        <v>51.5</v>
      </c>
      <c r="H527" s="675">
        <f t="shared" si="27"/>
        <v>10300</v>
      </c>
      <c r="I527" s="299">
        <v>36</v>
      </c>
      <c r="J527" s="450"/>
      <c r="K527" s="450"/>
      <c r="L527" s="450"/>
      <c r="M527" s="299">
        <f t="shared" ref="M527:M549" si="30">SUM(I527:L527)</f>
        <v>36</v>
      </c>
      <c r="N527" s="456">
        <f t="shared" si="29"/>
        <v>10336</v>
      </c>
      <c r="O527" s="299" t="s">
        <v>522</v>
      </c>
      <c r="P527" s="249" t="s">
        <v>197</v>
      </c>
    </row>
    <row r="528" spans="2:16" ht="12.75" customHeight="1" x14ac:dyDescent="0.25">
      <c r="B528" s="295" t="s">
        <v>3646</v>
      </c>
      <c r="C528" s="295" t="s">
        <v>3645</v>
      </c>
      <c r="D528" s="687" t="s">
        <v>1249</v>
      </c>
      <c r="E528" s="454">
        <v>8200</v>
      </c>
      <c r="F528" s="454">
        <v>50</v>
      </c>
      <c r="G528" s="455">
        <v>51.5</v>
      </c>
      <c r="H528" s="675">
        <f t="shared" si="27"/>
        <v>2575</v>
      </c>
      <c r="I528" s="299">
        <v>9</v>
      </c>
      <c r="J528" s="450"/>
      <c r="K528" s="450"/>
      <c r="L528" s="450"/>
      <c r="M528" s="299">
        <f t="shared" si="30"/>
        <v>9</v>
      </c>
      <c r="N528" s="456">
        <f t="shared" si="29"/>
        <v>2584</v>
      </c>
      <c r="O528" s="299" t="s">
        <v>522</v>
      </c>
      <c r="P528" s="249" t="s">
        <v>197</v>
      </c>
    </row>
    <row r="529" spans="2:16" ht="12.75" customHeight="1" x14ac:dyDescent="0.25">
      <c r="B529" s="295" t="s">
        <v>3646</v>
      </c>
      <c r="C529" s="295" t="s">
        <v>3645</v>
      </c>
      <c r="D529" s="687" t="s">
        <v>1249</v>
      </c>
      <c r="E529" s="454">
        <v>8200</v>
      </c>
      <c r="F529" s="454">
        <v>50</v>
      </c>
      <c r="G529" s="455">
        <v>51.5</v>
      </c>
      <c r="H529" s="675">
        <f t="shared" si="27"/>
        <v>2575</v>
      </c>
      <c r="I529" s="299">
        <v>9</v>
      </c>
      <c r="J529" s="450"/>
      <c r="K529" s="450"/>
      <c r="L529" s="450"/>
      <c r="M529" s="299">
        <f t="shared" si="30"/>
        <v>9</v>
      </c>
      <c r="N529" s="456">
        <f t="shared" si="29"/>
        <v>2584</v>
      </c>
      <c r="O529" s="299" t="s">
        <v>522</v>
      </c>
      <c r="P529" s="249" t="s">
        <v>197</v>
      </c>
    </row>
    <row r="530" spans="2:16" ht="12.75" customHeight="1" x14ac:dyDescent="0.25">
      <c r="B530" s="295" t="s">
        <v>3646</v>
      </c>
      <c r="C530" s="295" t="s">
        <v>3645</v>
      </c>
      <c r="D530" s="687" t="s">
        <v>1249</v>
      </c>
      <c r="E530" s="454">
        <v>8200</v>
      </c>
      <c r="F530" s="454">
        <v>50</v>
      </c>
      <c r="G530" s="455">
        <v>51.5</v>
      </c>
      <c r="H530" s="675">
        <f t="shared" si="27"/>
        <v>2575</v>
      </c>
      <c r="I530" s="299">
        <v>9</v>
      </c>
      <c r="J530" s="450"/>
      <c r="K530" s="450"/>
      <c r="L530" s="450"/>
      <c r="M530" s="299">
        <f t="shared" si="30"/>
        <v>9</v>
      </c>
      <c r="N530" s="456">
        <f t="shared" si="29"/>
        <v>2584</v>
      </c>
      <c r="O530" s="299" t="s">
        <v>522</v>
      </c>
      <c r="P530" s="249" t="s">
        <v>197</v>
      </c>
    </row>
    <row r="531" spans="2:16" ht="12.75" customHeight="1" x14ac:dyDescent="0.25">
      <c r="B531" s="295" t="s">
        <v>3646</v>
      </c>
      <c r="C531" s="295" t="s">
        <v>3645</v>
      </c>
      <c r="D531" s="687" t="s">
        <v>1249</v>
      </c>
      <c r="E531" s="454">
        <v>8200</v>
      </c>
      <c r="F531" s="454">
        <v>50</v>
      </c>
      <c r="G531" s="455">
        <v>51.5</v>
      </c>
      <c r="H531" s="675">
        <f t="shared" si="27"/>
        <v>2575</v>
      </c>
      <c r="I531" s="299">
        <v>9</v>
      </c>
      <c r="J531" s="450"/>
      <c r="K531" s="450"/>
      <c r="L531" s="450"/>
      <c r="M531" s="299">
        <f t="shared" si="30"/>
        <v>9</v>
      </c>
      <c r="N531" s="456">
        <f t="shared" si="29"/>
        <v>2584</v>
      </c>
      <c r="O531" s="299" t="s">
        <v>522</v>
      </c>
      <c r="P531" s="249" t="s">
        <v>197</v>
      </c>
    </row>
    <row r="532" spans="2:16" ht="12.75" customHeight="1" x14ac:dyDescent="0.25">
      <c r="B532" s="295" t="s">
        <v>3646</v>
      </c>
      <c r="C532" s="295" t="s">
        <v>3645</v>
      </c>
      <c r="D532" s="687" t="s">
        <v>1249</v>
      </c>
      <c r="E532" s="454">
        <v>8200</v>
      </c>
      <c r="F532" s="454">
        <v>350</v>
      </c>
      <c r="G532" s="455">
        <v>33</v>
      </c>
      <c r="H532" s="675">
        <f t="shared" si="27"/>
        <v>11550</v>
      </c>
      <c r="I532" s="299">
        <v>63</v>
      </c>
      <c r="J532" s="450"/>
      <c r="K532" s="450"/>
      <c r="L532" s="450"/>
      <c r="M532" s="299">
        <f t="shared" si="30"/>
        <v>63</v>
      </c>
      <c r="N532" s="456">
        <f t="shared" si="29"/>
        <v>11613</v>
      </c>
      <c r="O532" s="299" t="s">
        <v>522</v>
      </c>
      <c r="P532" s="249" t="s">
        <v>197</v>
      </c>
    </row>
    <row r="533" spans="2:16" ht="12.75" customHeight="1" x14ac:dyDescent="0.25">
      <c r="B533" s="295" t="s">
        <v>3646</v>
      </c>
      <c r="C533" s="295" t="s">
        <v>3645</v>
      </c>
      <c r="D533" s="687" t="s">
        <v>1249</v>
      </c>
      <c r="E533" s="454">
        <v>8200</v>
      </c>
      <c r="F533" s="454">
        <v>250</v>
      </c>
      <c r="G533" s="455">
        <v>33</v>
      </c>
      <c r="H533" s="675">
        <f t="shared" si="27"/>
        <v>8250</v>
      </c>
      <c r="I533" s="299">
        <v>45</v>
      </c>
      <c r="J533" s="450"/>
      <c r="K533" s="450"/>
      <c r="L533" s="450"/>
      <c r="M533" s="299">
        <f t="shared" si="30"/>
        <v>45</v>
      </c>
      <c r="N533" s="456">
        <f t="shared" si="29"/>
        <v>8295</v>
      </c>
      <c r="O533" s="299" t="s">
        <v>522</v>
      </c>
      <c r="P533" s="249" t="s">
        <v>197</v>
      </c>
    </row>
    <row r="534" spans="2:16" ht="12.75" customHeight="1" x14ac:dyDescent="0.25">
      <c r="B534" s="295" t="s">
        <v>3646</v>
      </c>
      <c r="C534" s="295" t="s">
        <v>3645</v>
      </c>
      <c r="D534" s="687" t="s">
        <v>1249</v>
      </c>
      <c r="E534" s="454">
        <v>8200</v>
      </c>
      <c r="F534" s="454">
        <v>100</v>
      </c>
      <c r="G534" s="455">
        <v>33.950000000000003</v>
      </c>
      <c r="H534" s="675">
        <f t="shared" ref="H534:H549" si="31">F534*G534</f>
        <v>3395.0000000000005</v>
      </c>
      <c r="I534" s="299">
        <v>18</v>
      </c>
      <c r="J534" s="299">
        <v>28.26</v>
      </c>
      <c r="K534" s="299">
        <v>3</v>
      </c>
      <c r="L534" s="299">
        <v>30.66</v>
      </c>
      <c r="M534" s="299">
        <f t="shared" si="30"/>
        <v>79.92</v>
      </c>
      <c r="N534" s="456">
        <f t="shared" si="29"/>
        <v>3474.9200000000005</v>
      </c>
      <c r="O534" s="299" t="s">
        <v>522</v>
      </c>
      <c r="P534" s="249" t="s">
        <v>197</v>
      </c>
    </row>
    <row r="535" spans="2:16" ht="12.75" customHeight="1" x14ac:dyDescent="0.25">
      <c r="B535" s="295" t="s">
        <v>3655</v>
      </c>
      <c r="C535" s="295" t="s">
        <v>3652</v>
      </c>
      <c r="D535" s="684" t="s">
        <v>1245</v>
      </c>
      <c r="E535" s="454">
        <v>180</v>
      </c>
      <c r="F535" s="454">
        <v>4000</v>
      </c>
      <c r="G535" s="455">
        <v>2.5499999999999998</v>
      </c>
      <c r="H535" s="675">
        <f t="shared" si="31"/>
        <v>10200</v>
      </c>
      <c r="I535" s="455">
        <v>18</v>
      </c>
      <c r="J535" s="450"/>
      <c r="K535" s="450"/>
      <c r="L535" s="450"/>
      <c r="M535" s="299">
        <f t="shared" si="30"/>
        <v>18</v>
      </c>
      <c r="N535" s="456">
        <f t="shared" si="29"/>
        <v>10218</v>
      </c>
      <c r="O535" s="299" t="s">
        <v>2283</v>
      </c>
      <c r="P535" s="249" t="s">
        <v>197</v>
      </c>
    </row>
    <row r="536" spans="2:16" ht="12.75" customHeight="1" x14ac:dyDescent="0.25">
      <c r="B536" s="295" t="s">
        <v>3655</v>
      </c>
      <c r="C536" s="295" t="s">
        <v>3653</v>
      </c>
      <c r="D536" s="684" t="s">
        <v>1245</v>
      </c>
      <c r="E536" s="454">
        <v>840</v>
      </c>
      <c r="F536" s="454">
        <v>1000</v>
      </c>
      <c r="G536" s="455">
        <v>9.5</v>
      </c>
      <c r="H536" s="675">
        <f t="shared" si="31"/>
        <v>9500</v>
      </c>
      <c r="I536" s="455">
        <v>18</v>
      </c>
      <c r="J536" s="450"/>
      <c r="K536" s="450"/>
      <c r="L536" s="450"/>
      <c r="M536" s="299">
        <f t="shared" si="30"/>
        <v>18</v>
      </c>
      <c r="N536" s="456">
        <f t="shared" si="29"/>
        <v>9518</v>
      </c>
      <c r="O536" s="299" t="s">
        <v>2283</v>
      </c>
      <c r="P536" s="249" t="s">
        <v>197</v>
      </c>
    </row>
    <row r="537" spans="2:16" ht="12.75" customHeight="1" x14ac:dyDescent="0.25">
      <c r="B537" s="295" t="s">
        <v>3655</v>
      </c>
      <c r="C537" s="295" t="s">
        <v>3654</v>
      </c>
      <c r="D537" s="684" t="s">
        <v>1245</v>
      </c>
      <c r="E537" s="454">
        <v>32.5</v>
      </c>
      <c r="F537" s="454">
        <v>9000</v>
      </c>
      <c r="G537" s="455">
        <v>0.7</v>
      </c>
      <c r="H537" s="675">
        <f t="shared" si="31"/>
        <v>6300</v>
      </c>
      <c r="I537" s="455">
        <v>9</v>
      </c>
      <c r="J537" s="450"/>
      <c r="K537" s="450"/>
      <c r="L537" s="450"/>
      <c r="M537" s="299">
        <f t="shared" si="30"/>
        <v>9</v>
      </c>
      <c r="N537" s="456">
        <f t="shared" si="29"/>
        <v>6309</v>
      </c>
      <c r="O537" s="299" t="s">
        <v>2283</v>
      </c>
      <c r="P537" s="249" t="s">
        <v>197</v>
      </c>
    </row>
    <row r="538" spans="2:16" ht="12.75" customHeight="1" x14ac:dyDescent="0.25">
      <c r="B538" s="295" t="s">
        <v>3655</v>
      </c>
      <c r="C538" s="295" t="s">
        <v>3654</v>
      </c>
      <c r="D538" s="687" t="s">
        <v>1245</v>
      </c>
      <c r="E538" s="454">
        <v>32.5</v>
      </c>
      <c r="F538" s="454">
        <v>9000</v>
      </c>
      <c r="G538" s="455">
        <v>0.65</v>
      </c>
      <c r="H538" s="675">
        <f t="shared" si="31"/>
        <v>5850</v>
      </c>
      <c r="I538" s="299">
        <v>9</v>
      </c>
      <c r="J538" s="450"/>
      <c r="K538" s="450"/>
      <c r="L538" s="450"/>
      <c r="M538" s="299">
        <f t="shared" si="30"/>
        <v>9</v>
      </c>
      <c r="N538" s="456">
        <f t="shared" si="29"/>
        <v>5859</v>
      </c>
      <c r="O538" s="299" t="s">
        <v>2283</v>
      </c>
      <c r="P538" s="249" t="s">
        <v>197</v>
      </c>
    </row>
    <row r="539" spans="2:16" ht="12.75" customHeight="1" x14ac:dyDescent="0.25">
      <c r="B539" s="295" t="s">
        <v>3656</v>
      </c>
      <c r="C539" s="295" t="s">
        <v>3654</v>
      </c>
      <c r="D539" s="687" t="s">
        <v>1245</v>
      </c>
      <c r="E539" s="454">
        <v>32.5</v>
      </c>
      <c r="F539" s="454">
        <v>18000</v>
      </c>
      <c r="G539" s="455">
        <v>0.7</v>
      </c>
      <c r="H539" s="675">
        <f t="shared" si="31"/>
        <v>12600</v>
      </c>
      <c r="I539" s="299">
        <v>18</v>
      </c>
      <c r="J539" s="450"/>
      <c r="K539" s="450"/>
      <c r="L539" s="450"/>
      <c r="M539" s="299">
        <f t="shared" si="30"/>
        <v>18</v>
      </c>
      <c r="N539" s="456">
        <f t="shared" si="29"/>
        <v>12618</v>
      </c>
      <c r="O539" s="299" t="s">
        <v>1447</v>
      </c>
      <c r="P539" s="249" t="s">
        <v>197</v>
      </c>
    </row>
    <row r="540" spans="2:16" ht="12.75" customHeight="1" x14ac:dyDescent="0.25">
      <c r="B540" s="295" t="s">
        <v>3659</v>
      </c>
      <c r="C540" s="295" t="s">
        <v>3654</v>
      </c>
      <c r="D540" s="687" t="s">
        <v>1245</v>
      </c>
      <c r="E540" s="454">
        <v>32.5</v>
      </c>
      <c r="F540" s="454">
        <v>9000</v>
      </c>
      <c r="G540" s="455">
        <v>0.6</v>
      </c>
      <c r="H540" s="675">
        <f t="shared" si="31"/>
        <v>5400</v>
      </c>
      <c r="I540" s="299">
        <v>9</v>
      </c>
      <c r="J540" s="299">
        <v>1.58</v>
      </c>
      <c r="K540" s="299">
        <v>1</v>
      </c>
      <c r="L540" s="299">
        <v>3.78</v>
      </c>
      <c r="M540" s="299">
        <f t="shared" si="30"/>
        <v>15.36</v>
      </c>
      <c r="N540" s="456">
        <f t="shared" si="29"/>
        <v>5415.36</v>
      </c>
      <c r="O540" s="299" t="s">
        <v>115</v>
      </c>
      <c r="P540" s="249" t="s">
        <v>197</v>
      </c>
    </row>
    <row r="541" spans="2:16" ht="12.75" customHeight="1" x14ac:dyDescent="0.25">
      <c r="B541" s="295" t="s">
        <v>3664</v>
      </c>
      <c r="C541" s="295" t="s">
        <v>3663</v>
      </c>
      <c r="D541" s="687" t="s">
        <v>1245</v>
      </c>
      <c r="E541" s="454">
        <v>390</v>
      </c>
      <c r="F541" s="454">
        <v>1250</v>
      </c>
      <c r="G541" s="455">
        <v>7.4</v>
      </c>
      <c r="H541" s="675">
        <f t="shared" si="31"/>
        <v>9250</v>
      </c>
      <c r="I541" s="299">
        <v>9</v>
      </c>
      <c r="J541" s="450"/>
      <c r="K541" s="450"/>
      <c r="L541" s="450"/>
      <c r="M541" s="299">
        <f t="shared" si="30"/>
        <v>9</v>
      </c>
      <c r="N541" s="456">
        <f t="shared" si="29"/>
        <v>9259</v>
      </c>
      <c r="O541" s="299" t="s">
        <v>1580</v>
      </c>
      <c r="P541" s="249" t="s">
        <v>197</v>
      </c>
    </row>
    <row r="542" spans="2:16" ht="12.75" customHeight="1" x14ac:dyDescent="0.25">
      <c r="B542" s="295" t="s">
        <v>3664</v>
      </c>
      <c r="C542" s="295" t="s">
        <v>3663</v>
      </c>
      <c r="D542" s="687" t="s">
        <v>1245</v>
      </c>
      <c r="E542" s="454">
        <v>390</v>
      </c>
      <c r="F542" s="454">
        <v>2500</v>
      </c>
      <c r="G542" s="455">
        <v>7.4</v>
      </c>
      <c r="H542" s="675">
        <f t="shared" si="31"/>
        <v>18500</v>
      </c>
      <c r="I542" s="299">
        <v>18</v>
      </c>
      <c r="J542" s="450"/>
      <c r="K542" s="450"/>
      <c r="L542" s="450"/>
      <c r="M542" s="299">
        <f t="shared" si="30"/>
        <v>18</v>
      </c>
      <c r="N542" s="456">
        <f t="shared" si="29"/>
        <v>18518</v>
      </c>
      <c r="O542" s="299" t="s">
        <v>1580</v>
      </c>
      <c r="P542" s="249" t="s">
        <v>197</v>
      </c>
    </row>
    <row r="543" spans="2:16" ht="12.75" customHeight="1" x14ac:dyDescent="0.25">
      <c r="B543" s="295" t="s">
        <v>3664</v>
      </c>
      <c r="C543" s="295" t="s">
        <v>3663</v>
      </c>
      <c r="D543" s="687" t="s">
        <v>1245</v>
      </c>
      <c r="E543" s="454">
        <v>390</v>
      </c>
      <c r="F543" s="454">
        <v>1250</v>
      </c>
      <c r="G543" s="455">
        <v>7.7</v>
      </c>
      <c r="H543" s="675">
        <f t="shared" si="31"/>
        <v>9625</v>
      </c>
      <c r="I543" s="299">
        <v>9</v>
      </c>
      <c r="J543" s="450"/>
      <c r="K543" s="450"/>
      <c r="L543" s="450"/>
      <c r="M543" s="299">
        <f t="shared" si="30"/>
        <v>9</v>
      </c>
      <c r="N543" s="456">
        <f t="shared" si="29"/>
        <v>9634</v>
      </c>
      <c r="O543" s="299" t="s">
        <v>1580</v>
      </c>
      <c r="P543" s="249" t="s">
        <v>197</v>
      </c>
    </row>
    <row r="544" spans="2:16" ht="12.75" customHeight="1" x14ac:dyDescent="0.25">
      <c r="B544" s="295" t="s">
        <v>3668</v>
      </c>
      <c r="C544" s="295" t="s">
        <v>3663</v>
      </c>
      <c r="D544" s="687" t="s">
        <v>1245</v>
      </c>
      <c r="E544" s="454">
        <v>390</v>
      </c>
      <c r="F544" s="454">
        <v>5000</v>
      </c>
      <c r="G544" s="455">
        <v>1</v>
      </c>
      <c r="H544" s="675">
        <f t="shared" si="31"/>
        <v>5000</v>
      </c>
      <c r="I544" s="299">
        <v>36</v>
      </c>
      <c r="J544" s="299">
        <v>4.88</v>
      </c>
      <c r="K544" s="299">
        <v>1</v>
      </c>
      <c r="L544" s="299">
        <v>3.5</v>
      </c>
      <c r="M544" s="299">
        <f t="shared" si="30"/>
        <v>45.38</v>
      </c>
      <c r="N544" s="456">
        <f t="shared" si="29"/>
        <v>5045.38</v>
      </c>
      <c r="O544" s="299" t="s">
        <v>719</v>
      </c>
      <c r="P544" s="249" t="s">
        <v>197</v>
      </c>
    </row>
    <row r="545" spans="2:17" ht="12.75" customHeight="1" x14ac:dyDescent="0.25">
      <c r="B545" s="295" t="s">
        <v>3672</v>
      </c>
      <c r="C545" s="295" t="s">
        <v>3663</v>
      </c>
      <c r="D545" s="687" t="s">
        <v>1245</v>
      </c>
      <c r="E545" s="454">
        <v>390</v>
      </c>
      <c r="F545" s="454">
        <v>1250</v>
      </c>
      <c r="G545" s="455">
        <v>0.6</v>
      </c>
      <c r="H545" s="675">
        <f t="shared" si="31"/>
        <v>750</v>
      </c>
      <c r="I545" s="299">
        <v>9</v>
      </c>
      <c r="J545" s="450"/>
      <c r="K545" s="450"/>
      <c r="L545" s="450"/>
      <c r="M545" s="299">
        <f t="shared" si="30"/>
        <v>9</v>
      </c>
      <c r="N545" s="456">
        <f t="shared" si="29"/>
        <v>759</v>
      </c>
      <c r="O545" s="299" t="s">
        <v>722</v>
      </c>
      <c r="P545" s="249" t="s">
        <v>197</v>
      </c>
    </row>
    <row r="546" spans="2:17" ht="12.75" customHeight="1" x14ac:dyDescent="0.25">
      <c r="B546" s="295" t="s">
        <v>3672</v>
      </c>
      <c r="C546" s="295" t="s">
        <v>3663</v>
      </c>
      <c r="D546" s="687" t="s">
        <v>1245</v>
      </c>
      <c r="E546" s="454">
        <v>390</v>
      </c>
      <c r="F546" s="454">
        <v>2500</v>
      </c>
      <c r="G546" s="455">
        <v>0.6</v>
      </c>
      <c r="H546" s="675">
        <f t="shared" si="31"/>
        <v>1500</v>
      </c>
      <c r="I546" s="299">
        <v>18</v>
      </c>
      <c r="J546" s="450"/>
      <c r="K546" s="450"/>
      <c r="L546" s="450"/>
      <c r="M546" s="299">
        <f t="shared" si="30"/>
        <v>18</v>
      </c>
      <c r="N546" s="456">
        <f t="shared" si="29"/>
        <v>1518</v>
      </c>
      <c r="O546" s="299" t="s">
        <v>722</v>
      </c>
      <c r="P546" s="249" t="s">
        <v>197</v>
      </c>
    </row>
    <row r="547" spans="2:17" ht="12.75" customHeight="1" x14ac:dyDescent="0.25">
      <c r="B547" s="295" t="s">
        <v>3672</v>
      </c>
      <c r="C547" s="295" t="s">
        <v>3663</v>
      </c>
      <c r="D547" s="687" t="s">
        <v>1245</v>
      </c>
      <c r="E547" s="454">
        <v>390</v>
      </c>
      <c r="F547" s="454">
        <v>1250</v>
      </c>
      <c r="G547" s="455">
        <v>0.6</v>
      </c>
      <c r="H547" s="675">
        <f t="shared" si="31"/>
        <v>750</v>
      </c>
      <c r="I547" s="299">
        <v>9</v>
      </c>
      <c r="J547" s="299">
        <v>4.71</v>
      </c>
      <c r="K547" s="299">
        <v>1</v>
      </c>
      <c r="L547" s="299">
        <v>2.1</v>
      </c>
      <c r="M547" s="299">
        <f t="shared" si="30"/>
        <v>16.810000000000002</v>
      </c>
      <c r="N547" s="456">
        <f t="shared" si="29"/>
        <v>766.81</v>
      </c>
      <c r="O547" s="299" t="s">
        <v>722</v>
      </c>
      <c r="P547" s="249" t="s">
        <v>197</v>
      </c>
    </row>
    <row r="548" spans="2:17" ht="12.75" customHeight="1" x14ac:dyDescent="0.25">
      <c r="B548" s="295" t="s">
        <v>3675</v>
      </c>
      <c r="C548" s="295" t="s">
        <v>3663</v>
      </c>
      <c r="D548" s="687" t="s">
        <v>1245</v>
      </c>
      <c r="E548" s="454">
        <v>390</v>
      </c>
      <c r="F548" s="454">
        <v>2500</v>
      </c>
      <c r="G548" s="455">
        <v>0.2</v>
      </c>
      <c r="H548" s="675">
        <f t="shared" si="31"/>
        <v>500</v>
      </c>
      <c r="I548" s="299">
        <v>18</v>
      </c>
      <c r="M548" s="299">
        <f t="shared" si="30"/>
        <v>18</v>
      </c>
      <c r="N548" s="456">
        <f t="shared" si="29"/>
        <v>518</v>
      </c>
      <c r="O548" s="299" t="s">
        <v>3682</v>
      </c>
      <c r="P548" s="249" t="s">
        <v>197</v>
      </c>
    </row>
    <row r="549" spans="2:17" ht="12.75" customHeight="1" x14ac:dyDescent="0.25">
      <c r="B549" s="295" t="s">
        <v>3675</v>
      </c>
      <c r="C549" s="295" t="s">
        <v>3663</v>
      </c>
      <c r="D549" s="687" t="s">
        <v>1245</v>
      </c>
      <c r="E549" s="454">
        <v>390</v>
      </c>
      <c r="F549" s="454">
        <v>2500</v>
      </c>
      <c r="G549" s="455">
        <v>0.2</v>
      </c>
      <c r="H549" s="675">
        <f t="shared" si="31"/>
        <v>500</v>
      </c>
      <c r="I549" s="299">
        <v>18</v>
      </c>
      <c r="J549" s="299">
        <v>4.54</v>
      </c>
      <c r="K549" s="299">
        <v>1</v>
      </c>
      <c r="L549" s="299">
        <v>0.7</v>
      </c>
      <c r="M549" s="299">
        <f t="shared" si="30"/>
        <v>24.24</v>
      </c>
      <c r="N549" s="456">
        <f t="shared" si="29"/>
        <v>524.24</v>
      </c>
      <c r="O549" s="299" t="s">
        <v>3682</v>
      </c>
      <c r="P549" s="249" t="s">
        <v>197</v>
      </c>
    </row>
    <row r="552" spans="2:17" ht="12.75" customHeight="1" x14ac:dyDescent="0.25">
      <c r="D552" s="684"/>
      <c r="E552" s="454"/>
      <c r="F552" s="454"/>
      <c r="G552" s="455"/>
      <c r="H552" s="675"/>
      <c r="I552" s="455"/>
    </row>
    <row r="553" spans="2:17" ht="12.75" customHeight="1" x14ac:dyDescent="0.25">
      <c r="C553" s="452"/>
      <c r="D553" s="684"/>
      <c r="E553" s="454"/>
      <c r="F553" s="454"/>
      <c r="G553" s="455"/>
      <c r="H553" s="675"/>
      <c r="I553" s="455"/>
    </row>
    <row r="554" spans="2:17" ht="12.75" customHeight="1" x14ac:dyDescent="0.25">
      <c r="C554" s="452"/>
      <c r="D554" s="684"/>
      <c r="E554" s="454"/>
      <c r="F554" s="454"/>
      <c r="G554" s="455"/>
      <c r="H554" s="675"/>
      <c r="I554" s="455"/>
    </row>
    <row r="555" spans="2:17" ht="12.75" customHeight="1" x14ac:dyDescent="0.25">
      <c r="C555" s="452"/>
      <c r="D555" s="684"/>
      <c r="E555" s="454"/>
      <c r="F555" s="454"/>
      <c r="G555" s="455"/>
      <c r="H555" s="675"/>
      <c r="I555" s="455"/>
    </row>
    <row r="556" spans="2:17" ht="12.75" customHeight="1" x14ac:dyDescent="0.25">
      <c r="C556" s="452"/>
      <c r="D556" s="684"/>
      <c r="E556" s="454"/>
      <c r="F556" s="454"/>
      <c r="G556" s="455"/>
      <c r="H556" s="675"/>
      <c r="I556" s="455"/>
    </row>
    <row r="557" spans="2:17" ht="12.75" customHeight="1" x14ac:dyDescent="0.25">
      <c r="C557" s="452"/>
      <c r="D557" s="684"/>
      <c r="E557" s="454"/>
      <c r="F557" s="454"/>
      <c r="G557" s="455"/>
      <c r="H557" s="675"/>
      <c r="I557" s="455"/>
    </row>
    <row r="558" spans="2:17" ht="12.75" customHeight="1" x14ac:dyDescent="0.25">
      <c r="C558" s="452"/>
      <c r="D558" s="684"/>
      <c r="E558" s="454"/>
      <c r="F558" s="454"/>
      <c r="G558" s="455"/>
      <c r="H558" s="675"/>
      <c r="I558" s="455"/>
    </row>
    <row r="559" spans="2:17" ht="12.75" customHeight="1" x14ac:dyDescent="0.25">
      <c r="C559" s="452"/>
      <c r="D559" s="684"/>
      <c r="E559" s="454"/>
      <c r="F559" s="454"/>
      <c r="G559" s="455"/>
      <c r="H559" s="675"/>
      <c r="I559" s="455"/>
    </row>
    <row r="560" spans="2:17" ht="12.75" customHeight="1" x14ac:dyDescent="0.25">
      <c r="C560" s="452"/>
      <c r="D560" s="684"/>
      <c r="E560" s="454"/>
      <c r="F560" s="454"/>
      <c r="G560" s="455"/>
      <c r="H560" s="675"/>
      <c r="I560" s="455"/>
      <c r="J560" s="457"/>
      <c r="K560" s="457"/>
      <c r="L560" s="457"/>
      <c r="M560" s="455"/>
      <c r="N560" s="456"/>
      <c r="O560" s="457"/>
      <c r="P560" s="459"/>
      <c r="Q560" s="451"/>
    </row>
    <row r="561" spans="1:19" ht="12.75" customHeight="1" x14ac:dyDescent="0.25">
      <c r="C561" s="452"/>
      <c r="D561" s="684"/>
      <c r="E561" s="454"/>
      <c r="F561" s="454"/>
      <c r="G561" s="455"/>
      <c r="H561" s="675"/>
      <c r="I561" s="455"/>
      <c r="J561" s="457"/>
      <c r="K561" s="457"/>
      <c r="L561" s="457"/>
      <c r="M561" s="455"/>
      <c r="N561" s="456"/>
      <c r="O561" s="457"/>
      <c r="P561" s="459"/>
      <c r="Q561" s="451"/>
    </row>
    <row r="562" spans="1:19" ht="12.75" customHeight="1" x14ac:dyDescent="0.25">
      <c r="A562" s="743"/>
      <c r="C562" s="452"/>
      <c r="D562" s="684"/>
      <c r="E562" s="454"/>
      <c r="F562" s="454"/>
      <c r="G562" s="455"/>
      <c r="H562" s="675"/>
      <c r="I562" s="455"/>
      <c r="J562" s="457"/>
      <c r="K562" s="457"/>
      <c r="L562" s="457"/>
      <c r="M562" s="455"/>
      <c r="N562" s="456"/>
      <c r="O562" s="457"/>
      <c r="P562" s="459"/>
      <c r="Q562" s="451"/>
    </row>
    <row r="563" spans="1:19" ht="12.75" customHeight="1" x14ac:dyDescent="0.25">
      <c r="A563" s="743"/>
      <c r="C563" s="452"/>
      <c r="D563" s="684"/>
      <c r="E563" s="454"/>
      <c r="F563" s="454"/>
      <c r="G563" s="455"/>
      <c r="H563" s="675"/>
      <c r="I563" s="455"/>
      <c r="J563" s="457"/>
      <c r="K563" s="457"/>
      <c r="L563" s="457"/>
      <c r="M563" s="455"/>
      <c r="N563" s="456"/>
      <c r="O563" s="457"/>
      <c r="P563" s="459"/>
      <c r="Q563" s="451"/>
    </row>
    <row r="564" spans="1:19" ht="12.75" customHeight="1" x14ac:dyDescent="0.25">
      <c r="A564" s="743"/>
      <c r="C564" s="452"/>
      <c r="D564" s="684"/>
      <c r="E564" s="454"/>
      <c r="F564" s="454"/>
      <c r="G564" s="455"/>
      <c r="H564" s="675"/>
      <c r="I564" s="455"/>
      <c r="J564" s="457"/>
      <c r="K564" s="457"/>
      <c r="L564" s="457"/>
      <c r="M564" s="455"/>
      <c r="N564" s="456"/>
      <c r="O564" s="457"/>
      <c r="P564" s="459"/>
      <c r="Q564" s="451"/>
    </row>
    <row r="565" spans="1:19" ht="12.75" customHeight="1" x14ac:dyDescent="0.25">
      <c r="A565" s="743"/>
      <c r="C565" s="452"/>
      <c r="D565" s="684"/>
      <c r="E565" s="454"/>
      <c r="F565" s="454"/>
      <c r="G565" s="455"/>
      <c r="H565" s="675"/>
      <c r="I565" s="455"/>
      <c r="J565" s="457"/>
      <c r="K565" s="457"/>
      <c r="L565" s="457"/>
      <c r="M565" s="455"/>
      <c r="N565" s="456"/>
      <c r="O565" s="457"/>
      <c r="P565" s="459"/>
      <c r="Q565" s="451"/>
    </row>
    <row r="566" spans="1:19" ht="12.75" customHeight="1" x14ac:dyDescent="0.25">
      <c r="C566" s="452"/>
      <c r="D566" s="684"/>
      <c r="E566" s="454"/>
      <c r="F566" s="454"/>
      <c r="G566" s="455"/>
      <c r="H566" s="675"/>
      <c r="I566" s="455"/>
      <c r="M566" s="60"/>
      <c r="N566" s="299"/>
      <c r="P566" s="263"/>
    </row>
    <row r="567" spans="1:19" ht="13.2" x14ac:dyDescent="0.25">
      <c r="C567" s="452"/>
      <c r="D567" s="684"/>
      <c r="E567" s="454"/>
      <c r="F567" s="454"/>
      <c r="G567" s="455"/>
      <c r="H567" s="675"/>
      <c r="I567" s="455"/>
      <c r="J567" s="60"/>
      <c r="K567" s="263"/>
      <c r="L567" s="60"/>
      <c r="M567" s="60"/>
      <c r="N567" s="299"/>
      <c r="O567" s="319"/>
      <c r="P567" s="263"/>
    </row>
    <row r="568" spans="1:19" ht="12.75" customHeight="1" x14ac:dyDescent="0.25">
      <c r="C568" s="452"/>
      <c r="D568" s="684"/>
      <c r="E568" s="454"/>
      <c r="F568" s="454"/>
      <c r="G568" s="455"/>
      <c r="H568" s="675"/>
      <c r="I568" s="455"/>
      <c r="M568" s="257" t="s">
        <v>2121</v>
      </c>
      <c r="N568" s="257">
        <f>SUM(N342:N567)</f>
        <v>972138.14</v>
      </c>
    </row>
    <row r="569" spans="1:19" ht="12.75" customHeight="1" x14ac:dyDescent="0.25">
      <c r="B569" s="325"/>
      <c r="C569" s="2"/>
      <c r="D569" s="91"/>
      <c r="E569" s="2"/>
      <c r="F569" s="60"/>
      <c r="I569" s="60"/>
      <c r="M569" s="257"/>
      <c r="N569" s="262"/>
      <c r="S569" s="247"/>
    </row>
    <row r="570" spans="1:19" ht="12.75" customHeight="1" x14ac:dyDescent="0.25">
      <c r="B570" s="325"/>
      <c r="M570" s="255"/>
      <c r="N570" s="260"/>
    </row>
    <row r="571" spans="1:19" ht="12.75" customHeight="1" x14ac:dyDescent="0.25">
      <c r="B571" s="734" t="s">
        <v>184</v>
      </c>
      <c r="C571" s="735" t="s">
        <v>2079</v>
      </c>
      <c r="D571" s="736" t="s">
        <v>1258</v>
      </c>
      <c r="E571" s="737" t="s">
        <v>1257</v>
      </c>
      <c r="F571" s="735" t="s">
        <v>469</v>
      </c>
      <c r="G571" s="737" t="s">
        <v>188</v>
      </c>
      <c r="H571" s="754" t="s">
        <v>470</v>
      </c>
      <c r="I571" s="737" t="s">
        <v>1839</v>
      </c>
      <c r="J571" s="737" t="s">
        <v>1840</v>
      </c>
      <c r="K571" s="737" t="s">
        <v>2254</v>
      </c>
      <c r="L571" s="737" t="s">
        <v>1251</v>
      </c>
      <c r="M571" s="737" t="s">
        <v>1216</v>
      </c>
      <c r="N571" s="737" t="s">
        <v>667</v>
      </c>
      <c r="O571" s="737" t="s">
        <v>1212</v>
      </c>
      <c r="P571" s="735" t="s">
        <v>186</v>
      </c>
    </row>
    <row r="572" spans="1:19" ht="12.75" customHeight="1" x14ac:dyDescent="0.25">
      <c r="A572" s="743"/>
      <c r="B572" s="295" t="s">
        <v>3311</v>
      </c>
      <c r="C572" s="452" t="s">
        <v>3297</v>
      </c>
      <c r="D572" s="684" t="s">
        <v>1245</v>
      </c>
      <c r="E572" s="454">
        <v>6500</v>
      </c>
      <c r="F572" s="454">
        <v>50</v>
      </c>
      <c r="G572" s="455">
        <v>5.45</v>
      </c>
      <c r="H572" s="675">
        <f t="shared" ref="H572:H635" si="32">F572*G572</f>
        <v>272.5</v>
      </c>
      <c r="I572" s="455">
        <v>9</v>
      </c>
      <c r="J572" s="450"/>
      <c r="K572" s="450"/>
      <c r="L572" s="450"/>
      <c r="M572" s="455">
        <f t="shared" ref="M572:M602" si="33">SUM(I572:L572)</f>
        <v>9</v>
      </c>
      <c r="N572" s="456">
        <f t="shared" ref="N572:N623" si="34">H572-M572</f>
        <v>263.5</v>
      </c>
      <c r="O572" s="457" t="s">
        <v>2936</v>
      </c>
      <c r="P572" s="459" t="s">
        <v>369</v>
      </c>
      <c r="Q572" s="451"/>
    </row>
    <row r="573" spans="1:19" ht="12.75" customHeight="1" x14ac:dyDescent="0.25">
      <c r="A573" s="743"/>
      <c r="B573" s="295" t="s">
        <v>3311</v>
      </c>
      <c r="C573" s="452" t="s">
        <v>3297</v>
      </c>
      <c r="D573" s="684" t="s">
        <v>1245</v>
      </c>
      <c r="E573" s="454">
        <v>6500</v>
      </c>
      <c r="F573" s="454">
        <v>600</v>
      </c>
      <c r="G573" s="455">
        <v>5.45</v>
      </c>
      <c r="H573" s="675">
        <f t="shared" si="32"/>
        <v>3270</v>
      </c>
      <c r="I573" s="455">
        <v>108</v>
      </c>
      <c r="J573" s="450"/>
      <c r="K573" s="450"/>
      <c r="L573" s="450"/>
      <c r="M573" s="455">
        <f t="shared" si="33"/>
        <v>108</v>
      </c>
      <c r="N573" s="456">
        <f t="shared" si="34"/>
        <v>3162</v>
      </c>
      <c r="O573" s="457" t="s">
        <v>2936</v>
      </c>
      <c r="P573" s="459" t="s">
        <v>369</v>
      </c>
      <c r="Q573" s="451"/>
    </row>
    <row r="574" spans="1:19" ht="12.75" customHeight="1" x14ac:dyDescent="0.25">
      <c r="A574" s="743"/>
      <c r="B574" s="295" t="s">
        <v>3311</v>
      </c>
      <c r="C574" s="460" t="s">
        <v>3297</v>
      </c>
      <c r="D574" s="684" t="s">
        <v>1245</v>
      </c>
      <c r="E574" s="454">
        <v>6500</v>
      </c>
      <c r="F574" s="454">
        <v>1350</v>
      </c>
      <c r="G574" s="455">
        <v>5.45</v>
      </c>
      <c r="H574" s="675">
        <f t="shared" si="32"/>
        <v>7357.5</v>
      </c>
      <c r="I574" s="455">
        <v>243</v>
      </c>
      <c r="J574" s="450"/>
      <c r="K574" s="450"/>
      <c r="L574" s="450"/>
      <c r="M574" s="455">
        <f t="shared" si="33"/>
        <v>243</v>
      </c>
      <c r="N574" s="456">
        <f t="shared" si="34"/>
        <v>7114.5</v>
      </c>
      <c r="O574" s="457" t="s">
        <v>2936</v>
      </c>
      <c r="P574" s="459" t="s">
        <v>369</v>
      </c>
      <c r="Q574" s="451"/>
    </row>
    <row r="575" spans="1:19" ht="12.75" customHeight="1" x14ac:dyDescent="0.25">
      <c r="A575" s="743"/>
      <c r="B575" s="295" t="s">
        <v>3311</v>
      </c>
      <c r="C575" s="452" t="s">
        <v>3297</v>
      </c>
      <c r="D575" s="684" t="s">
        <v>1245</v>
      </c>
      <c r="E575" s="454">
        <v>6500</v>
      </c>
      <c r="F575" s="454">
        <v>50</v>
      </c>
      <c r="G575" s="455">
        <v>5.45</v>
      </c>
      <c r="H575" s="675">
        <f t="shared" si="32"/>
        <v>272.5</v>
      </c>
      <c r="I575" s="455">
        <v>9</v>
      </c>
      <c r="J575" s="450"/>
      <c r="K575" s="450"/>
      <c r="L575" s="450"/>
      <c r="M575" s="455">
        <f t="shared" si="33"/>
        <v>9</v>
      </c>
      <c r="N575" s="456">
        <f t="shared" si="34"/>
        <v>263.5</v>
      </c>
      <c r="O575" s="457" t="s">
        <v>2936</v>
      </c>
      <c r="P575" s="459" t="s">
        <v>369</v>
      </c>
      <c r="Q575" s="451"/>
    </row>
    <row r="576" spans="1:19" ht="12.75" customHeight="1" x14ac:dyDescent="0.25">
      <c r="A576" s="743"/>
      <c r="B576" s="295" t="s">
        <v>3311</v>
      </c>
      <c r="C576" s="452" t="s">
        <v>3297</v>
      </c>
      <c r="D576" s="684" t="s">
        <v>1245</v>
      </c>
      <c r="E576" s="454">
        <v>6500</v>
      </c>
      <c r="F576" s="454">
        <v>450</v>
      </c>
      <c r="G576" s="455">
        <v>5.45</v>
      </c>
      <c r="H576" s="675">
        <f t="shared" si="32"/>
        <v>2452.5</v>
      </c>
      <c r="I576" s="455">
        <v>81</v>
      </c>
      <c r="J576" s="457">
        <v>93.87</v>
      </c>
      <c r="K576" s="457">
        <f>2+2</f>
        <v>4</v>
      </c>
      <c r="L576" s="457">
        <v>21.46</v>
      </c>
      <c r="M576" s="455">
        <f t="shared" si="33"/>
        <v>200.33</v>
      </c>
      <c r="N576" s="456">
        <f t="shared" si="34"/>
        <v>2252.17</v>
      </c>
      <c r="O576" s="457" t="s">
        <v>2936</v>
      </c>
      <c r="P576" s="459" t="s">
        <v>369</v>
      </c>
      <c r="Q576" s="451"/>
    </row>
    <row r="577" spans="1:18" ht="12.75" customHeight="1" x14ac:dyDescent="0.25">
      <c r="A577" s="743"/>
      <c r="B577" s="295" t="s">
        <v>3315</v>
      </c>
      <c r="C577" s="460" t="s">
        <v>3297</v>
      </c>
      <c r="D577" s="684" t="s">
        <v>1245</v>
      </c>
      <c r="E577" s="454">
        <v>6600</v>
      </c>
      <c r="F577" s="454">
        <v>200</v>
      </c>
      <c r="G577" s="455">
        <v>10</v>
      </c>
      <c r="H577" s="675">
        <f t="shared" si="32"/>
        <v>2000</v>
      </c>
      <c r="I577" s="455">
        <v>36</v>
      </c>
      <c r="J577" s="450"/>
      <c r="K577" s="450"/>
      <c r="L577" s="450"/>
      <c r="M577" s="455">
        <f t="shared" si="33"/>
        <v>36</v>
      </c>
      <c r="N577" s="456">
        <f t="shared" si="34"/>
        <v>1964</v>
      </c>
      <c r="O577" s="457" t="s">
        <v>2945</v>
      </c>
      <c r="P577" s="459" t="s">
        <v>369</v>
      </c>
      <c r="Q577" s="451"/>
    </row>
    <row r="578" spans="1:18" ht="12.75" customHeight="1" x14ac:dyDescent="0.25">
      <c r="A578" s="743"/>
      <c r="B578" s="295" t="s">
        <v>3315</v>
      </c>
      <c r="C578" s="460" t="s">
        <v>3297</v>
      </c>
      <c r="D578" s="684" t="s">
        <v>1245</v>
      </c>
      <c r="E578" s="454">
        <v>6600</v>
      </c>
      <c r="F578" s="454">
        <v>900</v>
      </c>
      <c r="G578" s="455">
        <v>10</v>
      </c>
      <c r="H578" s="675">
        <f t="shared" si="32"/>
        <v>9000</v>
      </c>
      <c r="I578" s="455">
        <v>162</v>
      </c>
      <c r="J578" s="450"/>
      <c r="K578" s="450"/>
      <c r="L578" s="450"/>
      <c r="M578" s="455">
        <f t="shared" si="33"/>
        <v>162</v>
      </c>
      <c r="N578" s="456">
        <f t="shared" si="34"/>
        <v>8838</v>
      </c>
      <c r="O578" s="457" t="s">
        <v>2945</v>
      </c>
      <c r="P578" s="459" t="s">
        <v>369</v>
      </c>
      <c r="Q578" s="451"/>
    </row>
    <row r="579" spans="1:18" ht="13.2" x14ac:dyDescent="0.25">
      <c r="A579" s="743"/>
      <c r="B579" s="295" t="s">
        <v>3315</v>
      </c>
      <c r="C579" s="460" t="s">
        <v>3313</v>
      </c>
      <c r="D579" s="684" t="s">
        <v>1249</v>
      </c>
      <c r="E579" s="454">
        <v>1020</v>
      </c>
      <c r="F579" s="454">
        <v>750</v>
      </c>
      <c r="G579" s="455">
        <v>4.5999999999999996</v>
      </c>
      <c r="H579" s="675">
        <f t="shared" si="32"/>
        <v>3449.9999999999995</v>
      </c>
      <c r="I579" s="455">
        <v>27</v>
      </c>
      <c r="J579" s="701"/>
      <c r="K579" s="701"/>
      <c r="L579" s="701"/>
      <c r="M579" s="455">
        <f t="shared" si="33"/>
        <v>27</v>
      </c>
      <c r="N579" s="456">
        <f t="shared" si="34"/>
        <v>3422.9999999999995</v>
      </c>
      <c r="O579" s="457" t="s">
        <v>2945</v>
      </c>
      <c r="P579" s="459" t="s">
        <v>369</v>
      </c>
      <c r="Q579" s="451"/>
      <c r="R579" s="247"/>
    </row>
    <row r="580" spans="1:18" ht="12.75" customHeight="1" x14ac:dyDescent="0.25">
      <c r="A580" s="743"/>
      <c r="B580" s="295" t="s">
        <v>3315</v>
      </c>
      <c r="C580" s="460" t="s">
        <v>3313</v>
      </c>
      <c r="D580" s="684" t="s">
        <v>1249</v>
      </c>
      <c r="E580" s="454">
        <v>1020</v>
      </c>
      <c r="F580" s="454">
        <v>250</v>
      </c>
      <c r="G580" s="455">
        <v>4.5999999999999996</v>
      </c>
      <c r="H580" s="675">
        <f t="shared" si="32"/>
        <v>1150</v>
      </c>
      <c r="I580" s="455">
        <v>9</v>
      </c>
      <c r="J580" s="702">
        <v>43.83</v>
      </c>
      <c r="K580" s="702">
        <f>3+2</f>
        <v>5</v>
      </c>
      <c r="L580" s="702">
        <v>21.61</v>
      </c>
      <c r="M580" s="455">
        <f t="shared" si="33"/>
        <v>79.44</v>
      </c>
      <c r="N580" s="456">
        <f t="shared" si="34"/>
        <v>1070.56</v>
      </c>
      <c r="O580" s="457" t="s">
        <v>2945</v>
      </c>
      <c r="P580" s="459" t="s">
        <v>369</v>
      </c>
      <c r="Q580" s="451"/>
    </row>
    <row r="581" spans="1:18" ht="12.75" customHeight="1" x14ac:dyDescent="0.25">
      <c r="A581" s="743"/>
      <c r="B581" s="295" t="s">
        <v>3348</v>
      </c>
      <c r="C581" s="295" t="s">
        <v>3345</v>
      </c>
      <c r="D581" s="685" t="s">
        <v>1249</v>
      </c>
      <c r="E581" s="454">
        <v>130</v>
      </c>
      <c r="F581" s="454">
        <v>2000</v>
      </c>
      <c r="G581" s="455">
        <v>0.7</v>
      </c>
      <c r="H581" s="675">
        <f t="shared" si="32"/>
        <v>1400</v>
      </c>
      <c r="I581" s="455">
        <v>9</v>
      </c>
      <c r="J581" s="450"/>
      <c r="K581" s="450"/>
      <c r="L581" s="450"/>
      <c r="M581" s="455">
        <f t="shared" si="33"/>
        <v>9</v>
      </c>
      <c r="N581" s="456">
        <f t="shared" si="34"/>
        <v>1391</v>
      </c>
      <c r="O581" s="457" t="s">
        <v>2953</v>
      </c>
      <c r="P581" s="463" t="s">
        <v>369</v>
      </c>
      <c r="Q581" s="451"/>
    </row>
    <row r="582" spans="1:18" ht="12.75" customHeight="1" x14ac:dyDescent="0.25">
      <c r="A582" s="743"/>
      <c r="B582" s="295" t="s">
        <v>3348</v>
      </c>
      <c r="C582" s="460" t="s">
        <v>3345</v>
      </c>
      <c r="D582" s="684" t="s">
        <v>1249</v>
      </c>
      <c r="E582" s="454">
        <v>130</v>
      </c>
      <c r="F582" s="454">
        <v>2000</v>
      </c>
      <c r="G582" s="455">
        <v>0.7</v>
      </c>
      <c r="H582" s="675">
        <f t="shared" si="32"/>
        <v>1400</v>
      </c>
      <c r="I582" s="455">
        <v>9</v>
      </c>
      <c r="J582" s="450"/>
      <c r="K582" s="450"/>
      <c r="L582" s="450"/>
      <c r="M582" s="455">
        <f t="shared" si="33"/>
        <v>9</v>
      </c>
      <c r="N582" s="456">
        <f t="shared" si="34"/>
        <v>1391</v>
      </c>
      <c r="O582" s="457" t="s">
        <v>2953</v>
      </c>
      <c r="P582" s="463" t="s">
        <v>369</v>
      </c>
      <c r="Q582" s="451"/>
    </row>
    <row r="583" spans="1:18" ht="13.2" x14ac:dyDescent="0.25">
      <c r="A583" s="743"/>
      <c r="B583" s="295" t="s">
        <v>3348</v>
      </c>
      <c r="C583" s="460" t="s">
        <v>3345</v>
      </c>
      <c r="D583" s="684" t="s">
        <v>1249</v>
      </c>
      <c r="E583" s="454">
        <v>130</v>
      </c>
      <c r="F583" s="454">
        <v>2000</v>
      </c>
      <c r="G583" s="455">
        <v>0.7</v>
      </c>
      <c r="H583" s="675">
        <f t="shared" si="32"/>
        <v>1400</v>
      </c>
      <c r="I583" s="455">
        <v>9</v>
      </c>
      <c r="J583" s="450"/>
      <c r="K583" s="450"/>
      <c r="L583" s="450"/>
      <c r="M583" s="455">
        <f t="shared" si="33"/>
        <v>9</v>
      </c>
      <c r="N583" s="456">
        <f t="shared" si="34"/>
        <v>1391</v>
      </c>
      <c r="O583" s="457" t="s">
        <v>2953</v>
      </c>
      <c r="P583" s="459" t="s">
        <v>369</v>
      </c>
      <c r="Q583" s="451"/>
      <c r="R583" s="247"/>
    </row>
    <row r="584" spans="1:18" ht="13.2" x14ac:dyDescent="0.25">
      <c r="A584" s="743"/>
      <c r="B584" s="295" t="s">
        <v>3348</v>
      </c>
      <c r="C584" s="460" t="s">
        <v>3347</v>
      </c>
      <c r="D584" s="684" t="s">
        <v>1249</v>
      </c>
      <c r="E584" s="454">
        <v>1020</v>
      </c>
      <c r="F584" s="454">
        <v>250</v>
      </c>
      <c r="G584" s="455">
        <v>2.35</v>
      </c>
      <c r="H584" s="675">
        <f t="shared" si="32"/>
        <v>587.5</v>
      </c>
      <c r="I584" s="455">
        <v>9</v>
      </c>
      <c r="J584" s="450"/>
      <c r="K584" s="450"/>
      <c r="L584" s="450"/>
      <c r="M584" s="455">
        <f t="shared" si="33"/>
        <v>9</v>
      </c>
      <c r="N584" s="456">
        <f t="shared" si="34"/>
        <v>578.5</v>
      </c>
      <c r="O584" s="457" t="s">
        <v>2953</v>
      </c>
      <c r="P584" s="463" t="s">
        <v>369</v>
      </c>
      <c r="Q584" s="451"/>
      <c r="R584" s="247"/>
    </row>
    <row r="585" spans="1:18" ht="12.75" customHeight="1" x14ac:dyDescent="0.25">
      <c r="A585" s="743"/>
      <c r="B585" s="295" t="s">
        <v>3348</v>
      </c>
      <c r="C585" s="460" t="s">
        <v>3347</v>
      </c>
      <c r="D585" s="684" t="s">
        <v>1249</v>
      </c>
      <c r="E585" s="454">
        <v>1020</v>
      </c>
      <c r="F585" s="454">
        <v>250</v>
      </c>
      <c r="G585" s="455">
        <v>2.35</v>
      </c>
      <c r="H585" s="675">
        <f t="shared" si="32"/>
        <v>587.5</v>
      </c>
      <c r="I585" s="455">
        <v>9</v>
      </c>
      <c r="J585" s="450"/>
      <c r="K585" s="450"/>
      <c r="L585" s="450"/>
      <c r="M585" s="455">
        <f t="shared" si="33"/>
        <v>9</v>
      </c>
      <c r="N585" s="456">
        <f t="shared" si="34"/>
        <v>578.5</v>
      </c>
      <c r="O585" s="457" t="s">
        <v>2953</v>
      </c>
      <c r="P585" s="463" t="s">
        <v>369</v>
      </c>
      <c r="Q585" s="451"/>
    </row>
    <row r="586" spans="1:18" ht="12.75" customHeight="1" x14ac:dyDescent="0.25">
      <c r="A586" s="743"/>
      <c r="B586" s="295" t="s">
        <v>3348</v>
      </c>
      <c r="C586" s="460" t="s">
        <v>3347</v>
      </c>
      <c r="D586" s="684" t="s">
        <v>1249</v>
      </c>
      <c r="E586" s="454">
        <v>1020</v>
      </c>
      <c r="F586" s="454">
        <v>250</v>
      </c>
      <c r="G586" s="455">
        <v>2.35</v>
      </c>
      <c r="H586" s="675">
        <f t="shared" si="32"/>
        <v>587.5</v>
      </c>
      <c r="I586" s="455">
        <v>9</v>
      </c>
      <c r="J586" s="450"/>
      <c r="K586" s="450"/>
      <c r="L586" s="450"/>
      <c r="M586" s="455">
        <f t="shared" si="33"/>
        <v>9</v>
      </c>
      <c r="N586" s="456">
        <f t="shared" si="34"/>
        <v>578.5</v>
      </c>
      <c r="O586" s="457" t="s">
        <v>2953</v>
      </c>
      <c r="P586" s="463" t="s">
        <v>369</v>
      </c>
      <c r="Q586" s="451"/>
    </row>
    <row r="587" spans="1:18" ht="12.75" customHeight="1" x14ac:dyDescent="0.25">
      <c r="A587" s="743"/>
      <c r="B587" s="295" t="s">
        <v>3348</v>
      </c>
      <c r="C587" s="460" t="s">
        <v>3347</v>
      </c>
      <c r="D587" s="684" t="s">
        <v>1249</v>
      </c>
      <c r="E587" s="454">
        <v>1020</v>
      </c>
      <c r="F587" s="454">
        <v>250</v>
      </c>
      <c r="G587" s="455">
        <v>2.35</v>
      </c>
      <c r="H587" s="675">
        <f t="shared" si="32"/>
        <v>587.5</v>
      </c>
      <c r="I587" s="455">
        <v>9</v>
      </c>
      <c r="J587" s="457">
        <v>13.34</v>
      </c>
      <c r="K587" s="457">
        <f>1+1</f>
        <v>2</v>
      </c>
      <c r="L587" s="457">
        <v>8.93</v>
      </c>
      <c r="M587" s="455">
        <f t="shared" si="33"/>
        <v>33.269999999999996</v>
      </c>
      <c r="N587" s="456">
        <f t="shared" si="34"/>
        <v>554.23</v>
      </c>
      <c r="O587" s="457" t="s">
        <v>2953</v>
      </c>
      <c r="P587" s="463" t="s">
        <v>369</v>
      </c>
      <c r="Q587" s="451"/>
    </row>
    <row r="588" spans="1:18" ht="12.75" customHeight="1" x14ac:dyDescent="0.25">
      <c r="A588" s="743"/>
      <c r="B588" s="295" t="s">
        <v>3351</v>
      </c>
      <c r="C588" s="460" t="s">
        <v>3345</v>
      </c>
      <c r="D588" s="685" t="s">
        <v>1249</v>
      </c>
      <c r="E588" s="454">
        <v>135</v>
      </c>
      <c r="F588" s="454">
        <v>10000</v>
      </c>
      <c r="G588" s="455">
        <v>0.1</v>
      </c>
      <c r="H588" s="675">
        <f t="shared" si="32"/>
        <v>1000</v>
      </c>
      <c r="I588" s="455">
        <v>45</v>
      </c>
      <c r="J588" s="450"/>
      <c r="K588" s="450"/>
      <c r="L588" s="450"/>
      <c r="M588" s="455">
        <f t="shared" si="33"/>
        <v>45</v>
      </c>
      <c r="N588" s="456">
        <f t="shared" si="34"/>
        <v>955</v>
      </c>
      <c r="O588" s="465" t="s">
        <v>3353</v>
      </c>
      <c r="P588" s="463" t="s">
        <v>369</v>
      </c>
      <c r="Q588" s="451"/>
    </row>
    <row r="589" spans="1:18" ht="12.75" customHeight="1" x14ac:dyDescent="0.25">
      <c r="A589" s="743"/>
      <c r="B589" s="295" t="s">
        <v>3351</v>
      </c>
      <c r="C589" s="460" t="s">
        <v>3346</v>
      </c>
      <c r="D589" s="685" t="s">
        <v>1245</v>
      </c>
      <c r="E589" s="454">
        <v>400</v>
      </c>
      <c r="F589" s="454">
        <v>1000</v>
      </c>
      <c r="G589" s="455">
        <v>1</v>
      </c>
      <c r="H589" s="675">
        <f t="shared" si="32"/>
        <v>1000</v>
      </c>
      <c r="I589" s="455">
        <v>9</v>
      </c>
      <c r="J589" s="457">
        <v>8.51</v>
      </c>
      <c r="K589" s="457">
        <v>1</v>
      </c>
      <c r="L589" s="457">
        <v>5.81</v>
      </c>
      <c r="M589" s="455">
        <f t="shared" si="33"/>
        <v>24.319999999999997</v>
      </c>
      <c r="N589" s="456">
        <f t="shared" si="34"/>
        <v>975.68</v>
      </c>
      <c r="O589" s="465" t="s">
        <v>3353</v>
      </c>
      <c r="P589" s="463" t="s">
        <v>369</v>
      </c>
      <c r="Q589" s="451"/>
    </row>
    <row r="590" spans="1:18" ht="12.75" customHeight="1" x14ac:dyDescent="0.25">
      <c r="A590" s="743"/>
      <c r="B590" s="295" t="s">
        <v>3381</v>
      </c>
      <c r="C590" s="460" t="s">
        <v>3379</v>
      </c>
      <c r="D590" s="684" t="s">
        <v>1245</v>
      </c>
      <c r="E590" s="454">
        <v>900</v>
      </c>
      <c r="F590" s="454">
        <v>1250</v>
      </c>
      <c r="G590" s="455">
        <v>31</v>
      </c>
      <c r="H590" s="675">
        <f t="shared" si="32"/>
        <v>38750</v>
      </c>
      <c r="I590" s="455">
        <v>45</v>
      </c>
      <c r="J590" s="457">
        <v>11.37</v>
      </c>
      <c r="K590" s="457">
        <f>7+4</f>
        <v>11</v>
      </c>
      <c r="L590" s="299">
        <v>38.049999999999997</v>
      </c>
      <c r="M590" s="455">
        <f t="shared" si="33"/>
        <v>105.42</v>
      </c>
      <c r="N590" s="456">
        <f t="shared" si="34"/>
        <v>38644.58</v>
      </c>
      <c r="O590" s="465" t="s">
        <v>3382</v>
      </c>
      <c r="P590" s="463" t="s">
        <v>369</v>
      </c>
      <c r="Q590" s="451"/>
    </row>
    <row r="591" spans="1:18" ht="12.75" customHeight="1" x14ac:dyDescent="0.25">
      <c r="A591" s="743"/>
      <c r="B591" s="295" t="s">
        <v>3383</v>
      </c>
      <c r="C591" s="460" t="s">
        <v>3377</v>
      </c>
      <c r="D591" s="684" t="s">
        <v>1249</v>
      </c>
      <c r="E591" s="454">
        <v>270</v>
      </c>
      <c r="F591" s="454">
        <v>2000</v>
      </c>
      <c r="G591" s="455">
        <v>9.15</v>
      </c>
      <c r="H591" s="675">
        <f t="shared" si="32"/>
        <v>18300</v>
      </c>
      <c r="I591" s="455">
        <v>18</v>
      </c>
      <c r="J591" s="450"/>
      <c r="K591" s="450"/>
      <c r="L591" s="450"/>
      <c r="M591" s="455">
        <f t="shared" si="33"/>
        <v>18</v>
      </c>
      <c r="N591" s="456">
        <f t="shared" si="34"/>
        <v>18282</v>
      </c>
      <c r="O591" s="465" t="s">
        <v>3010</v>
      </c>
      <c r="P591" s="463" t="s">
        <v>369</v>
      </c>
      <c r="Q591" s="451"/>
    </row>
    <row r="592" spans="1:18" ht="12.75" customHeight="1" x14ac:dyDescent="0.25">
      <c r="A592" s="743"/>
      <c r="B592" s="295" t="s">
        <v>3393</v>
      </c>
      <c r="C592" s="295" t="s">
        <v>3380</v>
      </c>
      <c r="D592" s="684" t="s">
        <v>1249</v>
      </c>
      <c r="E592" s="454">
        <v>20</v>
      </c>
      <c r="F592" s="454">
        <v>12000</v>
      </c>
      <c r="G592" s="455">
        <v>1.45</v>
      </c>
      <c r="H592" s="675">
        <f t="shared" si="32"/>
        <v>17400</v>
      </c>
      <c r="I592" s="455">
        <v>9</v>
      </c>
      <c r="J592" s="450"/>
      <c r="K592" s="450"/>
      <c r="L592" s="450"/>
      <c r="M592" s="455">
        <f t="shared" si="33"/>
        <v>9</v>
      </c>
      <c r="N592" s="456">
        <f t="shared" si="34"/>
        <v>17391</v>
      </c>
      <c r="O592" s="465" t="s">
        <v>3011</v>
      </c>
      <c r="P592" s="463" t="s">
        <v>369</v>
      </c>
      <c r="Q592" s="451"/>
    </row>
    <row r="593" spans="1:17" ht="12.75" customHeight="1" x14ac:dyDescent="0.25">
      <c r="A593" s="743"/>
      <c r="B593" s="295" t="s">
        <v>3384</v>
      </c>
      <c r="C593" s="460" t="s">
        <v>3391</v>
      </c>
      <c r="D593" s="684" t="s">
        <v>1245</v>
      </c>
      <c r="E593" s="454">
        <v>7000</v>
      </c>
      <c r="F593" s="454">
        <v>200</v>
      </c>
      <c r="G593" s="455">
        <v>25</v>
      </c>
      <c r="H593" s="675">
        <f t="shared" si="32"/>
        <v>5000</v>
      </c>
      <c r="I593" s="455">
        <v>36</v>
      </c>
      <c r="J593" s="450"/>
      <c r="K593" s="450"/>
      <c r="L593" s="450"/>
      <c r="M593" s="455">
        <f t="shared" si="33"/>
        <v>36</v>
      </c>
      <c r="N593" s="456">
        <f t="shared" si="34"/>
        <v>4964</v>
      </c>
      <c r="O593" s="457" t="s">
        <v>1252</v>
      </c>
      <c r="P593" s="463" t="s">
        <v>369</v>
      </c>
      <c r="Q593" s="451"/>
    </row>
    <row r="594" spans="1:17" ht="12.75" customHeight="1" x14ac:dyDescent="0.25">
      <c r="A594" s="743"/>
      <c r="B594" s="295" t="s">
        <v>3384</v>
      </c>
      <c r="C594" s="463" t="s">
        <v>3392</v>
      </c>
      <c r="D594" s="684" t="s">
        <v>1245</v>
      </c>
      <c r="E594" s="454">
        <v>510</v>
      </c>
      <c r="F594" s="454">
        <v>500</v>
      </c>
      <c r="G594" s="455">
        <v>2.2999999999999998</v>
      </c>
      <c r="H594" s="675">
        <f t="shared" si="32"/>
        <v>1150</v>
      </c>
      <c r="I594" s="455">
        <v>9</v>
      </c>
      <c r="J594" s="450"/>
      <c r="K594" s="450"/>
      <c r="L594" s="450"/>
      <c r="M594" s="455">
        <f t="shared" si="33"/>
        <v>9</v>
      </c>
      <c r="N594" s="456">
        <f t="shared" si="34"/>
        <v>1141</v>
      </c>
      <c r="O594" s="457" t="s">
        <v>1252</v>
      </c>
      <c r="P594" s="463" t="s">
        <v>369</v>
      </c>
      <c r="Q594" s="451"/>
    </row>
    <row r="595" spans="1:17" ht="12.75" customHeight="1" x14ac:dyDescent="0.25">
      <c r="A595" s="743"/>
      <c r="B595" s="295" t="s">
        <v>3384</v>
      </c>
      <c r="C595" s="463" t="s">
        <v>3392</v>
      </c>
      <c r="D595" s="684" t="s">
        <v>1245</v>
      </c>
      <c r="E595" s="454">
        <v>510</v>
      </c>
      <c r="F595" s="454">
        <v>500</v>
      </c>
      <c r="G595" s="455">
        <v>2.2999999999999998</v>
      </c>
      <c r="H595" s="675">
        <f t="shared" si="32"/>
        <v>1150</v>
      </c>
      <c r="I595" s="455">
        <v>9</v>
      </c>
      <c r="J595" s="457">
        <v>9.27</v>
      </c>
      <c r="K595" s="457">
        <f>1+2</f>
        <v>3</v>
      </c>
      <c r="L595" s="457">
        <v>11.94</v>
      </c>
      <c r="M595" s="455">
        <f t="shared" si="33"/>
        <v>33.21</v>
      </c>
      <c r="N595" s="456">
        <f t="shared" si="34"/>
        <v>1116.79</v>
      </c>
      <c r="O595" s="457" t="s">
        <v>1252</v>
      </c>
      <c r="P595" s="463" t="s">
        <v>369</v>
      </c>
      <c r="Q595" s="451"/>
    </row>
    <row r="596" spans="1:17" ht="12.75" customHeight="1" x14ac:dyDescent="0.25">
      <c r="A596" s="743"/>
      <c r="B596" s="295" t="s">
        <v>3399</v>
      </c>
      <c r="C596" s="452" t="s">
        <v>3395</v>
      </c>
      <c r="D596" s="684" t="s">
        <v>1249</v>
      </c>
      <c r="E596" s="454">
        <v>20</v>
      </c>
      <c r="F596" s="454">
        <v>13000</v>
      </c>
      <c r="G596" s="455">
        <v>1.45</v>
      </c>
      <c r="H596" s="675">
        <f t="shared" si="32"/>
        <v>18850</v>
      </c>
      <c r="I596" s="455">
        <v>9</v>
      </c>
      <c r="J596" s="450"/>
      <c r="K596" s="450"/>
      <c r="L596" s="450"/>
      <c r="M596" s="455">
        <f t="shared" si="33"/>
        <v>9</v>
      </c>
      <c r="N596" s="456">
        <f t="shared" si="34"/>
        <v>18841</v>
      </c>
      <c r="O596" s="457" t="s">
        <v>3400</v>
      </c>
      <c r="P596" s="463" t="s">
        <v>369</v>
      </c>
      <c r="Q596" s="451"/>
    </row>
    <row r="597" spans="1:17" ht="12.75" customHeight="1" x14ac:dyDescent="0.25">
      <c r="A597" s="743"/>
      <c r="B597" s="295" t="s">
        <v>3419</v>
      </c>
      <c r="C597" s="460" t="s">
        <v>3429</v>
      </c>
      <c r="D597" s="684" t="s">
        <v>1245</v>
      </c>
      <c r="E597" s="454">
        <v>600</v>
      </c>
      <c r="F597" s="454">
        <v>500</v>
      </c>
      <c r="G597" s="455">
        <v>10.6</v>
      </c>
      <c r="H597" s="675">
        <f t="shared" si="32"/>
        <v>5300</v>
      </c>
      <c r="I597" s="455">
        <v>9</v>
      </c>
      <c r="J597" s="457">
        <v>4.5999999999999996</v>
      </c>
      <c r="K597" s="457">
        <f>1+1</f>
        <v>2</v>
      </c>
      <c r="L597" s="457">
        <v>10.19</v>
      </c>
      <c r="M597" s="455">
        <f t="shared" si="33"/>
        <v>25.79</v>
      </c>
      <c r="N597" s="456">
        <f t="shared" si="34"/>
        <v>5274.21</v>
      </c>
      <c r="O597" s="457" t="s">
        <v>3423</v>
      </c>
      <c r="P597" s="463" t="s">
        <v>369</v>
      </c>
      <c r="Q597" s="451"/>
    </row>
    <row r="598" spans="1:17" ht="12.75" customHeight="1" x14ac:dyDescent="0.25">
      <c r="A598" s="743"/>
      <c r="B598" s="295" t="s">
        <v>3422</v>
      </c>
      <c r="C598" s="460" t="s">
        <v>3428</v>
      </c>
      <c r="D598" s="684" t="s">
        <v>1249</v>
      </c>
      <c r="E598" s="454">
        <v>2100</v>
      </c>
      <c r="F598" s="454">
        <v>125</v>
      </c>
      <c r="G598" s="455">
        <v>104</v>
      </c>
      <c r="H598" s="675">
        <f t="shared" si="32"/>
        <v>13000</v>
      </c>
      <c r="I598" s="455">
        <v>9</v>
      </c>
      <c r="J598" s="457">
        <v>10.41</v>
      </c>
      <c r="K598" s="457">
        <f>2+2</f>
        <v>4</v>
      </c>
      <c r="L598" s="457">
        <v>21.17</v>
      </c>
      <c r="M598" s="455">
        <f t="shared" si="33"/>
        <v>44.58</v>
      </c>
      <c r="N598" s="456">
        <f t="shared" si="34"/>
        <v>12955.42</v>
      </c>
      <c r="O598" s="457" t="s">
        <v>3426</v>
      </c>
      <c r="P598" s="463" t="s">
        <v>369</v>
      </c>
      <c r="Q598" s="451"/>
    </row>
    <row r="599" spans="1:17" ht="12.75" customHeight="1" x14ac:dyDescent="0.25">
      <c r="A599" s="743"/>
      <c r="B599" s="295" t="s">
        <v>3432</v>
      </c>
      <c r="C599" s="452" t="s">
        <v>3431</v>
      </c>
      <c r="D599" s="684" t="s">
        <v>1249</v>
      </c>
      <c r="E599" s="454">
        <v>160</v>
      </c>
      <c r="F599" s="454">
        <v>2000</v>
      </c>
      <c r="G599" s="455">
        <v>2</v>
      </c>
      <c r="H599" s="675">
        <f t="shared" si="32"/>
        <v>4000</v>
      </c>
      <c r="I599" s="455">
        <v>9</v>
      </c>
      <c r="J599" s="457">
        <v>4.26</v>
      </c>
      <c r="K599" s="457">
        <f>1+1</f>
        <v>2</v>
      </c>
      <c r="L599" s="457">
        <v>7.44</v>
      </c>
      <c r="M599" s="455">
        <f t="shared" si="33"/>
        <v>22.7</v>
      </c>
      <c r="N599" s="456">
        <f t="shared" si="34"/>
        <v>3977.3</v>
      </c>
      <c r="O599" s="457" t="s">
        <v>3437</v>
      </c>
      <c r="P599" s="463" t="s">
        <v>369</v>
      </c>
      <c r="Q599" s="451"/>
    </row>
    <row r="600" spans="1:17" ht="12.75" customHeight="1" x14ac:dyDescent="0.25">
      <c r="A600" s="743"/>
      <c r="B600" s="295" t="s">
        <v>3438</v>
      </c>
      <c r="C600" s="460" t="s">
        <v>3430</v>
      </c>
      <c r="D600" s="684" t="s">
        <v>1249</v>
      </c>
      <c r="E600" s="454">
        <v>1000</v>
      </c>
      <c r="F600" s="454">
        <v>250</v>
      </c>
      <c r="G600" s="455">
        <v>12.35</v>
      </c>
      <c r="H600" s="675">
        <f t="shared" si="32"/>
        <v>3087.5</v>
      </c>
      <c r="I600" s="455">
        <v>9</v>
      </c>
      <c r="J600" s="450"/>
      <c r="K600" s="450"/>
      <c r="L600" s="450"/>
      <c r="M600" s="455">
        <f t="shared" si="33"/>
        <v>9</v>
      </c>
      <c r="N600" s="456">
        <f t="shared" si="34"/>
        <v>3078.5</v>
      </c>
      <c r="O600" s="457" t="s">
        <v>2252</v>
      </c>
      <c r="P600" s="459" t="s">
        <v>369</v>
      </c>
      <c r="Q600" s="451"/>
    </row>
    <row r="601" spans="1:17" ht="12.75" customHeight="1" x14ac:dyDescent="0.25">
      <c r="A601" s="743"/>
      <c r="B601" s="295" t="s">
        <v>3438</v>
      </c>
      <c r="C601" s="460" t="s">
        <v>3430</v>
      </c>
      <c r="D601" s="684" t="s">
        <v>1249</v>
      </c>
      <c r="E601" s="454">
        <v>1000</v>
      </c>
      <c r="F601" s="454">
        <v>500</v>
      </c>
      <c r="G601" s="455">
        <v>12.35</v>
      </c>
      <c r="H601" s="675">
        <f t="shared" si="32"/>
        <v>6175</v>
      </c>
      <c r="I601" s="455">
        <v>18</v>
      </c>
      <c r="J601" s="450"/>
      <c r="K601" s="450"/>
      <c r="L601" s="450"/>
      <c r="M601" s="455">
        <f t="shared" si="33"/>
        <v>18</v>
      </c>
      <c r="N601" s="456">
        <f t="shared" si="34"/>
        <v>6157</v>
      </c>
      <c r="O601" s="457" t="s">
        <v>2252</v>
      </c>
      <c r="P601" s="459" t="s">
        <v>369</v>
      </c>
      <c r="Q601" s="451"/>
    </row>
    <row r="602" spans="1:17" ht="12.75" customHeight="1" x14ac:dyDescent="0.25">
      <c r="A602" s="743"/>
      <c r="B602" s="295" t="s">
        <v>3438</v>
      </c>
      <c r="C602" s="460" t="s">
        <v>3430</v>
      </c>
      <c r="D602" s="684" t="s">
        <v>1249</v>
      </c>
      <c r="E602" s="454">
        <v>1000</v>
      </c>
      <c r="F602" s="454">
        <v>500</v>
      </c>
      <c r="G602" s="455">
        <v>12.35</v>
      </c>
      <c r="H602" s="675">
        <f t="shared" si="32"/>
        <v>6175</v>
      </c>
      <c r="I602" s="455">
        <v>18</v>
      </c>
      <c r="J602" s="450"/>
      <c r="K602" s="450"/>
      <c r="L602" s="450"/>
      <c r="M602" s="455">
        <f t="shared" si="33"/>
        <v>18</v>
      </c>
      <c r="N602" s="456">
        <f t="shared" si="34"/>
        <v>6157</v>
      </c>
      <c r="O602" s="457" t="s">
        <v>2252</v>
      </c>
      <c r="P602" s="459" t="s">
        <v>369</v>
      </c>
      <c r="Q602" s="451"/>
    </row>
    <row r="603" spans="1:17" ht="12.75" customHeight="1" x14ac:dyDescent="0.25">
      <c r="A603" s="743"/>
      <c r="B603" s="295" t="s">
        <v>3443</v>
      </c>
      <c r="C603" s="460" t="s">
        <v>3440</v>
      </c>
      <c r="D603" s="684" t="s">
        <v>1249</v>
      </c>
      <c r="E603" s="454">
        <v>1720</v>
      </c>
      <c r="F603" s="454">
        <v>250</v>
      </c>
      <c r="G603" s="455">
        <v>15.3</v>
      </c>
      <c r="H603" s="675">
        <f t="shared" si="32"/>
        <v>3825</v>
      </c>
      <c r="I603" s="455">
        <v>9</v>
      </c>
      <c r="J603" s="450"/>
      <c r="K603" s="450"/>
      <c r="L603" s="450"/>
      <c r="M603" s="455">
        <f>SUM(I603:L603)</f>
        <v>9</v>
      </c>
      <c r="N603" s="456">
        <f t="shared" si="34"/>
        <v>3816</v>
      </c>
      <c r="O603" s="457" t="s">
        <v>2248</v>
      </c>
      <c r="P603" s="459" t="s">
        <v>369</v>
      </c>
      <c r="Q603" s="451"/>
    </row>
    <row r="604" spans="1:17" ht="12.75" customHeight="1" x14ac:dyDescent="0.25">
      <c r="A604" s="743"/>
      <c r="B604" s="295" t="s">
        <v>3443</v>
      </c>
      <c r="C604" s="460" t="s">
        <v>3436</v>
      </c>
      <c r="D604" s="684" t="s">
        <v>1249</v>
      </c>
      <c r="E604" s="454">
        <v>880</v>
      </c>
      <c r="F604" s="454">
        <v>1500</v>
      </c>
      <c r="G604" s="455">
        <v>2.95</v>
      </c>
      <c r="H604" s="675">
        <f t="shared" si="32"/>
        <v>4425</v>
      </c>
      <c r="I604" s="455">
        <v>27</v>
      </c>
      <c r="J604" s="457">
        <f>10.37+1</f>
        <v>11.37</v>
      </c>
      <c r="K604" s="457">
        <v>2</v>
      </c>
      <c r="L604" s="457">
        <v>11.92</v>
      </c>
      <c r="M604" s="455">
        <f>SUM(I604:L604)</f>
        <v>52.29</v>
      </c>
      <c r="N604" s="456">
        <f t="shared" si="34"/>
        <v>4372.71</v>
      </c>
      <c r="O604" s="457" t="s">
        <v>2248</v>
      </c>
      <c r="P604" s="459" t="s">
        <v>369</v>
      </c>
      <c r="Q604" s="451"/>
    </row>
    <row r="605" spans="1:17" ht="12.75" customHeight="1" x14ac:dyDescent="0.25">
      <c r="A605" s="743"/>
      <c r="B605" s="295" t="s">
        <v>3448</v>
      </c>
      <c r="C605" s="460" t="s">
        <v>3436</v>
      </c>
      <c r="D605" s="684" t="s">
        <v>1249</v>
      </c>
      <c r="E605" s="454">
        <v>880</v>
      </c>
      <c r="F605" s="454">
        <v>500</v>
      </c>
      <c r="G605" s="455">
        <v>1.75</v>
      </c>
      <c r="H605" s="675">
        <f t="shared" si="32"/>
        <v>875</v>
      </c>
      <c r="I605" s="455">
        <v>9</v>
      </c>
      <c r="J605" s="701"/>
      <c r="K605" s="701"/>
      <c r="L605" s="701"/>
      <c r="M605" s="455">
        <f t="shared" ref="M605:M668" si="35">SUM(I605:L605)</f>
        <v>9</v>
      </c>
      <c r="N605" s="456">
        <f t="shared" si="34"/>
        <v>866</v>
      </c>
      <c r="O605" s="457" t="s">
        <v>3447</v>
      </c>
      <c r="P605" s="459" t="s">
        <v>369</v>
      </c>
      <c r="Q605" s="451"/>
    </row>
    <row r="606" spans="1:17" ht="12.75" customHeight="1" x14ac:dyDescent="0.25">
      <c r="A606" s="743"/>
      <c r="B606" s="295" t="s">
        <v>3448</v>
      </c>
      <c r="C606" s="460" t="s">
        <v>3436</v>
      </c>
      <c r="D606" s="684" t="s">
        <v>1249</v>
      </c>
      <c r="E606" s="454">
        <v>880</v>
      </c>
      <c r="F606" s="454">
        <v>1500</v>
      </c>
      <c r="G606" s="455">
        <v>1.75</v>
      </c>
      <c r="H606" s="675">
        <f t="shared" si="32"/>
        <v>2625</v>
      </c>
      <c r="I606" s="455">
        <v>27</v>
      </c>
      <c r="J606" s="701"/>
      <c r="K606" s="701"/>
      <c r="L606" s="701"/>
      <c r="M606" s="455">
        <f t="shared" si="35"/>
        <v>27</v>
      </c>
      <c r="N606" s="456">
        <f t="shared" si="34"/>
        <v>2598</v>
      </c>
      <c r="O606" s="457" t="s">
        <v>3447</v>
      </c>
      <c r="P606" s="459" t="s">
        <v>369</v>
      </c>
      <c r="Q606" s="451"/>
    </row>
    <row r="607" spans="1:17" ht="12.75" customHeight="1" x14ac:dyDescent="0.25">
      <c r="A607" s="743"/>
      <c r="B607" s="295" t="s">
        <v>3448</v>
      </c>
      <c r="C607" s="460" t="s">
        <v>3431</v>
      </c>
      <c r="D607" s="684" t="s">
        <v>1249</v>
      </c>
      <c r="E607" s="454">
        <v>160</v>
      </c>
      <c r="F607" s="454">
        <v>2000</v>
      </c>
      <c r="G607" s="455">
        <v>1</v>
      </c>
      <c r="H607" s="675">
        <f t="shared" si="32"/>
        <v>2000</v>
      </c>
      <c r="I607" s="455">
        <v>9</v>
      </c>
      <c r="J607" s="701"/>
      <c r="K607" s="701"/>
      <c r="L607" s="701"/>
      <c r="M607" s="455">
        <f t="shared" si="35"/>
        <v>9</v>
      </c>
      <c r="N607" s="456">
        <f t="shared" si="34"/>
        <v>1991</v>
      </c>
      <c r="O607" s="457" t="s">
        <v>3447</v>
      </c>
      <c r="P607" s="463" t="s">
        <v>369</v>
      </c>
      <c r="Q607" s="451"/>
    </row>
    <row r="608" spans="1:17" ht="12.75" customHeight="1" x14ac:dyDescent="0.25">
      <c r="A608" s="743"/>
      <c r="B608" s="295" t="s">
        <v>3448</v>
      </c>
      <c r="C608" s="460" t="s">
        <v>3431</v>
      </c>
      <c r="D608" s="684" t="s">
        <v>1249</v>
      </c>
      <c r="E608" s="454">
        <v>160</v>
      </c>
      <c r="F608" s="454">
        <v>2000</v>
      </c>
      <c r="G608" s="455">
        <v>1</v>
      </c>
      <c r="H608" s="675">
        <f t="shared" si="32"/>
        <v>2000</v>
      </c>
      <c r="I608" s="455">
        <v>9</v>
      </c>
      <c r="J608" s="701"/>
      <c r="K608" s="701"/>
      <c r="L608" s="701"/>
      <c r="M608" s="455">
        <f t="shared" si="35"/>
        <v>9</v>
      </c>
      <c r="N608" s="456">
        <f t="shared" si="34"/>
        <v>1991</v>
      </c>
      <c r="O608" s="457" t="s">
        <v>3447</v>
      </c>
      <c r="P608" s="463" t="s">
        <v>369</v>
      </c>
      <c r="Q608" s="451"/>
    </row>
    <row r="609" spans="1:18" ht="12.75" customHeight="1" x14ac:dyDescent="0.25">
      <c r="A609" s="743"/>
      <c r="B609" s="295" t="s">
        <v>3448</v>
      </c>
      <c r="C609" s="460" t="s">
        <v>3431</v>
      </c>
      <c r="D609" s="684" t="s">
        <v>1249</v>
      </c>
      <c r="E609" s="454">
        <v>160</v>
      </c>
      <c r="F609" s="454">
        <v>6000</v>
      </c>
      <c r="G609" s="455">
        <v>1</v>
      </c>
      <c r="H609" s="675">
        <f t="shared" si="32"/>
        <v>6000</v>
      </c>
      <c r="I609" s="455">
        <v>27</v>
      </c>
      <c r="J609" s="450"/>
      <c r="K609" s="450"/>
      <c r="L609" s="450"/>
      <c r="M609" s="455">
        <f t="shared" si="35"/>
        <v>27</v>
      </c>
      <c r="N609" s="456">
        <f t="shared" si="34"/>
        <v>5973</v>
      </c>
      <c r="O609" s="457" t="s">
        <v>3447</v>
      </c>
      <c r="P609" s="463" t="s">
        <v>369</v>
      </c>
      <c r="Q609" s="451"/>
    </row>
    <row r="610" spans="1:18" ht="13.2" x14ac:dyDescent="0.25">
      <c r="A610" s="743"/>
      <c r="B610" s="295" t="s">
        <v>3448</v>
      </c>
      <c r="C610" s="460" t="s">
        <v>3431</v>
      </c>
      <c r="D610" s="684" t="s">
        <v>1249</v>
      </c>
      <c r="E610" s="454">
        <v>160</v>
      </c>
      <c r="F610" s="454">
        <v>2000</v>
      </c>
      <c r="G610" s="455">
        <v>1</v>
      </c>
      <c r="H610" s="675">
        <f t="shared" si="32"/>
        <v>2000</v>
      </c>
      <c r="I610" s="455">
        <v>9</v>
      </c>
      <c r="J610" s="450"/>
      <c r="K610" s="450"/>
      <c r="L610" s="703"/>
      <c r="M610" s="455">
        <f t="shared" si="35"/>
        <v>9</v>
      </c>
      <c r="N610" s="456">
        <f t="shared" si="34"/>
        <v>1991</v>
      </c>
      <c r="O610" s="457" t="s">
        <v>3447</v>
      </c>
      <c r="P610" s="463" t="s">
        <v>369</v>
      </c>
      <c r="Q610" s="451"/>
      <c r="R610" s="247"/>
    </row>
    <row r="611" spans="1:18" ht="12.75" customHeight="1" x14ac:dyDescent="0.25">
      <c r="A611" s="743"/>
      <c r="B611" s="295" t="s">
        <v>3477</v>
      </c>
      <c r="C611" s="460" t="s">
        <v>3475</v>
      </c>
      <c r="D611" s="685" t="s">
        <v>1245</v>
      </c>
      <c r="E611" s="454">
        <v>7400</v>
      </c>
      <c r="F611" s="454">
        <v>400</v>
      </c>
      <c r="G611" s="455">
        <v>2.2999999999999998</v>
      </c>
      <c r="H611" s="675">
        <f t="shared" si="32"/>
        <v>919.99999999999989</v>
      </c>
      <c r="I611" s="455">
        <v>72</v>
      </c>
      <c r="J611" s="457"/>
      <c r="K611" s="457"/>
      <c r="L611" s="457"/>
      <c r="M611" s="455">
        <f t="shared" si="35"/>
        <v>72</v>
      </c>
      <c r="N611" s="456">
        <f t="shared" si="34"/>
        <v>847.99999999999989</v>
      </c>
      <c r="O611" s="465" t="s">
        <v>2393</v>
      </c>
      <c r="P611" s="463" t="s">
        <v>369</v>
      </c>
      <c r="Q611" s="451"/>
    </row>
    <row r="612" spans="1:18" ht="12.75" customHeight="1" x14ac:dyDescent="0.25">
      <c r="A612" s="743"/>
      <c r="B612" s="295" t="s">
        <v>3473</v>
      </c>
      <c r="C612" s="460" t="s">
        <v>3466</v>
      </c>
      <c r="D612" s="684" t="s">
        <v>1249</v>
      </c>
      <c r="E612" s="454">
        <v>125</v>
      </c>
      <c r="F612" s="454">
        <v>4000</v>
      </c>
      <c r="G612" s="455">
        <v>0.55000000000000004</v>
      </c>
      <c r="H612" s="675">
        <f t="shared" si="32"/>
        <v>2200</v>
      </c>
      <c r="I612" s="455">
        <v>9</v>
      </c>
      <c r="J612" s="450"/>
      <c r="K612" s="450"/>
      <c r="L612" s="703"/>
      <c r="M612" s="455">
        <f t="shared" si="35"/>
        <v>9</v>
      </c>
      <c r="N612" s="456">
        <f t="shared" si="34"/>
        <v>2191</v>
      </c>
      <c r="O612" s="457" t="s">
        <v>3476</v>
      </c>
      <c r="P612" s="463" t="s">
        <v>369</v>
      </c>
      <c r="Q612" s="451"/>
    </row>
    <row r="613" spans="1:18" ht="12.75" customHeight="1" x14ac:dyDescent="0.25">
      <c r="A613" s="743"/>
      <c r="B613" s="295" t="s">
        <v>3473</v>
      </c>
      <c r="C613" s="460" t="s">
        <v>3446</v>
      </c>
      <c r="D613" s="684" t="s">
        <v>1249</v>
      </c>
      <c r="E613" s="454">
        <v>135</v>
      </c>
      <c r="F613" s="454">
        <v>2000</v>
      </c>
      <c r="G613" s="455">
        <v>0.8</v>
      </c>
      <c r="H613" s="675">
        <f t="shared" si="32"/>
        <v>1600</v>
      </c>
      <c r="I613" s="455">
        <v>9</v>
      </c>
      <c r="J613" s="450"/>
      <c r="K613" s="450"/>
      <c r="L613" s="703"/>
      <c r="M613" s="455">
        <f t="shared" si="35"/>
        <v>9</v>
      </c>
      <c r="N613" s="456">
        <f t="shared" si="34"/>
        <v>1591</v>
      </c>
      <c r="O613" s="457" t="s">
        <v>3476</v>
      </c>
      <c r="P613" s="463" t="s">
        <v>369</v>
      </c>
      <c r="Q613" s="451"/>
    </row>
    <row r="614" spans="1:18" ht="12.75" customHeight="1" x14ac:dyDescent="0.25">
      <c r="A614" s="743"/>
      <c r="B614" s="295" t="s">
        <v>3473</v>
      </c>
      <c r="C614" s="460" t="s">
        <v>3446</v>
      </c>
      <c r="D614" s="685" t="s">
        <v>1249</v>
      </c>
      <c r="E614" s="454">
        <v>135</v>
      </c>
      <c r="F614" s="454">
        <v>2000</v>
      </c>
      <c r="G614" s="455">
        <v>0.8</v>
      </c>
      <c r="H614" s="675">
        <f t="shared" si="32"/>
        <v>1600</v>
      </c>
      <c r="I614" s="455">
        <v>9</v>
      </c>
      <c r="J614" s="450"/>
      <c r="K614" s="450"/>
      <c r="L614" s="703"/>
      <c r="M614" s="455">
        <f t="shared" si="35"/>
        <v>9</v>
      </c>
      <c r="N614" s="456">
        <f t="shared" si="34"/>
        <v>1591</v>
      </c>
      <c r="O614" s="457" t="s">
        <v>3476</v>
      </c>
      <c r="P614" s="463" t="s">
        <v>369</v>
      </c>
      <c r="Q614" s="451"/>
    </row>
    <row r="615" spans="1:18" ht="12.75" customHeight="1" x14ac:dyDescent="0.25">
      <c r="A615" s="743"/>
      <c r="B615" s="295" t="s">
        <v>3473</v>
      </c>
      <c r="C615" s="460" t="s">
        <v>3446</v>
      </c>
      <c r="D615" s="685" t="s">
        <v>1249</v>
      </c>
      <c r="E615" s="454">
        <v>135</v>
      </c>
      <c r="F615" s="454">
        <v>2000</v>
      </c>
      <c r="G615" s="455">
        <v>0.8</v>
      </c>
      <c r="H615" s="675">
        <f t="shared" si="32"/>
        <v>1600</v>
      </c>
      <c r="I615" s="455">
        <v>9</v>
      </c>
      <c r="J615" s="450"/>
      <c r="K615" s="450"/>
      <c r="L615" s="703"/>
      <c r="M615" s="455">
        <f t="shared" si="35"/>
        <v>9</v>
      </c>
      <c r="N615" s="456">
        <f t="shared" si="34"/>
        <v>1591</v>
      </c>
      <c r="O615" s="457" t="s">
        <v>3476</v>
      </c>
      <c r="P615" s="463" t="s">
        <v>369</v>
      </c>
      <c r="Q615" s="451"/>
    </row>
    <row r="616" spans="1:18" ht="12.75" customHeight="1" x14ac:dyDescent="0.25">
      <c r="A616" s="743"/>
      <c r="B616" s="295" t="s">
        <v>3477</v>
      </c>
      <c r="C616" s="460" t="s">
        <v>3430</v>
      </c>
      <c r="D616" s="685" t="s">
        <v>1249</v>
      </c>
      <c r="E616" s="454">
        <v>1020</v>
      </c>
      <c r="F616" s="454">
        <v>250</v>
      </c>
      <c r="G616" s="455">
        <v>2.75</v>
      </c>
      <c r="H616" s="675">
        <f t="shared" si="32"/>
        <v>687.5</v>
      </c>
      <c r="I616" s="455">
        <v>9</v>
      </c>
      <c r="J616" s="450"/>
      <c r="K616" s="450"/>
      <c r="L616" s="703"/>
      <c r="M616" s="455">
        <f t="shared" si="35"/>
        <v>9</v>
      </c>
      <c r="N616" s="456">
        <f t="shared" si="34"/>
        <v>678.5</v>
      </c>
      <c r="O616" s="457" t="s">
        <v>3480</v>
      </c>
      <c r="P616" s="463" t="s">
        <v>369</v>
      </c>
      <c r="Q616" s="451"/>
    </row>
    <row r="617" spans="1:18" ht="13.2" x14ac:dyDescent="0.25">
      <c r="A617" s="743"/>
      <c r="B617" s="295" t="s">
        <v>3477</v>
      </c>
      <c r="C617" s="460" t="s">
        <v>3430</v>
      </c>
      <c r="D617" s="685" t="s">
        <v>1249</v>
      </c>
      <c r="E617" s="454">
        <v>1020</v>
      </c>
      <c r="F617" s="454">
        <v>250</v>
      </c>
      <c r="G617" s="455">
        <v>2.75</v>
      </c>
      <c r="H617" s="675">
        <f t="shared" si="32"/>
        <v>687.5</v>
      </c>
      <c r="I617" s="455">
        <v>9</v>
      </c>
      <c r="J617" s="450"/>
      <c r="K617" s="450"/>
      <c r="L617" s="703"/>
      <c r="M617" s="455">
        <f t="shared" si="35"/>
        <v>9</v>
      </c>
      <c r="N617" s="456">
        <f t="shared" si="34"/>
        <v>678.5</v>
      </c>
      <c r="O617" s="457" t="s">
        <v>3480</v>
      </c>
      <c r="P617" s="463" t="s">
        <v>369</v>
      </c>
      <c r="Q617" s="451"/>
      <c r="R617" s="247"/>
    </row>
    <row r="618" spans="1:18" ht="12.75" customHeight="1" x14ac:dyDescent="0.25">
      <c r="B618" s="295" t="s">
        <v>3495</v>
      </c>
      <c r="C618" s="295" t="s">
        <v>3490</v>
      </c>
      <c r="D618" s="685" t="s">
        <v>1249</v>
      </c>
      <c r="E618" s="454">
        <v>40</v>
      </c>
      <c r="F618" s="454">
        <v>10000</v>
      </c>
      <c r="G618" s="455">
        <v>0.8</v>
      </c>
      <c r="H618" s="675">
        <f t="shared" si="32"/>
        <v>8000</v>
      </c>
      <c r="I618" s="455">
        <v>9</v>
      </c>
      <c r="J618" s="450"/>
      <c r="K618" s="450"/>
      <c r="L618" s="703"/>
      <c r="M618" s="455">
        <f t="shared" si="35"/>
        <v>9</v>
      </c>
      <c r="N618" s="456">
        <f t="shared" si="34"/>
        <v>7991</v>
      </c>
      <c r="O618" s="299" t="s">
        <v>2426</v>
      </c>
      <c r="P618" s="249" t="s">
        <v>369</v>
      </c>
    </row>
    <row r="619" spans="1:18" ht="12.75" customHeight="1" x14ac:dyDescent="0.25">
      <c r="B619" s="295" t="s">
        <v>3495</v>
      </c>
      <c r="C619" s="295" t="s">
        <v>3491</v>
      </c>
      <c r="D619" s="231" t="s">
        <v>1249</v>
      </c>
      <c r="E619" s="249">
        <v>1000</v>
      </c>
      <c r="F619" s="454">
        <v>250</v>
      </c>
      <c r="G619" s="299">
        <v>18.05</v>
      </c>
      <c r="H619" s="675">
        <f t="shared" si="32"/>
        <v>4512.5</v>
      </c>
      <c r="I619" s="299">
        <v>9</v>
      </c>
      <c r="J619" s="450"/>
      <c r="K619" s="450"/>
      <c r="L619" s="703"/>
      <c r="M619" s="455">
        <f t="shared" si="35"/>
        <v>9</v>
      </c>
      <c r="N619" s="456">
        <f t="shared" si="34"/>
        <v>4503.5</v>
      </c>
      <c r="O619" s="299" t="s">
        <v>2426</v>
      </c>
      <c r="P619" s="249" t="s">
        <v>369</v>
      </c>
    </row>
    <row r="620" spans="1:18" ht="12.75" customHeight="1" x14ac:dyDescent="0.25">
      <c r="B620" s="295" t="s">
        <v>3503</v>
      </c>
      <c r="C620" s="452" t="s">
        <v>3492</v>
      </c>
      <c r="D620" s="684" t="s">
        <v>1249</v>
      </c>
      <c r="E620" s="454">
        <v>140</v>
      </c>
      <c r="F620" s="454">
        <v>2000</v>
      </c>
      <c r="G620" s="455">
        <v>4.3499999999999996</v>
      </c>
      <c r="H620" s="675">
        <f t="shared" si="32"/>
        <v>8700</v>
      </c>
      <c r="I620" s="455">
        <v>9</v>
      </c>
      <c r="J620" s="450"/>
      <c r="K620" s="450"/>
      <c r="L620" s="703"/>
      <c r="M620" s="455">
        <f t="shared" si="35"/>
        <v>9</v>
      </c>
      <c r="N620" s="456">
        <f t="shared" si="34"/>
        <v>8691</v>
      </c>
      <c r="O620" s="299" t="s">
        <v>1019</v>
      </c>
      <c r="P620" s="249" t="s">
        <v>369</v>
      </c>
    </row>
    <row r="621" spans="1:18" ht="12.75" customHeight="1" x14ac:dyDescent="0.25">
      <c r="B621" s="295" t="s">
        <v>3503</v>
      </c>
      <c r="C621" s="452" t="s">
        <v>3494</v>
      </c>
      <c r="D621" s="684" t="s">
        <v>1249</v>
      </c>
      <c r="E621" s="454">
        <v>460</v>
      </c>
      <c r="F621" s="454">
        <v>1000</v>
      </c>
      <c r="G621" s="455">
        <v>7.15</v>
      </c>
      <c r="H621" s="675">
        <f t="shared" si="32"/>
        <v>7150</v>
      </c>
      <c r="I621" s="455">
        <v>9</v>
      </c>
      <c r="J621" s="450"/>
      <c r="K621" s="450"/>
      <c r="L621" s="703"/>
      <c r="M621" s="455">
        <f t="shared" si="35"/>
        <v>9</v>
      </c>
      <c r="N621" s="456">
        <f t="shared" si="34"/>
        <v>7141</v>
      </c>
      <c r="O621" s="299" t="s">
        <v>1019</v>
      </c>
      <c r="P621" s="249" t="s">
        <v>369</v>
      </c>
    </row>
    <row r="622" spans="1:18" ht="12.75" customHeight="1" x14ac:dyDescent="0.25">
      <c r="B622" s="295" t="s">
        <v>3503</v>
      </c>
      <c r="C622" s="452" t="s">
        <v>3491</v>
      </c>
      <c r="D622" s="684" t="s">
        <v>1249</v>
      </c>
      <c r="E622" s="454">
        <v>1000</v>
      </c>
      <c r="F622" s="454">
        <v>250</v>
      </c>
      <c r="G622" s="455">
        <v>28</v>
      </c>
      <c r="H622" s="675">
        <f t="shared" si="32"/>
        <v>7000</v>
      </c>
      <c r="I622" s="455">
        <v>9</v>
      </c>
      <c r="J622" s="299">
        <f>13.97+4</f>
        <v>17.97</v>
      </c>
      <c r="K622" s="299">
        <v>3</v>
      </c>
      <c r="L622" s="299">
        <v>32.049999999999997</v>
      </c>
      <c r="M622" s="455">
        <f t="shared" si="35"/>
        <v>62.019999999999996</v>
      </c>
      <c r="N622" s="456">
        <f t="shared" si="34"/>
        <v>6937.98</v>
      </c>
      <c r="O622" s="299" t="s">
        <v>1019</v>
      </c>
      <c r="P622" s="249" t="s">
        <v>369</v>
      </c>
    </row>
    <row r="623" spans="1:18" ht="12.75" customHeight="1" x14ac:dyDescent="0.25">
      <c r="B623" s="295" t="s">
        <v>3496</v>
      </c>
      <c r="C623" s="295" t="s">
        <v>3501</v>
      </c>
      <c r="D623" s="684" t="s">
        <v>1249</v>
      </c>
      <c r="E623" s="454">
        <v>880</v>
      </c>
      <c r="F623" s="454">
        <v>500</v>
      </c>
      <c r="G623" s="455">
        <v>10.5</v>
      </c>
      <c r="H623" s="675">
        <f t="shared" si="32"/>
        <v>5250</v>
      </c>
      <c r="I623" s="455">
        <v>9</v>
      </c>
      <c r="J623" s="450"/>
      <c r="K623" s="450"/>
      <c r="L623" s="450"/>
      <c r="M623" s="455">
        <f t="shared" si="35"/>
        <v>9</v>
      </c>
      <c r="N623" s="456">
        <f t="shared" si="34"/>
        <v>5241</v>
      </c>
      <c r="O623" s="299" t="s">
        <v>1021</v>
      </c>
      <c r="P623" s="249" t="s">
        <v>369</v>
      </c>
    </row>
    <row r="624" spans="1:18" ht="12.75" customHeight="1" x14ac:dyDescent="0.25">
      <c r="B624" s="295" t="s">
        <v>3514</v>
      </c>
      <c r="C624" s="295" t="s">
        <v>3513</v>
      </c>
      <c r="D624" s="684" t="s">
        <v>1245</v>
      </c>
      <c r="E624" s="454">
        <v>2600</v>
      </c>
      <c r="F624" s="454">
        <v>125</v>
      </c>
      <c r="G624" s="455">
        <v>67.8</v>
      </c>
      <c r="H624" s="675">
        <f t="shared" si="32"/>
        <v>8475</v>
      </c>
      <c r="I624" s="455">
        <v>9</v>
      </c>
      <c r="J624" s="450"/>
      <c r="K624" s="450"/>
      <c r="L624" s="450"/>
      <c r="M624" s="455">
        <f t="shared" si="35"/>
        <v>9</v>
      </c>
      <c r="N624" s="456">
        <f>H624-M624</f>
        <v>8466</v>
      </c>
      <c r="O624" s="299" t="s">
        <v>2296</v>
      </c>
      <c r="P624" s="249" t="s">
        <v>369</v>
      </c>
    </row>
    <row r="625" spans="1:17" ht="12.75" customHeight="1" x14ac:dyDescent="0.25">
      <c r="B625" s="295" t="s">
        <v>3514</v>
      </c>
      <c r="C625" s="295" t="s">
        <v>3509</v>
      </c>
      <c r="D625" s="684" t="s">
        <v>1245</v>
      </c>
      <c r="E625" s="454">
        <v>230</v>
      </c>
      <c r="F625" s="454">
        <v>2000</v>
      </c>
      <c r="G625" s="455">
        <v>5.95</v>
      </c>
      <c r="H625" s="675">
        <f t="shared" si="32"/>
        <v>11900</v>
      </c>
      <c r="I625" s="455">
        <v>9</v>
      </c>
      <c r="J625" s="450"/>
      <c r="K625" s="450"/>
      <c r="L625" s="450"/>
      <c r="M625" s="455">
        <f t="shared" si="35"/>
        <v>9</v>
      </c>
      <c r="N625" s="456">
        <f t="shared" ref="N625:N688" si="36">H625-M625</f>
        <v>11891</v>
      </c>
      <c r="O625" s="299" t="s">
        <v>2296</v>
      </c>
      <c r="P625" s="249" t="s">
        <v>369</v>
      </c>
    </row>
    <row r="626" spans="1:17" ht="12.75" customHeight="1" x14ac:dyDescent="0.25">
      <c r="B626" s="295" t="s">
        <v>3514</v>
      </c>
      <c r="C626" s="295" t="s">
        <v>3509</v>
      </c>
      <c r="D626" s="684" t="s">
        <v>1245</v>
      </c>
      <c r="E626" s="454">
        <v>230</v>
      </c>
      <c r="F626" s="454">
        <v>2000</v>
      </c>
      <c r="G626" s="455">
        <v>5.85</v>
      </c>
      <c r="H626" s="675">
        <f t="shared" si="32"/>
        <v>11700</v>
      </c>
      <c r="I626" s="455">
        <v>9</v>
      </c>
      <c r="J626" s="450"/>
      <c r="K626" s="450"/>
      <c r="L626" s="450"/>
      <c r="M626" s="455">
        <f t="shared" si="35"/>
        <v>9</v>
      </c>
      <c r="N626" s="456">
        <f t="shared" si="36"/>
        <v>11691</v>
      </c>
      <c r="O626" s="299" t="s">
        <v>2296</v>
      </c>
      <c r="P626" s="249" t="s">
        <v>369</v>
      </c>
    </row>
    <row r="627" spans="1:17" ht="12.75" customHeight="1" x14ac:dyDescent="0.25">
      <c r="B627" s="295" t="s">
        <v>3514</v>
      </c>
      <c r="C627" s="295" t="s">
        <v>3491</v>
      </c>
      <c r="D627" s="684" t="s">
        <v>1249</v>
      </c>
      <c r="E627" s="454">
        <v>1040</v>
      </c>
      <c r="F627" s="454">
        <v>250</v>
      </c>
      <c r="G627" s="455">
        <v>27.8</v>
      </c>
      <c r="H627" s="675">
        <f t="shared" si="32"/>
        <v>6950</v>
      </c>
      <c r="I627" s="455">
        <v>9</v>
      </c>
      <c r="J627" s="450"/>
      <c r="K627" s="450"/>
      <c r="L627" s="450"/>
      <c r="M627" s="455">
        <f t="shared" si="35"/>
        <v>9</v>
      </c>
      <c r="N627" s="456">
        <f t="shared" si="36"/>
        <v>6941</v>
      </c>
      <c r="O627" s="299" t="s">
        <v>2296</v>
      </c>
      <c r="P627" s="249" t="s">
        <v>369</v>
      </c>
    </row>
    <row r="628" spans="1:17" ht="12.75" customHeight="1" x14ac:dyDescent="0.25">
      <c r="B628" s="295" t="s">
        <v>3514</v>
      </c>
      <c r="C628" s="295" t="s">
        <v>3491</v>
      </c>
      <c r="D628" s="684" t="s">
        <v>1249</v>
      </c>
      <c r="E628" s="454">
        <v>1040</v>
      </c>
      <c r="F628" s="454">
        <v>750</v>
      </c>
      <c r="G628" s="455">
        <v>27.8</v>
      </c>
      <c r="H628" s="675">
        <f t="shared" si="32"/>
        <v>20850</v>
      </c>
      <c r="I628" s="455">
        <v>27</v>
      </c>
      <c r="J628" s="450"/>
      <c r="K628" s="450"/>
      <c r="L628" s="450"/>
      <c r="M628" s="455">
        <f t="shared" si="35"/>
        <v>27</v>
      </c>
      <c r="N628" s="456">
        <f t="shared" si="36"/>
        <v>20823</v>
      </c>
      <c r="O628" s="299" t="s">
        <v>2296</v>
      </c>
      <c r="P628" s="249" t="s">
        <v>369</v>
      </c>
    </row>
    <row r="629" spans="1:17" ht="12.75" customHeight="1" x14ac:dyDescent="0.25">
      <c r="B629" s="295" t="s">
        <v>3514</v>
      </c>
      <c r="C629" s="295" t="s">
        <v>3491</v>
      </c>
      <c r="D629" s="684" t="s">
        <v>1249</v>
      </c>
      <c r="E629" s="454">
        <v>1040</v>
      </c>
      <c r="F629" s="454">
        <v>250</v>
      </c>
      <c r="G629" s="455">
        <v>27.8</v>
      </c>
      <c r="H629" s="675">
        <f t="shared" si="32"/>
        <v>6950</v>
      </c>
      <c r="I629" s="455">
        <v>9</v>
      </c>
      <c r="J629" s="450"/>
      <c r="K629" s="450"/>
      <c r="L629" s="450"/>
      <c r="M629" s="455">
        <f t="shared" si="35"/>
        <v>9</v>
      </c>
      <c r="N629" s="456">
        <f t="shared" si="36"/>
        <v>6941</v>
      </c>
      <c r="O629" s="299" t="s">
        <v>2296</v>
      </c>
      <c r="P629" s="249" t="s">
        <v>369</v>
      </c>
    </row>
    <row r="630" spans="1:17" ht="12.75" customHeight="1" x14ac:dyDescent="0.25">
      <c r="B630" s="295" t="s">
        <v>3514</v>
      </c>
      <c r="C630" s="295" t="s">
        <v>3510</v>
      </c>
      <c r="D630" s="684" t="s">
        <v>1245</v>
      </c>
      <c r="E630" s="454">
        <v>37.5</v>
      </c>
      <c r="F630" s="454">
        <v>9000</v>
      </c>
      <c r="G630" s="455">
        <v>2.2000000000000002</v>
      </c>
      <c r="H630" s="675">
        <f t="shared" si="32"/>
        <v>19800</v>
      </c>
      <c r="I630" s="455">
        <v>9</v>
      </c>
      <c r="J630" s="450"/>
      <c r="K630" s="450"/>
      <c r="L630" s="450"/>
      <c r="M630" s="455">
        <f t="shared" si="35"/>
        <v>9</v>
      </c>
      <c r="N630" s="456">
        <f t="shared" si="36"/>
        <v>19791</v>
      </c>
      <c r="O630" s="299" t="s">
        <v>2296</v>
      </c>
      <c r="P630" s="249" t="s">
        <v>369</v>
      </c>
    </row>
    <row r="631" spans="1:17" ht="12.75" customHeight="1" x14ac:dyDescent="0.25">
      <c r="B631" s="295" t="s">
        <v>3514</v>
      </c>
      <c r="C631" s="295" t="s">
        <v>3511</v>
      </c>
      <c r="D631" s="684" t="s">
        <v>1245</v>
      </c>
      <c r="E631" s="454">
        <v>1650</v>
      </c>
      <c r="F631" s="454">
        <v>500</v>
      </c>
      <c r="G631" s="455">
        <v>48.2</v>
      </c>
      <c r="H631" s="675">
        <f t="shared" si="32"/>
        <v>24100</v>
      </c>
      <c r="I631" s="455">
        <v>18</v>
      </c>
      <c r="J631" s="450"/>
      <c r="K631" s="450"/>
      <c r="L631" s="450"/>
      <c r="M631" s="455">
        <f t="shared" si="35"/>
        <v>18</v>
      </c>
      <c r="N631" s="456">
        <f t="shared" si="36"/>
        <v>24082</v>
      </c>
      <c r="O631" s="299" t="s">
        <v>2296</v>
      </c>
      <c r="P631" s="249" t="s">
        <v>369</v>
      </c>
    </row>
    <row r="632" spans="1:17" ht="12.75" customHeight="1" x14ac:dyDescent="0.25">
      <c r="B632" s="295" t="s">
        <v>3514</v>
      </c>
      <c r="C632" s="295" t="s">
        <v>3502</v>
      </c>
      <c r="D632" s="684" t="s">
        <v>1249</v>
      </c>
      <c r="E632" s="454">
        <v>1080</v>
      </c>
      <c r="F632" s="454">
        <v>250</v>
      </c>
      <c r="G632" s="455">
        <v>14</v>
      </c>
      <c r="H632" s="675">
        <f t="shared" si="32"/>
        <v>3500</v>
      </c>
      <c r="I632" s="455">
        <v>9</v>
      </c>
      <c r="J632" s="450"/>
      <c r="K632" s="450"/>
      <c r="L632" s="450"/>
      <c r="M632" s="455">
        <f t="shared" si="35"/>
        <v>9</v>
      </c>
      <c r="N632" s="456">
        <f t="shared" si="36"/>
        <v>3491</v>
      </c>
      <c r="O632" s="299" t="s">
        <v>2296</v>
      </c>
      <c r="P632" s="249" t="s">
        <v>369</v>
      </c>
    </row>
    <row r="633" spans="1:17" ht="12.75" customHeight="1" x14ac:dyDescent="0.25">
      <c r="B633" s="295" t="s">
        <v>3514</v>
      </c>
      <c r="C633" s="295" t="s">
        <v>3502</v>
      </c>
      <c r="D633" s="684" t="s">
        <v>1249</v>
      </c>
      <c r="E633" s="454">
        <v>1080</v>
      </c>
      <c r="F633" s="454">
        <v>250</v>
      </c>
      <c r="G633" s="455">
        <v>14</v>
      </c>
      <c r="H633" s="675">
        <f t="shared" si="32"/>
        <v>3500</v>
      </c>
      <c r="I633" s="455">
        <v>9</v>
      </c>
      <c r="J633" s="450"/>
      <c r="K633" s="450"/>
      <c r="L633" s="450"/>
      <c r="M633" s="455">
        <f t="shared" si="35"/>
        <v>9</v>
      </c>
      <c r="N633" s="456">
        <f t="shared" si="36"/>
        <v>3491</v>
      </c>
      <c r="O633" s="299" t="s">
        <v>2296</v>
      </c>
      <c r="P633" s="249" t="s">
        <v>369</v>
      </c>
    </row>
    <row r="634" spans="1:17" ht="12.75" customHeight="1" x14ac:dyDescent="0.25">
      <c r="B634" s="295" t="s">
        <v>3514</v>
      </c>
      <c r="C634" s="295" t="s">
        <v>3502</v>
      </c>
      <c r="D634" s="684" t="s">
        <v>1249</v>
      </c>
      <c r="E634" s="454">
        <v>1080</v>
      </c>
      <c r="F634" s="454">
        <v>250</v>
      </c>
      <c r="G634" s="455">
        <v>14</v>
      </c>
      <c r="H634" s="675">
        <f t="shared" si="32"/>
        <v>3500</v>
      </c>
      <c r="I634" s="455">
        <v>9</v>
      </c>
      <c r="J634" s="450"/>
      <c r="K634" s="450"/>
      <c r="L634" s="450"/>
      <c r="M634" s="455">
        <f t="shared" si="35"/>
        <v>9</v>
      </c>
      <c r="N634" s="456">
        <f t="shared" si="36"/>
        <v>3491</v>
      </c>
      <c r="O634" s="299" t="s">
        <v>2296</v>
      </c>
      <c r="P634" s="249" t="s">
        <v>369</v>
      </c>
    </row>
    <row r="635" spans="1:17" ht="12.75" customHeight="1" x14ac:dyDescent="0.25">
      <c r="B635" s="295" t="s">
        <v>3514</v>
      </c>
      <c r="C635" s="295" t="s">
        <v>3502</v>
      </c>
      <c r="D635" s="684" t="s">
        <v>1249</v>
      </c>
      <c r="E635" s="454">
        <v>1080</v>
      </c>
      <c r="F635" s="454">
        <v>250</v>
      </c>
      <c r="G635" s="455">
        <v>14</v>
      </c>
      <c r="H635" s="675">
        <f t="shared" si="32"/>
        <v>3500</v>
      </c>
      <c r="I635" s="455">
        <v>9</v>
      </c>
      <c r="J635" s="450"/>
      <c r="K635" s="450"/>
      <c r="L635" s="450"/>
      <c r="M635" s="455">
        <f t="shared" si="35"/>
        <v>9</v>
      </c>
      <c r="N635" s="456">
        <f t="shared" si="36"/>
        <v>3491</v>
      </c>
      <c r="O635" s="299" t="s">
        <v>2296</v>
      </c>
      <c r="P635" s="249" t="s">
        <v>369</v>
      </c>
    </row>
    <row r="636" spans="1:17" ht="12.75" customHeight="1" x14ac:dyDescent="0.25">
      <c r="B636" s="295" t="s">
        <v>3514</v>
      </c>
      <c r="C636" s="295" t="s">
        <v>3502</v>
      </c>
      <c r="D636" s="684" t="s">
        <v>1249</v>
      </c>
      <c r="E636" s="454">
        <v>1080</v>
      </c>
      <c r="F636" s="454">
        <v>250</v>
      </c>
      <c r="G636" s="455">
        <v>14</v>
      </c>
      <c r="H636" s="675">
        <f t="shared" ref="H636:H689" si="37">F636*G636</f>
        <v>3500</v>
      </c>
      <c r="I636" s="455">
        <v>9</v>
      </c>
      <c r="J636" s="450"/>
      <c r="K636" s="450"/>
      <c r="L636" s="450"/>
      <c r="M636" s="455">
        <f t="shared" si="35"/>
        <v>9</v>
      </c>
      <c r="N636" s="456">
        <f t="shared" si="36"/>
        <v>3491</v>
      </c>
      <c r="O636" s="299" t="s">
        <v>2296</v>
      </c>
      <c r="P636" s="249" t="s">
        <v>369</v>
      </c>
    </row>
    <row r="637" spans="1:17" ht="12.75" customHeight="1" x14ac:dyDescent="0.25">
      <c r="B637" s="295" t="s">
        <v>3514</v>
      </c>
      <c r="C637" s="295" t="s">
        <v>3512</v>
      </c>
      <c r="D637" s="684" t="s">
        <v>1245</v>
      </c>
      <c r="E637" s="454">
        <v>100</v>
      </c>
      <c r="F637" s="454">
        <v>4000</v>
      </c>
      <c r="G637" s="455">
        <v>4.4000000000000004</v>
      </c>
      <c r="H637" s="675">
        <f t="shared" si="37"/>
        <v>17600</v>
      </c>
      <c r="I637" s="455">
        <v>9</v>
      </c>
      <c r="J637" s="299">
        <f>43.6+25</f>
        <v>68.599999999999994</v>
      </c>
      <c r="K637" s="299">
        <v>12</v>
      </c>
      <c r="L637" s="299">
        <v>136.69999999999999</v>
      </c>
      <c r="M637" s="455">
        <f t="shared" si="35"/>
        <v>226.29999999999998</v>
      </c>
      <c r="N637" s="456">
        <f t="shared" si="36"/>
        <v>17373.7</v>
      </c>
      <c r="O637" s="299" t="s">
        <v>2296</v>
      </c>
      <c r="P637" s="249" t="s">
        <v>369</v>
      </c>
    </row>
    <row r="638" spans="1:17" ht="12.75" customHeight="1" x14ac:dyDescent="0.25">
      <c r="A638" s="743"/>
      <c r="B638" s="295" t="s">
        <v>3518</v>
      </c>
      <c r="C638" s="537" t="s">
        <v>3492</v>
      </c>
      <c r="D638" s="684" t="s">
        <v>1249</v>
      </c>
      <c r="E638" s="454">
        <v>140</v>
      </c>
      <c r="F638" s="454">
        <v>2000</v>
      </c>
      <c r="G638" s="455">
        <v>2.35</v>
      </c>
      <c r="H638" s="675">
        <f t="shared" si="37"/>
        <v>4700</v>
      </c>
      <c r="I638" s="455">
        <v>9</v>
      </c>
      <c r="J638" s="450"/>
      <c r="K638" s="450"/>
      <c r="L638" s="450"/>
      <c r="M638" s="455">
        <f t="shared" si="35"/>
        <v>9</v>
      </c>
      <c r="N638" s="456">
        <f t="shared" si="36"/>
        <v>4691</v>
      </c>
      <c r="O638" s="457" t="s">
        <v>3517</v>
      </c>
      <c r="P638" s="463" t="s">
        <v>369</v>
      </c>
      <c r="Q638" s="451"/>
    </row>
    <row r="639" spans="1:17" ht="12.75" customHeight="1" x14ac:dyDescent="0.25">
      <c r="A639" s="743"/>
      <c r="B639" s="295" t="s">
        <v>3518</v>
      </c>
      <c r="C639" s="537" t="s">
        <v>3492</v>
      </c>
      <c r="D639" s="684" t="s">
        <v>1249</v>
      </c>
      <c r="E639" s="454">
        <v>140</v>
      </c>
      <c r="F639" s="454">
        <v>2000</v>
      </c>
      <c r="G639" s="455">
        <v>2.35</v>
      </c>
      <c r="H639" s="675">
        <f t="shared" si="37"/>
        <v>4700</v>
      </c>
      <c r="I639" s="455">
        <v>9</v>
      </c>
      <c r="J639" s="450"/>
      <c r="K639" s="450"/>
      <c r="L639" s="450"/>
      <c r="M639" s="455">
        <f t="shared" si="35"/>
        <v>9</v>
      </c>
      <c r="N639" s="456">
        <f t="shared" si="36"/>
        <v>4691</v>
      </c>
      <c r="O639" s="457" t="s">
        <v>3517</v>
      </c>
      <c r="P639" s="463" t="s">
        <v>369</v>
      </c>
      <c r="Q639" s="451"/>
    </row>
    <row r="640" spans="1:17" ht="12.75" customHeight="1" x14ac:dyDescent="0.25">
      <c r="A640" s="743"/>
      <c r="B640" s="295" t="s">
        <v>3518</v>
      </c>
      <c r="C640" s="537" t="s">
        <v>3515</v>
      </c>
      <c r="D640" s="684" t="s">
        <v>1249</v>
      </c>
      <c r="E640" s="454">
        <v>150</v>
      </c>
      <c r="F640" s="454">
        <v>2000</v>
      </c>
      <c r="G640" s="455">
        <v>1.4</v>
      </c>
      <c r="H640" s="675">
        <f t="shared" si="37"/>
        <v>2800</v>
      </c>
      <c r="I640" s="455">
        <v>9</v>
      </c>
      <c r="J640" s="450"/>
      <c r="K640" s="450"/>
      <c r="L640" s="450"/>
      <c r="M640" s="455">
        <f t="shared" si="35"/>
        <v>9</v>
      </c>
      <c r="N640" s="456">
        <f t="shared" si="36"/>
        <v>2791</v>
      </c>
      <c r="O640" s="457" t="s">
        <v>3517</v>
      </c>
      <c r="P640" s="463" t="s">
        <v>369</v>
      </c>
      <c r="Q640" s="451"/>
    </row>
    <row r="641" spans="1:18" ht="12.75" customHeight="1" x14ac:dyDescent="0.25">
      <c r="A641" s="743"/>
      <c r="B641" s="295" t="s">
        <v>3518</v>
      </c>
      <c r="C641" s="537" t="s">
        <v>3515</v>
      </c>
      <c r="D641" s="684" t="s">
        <v>1249</v>
      </c>
      <c r="E641" s="454">
        <v>150</v>
      </c>
      <c r="F641" s="454">
        <v>4000</v>
      </c>
      <c r="G641" s="455">
        <v>1.4</v>
      </c>
      <c r="H641" s="675">
        <f t="shared" si="37"/>
        <v>5600</v>
      </c>
      <c r="I641" s="455">
        <v>18</v>
      </c>
      <c r="J641" s="457">
        <f>18.25+3</f>
        <v>21.25</v>
      </c>
      <c r="K641" s="457">
        <v>4</v>
      </c>
      <c r="L641" s="457">
        <v>39.619999999999997</v>
      </c>
      <c r="M641" s="455">
        <f t="shared" si="35"/>
        <v>82.87</v>
      </c>
      <c r="N641" s="456">
        <f t="shared" si="36"/>
        <v>5517.13</v>
      </c>
      <c r="O641" s="457" t="s">
        <v>3517</v>
      </c>
      <c r="P641" s="463" t="s">
        <v>369</v>
      </c>
      <c r="Q641" s="451"/>
    </row>
    <row r="642" spans="1:18" ht="12.75" customHeight="1" x14ac:dyDescent="0.25">
      <c r="A642" s="743"/>
      <c r="B642" s="295" t="s">
        <v>3520</v>
      </c>
      <c r="C642" s="538" t="s">
        <v>3522</v>
      </c>
      <c r="D642" s="684" t="s">
        <v>1245</v>
      </c>
      <c r="E642" s="454">
        <v>460</v>
      </c>
      <c r="F642" s="454">
        <v>1000</v>
      </c>
      <c r="G642" s="455">
        <v>1.2</v>
      </c>
      <c r="H642" s="675">
        <f t="shared" si="37"/>
        <v>1200</v>
      </c>
      <c r="I642" s="455">
        <v>9</v>
      </c>
      <c r="J642" s="450"/>
      <c r="K642" s="450"/>
      <c r="L642" s="450"/>
      <c r="M642" s="455">
        <f t="shared" si="35"/>
        <v>9</v>
      </c>
      <c r="N642" s="456">
        <f t="shared" si="36"/>
        <v>1191</v>
      </c>
      <c r="O642" s="465" t="s">
        <v>3523</v>
      </c>
      <c r="P642" s="463" t="s">
        <v>369</v>
      </c>
      <c r="Q642" s="451"/>
    </row>
    <row r="643" spans="1:18" ht="12.75" customHeight="1" x14ac:dyDescent="0.25">
      <c r="A643" s="743"/>
      <c r="B643" s="295" t="s">
        <v>3520</v>
      </c>
      <c r="C643" s="538" t="s">
        <v>3522</v>
      </c>
      <c r="D643" s="684" t="s">
        <v>1245</v>
      </c>
      <c r="E643" s="454">
        <v>460</v>
      </c>
      <c r="F643" s="454">
        <v>2000</v>
      </c>
      <c r="G643" s="455">
        <v>1.2</v>
      </c>
      <c r="H643" s="675">
        <f t="shared" si="37"/>
        <v>2400</v>
      </c>
      <c r="I643" s="455">
        <v>18</v>
      </c>
      <c r="J643" s="450"/>
      <c r="K643" s="450"/>
      <c r="L643" s="450"/>
      <c r="M643" s="455">
        <f t="shared" si="35"/>
        <v>18</v>
      </c>
      <c r="N643" s="456">
        <f t="shared" si="36"/>
        <v>2382</v>
      </c>
      <c r="O643" s="465" t="s">
        <v>3523</v>
      </c>
      <c r="P643" s="463" t="s">
        <v>369</v>
      </c>
      <c r="Q643" s="451"/>
    </row>
    <row r="644" spans="1:18" ht="12.75" customHeight="1" x14ac:dyDescent="0.25">
      <c r="A644" s="743"/>
      <c r="B644" s="295" t="s">
        <v>3520</v>
      </c>
      <c r="C644" s="537" t="s">
        <v>3521</v>
      </c>
      <c r="D644" s="684" t="s">
        <v>1249</v>
      </c>
      <c r="E644" s="454">
        <v>360</v>
      </c>
      <c r="F644" s="454">
        <v>1000</v>
      </c>
      <c r="G644" s="455">
        <v>2.85</v>
      </c>
      <c r="H644" s="675">
        <f t="shared" si="37"/>
        <v>2850</v>
      </c>
      <c r="I644" s="455">
        <v>9</v>
      </c>
      <c r="J644" s="450"/>
      <c r="K644" s="450"/>
      <c r="L644" s="450"/>
      <c r="M644" s="455">
        <f t="shared" si="35"/>
        <v>9</v>
      </c>
      <c r="N644" s="456">
        <f t="shared" si="36"/>
        <v>2841</v>
      </c>
      <c r="O644" s="465" t="s">
        <v>3523</v>
      </c>
      <c r="P644" s="463" t="s">
        <v>369</v>
      </c>
      <c r="Q644" s="451"/>
    </row>
    <row r="645" spans="1:18" ht="12.75" customHeight="1" x14ac:dyDescent="0.25">
      <c r="A645" s="743"/>
      <c r="B645" s="295" t="s">
        <v>3520</v>
      </c>
      <c r="C645" s="537" t="s">
        <v>3521</v>
      </c>
      <c r="D645" s="684" t="s">
        <v>1249</v>
      </c>
      <c r="E645" s="454">
        <v>360</v>
      </c>
      <c r="F645" s="454">
        <v>1000</v>
      </c>
      <c r="G645" s="455">
        <v>2.85</v>
      </c>
      <c r="H645" s="675">
        <f t="shared" si="37"/>
        <v>2850</v>
      </c>
      <c r="I645" s="455">
        <v>9</v>
      </c>
      <c r="J645" s="450"/>
      <c r="K645" s="450"/>
      <c r="L645" s="450"/>
      <c r="M645" s="455">
        <f t="shared" si="35"/>
        <v>9</v>
      </c>
      <c r="N645" s="456">
        <f t="shared" si="36"/>
        <v>2841</v>
      </c>
      <c r="O645" s="465" t="s">
        <v>3523</v>
      </c>
      <c r="P645" s="463" t="s">
        <v>369</v>
      </c>
      <c r="Q645" s="451"/>
    </row>
    <row r="646" spans="1:18" ht="12.75" customHeight="1" x14ac:dyDescent="0.25">
      <c r="A646" s="743"/>
      <c r="B646" s="295" t="s">
        <v>3520</v>
      </c>
      <c r="C646" s="537" t="s">
        <v>3492</v>
      </c>
      <c r="D646" s="684" t="s">
        <v>1249</v>
      </c>
      <c r="E646" s="454">
        <v>140</v>
      </c>
      <c r="F646" s="454">
        <v>2000</v>
      </c>
      <c r="G646" s="455">
        <v>2.25</v>
      </c>
      <c r="H646" s="675">
        <f t="shared" si="37"/>
        <v>4500</v>
      </c>
      <c r="I646" s="455">
        <v>9</v>
      </c>
      <c r="J646" s="450"/>
      <c r="K646" s="450"/>
      <c r="L646" s="450"/>
      <c r="M646" s="455">
        <f t="shared" si="35"/>
        <v>9</v>
      </c>
      <c r="N646" s="456">
        <f t="shared" si="36"/>
        <v>4491</v>
      </c>
      <c r="O646" s="465" t="s">
        <v>3523</v>
      </c>
      <c r="P646" s="463" t="s">
        <v>369</v>
      </c>
      <c r="Q646" s="451"/>
    </row>
    <row r="647" spans="1:18" ht="12.75" customHeight="1" x14ac:dyDescent="0.25">
      <c r="A647" s="743"/>
      <c r="B647" s="295" t="s">
        <v>3520</v>
      </c>
      <c r="C647" s="537" t="s">
        <v>3492</v>
      </c>
      <c r="D647" s="684" t="s">
        <v>1249</v>
      </c>
      <c r="E647" s="454">
        <v>140</v>
      </c>
      <c r="F647" s="454">
        <v>2000</v>
      </c>
      <c r="G647" s="455">
        <v>2.2000000000000002</v>
      </c>
      <c r="H647" s="675">
        <f t="shared" si="37"/>
        <v>4400</v>
      </c>
      <c r="I647" s="455">
        <v>9</v>
      </c>
      <c r="J647" s="450"/>
      <c r="K647" s="450"/>
      <c r="L647" s="450"/>
      <c r="M647" s="455">
        <f t="shared" si="35"/>
        <v>9</v>
      </c>
      <c r="N647" s="456">
        <f t="shared" si="36"/>
        <v>4391</v>
      </c>
      <c r="O647" s="465" t="s">
        <v>3523</v>
      </c>
      <c r="P647" s="463" t="s">
        <v>369</v>
      </c>
      <c r="Q647" s="451"/>
    </row>
    <row r="648" spans="1:18" ht="12.75" customHeight="1" x14ac:dyDescent="0.25">
      <c r="B648" s="295" t="s">
        <v>3520</v>
      </c>
      <c r="C648" s="538" t="s">
        <v>3516</v>
      </c>
      <c r="D648" s="684" t="s">
        <v>1245</v>
      </c>
      <c r="E648" s="454">
        <v>480</v>
      </c>
      <c r="F648" s="454">
        <v>2000</v>
      </c>
      <c r="G648" s="455">
        <v>2</v>
      </c>
      <c r="H648" s="675">
        <f t="shared" si="37"/>
        <v>4000</v>
      </c>
      <c r="I648" s="455">
        <v>18</v>
      </c>
      <c r="J648" s="450"/>
      <c r="K648" s="450"/>
      <c r="L648" s="450"/>
      <c r="M648" s="455">
        <f t="shared" si="35"/>
        <v>18</v>
      </c>
      <c r="N648" s="456">
        <f t="shared" si="36"/>
        <v>3982</v>
      </c>
      <c r="O648" s="465" t="s">
        <v>3523</v>
      </c>
      <c r="P648" s="249" t="s">
        <v>369</v>
      </c>
    </row>
    <row r="649" spans="1:18" ht="12.75" customHeight="1" x14ac:dyDescent="0.25">
      <c r="B649" s="295" t="s">
        <v>3520</v>
      </c>
      <c r="C649" s="537" t="s">
        <v>3516</v>
      </c>
      <c r="D649" s="684" t="s">
        <v>1245</v>
      </c>
      <c r="E649" s="454">
        <v>480</v>
      </c>
      <c r="F649" s="454">
        <v>2000</v>
      </c>
      <c r="G649" s="455">
        <v>4.5999999999999996</v>
      </c>
      <c r="H649" s="675">
        <f t="shared" si="37"/>
        <v>9200</v>
      </c>
      <c r="I649" s="455">
        <v>18</v>
      </c>
      <c r="J649" s="299">
        <f>35.77+5</f>
        <v>40.770000000000003</v>
      </c>
      <c r="K649" s="299">
        <v>6</v>
      </c>
      <c r="L649" s="299">
        <v>64.37</v>
      </c>
      <c r="M649" s="455">
        <f t="shared" si="35"/>
        <v>129.14000000000001</v>
      </c>
      <c r="N649" s="456">
        <f t="shared" si="36"/>
        <v>9070.86</v>
      </c>
      <c r="O649" s="465" t="s">
        <v>3523</v>
      </c>
      <c r="P649" s="249" t="s">
        <v>369</v>
      </c>
    </row>
    <row r="650" spans="1:18" ht="13.2" x14ac:dyDescent="0.25">
      <c r="A650" s="743"/>
      <c r="B650" s="295" t="s">
        <v>3530</v>
      </c>
      <c r="C650" s="537" t="s">
        <v>3521</v>
      </c>
      <c r="D650" s="685" t="s">
        <v>1249</v>
      </c>
      <c r="E650" s="454">
        <v>360</v>
      </c>
      <c r="F650" s="454">
        <v>2000</v>
      </c>
      <c r="G650" s="455">
        <v>2.1</v>
      </c>
      <c r="H650" s="675">
        <f t="shared" si="37"/>
        <v>4200</v>
      </c>
      <c r="I650" s="455">
        <v>18</v>
      </c>
      <c r="J650" s="450"/>
      <c r="K650" s="450"/>
      <c r="L650" s="450"/>
      <c r="M650" s="455">
        <f t="shared" si="35"/>
        <v>18</v>
      </c>
      <c r="N650" s="456">
        <f t="shared" si="36"/>
        <v>4182</v>
      </c>
      <c r="O650" s="465" t="s">
        <v>1714</v>
      </c>
      <c r="P650" s="463" t="s">
        <v>369</v>
      </c>
      <c r="Q650" s="451"/>
      <c r="R650" s="247"/>
    </row>
    <row r="651" spans="1:18" ht="12.75" customHeight="1" x14ac:dyDescent="0.25">
      <c r="A651" s="743"/>
      <c r="B651" s="295" t="s">
        <v>3530</v>
      </c>
      <c r="C651" s="537" t="s">
        <v>3521</v>
      </c>
      <c r="D651" s="684" t="s">
        <v>1249</v>
      </c>
      <c r="E651" s="454">
        <v>360</v>
      </c>
      <c r="F651" s="454">
        <v>1000</v>
      </c>
      <c r="G651" s="455">
        <v>2.0499999999999998</v>
      </c>
      <c r="H651" s="675">
        <f t="shared" si="37"/>
        <v>2050</v>
      </c>
      <c r="I651" s="455">
        <v>9</v>
      </c>
      <c r="J651" s="450"/>
      <c r="K651" s="450"/>
      <c r="L651" s="450"/>
      <c r="M651" s="455">
        <f t="shared" si="35"/>
        <v>9</v>
      </c>
      <c r="N651" s="456">
        <f t="shared" si="36"/>
        <v>2041</v>
      </c>
      <c r="O651" s="465" t="s">
        <v>1714</v>
      </c>
      <c r="P651" s="463" t="s">
        <v>369</v>
      </c>
      <c r="Q651" s="451"/>
    </row>
    <row r="652" spans="1:18" ht="12.75" customHeight="1" x14ac:dyDescent="0.25">
      <c r="A652" s="743"/>
      <c r="B652" s="295" t="s">
        <v>3530</v>
      </c>
      <c r="C652" s="537" t="s">
        <v>3521</v>
      </c>
      <c r="D652" s="684" t="s">
        <v>1249</v>
      </c>
      <c r="E652" s="454">
        <v>360</v>
      </c>
      <c r="F652" s="454">
        <v>4000</v>
      </c>
      <c r="G652" s="455">
        <v>2.25</v>
      </c>
      <c r="H652" s="675">
        <f t="shared" si="37"/>
        <v>9000</v>
      </c>
      <c r="I652" s="455">
        <v>36</v>
      </c>
      <c r="J652" s="450"/>
      <c r="K652" s="450"/>
      <c r="L652" s="450"/>
      <c r="M652" s="455">
        <f t="shared" si="35"/>
        <v>36</v>
      </c>
      <c r="N652" s="456">
        <f t="shared" si="36"/>
        <v>8964</v>
      </c>
      <c r="O652" s="465" t="s">
        <v>1714</v>
      </c>
      <c r="P652" s="463" t="s">
        <v>369</v>
      </c>
      <c r="Q652" s="451"/>
    </row>
    <row r="653" spans="1:18" ht="12.75" customHeight="1" x14ac:dyDescent="0.25">
      <c r="A653" s="743"/>
      <c r="B653" s="295" t="s">
        <v>3530</v>
      </c>
      <c r="C653" s="537" t="s">
        <v>3521</v>
      </c>
      <c r="D653" s="684" t="s">
        <v>1249</v>
      </c>
      <c r="E653" s="454">
        <v>360</v>
      </c>
      <c r="F653" s="454">
        <v>1000</v>
      </c>
      <c r="G653" s="455">
        <v>2.2000000000000002</v>
      </c>
      <c r="H653" s="675">
        <f t="shared" si="37"/>
        <v>2200</v>
      </c>
      <c r="I653" s="455">
        <v>9</v>
      </c>
      <c r="J653" s="450"/>
      <c r="K653" s="450"/>
      <c r="L653" s="450"/>
      <c r="M653" s="455">
        <f t="shared" si="35"/>
        <v>9</v>
      </c>
      <c r="N653" s="456">
        <f t="shared" si="36"/>
        <v>2191</v>
      </c>
      <c r="O653" s="465" t="s">
        <v>1714</v>
      </c>
      <c r="P653" s="463" t="s">
        <v>369</v>
      </c>
      <c r="Q653" s="451"/>
    </row>
    <row r="654" spans="1:18" ht="12.75" customHeight="1" x14ac:dyDescent="0.25">
      <c r="A654" s="743"/>
      <c r="B654" s="295" t="s">
        <v>3530</v>
      </c>
      <c r="C654" s="537" t="s">
        <v>3492</v>
      </c>
      <c r="D654" s="684" t="s">
        <v>1249</v>
      </c>
      <c r="E654" s="454">
        <v>145</v>
      </c>
      <c r="F654" s="454">
        <v>2000</v>
      </c>
      <c r="G654" s="455">
        <v>1</v>
      </c>
      <c r="H654" s="675">
        <f t="shared" si="37"/>
        <v>2000</v>
      </c>
      <c r="I654" s="455">
        <v>9</v>
      </c>
      <c r="J654" s="450"/>
      <c r="K654" s="450"/>
      <c r="L654" s="450"/>
      <c r="M654" s="455">
        <f t="shared" si="35"/>
        <v>9</v>
      </c>
      <c r="N654" s="456">
        <f t="shared" si="36"/>
        <v>1991</v>
      </c>
      <c r="O654" s="465" t="s">
        <v>1714</v>
      </c>
      <c r="P654" s="463" t="s">
        <v>369</v>
      </c>
      <c r="Q654" s="451"/>
    </row>
    <row r="655" spans="1:18" ht="12.75" customHeight="1" x14ac:dyDescent="0.25">
      <c r="A655" s="743"/>
      <c r="B655" s="295" t="s">
        <v>3530</v>
      </c>
      <c r="C655" s="537" t="s">
        <v>3516</v>
      </c>
      <c r="D655" s="684" t="s">
        <v>1245</v>
      </c>
      <c r="E655" s="454">
        <v>480</v>
      </c>
      <c r="F655" s="454">
        <v>1000</v>
      </c>
      <c r="G655" s="455">
        <v>7.7</v>
      </c>
      <c r="H655" s="675">
        <f t="shared" si="37"/>
        <v>7700</v>
      </c>
      <c r="I655" s="455">
        <v>9</v>
      </c>
      <c r="J655" s="450"/>
      <c r="K655" s="450"/>
      <c r="L655" s="450"/>
      <c r="M655" s="455">
        <f t="shared" si="35"/>
        <v>9</v>
      </c>
      <c r="N655" s="456">
        <f t="shared" si="36"/>
        <v>7691</v>
      </c>
      <c r="O655" s="465" t="s">
        <v>1714</v>
      </c>
      <c r="P655" s="463" t="s">
        <v>369</v>
      </c>
      <c r="Q655" s="451"/>
    </row>
    <row r="656" spans="1:18" ht="12.75" customHeight="1" x14ac:dyDescent="0.25">
      <c r="A656" s="743"/>
      <c r="B656" s="295" t="s">
        <v>3534</v>
      </c>
      <c r="C656" s="538" t="s">
        <v>3492</v>
      </c>
      <c r="D656" s="684" t="s">
        <v>1249</v>
      </c>
      <c r="E656" s="454">
        <v>140</v>
      </c>
      <c r="F656" s="454">
        <v>2000</v>
      </c>
      <c r="G656" s="455">
        <v>1.95</v>
      </c>
      <c r="H656" s="675">
        <f t="shared" si="37"/>
        <v>3900</v>
      </c>
      <c r="I656" s="455">
        <v>9</v>
      </c>
      <c r="J656" s="450"/>
      <c r="K656" s="450"/>
      <c r="L656" s="450"/>
      <c r="M656" s="455">
        <f t="shared" si="35"/>
        <v>9</v>
      </c>
      <c r="N656" s="456">
        <f t="shared" si="36"/>
        <v>3891</v>
      </c>
      <c r="O656" s="457" t="s">
        <v>279</v>
      </c>
      <c r="P656" s="463" t="s">
        <v>369</v>
      </c>
      <c r="Q656" s="451"/>
    </row>
    <row r="657" spans="1:17" ht="12.75" customHeight="1" x14ac:dyDescent="0.25">
      <c r="A657" s="743"/>
      <c r="B657" s="295" t="s">
        <v>3534</v>
      </c>
      <c r="C657" s="538" t="s">
        <v>3492</v>
      </c>
      <c r="D657" s="684" t="s">
        <v>1249</v>
      </c>
      <c r="E657" s="454">
        <v>140</v>
      </c>
      <c r="F657" s="454">
        <v>2000</v>
      </c>
      <c r="G657" s="455">
        <v>1.95</v>
      </c>
      <c r="H657" s="675">
        <f t="shared" si="37"/>
        <v>3900</v>
      </c>
      <c r="I657" s="455">
        <v>9</v>
      </c>
      <c r="J657" s="450"/>
      <c r="K657" s="450"/>
      <c r="L657" s="450"/>
      <c r="M657" s="455">
        <f t="shared" si="35"/>
        <v>9</v>
      </c>
      <c r="N657" s="456">
        <f t="shared" si="36"/>
        <v>3891</v>
      </c>
      <c r="O657" s="457" t="s">
        <v>279</v>
      </c>
      <c r="P657" s="463" t="s">
        <v>369</v>
      </c>
      <c r="Q657" s="451"/>
    </row>
    <row r="658" spans="1:17" ht="12.75" customHeight="1" x14ac:dyDescent="0.25">
      <c r="A658" s="743"/>
      <c r="B658" s="295" t="s">
        <v>3534</v>
      </c>
      <c r="C658" s="537" t="s">
        <v>3521</v>
      </c>
      <c r="D658" s="684" t="s">
        <v>1249</v>
      </c>
      <c r="E658" s="454">
        <v>350</v>
      </c>
      <c r="F658" s="454">
        <v>1000</v>
      </c>
      <c r="G658" s="455">
        <v>2.75</v>
      </c>
      <c r="H658" s="675">
        <f t="shared" si="37"/>
        <v>2750</v>
      </c>
      <c r="I658" s="455">
        <v>9</v>
      </c>
      <c r="J658" s="450"/>
      <c r="K658" s="450"/>
      <c r="L658" s="450"/>
      <c r="M658" s="455">
        <f t="shared" si="35"/>
        <v>9</v>
      </c>
      <c r="N658" s="456">
        <f t="shared" si="36"/>
        <v>2741</v>
      </c>
      <c r="O658" s="457" t="s">
        <v>279</v>
      </c>
      <c r="P658" s="463" t="s">
        <v>369</v>
      </c>
      <c r="Q658" s="451"/>
    </row>
    <row r="659" spans="1:17" ht="12.75" customHeight="1" x14ac:dyDescent="0.25">
      <c r="A659" s="743"/>
      <c r="B659" s="295" t="s">
        <v>3534</v>
      </c>
      <c r="C659" s="537" t="s">
        <v>3521</v>
      </c>
      <c r="D659" s="684" t="s">
        <v>1249</v>
      </c>
      <c r="E659" s="454">
        <v>350</v>
      </c>
      <c r="F659" s="454">
        <v>1000</v>
      </c>
      <c r="G659" s="455">
        <v>2.7</v>
      </c>
      <c r="H659" s="675">
        <f t="shared" si="37"/>
        <v>2700</v>
      </c>
      <c r="I659" s="455">
        <v>9</v>
      </c>
      <c r="J659" s="450"/>
      <c r="K659" s="450"/>
      <c r="L659" s="450"/>
      <c r="M659" s="455">
        <f t="shared" si="35"/>
        <v>9</v>
      </c>
      <c r="N659" s="456">
        <f t="shared" si="36"/>
        <v>2691</v>
      </c>
      <c r="O659" s="457" t="s">
        <v>279</v>
      </c>
      <c r="P659" s="463" t="s">
        <v>369</v>
      </c>
      <c r="Q659" s="451"/>
    </row>
    <row r="660" spans="1:17" ht="12.75" customHeight="1" x14ac:dyDescent="0.25">
      <c r="A660" s="743"/>
      <c r="B660" s="295" t="s">
        <v>3534</v>
      </c>
      <c r="C660" s="537" t="s">
        <v>3521</v>
      </c>
      <c r="D660" s="684" t="s">
        <v>1249</v>
      </c>
      <c r="E660" s="454">
        <v>350</v>
      </c>
      <c r="F660" s="454">
        <v>1000</v>
      </c>
      <c r="G660" s="455">
        <v>2.7</v>
      </c>
      <c r="H660" s="675">
        <f t="shared" si="37"/>
        <v>2700</v>
      </c>
      <c r="I660" s="455">
        <v>9</v>
      </c>
      <c r="J660" s="450"/>
      <c r="K660" s="450"/>
      <c r="L660" s="450"/>
      <c r="M660" s="455">
        <f t="shared" si="35"/>
        <v>9</v>
      </c>
      <c r="N660" s="456">
        <f t="shared" si="36"/>
        <v>2691</v>
      </c>
      <c r="O660" s="457" t="s">
        <v>279</v>
      </c>
      <c r="P660" s="463" t="s">
        <v>369</v>
      </c>
      <c r="Q660" s="451"/>
    </row>
    <row r="661" spans="1:17" ht="12.75" customHeight="1" x14ac:dyDescent="0.25">
      <c r="A661" s="743"/>
      <c r="B661" s="295" t="s">
        <v>3534</v>
      </c>
      <c r="C661" s="537" t="s">
        <v>3527</v>
      </c>
      <c r="D661" s="684" t="s">
        <v>1245</v>
      </c>
      <c r="E661" s="454">
        <v>370</v>
      </c>
      <c r="F661" s="454">
        <v>1000</v>
      </c>
      <c r="G661" s="455">
        <v>9</v>
      </c>
      <c r="H661" s="675">
        <f t="shared" si="37"/>
        <v>9000</v>
      </c>
      <c r="I661" s="455">
        <v>9</v>
      </c>
      <c r="J661" s="450"/>
      <c r="K661" s="450"/>
      <c r="L661" s="450"/>
      <c r="M661" s="455">
        <f t="shared" si="35"/>
        <v>9</v>
      </c>
      <c r="N661" s="456">
        <f t="shared" si="36"/>
        <v>8991</v>
      </c>
      <c r="O661" s="457" t="s">
        <v>279</v>
      </c>
      <c r="P661" s="463" t="s">
        <v>369</v>
      </c>
      <c r="Q661" s="451"/>
    </row>
    <row r="662" spans="1:17" ht="12.75" customHeight="1" x14ac:dyDescent="0.25">
      <c r="A662" s="743"/>
      <c r="B662" s="295" t="s">
        <v>3534</v>
      </c>
      <c r="C662" s="537" t="s">
        <v>3528</v>
      </c>
      <c r="D662" s="684" t="s">
        <v>1245</v>
      </c>
      <c r="E662" s="454">
        <v>340</v>
      </c>
      <c r="F662" s="454">
        <v>1000</v>
      </c>
      <c r="G662" s="455">
        <v>3.95</v>
      </c>
      <c r="H662" s="675">
        <f t="shared" si="37"/>
        <v>3950</v>
      </c>
      <c r="I662" s="455">
        <v>9</v>
      </c>
      <c r="J662" s="450"/>
      <c r="K662" s="450"/>
      <c r="L662" s="450"/>
      <c r="M662" s="455">
        <f t="shared" si="35"/>
        <v>9</v>
      </c>
      <c r="N662" s="456">
        <f t="shared" si="36"/>
        <v>3941</v>
      </c>
      <c r="O662" s="457" t="s">
        <v>279</v>
      </c>
      <c r="P662" s="463" t="s">
        <v>369</v>
      </c>
      <c r="Q662" s="451"/>
    </row>
    <row r="663" spans="1:17" ht="12.75" customHeight="1" x14ac:dyDescent="0.25">
      <c r="A663" s="743"/>
      <c r="B663" s="295" t="s">
        <v>3534</v>
      </c>
      <c r="C663" s="538" t="s">
        <v>3529</v>
      </c>
      <c r="D663" s="684" t="s">
        <v>1245</v>
      </c>
      <c r="E663" s="454">
        <v>190</v>
      </c>
      <c r="F663" s="454">
        <v>2000</v>
      </c>
      <c r="G663" s="455">
        <v>3.5</v>
      </c>
      <c r="H663" s="675">
        <f t="shared" si="37"/>
        <v>7000</v>
      </c>
      <c r="I663" s="455">
        <v>9</v>
      </c>
      <c r="J663" s="450"/>
      <c r="K663" s="450"/>
      <c r="L663" s="450"/>
      <c r="M663" s="455">
        <f t="shared" si="35"/>
        <v>9</v>
      </c>
      <c r="N663" s="456">
        <f t="shared" si="36"/>
        <v>6991</v>
      </c>
      <c r="O663" s="457" t="s">
        <v>279</v>
      </c>
      <c r="P663" s="463" t="s">
        <v>369</v>
      </c>
      <c r="Q663" s="451"/>
    </row>
    <row r="664" spans="1:17" ht="12.75" customHeight="1" x14ac:dyDescent="0.25">
      <c r="B664" s="295" t="s">
        <v>3592</v>
      </c>
      <c r="C664" s="536" t="s">
        <v>3565</v>
      </c>
      <c r="D664" s="686" t="s">
        <v>1245</v>
      </c>
      <c r="E664" s="454">
        <v>170</v>
      </c>
      <c r="F664" s="454">
        <v>2000</v>
      </c>
      <c r="G664" s="455">
        <v>1.3</v>
      </c>
      <c r="H664" s="675">
        <f t="shared" si="37"/>
        <v>2600</v>
      </c>
      <c r="I664" s="299">
        <v>9</v>
      </c>
      <c r="J664" s="450"/>
      <c r="K664" s="450"/>
      <c r="L664" s="450"/>
      <c r="M664" s="299">
        <f t="shared" si="35"/>
        <v>9</v>
      </c>
      <c r="N664" s="456">
        <f t="shared" si="36"/>
        <v>2591</v>
      </c>
      <c r="O664" s="299" t="s">
        <v>32</v>
      </c>
      <c r="P664" s="249" t="s">
        <v>369</v>
      </c>
    </row>
    <row r="665" spans="1:17" ht="12.75" customHeight="1" x14ac:dyDescent="0.25">
      <c r="B665" s="295" t="s">
        <v>3592</v>
      </c>
      <c r="C665" s="536" t="s">
        <v>3565</v>
      </c>
      <c r="D665" s="686" t="s">
        <v>1245</v>
      </c>
      <c r="E665" s="454">
        <v>170</v>
      </c>
      <c r="F665" s="454">
        <v>2000</v>
      </c>
      <c r="G665" s="455">
        <v>1.3</v>
      </c>
      <c r="H665" s="675">
        <f t="shared" si="37"/>
        <v>2600</v>
      </c>
      <c r="I665" s="299">
        <v>9</v>
      </c>
      <c r="J665" s="299">
        <f>5.5+1</f>
        <v>6.5</v>
      </c>
      <c r="K665" s="299">
        <v>1</v>
      </c>
      <c r="L665" s="299">
        <v>8.4700000000000006</v>
      </c>
      <c r="M665" s="299">
        <f t="shared" si="35"/>
        <v>24.97</v>
      </c>
      <c r="N665" s="456">
        <f t="shared" si="36"/>
        <v>2575.0300000000002</v>
      </c>
      <c r="O665" s="299" t="s">
        <v>32</v>
      </c>
      <c r="P665" s="249" t="s">
        <v>369</v>
      </c>
    </row>
    <row r="666" spans="1:17" ht="12.75" customHeight="1" x14ac:dyDescent="0.25">
      <c r="B666" s="295" t="s">
        <v>3610</v>
      </c>
      <c r="C666" s="536" t="s">
        <v>3608</v>
      </c>
      <c r="D666" s="686" t="s">
        <v>1245</v>
      </c>
      <c r="E666" s="454">
        <v>7950</v>
      </c>
      <c r="F666" s="454">
        <v>200</v>
      </c>
      <c r="G666" s="455">
        <v>8.65</v>
      </c>
      <c r="H666" s="675">
        <f t="shared" si="37"/>
        <v>1730</v>
      </c>
      <c r="I666" s="299">
        <v>36</v>
      </c>
      <c r="J666" s="450"/>
      <c r="K666" s="450"/>
      <c r="L666" s="450"/>
      <c r="M666" s="299">
        <f t="shared" si="35"/>
        <v>36</v>
      </c>
      <c r="N666" s="456">
        <f t="shared" si="36"/>
        <v>1694</v>
      </c>
      <c r="O666" s="299" t="s">
        <v>3609</v>
      </c>
      <c r="P666" s="249" t="s">
        <v>369</v>
      </c>
    </row>
    <row r="667" spans="1:17" ht="12.75" customHeight="1" x14ac:dyDescent="0.25">
      <c r="B667" s="295" t="s">
        <v>3610</v>
      </c>
      <c r="C667" s="536" t="s">
        <v>3564</v>
      </c>
      <c r="D667" s="686" t="s">
        <v>1245</v>
      </c>
      <c r="E667" s="454">
        <v>180</v>
      </c>
      <c r="F667" s="454">
        <v>2000</v>
      </c>
      <c r="G667" s="455">
        <v>3</v>
      </c>
      <c r="H667" s="675">
        <f t="shared" si="37"/>
        <v>6000</v>
      </c>
      <c r="I667" s="299">
        <v>9</v>
      </c>
      <c r="J667" s="450"/>
      <c r="K667" s="450"/>
      <c r="L667" s="450"/>
      <c r="M667" s="299">
        <f t="shared" si="35"/>
        <v>9</v>
      </c>
      <c r="N667" s="456">
        <f t="shared" si="36"/>
        <v>5991</v>
      </c>
      <c r="O667" s="299" t="s">
        <v>3609</v>
      </c>
      <c r="P667" s="249" t="s">
        <v>369</v>
      </c>
    </row>
    <row r="668" spans="1:17" ht="12.75" customHeight="1" x14ac:dyDescent="0.25">
      <c r="B668" s="295" t="s">
        <v>3610</v>
      </c>
      <c r="C668" s="536" t="s">
        <v>3564</v>
      </c>
      <c r="D668" s="686" t="s">
        <v>1245</v>
      </c>
      <c r="E668" s="454">
        <v>180</v>
      </c>
      <c r="F668" s="454">
        <v>6000</v>
      </c>
      <c r="G668" s="455">
        <v>3</v>
      </c>
      <c r="H668" s="675">
        <f t="shared" si="37"/>
        <v>18000</v>
      </c>
      <c r="I668" s="299">
        <v>27</v>
      </c>
      <c r="J668" s="299">
        <v>15.8</v>
      </c>
      <c r="K668" s="299">
        <f>4+2</f>
        <v>6</v>
      </c>
      <c r="L668" s="299">
        <v>19.86</v>
      </c>
      <c r="M668" s="299">
        <f t="shared" si="35"/>
        <v>68.66</v>
      </c>
      <c r="N668" s="456">
        <f t="shared" si="36"/>
        <v>17931.34</v>
      </c>
      <c r="O668" s="299" t="s">
        <v>3609</v>
      </c>
      <c r="P668" s="249" t="s">
        <v>369</v>
      </c>
    </row>
    <row r="669" spans="1:17" ht="12.75" customHeight="1" x14ac:dyDescent="0.25">
      <c r="B669" s="295" t="s">
        <v>3614</v>
      </c>
      <c r="C669" s="536" t="s">
        <v>3612</v>
      </c>
      <c r="D669" s="686" t="s">
        <v>1249</v>
      </c>
      <c r="E669" s="454">
        <v>560</v>
      </c>
      <c r="F669" s="454">
        <v>1000</v>
      </c>
      <c r="G669" s="455">
        <v>4.8499999999999996</v>
      </c>
      <c r="H669" s="675">
        <f t="shared" si="37"/>
        <v>4850</v>
      </c>
      <c r="I669" s="299">
        <v>9</v>
      </c>
      <c r="J669" s="299">
        <f>6.83+1</f>
        <v>7.83</v>
      </c>
      <c r="K669" s="299">
        <v>2</v>
      </c>
      <c r="L669" s="299">
        <v>19.22</v>
      </c>
      <c r="M669" s="299">
        <f t="shared" ref="M669:M689" si="38">SUM(I669:L669)</f>
        <v>38.049999999999997</v>
      </c>
      <c r="N669" s="456">
        <f t="shared" si="36"/>
        <v>4811.95</v>
      </c>
      <c r="O669" s="299" t="s">
        <v>3615</v>
      </c>
      <c r="P669" s="249" t="s">
        <v>369</v>
      </c>
    </row>
    <row r="670" spans="1:17" ht="12.75" customHeight="1" x14ac:dyDescent="0.25">
      <c r="B670" s="295" t="s">
        <v>3618</v>
      </c>
      <c r="C670" s="536" t="s">
        <v>3613</v>
      </c>
      <c r="D670" s="686" t="s">
        <v>1249</v>
      </c>
      <c r="E670" s="454">
        <v>25</v>
      </c>
      <c r="F670" s="454">
        <v>17000</v>
      </c>
      <c r="G670" s="455">
        <v>1.05</v>
      </c>
      <c r="H670" s="675">
        <f t="shared" si="37"/>
        <v>17850</v>
      </c>
      <c r="I670" s="299">
        <v>9</v>
      </c>
      <c r="J670" s="299">
        <f>9.04+3</f>
        <v>12.04</v>
      </c>
      <c r="K670" s="299">
        <v>3</v>
      </c>
      <c r="L670" s="299">
        <v>28.18</v>
      </c>
      <c r="M670" s="299">
        <f t="shared" si="38"/>
        <v>52.22</v>
      </c>
      <c r="N670" s="456">
        <f t="shared" si="36"/>
        <v>17797.78</v>
      </c>
      <c r="O670" s="299" t="s">
        <v>2478</v>
      </c>
      <c r="P670" s="249" t="s">
        <v>369</v>
      </c>
    </row>
    <row r="671" spans="1:17" ht="12.75" customHeight="1" x14ac:dyDescent="0.25">
      <c r="B671" s="295" t="s">
        <v>3627</v>
      </c>
      <c r="C671" s="295" t="s">
        <v>3616</v>
      </c>
      <c r="D671" s="687" t="s">
        <v>1249</v>
      </c>
      <c r="E671" s="454">
        <v>55</v>
      </c>
      <c r="F671" s="454">
        <v>48000</v>
      </c>
      <c r="G671" s="455">
        <v>0.1</v>
      </c>
      <c r="H671" s="675">
        <f t="shared" si="37"/>
        <v>4800</v>
      </c>
      <c r="I671" s="299">
        <v>54</v>
      </c>
      <c r="J671" s="299">
        <f>13.95+1</f>
        <v>14.95</v>
      </c>
      <c r="K671" s="299">
        <v>2</v>
      </c>
      <c r="L671" s="299">
        <v>13.86</v>
      </c>
      <c r="M671" s="299">
        <f t="shared" si="38"/>
        <v>84.81</v>
      </c>
      <c r="N671" s="456">
        <f t="shared" si="36"/>
        <v>4715.1899999999996</v>
      </c>
      <c r="O671" s="299" t="s">
        <v>2765</v>
      </c>
      <c r="P671" s="249" t="s">
        <v>369</v>
      </c>
    </row>
    <row r="672" spans="1:17" ht="12.75" customHeight="1" x14ac:dyDescent="0.25">
      <c r="B672" s="295" t="s">
        <v>3631</v>
      </c>
      <c r="C672" s="574" t="s">
        <v>3632</v>
      </c>
      <c r="D672" s="688" t="s">
        <v>1249</v>
      </c>
      <c r="E672" s="249">
        <v>22.5</v>
      </c>
      <c r="F672" s="454">
        <v>12000</v>
      </c>
      <c r="G672" s="247">
        <v>0.3</v>
      </c>
      <c r="H672" s="675">
        <f t="shared" si="37"/>
        <v>3600</v>
      </c>
      <c r="I672" s="299">
        <v>9</v>
      </c>
      <c r="J672" s="450"/>
      <c r="K672" s="450"/>
      <c r="L672" s="450"/>
      <c r="M672" s="299">
        <f t="shared" si="38"/>
        <v>9</v>
      </c>
      <c r="N672" s="456">
        <f t="shared" si="36"/>
        <v>3591</v>
      </c>
      <c r="O672" s="299" t="s">
        <v>1122</v>
      </c>
      <c r="P672" s="249" t="s">
        <v>369</v>
      </c>
    </row>
    <row r="673" spans="1:17" ht="12.75" customHeight="1" x14ac:dyDescent="0.25">
      <c r="B673" s="295" t="s">
        <v>3640</v>
      </c>
      <c r="C673" s="295" t="s">
        <v>3617</v>
      </c>
      <c r="D673" s="687" t="s">
        <v>1249</v>
      </c>
      <c r="E673" s="454">
        <v>85</v>
      </c>
      <c r="F673" s="454">
        <v>4000</v>
      </c>
      <c r="G673" s="455">
        <v>0.15</v>
      </c>
      <c r="H673" s="675">
        <f t="shared" si="37"/>
        <v>600</v>
      </c>
      <c r="I673" s="299">
        <v>9</v>
      </c>
      <c r="J673" s="450"/>
      <c r="K673" s="450"/>
      <c r="L673" s="450"/>
      <c r="M673" s="299">
        <f t="shared" si="38"/>
        <v>9</v>
      </c>
      <c r="N673" s="456">
        <f t="shared" si="36"/>
        <v>591</v>
      </c>
      <c r="O673" s="299" t="s">
        <v>3061</v>
      </c>
      <c r="P673" s="249" t="s">
        <v>369</v>
      </c>
    </row>
    <row r="674" spans="1:17" ht="12.75" customHeight="1" x14ac:dyDescent="0.25">
      <c r="B674" s="295" t="s">
        <v>3640</v>
      </c>
      <c r="C674" s="295" t="s">
        <v>3617</v>
      </c>
      <c r="D674" s="687" t="s">
        <v>1249</v>
      </c>
      <c r="E674" s="454">
        <v>85</v>
      </c>
      <c r="F674" s="454">
        <v>40000</v>
      </c>
      <c r="G674" s="455">
        <v>0.15</v>
      </c>
      <c r="H674" s="675">
        <f t="shared" si="37"/>
        <v>6000</v>
      </c>
      <c r="I674" s="299">
        <v>90</v>
      </c>
      <c r="J674" s="450"/>
      <c r="K674" s="450"/>
      <c r="L674" s="450"/>
      <c r="M674" s="299">
        <f t="shared" si="38"/>
        <v>90</v>
      </c>
      <c r="N674" s="456">
        <f t="shared" si="36"/>
        <v>5910</v>
      </c>
      <c r="O674" s="299" t="s">
        <v>3061</v>
      </c>
      <c r="P674" s="249" t="s">
        <v>369</v>
      </c>
    </row>
    <row r="675" spans="1:17" ht="12.75" customHeight="1" x14ac:dyDescent="0.25">
      <c r="B675" s="295" t="s">
        <v>3640</v>
      </c>
      <c r="C675" s="295" t="s">
        <v>3617</v>
      </c>
      <c r="D675" s="687" t="s">
        <v>1249</v>
      </c>
      <c r="E675" s="454">
        <v>85</v>
      </c>
      <c r="F675" s="454">
        <v>4000</v>
      </c>
      <c r="G675" s="455">
        <v>0.15</v>
      </c>
      <c r="H675" s="675">
        <f t="shared" si="37"/>
        <v>600</v>
      </c>
      <c r="I675" s="299">
        <v>9</v>
      </c>
      <c r="J675" s="450"/>
      <c r="K675" s="450"/>
      <c r="L675" s="450"/>
      <c r="M675" s="299">
        <f t="shared" si="38"/>
        <v>9</v>
      </c>
      <c r="N675" s="456">
        <f t="shared" si="36"/>
        <v>591</v>
      </c>
      <c r="O675" s="299" t="s">
        <v>3061</v>
      </c>
      <c r="P675" s="249" t="s">
        <v>369</v>
      </c>
    </row>
    <row r="676" spans="1:17" ht="12.75" customHeight="1" x14ac:dyDescent="0.25">
      <c r="B676" s="295" t="s">
        <v>3640</v>
      </c>
      <c r="C676" s="295" t="s">
        <v>3617</v>
      </c>
      <c r="D676" s="687" t="s">
        <v>1249</v>
      </c>
      <c r="E676" s="454">
        <v>85</v>
      </c>
      <c r="F676" s="454">
        <v>24000</v>
      </c>
      <c r="G676" s="455">
        <v>0.15</v>
      </c>
      <c r="H676" s="675">
        <f t="shared" si="37"/>
        <v>3600</v>
      </c>
      <c r="I676" s="299">
        <v>54</v>
      </c>
      <c r="J676" s="299">
        <v>24.12</v>
      </c>
      <c r="K676" s="299">
        <f>2+2</f>
        <v>4</v>
      </c>
      <c r="L676" s="299">
        <v>15.12</v>
      </c>
      <c r="M676" s="299">
        <f t="shared" si="38"/>
        <v>97.240000000000009</v>
      </c>
      <c r="N676" s="456">
        <f t="shared" si="36"/>
        <v>3502.76</v>
      </c>
      <c r="O676" s="299" t="s">
        <v>3061</v>
      </c>
      <c r="P676" s="249" t="s">
        <v>369</v>
      </c>
    </row>
    <row r="677" spans="1:17" ht="12.75" customHeight="1" x14ac:dyDescent="0.25">
      <c r="A677" s="743"/>
      <c r="B677" s="295" t="s">
        <v>3643</v>
      </c>
      <c r="C677" s="295" t="s">
        <v>3639</v>
      </c>
      <c r="D677" s="687" t="s">
        <v>1249</v>
      </c>
      <c r="E677" s="454">
        <v>35</v>
      </c>
      <c r="F677" s="454">
        <v>27000</v>
      </c>
      <c r="G677" s="455">
        <v>1.1000000000000001</v>
      </c>
      <c r="H677" s="675">
        <f t="shared" si="37"/>
        <v>29700.000000000004</v>
      </c>
      <c r="I677" s="299">
        <v>27</v>
      </c>
      <c r="J677" s="457">
        <v>5.91</v>
      </c>
      <c r="K677" s="457">
        <f>5+2</f>
        <v>7</v>
      </c>
      <c r="L677" s="457">
        <v>20.79</v>
      </c>
      <c r="M677" s="299">
        <f t="shared" si="38"/>
        <v>60.699999999999996</v>
      </c>
      <c r="N677" s="456">
        <f t="shared" si="36"/>
        <v>29639.300000000003</v>
      </c>
      <c r="O677" s="457" t="s">
        <v>49</v>
      </c>
      <c r="P677" s="459" t="s">
        <v>369</v>
      </c>
      <c r="Q677" s="451"/>
    </row>
    <row r="678" spans="1:17" ht="12.75" customHeight="1" x14ac:dyDescent="0.25">
      <c r="B678" s="295" t="s">
        <v>3647</v>
      </c>
      <c r="C678" s="295" t="s">
        <v>3645</v>
      </c>
      <c r="D678" s="687" t="s">
        <v>1249</v>
      </c>
      <c r="E678" s="454">
        <v>8200</v>
      </c>
      <c r="F678" s="454">
        <v>50</v>
      </c>
      <c r="G678" s="455">
        <v>30.7</v>
      </c>
      <c r="H678" s="675">
        <f t="shared" si="37"/>
        <v>1535</v>
      </c>
      <c r="I678" s="299">
        <v>9</v>
      </c>
      <c r="J678" s="450"/>
      <c r="K678" s="450"/>
      <c r="L678" s="450"/>
      <c r="M678" s="299">
        <f t="shared" si="38"/>
        <v>9</v>
      </c>
      <c r="N678" s="456">
        <f t="shared" si="36"/>
        <v>1526</v>
      </c>
      <c r="O678" s="299" t="s">
        <v>1395</v>
      </c>
      <c r="P678" s="249" t="s">
        <v>369</v>
      </c>
    </row>
    <row r="679" spans="1:17" ht="12.75" customHeight="1" x14ac:dyDescent="0.25">
      <c r="B679" s="295" t="s">
        <v>3647</v>
      </c>
      <c r="C679" s="295" t="s">
        <v>3645</v>
      </c>
      <c r="D679" s="687" t="s">
        <v>1249</v>
      </c>
      <c r="E679" s="454">
        <v>8200</v>
      </c>
      <c r="F679" s="454">
        <v>150</v>
      </c>
      <c r="G679" s="455">
        <v>30.65</v>
      </c>
      <c r="H679" s="675">
        <f t="shared" si="37"/>
        <v>4597.5</v>
      </c>
      <c r="I679" s="299">
        <v>27</v>
      </c>
      <c r="J679" s="450"/>
      <c r="K679" s="450"/>
      <c r="L679" s="450"/>
      <c r="M679" s="299">
        <f t="shared" si="38"/>
        <v>27</v>
      </c>
      <c r="N679" s="456">
        <f t="shared" si="36"/>
        <v>4570.5</v>
      </c>
      <c r="O679" s="299" t="s">
        <v>1395</v>
      </c>
      <c r="P679" s="249" t="s">
        <v>369</v>
      </c>
    </row>
    <row r="680" spans="1:17" ht="12.75" customHeight="1" x14ac:dyDescent="0.25">
      <c r="B680" s="295" t="s">
        <v>3647</v>
      </c>
      <c r="C680" s="295" t="s">
        <v>3645</v>
      </c>
      <c r="D680" s="687" t="s">
        <v>1249</v>
      </c>
      <c r="E680" s="454">
        <v>8200</v>
      </c>
      <c r="F680" s="454">
        <v>100</v>
      </c>
      <c r="G680" s="455">
        <v>30.6</v>
      </c>
      <c r="H680" s="675">
        <f t="shared" si="37"/>
        <v>3060</v>
      </c>
      <c r="I680" s="299">
        <v>18</v>
      </c>
      <c r="J680" s="450"/>
      <c r="K680" s="450"/>
      <c r="L680" s="450"/>
      <c r="M680" s="299">
        <f t="shared" si="38"/>
        <v>18</v>
      </c>
      <c r="N680" s="456">
        <f t="shared" si="36"/>
        <v>3042</v>
      </c>
      <c r="O680" s="299" t="s">
        <v>1395</v>
      </c>
      <c r="P680" s="249" t="s">
        <v>369</v>
      </c>
    </row>
    <row r="681" spans="1:17" ht="12.75" customHeight="1" x14ac:dyDescent="0.25">
      <c r="B681" s="295" t="s">
        <v>3647</v>
      </c>
      <c r="C681" s="295" t="s">
        <v>3645</v>
      </c>
      <c r="D681" s="687" t="s">
        <v>1249</v>
      </c>
      <c r="E681" s="454">
        <v>8200</v>
      </c>
      <c r="F681" s="454">
        <v>200</v>
      </c>
      <c r="G681" s="455">
        <v>30.6</v>
      </c>
      <c r="H681" s="675">
        <f t="shared" si="37"/>
        <v>6120</v>
      </c>
      <c r="I681" s="299">
        <v>36</v>
      </c>
      <c r="J681" s="450"/>
      <c r="K681" s="450"/>
      <c r="L681" s="450"/>
      <c r="M681" s="299">
        <f t="shared" si="38"/>
        <v>36</v>
      </c>
      <c r="N681" s="456">
        <f t="shared" si="36"/>
        <v>6084</v>
      </c>
      <c r="O681" s="299" t="s">
        <v>1395</v>
      </c>
      <c r="P681" s="249" t="s">
        <v>369</v>
      </c>
    </row>
    <row r="682" spans="1:17" ht="12.75" customHeight="1" x14ac:dyDescent="0.25">
      <c r="B682" s="295" t="s">
        <v>3647</v>
      </c>
      <c r="C682" s="295" t="s">
        <v>3645</v>
      </c>
      <c r="D682" s="687" t="s">
        <v>1249</v>
      </c>
      <c r="E682" s="454">
        <v>8200</v>
      </c>
      <c r="F682" s="454">
        <v>100</v>
      </c>
      <c r="G682" s="455">
        <v>30.6</v>
      </c>
      <c r="H682" s="675">
        <f t="shared" si="37"/>
        <v>3060</v>
      </c>
      <c r="I682" s="299">
        <v>18</v>
      </c>
      <c r="J682" s="450"/>
      <c r="K682" s="450"/>
      <c r="L682" s="450"/>
      <c r="M682" s="299">
        <f t="shared" si="38"/>
        <v>18</v>
      </c>
      <c r="N682" s="456">
        <f t="shared" si="36"/>
        <v>3042</v>
      </c>
      <c r="O682" s="299" t="s">
        <v>1395</v>
      </c>
      <c r="P682" s="249" t="s">
        <v>369</v>
      </c>
    </row>
    <row r="683" spans="1:17" ht="12.75" customHeight="1" x14ac:dyDescent="0.25">
      <c r="B683" s="295" t="s">
        <v>3647</v>
      </c>
      <c r="C683" s="295" t="s">
        <v>3645</v>
      </c>
      <c r="D683" s="687" t="s">
        <v>1249</v>
      </c>
      <c r="E683" s="454">
        <v>8200</v>
      </c>
      <c r="F683" s="454">
        <v>500</v>
      </c>
      <c r="G683" s="455">
        <v>30.6</v>
      </c>
      <c r="H683" s="675">
        <f t="shared" si="37"/>
        <v>15300</v>
      </c>
      <c r="I683" s="299">
        <v>90</v>
      </c>
      <c r="J683" s="299">
        <v>27.38</v>
      </c>
      <c r="K683" s="299">
        <f>6+3</f>
        <v>9</v>
      </c>
      <c r="L683" s="299">
        <v>23.57</v>
      </c>
      <c r="M683" s="299">
        <f t="shared" si="38"/>
        <v>149.94999999999999</v>
      </c>
      <c r="N683" s="456">
        <f t="shared" si="36"/>
        <v>15150.05</v>
      </c>
      <c r="O683" s="299" t="s">
        <v>1395</v>
      </c>
      <c r="P683" s="249" t="s">
        <v>369</v>
      </c>
    </row>
    <row r="684" spans="1:17" ht="12.75" customHeight="1" x14ac:dyDescent="0.25">
      <c r="B684" s="295" t="s">
        <v>3655</v>
      </c>
      <c r="C684" s="295" t="s">
        <v>3653</v>
      </c>
      <c r="D684" s="684" t="s">
        <v>1245</v>
      </c>
      <c r="E684" s="454">
        <v>840</v>
      </c>
      <c r="F684" s="454">
        <v>500</v>
      </c>
      <c r="G684" s="455">
        <v>7.6</v>
      </c>
      <c r="H684" s="675">
        <f t="shared" si="37"/>
        <v>3800</v>
      </c>
      <c r="I684" s="455">
        <v>9</v>
      </c>
      <c r="J684" s="450"/>
      <c r="K684" s="450"/>
      <c r="L684" s="450"/>
      <c r="M684" s="299">
        <f t="shared" si="38"/>
        <v>9</v>
      </c>
      <c r="N684" s="456">
        <f t="shared" si="36"/>
        <v>3791</v>
      </c>
      <c r="O684" s="299" t="s">
        <v>2283</v>
      </c>
      <c r="P684" s="249" t="s">
        <v>369</v>
      </c>
    </row>
    <row r="685" spans="1:17" ht="12.75" customHeight="1" x14ac:dyDescent="0.25">
      <c r="B685" s="295" t="s">
        <v>3655</v>
      </c>
      <c r="C685" s="295" t="s">
        <v>3653</v>
      </c>
      <c r="D685" s="684" t="s">
        <v>1245</v>
      </c>
      <c r="E685" s="454">
        <v>840</v>
      </c>
      <c r="F685" s="454">
        <v>500</v>
      </c>
      <c r="G685" s="455">
        <v>7.55</v>
      </c>
      <c r="H685" s="675">
        <f t="shared" si="37"/>
        <v>3775</v>
      </c>
      <c r="I685" s="455">
        <v>9</v>
      </c>
      <c r="J685" s="299">
        <f>12.31+1</f>
        <v>13.31</v>
      </c>
      <c r="K685" s="299">
        <v>3</v>
      </c>
      <c r="L685" s="299">
        <v>27.6</v>
      </c>
      <c r="M685" s="299">
        <f t="shared" si="38"/>
        <v>52.910000000000004</v>
      </c>
      <c r="N685" s="456">
        <f t="shared" si="36"/>
        <v>3722.09</v>
      </c>
      <c r="O685" s="299" t="s">
        <v>2283</v>
      </c>
      <c r="P685" s="249" t="s">
        <v>369</v>
      </c>
    </row>
    <row r="686" spans="1:17" ht="12.75" customHeight="1" x14ac:dyDescent="0.25">
      <c r="B686" s="295" t="s">
        <v>3656</v>
      </c>
      <c r="C686" s="295" t="s">
        <v>3652</v>
      </c>
      <c r="D686" s="672" t="s">
        <v>1245</v>
      </c>
      <c r="E686" s="454">
        <v>180</v>
      </c>
      <c r="F686" s="454">
        <v>2000</v>
      </c>
      <c r="G686" s="455">
        <v>1.35</v>
      </c>
      <c r="H686" s="675">
        <f t="shared" si="37"/>
        <v>2700</v>
      </c>
      <c r="I686" s="299">
        <v>9</v>
      </c>
      <c r="J686" s="450"/>
      <c r="K686" s="450"/>
      <c r="L686" s="450"/>
      <c r="M686" s="299">
        <f t="shared" si="38"/>
        <v>9</v>
      </c>
      <c r="N686" s="456">
        <f t="shared" si="36"/>
        <v>2691</v>
      </c>
      <c r="O686" s="299" t="s">
        <v>1447</v>
      </c>
      <c r="P686" s="249" t="s">
        <v>369</v>
      </c>
    </row>
    <row r="687" spans="1:17" ht="12.75" customHeight="1" x14ac:dyDescent="0.25">
      <c r="B687" s="295" t="s">
        <v>3656</v>
      </c>
      <c r="C687" s="295" t="s">
        <v>3652</v>
      </c>
      <c r="D687" s="687" t="s">
        <v>1245</v>
      </c>
      <c r="E687" s="454">
        <v>180</v>
      </c>
      <c r="F687" s="454">
        <v>2000</v>
      </c>
      <c r="G687" s="455">
        <v>1.35</v>
      </c>
      <c r="H687" s="675">
        <f t="shared" si="37"/>
        <v>2700</v>
      </c>
      <c r="I687" s="299">
        <v>9</v>
      </c>
      <c r="J687" s="299">
        <f>6.01+1</f>
        <v>7.01</v>
      </c>
      <c r="K687" s="299">
        <v>2</v>
      </c>
      <c r="L687" s="299">
        <v>12.6</v>
      </c>
      <c r="M687" s="299">
        <f t="shared" si="38"/>
        <v>30.61</v>
      </c>
      <c r="N687" s="456">
        <f t="shared" si="36"/>
        <v>2669.39</v>
      </c>
      <c r="O687" s="299" t="s">
        <v>1447</v>
      </c>
      <c r="P687" s="249" t="s">
        <v>369</v>
      </c>
    </row>
    <row r="688" spans="1:17" ht="12.75" customHeight="1" x14ac:dyDescent="0.25">
      <c r="B688" s="295" t="s">
        <v>3664</v>
      </c>
      <c r="C688" s="295" t="s">
        <v>3654</v>
      </c>
      <c r="D688" s="687" t="s">
        <v>1245</v>
      </c>
      <c r="E688" s="454">
        <v>32.5</v>
      </c>
      <c r="F688" s="454">
        <v>18000</v>
      </c>
      <c r="G688" s="455">
        <v>1.1499999999999999</v>
      </c>
      <c r="H688" s="675">
        <f t="shared" si="37"/>
        <v>20700</v>
      </c>
      <c r="I688" s="299">
        <v>18</v>
      </c>
      <c r="J688" s="450"/>
      <c r="K688" s="450"/>
      <c r="L688" s="450"/>
      <c r="M688" s="299">
        <f t="shared" si="38"/>
        <v>18</v>
      </c>
      <c r="N688" s="456">
        <f t="shared" si="36"/>
        <v>20682</v>
      </c>
      <c r="O688" s="299" t="s">
        <v>1580</v>
      </c>
      <c r="P688" s="249" t="s">
        <v>369</v>
      </c>
    </row>
    <row r="689" spans="2:16" ht="12.75" customHeight="1" x14ac:dyDescent="0.25">
      <c r="B689" s="295" t="s">
        <v>3664</v>
      </c>
      <c r="C689" s="295" t="s">
        <v>3654</v>
      </c>
      <c r="D689" s="687" t="s">
        <v>1245</v>
      </c>
      <c r="E689" s="454">
        <v>32.5</v>
      </c>
      <c r="F689" s="454">
        <v>9000</v>
      </c>
      <c r="G689" s="455">
        <v>1.05</v>
      </c>
      <c r="H689" s="675">
        <f t="shared" si="37"/>
        <v>9450</v>
      </c>
      <c r="I689" s="299">
        <v>9</v>
      </c>
      <c r="J689" s="299">
        <f>13.63+5</f>
        <v>18.630000000000003</v>
      </c>
      <c r="K689" s="299">
        <v>5</v>
      </c>
      <c r="L689" s="299">
        <v>47.27</v>
      </c>
      <c r="M689" s="299">
        <f t="shared" si="38"/>
        <v>79.900000000000006</v>
      </c>
      <c r="N689" s="456">
        <f t="shared" ref="N689" si="39">H689-M689</f>
        <v>9370.1</v>
      </c>
      <c r="O689" s="299" t="s">
        <v>1580</v>
      </c>
      <c r="P689" s="249" t="s">
        <v>369</v>
      </c>
    </row>
    <row r="690" spans="2:16" ht="12.75" customHeight="1" x14ac:dyDescent="0.25">
      <c r="C690" s="295"/>
      <c r="D690" s="687"/>
      <c r="E690" s="454"/>
      <c r="F690" s="454"/>
      <c r="G690" s="455"/>
      <c r="H690" s="675"/>
      <c r="N690" s="456"/>
    </row>
    <row r="691" spans="2:16" ht="12.75" customHeight="1" x14ac:dyDescent="0.25">
      <c r="C691" s="295"/>
      <c r="D691" s="687"/>
      <c r="E691" s="454"/>
      <c r="F691" s="454"/>
      <c r="G691" s="455"/>
      <c r="H691" s="675"/>
      <c r="N691" s="247"/>
    </row>
    <row r="692" spans="2:16" ht="12.75" customHeight="1" x14ac:dyDescent="0.25">
      <c r="C692" s="295"/>
      <c r="D692" s="687"/>
      <c r="E692" s="454"/>
      <c r="F692" s="454"/>
      <c r="G692" s="455"/>
      <c r="H692" s="675"/>
    </row>
    <row r="693" spans="2:16" ht="12.75" customHeight="1" x14ac:dyDescent="0.25">
      <c r="C693" s="295"/>
      <c r="D693" s="687"/>
      <c r="E693" s="454"/>
      <c r="F693" s="454"/>
      <c r="G693" s="455"/>
      <c r="H693" s="675"/>
    </row>
    <row r="694" spans="2:16" ht="12.75" customHeight="1" x14ac:dyDescent="0.25">
      <c r="C694" s="295"/>
      <c r="D694" s="687"/>
      <c r="E694" s="454"/>
      <c r="F694" s="454"/>
      <c r="G694" s="455"/>
      <c r="H694" s="675"/>
    </row>
    <row r="695" spans="2:16" ht="12.75" customHeight="1" x14ac:dyDescent="0.25">
      <c r="C695" s="295"/>
      <c r="D695" s="687"/>
      <c r="E695" s="454"/>
      <c r="F695" s="454"/>
      <c r="G695" s="455"/>
      <c r="H695" s="675"/>
    </row>
    <row r="696" spans="2:16" ht="12.75" customHeight="1" x14ac:dyDescent="0.25">
      <c r="C696" s="452"/>
      <c r="D696" s="684"/>
      <c r="E696" s="454"/>
      <c r="F696" s="454"/>
      <c r="G696" s="455"/>
      <c r="H696" s="675"/>
      <c r="I696" s="455"/>
    </row>
    <row r="697" spans="2:16" ht="12.75" customHeight="1" x14ac:dyDescent="0.25">
      <c r="C697" s="536"/>
      <c r="D697" s="686"/>
      <c r="E697" s="454"/>
      <c r="F697" s="454"/>
      <c r="G697" s="455"/>
      <c r="H697" s="675"/>
    </row>
    <row r="698" spans="2:16" ht="12.75" customHeight="1" x14ac:dyDescent="0.25">
      <c r="C698" s="536"/>
      <c r="D698" s="686"/>
      <c r="E698" s="454"/>
      <c r="F698" s="454"/>
      <c r="G698" s="455"/>
      <c r="H698" s="675"/>
    </row>
    <row r="699" spans="2:16" ht="12.75" customHeight="1" x14ac:dyDescent="0.25">
      <c r="C699" s="536"/>
      <c r="D699" s="686"/>
      <c r="E699" s="454"/>
      <c r="F699" s="454"/>
      <c r="G699" s="455"/>
      <c r="H699" s="675"/>
    </row>
    <row r="700" spans="2:16" ht="12.75" customHeight="1" x14ac:dyDescent="0.25">
      <c r="C700" s="536"/>
      <c r="D700" s="686"/>
      <c r="E700" s="454"/>
      <c r="F700" s="454"/>
      <c r="G700" s="455"/>
      <c r="H700" s="675"/>
    </row>
    <row r="701" spans="2:16" ht="12.75" customHeight="1" x14ac:dyDescent="0.25">
      <c r="C701" s="536"/>
      <c r="D701" s="686"/>
      <c r="E701" s="454"/>
      <c r="F701" s="454"/>
      <c r="G701" s="455"/>
      <c r="H701" s="675"/>
    </row>
    <row r="702" spans="2:16" ht="12.75" customHeight="1" x14ac:dyDescent="0.25">
      <c r="C702" s="536"/>
      <c r="D702" s="686"/>
      <c r="E702" s="454"/>
      <c r="F702" s="454"/>
      <c r="G702" s="455"/>
      <c r="H702" s="675"/>
    </row>
    <row r="703" spans="2:16" ht="12.75" customHeight="1" x14ac:dyDescent="0.25">
      <c r="C703" s="536"/>
      <c r="D703" s="686"/>
      <c r="E703" s="454"/>
      <c r="F703" s="454"/>
      <c r="G703" s="455"/>
      <c r="H703" s="675"/>
    </row>
    <row r="704" spans="2:16" ht="12.75" customHeight="1" x14ac:dyDescent="0.25">
      <c r="C704" s="536"/>
      <c r="D704" s="686"/>
      <c r="E704" s="454"/>
      <c r="F704" s="454"/>
      <c r="G704" s="455"/>
      <c r="H704" s="675"/>
    </row>
    <row r="705" spans="1:18" ht="12.75" customHeight="1" x14ac:dyDescent="0.25">
      <c r="C705" s="536"/>
      <c r="D705" s="686"/>
      <c r="E705" s="454"/>
      <c r="F705" s="454"/>
      <c r="G705" s="455"/>
      <c r="H705" s="675"/>
    </row>
    <row r="706" spans="1:18" ht="12.75" customHeight="1" x14ac:dyDescent="0.25">
      <c r="C706" s="536"/>
      <c r="D706" s="686"/>
      <c r="E706" s="454"/>
      <c r="F706" s="454"/>
      <c r="G706" s="455"/>
      <c r="H706" s="675"/>
    </row>
    <row r="707" spans="1:18" ht="12.75" customHeight="1" x14ac:dyDescent="0.25">
      <c r="C707" s="536"/>
      <c r="D707" s="686"/>
      <c r="E707" s="454"/>
      <c r="F707" s="454"/>
      <c r="G707" s="455"/>
      <c r="H707" s="675"/>
    </row>
    <row r="708" spans="1:18" ht="12.75" customHeight="1" x14ac:dyDescent="0.25">
      <c r="C708" s="536"/>
      <c r="D708" s="686"/>
      <c r="E708" s="454"/>
      <c r="F708" s="454"/>
      <c r="G708" s="455"/>
      <c r="H708" s="675"/>
    </row>
    <row r="709" spans="1:18" ht="12.75" customHeight="1" x14ac:dyDescent="0.25">
      <c r="C709" s="536"/>
      <c r="D709" s="686"/>
      <c r="E709" s="454"/>
      <c r="F709" s="454"/>
      <c r="G709" s="455"/>
      <c r="H709" s="675"/>
    </row>
    <row r="710" spans="1:18" ht="12.75" customHeight="1" x14ac:dyDescent="0.25">
      <c r="C710" s="536"/>
      <c r="D710" s="686"/>
      <c r="E710" s="454"/>
      <c r="F710" s="454"/>
      <c r="G710" s="455"/>
      <c r="H710" s="675"/>
    </row>
    <row r="711" spans="1:18" ht="12.75" customHeight="1" x14ac:dyDescent="0.25">
      <c r="A711" s="743"/>
      <c r="C711" s="452"/>
      <c r="D711" s="684"/>
      <c r="E711" s="454"/>
      <c r="F711" s="456"/>
      <c r="G711" s="456"/>
      <c r="H711" s="678"/>
      <c r="I711" s="455"/>
      <c r="J711" s="457"/>
      <c r="K711" s="457"/>
      <c r="L711" s="457"/>
      <c r="M711" s="455"/>
      <c r="N711" s="456"/>
      <c r="O711" s="457"/>
      <c r="P711" s="459"/>
      <c r="Q711" s="451"/>
    </row>
    <row r="712" spans="1:18" ht="12.75" customHeight="1" x14ac:dyDescent="0.25">
      <c r="A712" s="743"/>
      <c r="C712" s="452"/>
      <c r="D712" s="684"/>
      <c r="E712" s="454"/>
      <c r="F712" s="454"/>
      <c r="G712" s="455"/>
      <c r="H712" s="678"/>
      <c r="I712" s="455"/>
      <c r="J712" s="457"/>
      <c r="K712" s="457"/>
      <c r="L712" s="457"/>
      <c r="M712" s="455"/>
      <c r="N712" s="456"/>
      <c r="O712" s="457"/>
      <c r="P712" s="459"/>
      <c r="Q712" s="451"/>
    </row>
    <row r="713" spans="1:18" ht="12.75" customHeight="1" x14ac:dyDescent="0.25">
      <c r="A713" s="743"/>
      <c r="C713" s="452"/>
      <c r="D713" s="684"/>
      <c r="E713" s="454"/>
      <c r="F713" s="454"/>
      <c r="G713" s="455"/>
      <c r="H713" s="678"/>
      <c r="I713" s="455"/>
      <c r="J713" s="457"/>
      <c r="K713" s="457"/>
      <c r="L713" s="457"/>
      <c r="M713" s="455"/>
      <c r="N713" s="456"/>
      <c r="O713" s="457"/>
      <c r="P713" s="459"/>
      <c r="Q713" s="451"/>
    </row>
    <row r="714" spans="1:18" ht="12.75" customHeight="1" x14ac:dyDescent="0.25">
      <c r="A714" s="743"/>
      <c r="C714" s="452"/>
      <c r="D714" s="684"/>
      <c r="E714" s="454"/>
      <c r="F714" s="454"/>
      <c r="G714" s="455"/>
      <c r="H714" s="678"/>
      <c r="I714" s="455"/>
      <c r="J714" s="457"/>
      <c r="K714" s="457"/>
      <c r="L714" s="457"/>
      <c r="M714" s="455"/>
      <c r="N714" s="456"/>
      <c r="O714" s="457"/>
      <c r="P714" s="459"/>
      <c r="Q714" s="451"/>
    </row>
    <row r="715" spans="1:18" ht="12.75" customHeight="1" x14ac:dyDescent="0.25">
      <c r="A715" s="743"/>
      <c r="B715" s="452"/>
      <c r="C715" s="452"/>
      <c r="D715" s="684"/>
      <c r="E715" s="454"/>
      <c r="F715" s="454"/>
      <c r="G715" s="455"/>
      <c r="H715" s="678"/>
      <c r="I715" s="455"/>
      <c r="J715" s="457"/>
      <c r="K715" s="457"/>
      <c r="L715" s="457"/>
      <c r="M715" s="455"/>
      <c r="N715" s="456"/>
      <c r="O715" s="457"/>
      <c r="P715" s="463"/>
      <c r="Q715" s="451"/>
    </row>
    <row r="716" spans="1:18" ht="12.75" customHeight="1" x14ac:dyDescent="0.25">
      <c r="A716" s="743"/>
      <c r="B716" s="452"/>
      <c r="C716" s="452"/>
      <c r="D716" s="684"/>
      <c r="E716" s="454"/>
      <c r="F716" s="454"/>
      <c r="G716" s="455"/>
      <c r="H716" s="678"/>
      <c r="I716" s="455"/>
      <c r="J716" s="457"/>
      <c r="K716" s="457"/>
      <c r="L716" s="457"/>
      <c r="M716" s="457"/>
      <c r="N716" s="451"/>
      <c r="O716" s="457"/>
      <c r="P716" s="463"/>
      <c r="Q716" s="451"/>
    </row>
    <row r="717" spans="1:18" ht="12.75" customHeight="1" x14ac:dyDescent="0.25">
      <c r="B717" s="325"/>
      <c r="C717" s="325"/>
      <c r="D717" s="683"/>
      <c r="E717" s="2"/>
      <c r="F717" s="2"/>
      <c r="G717" s="60"/>
      <c r="H717" s="675"/>
      <c r="I717" s="60"/>
    </row>
    <row r="718" spans="1:18" ht="13.2" x14ac:dyDescent="0.25">
      <c r="B718" s="325"/>
      <c r="C718" s="325"/>
      <c r="D718" s="683"/>
      <c r="E718" s="2"/>
      <c r="F718" s="2"/>
      <c r="G718" s="60"/>
      <c r="H718" s="675"/>
      <c r="I718" s="60"/>
      <c r="L718" s="249"/>
      <c r="M718" s="60"/>
      <c r="N718" s="303"/>
      <c r="O718" s="319"/>
      <c r="P718" s="304"/>
      <c r="R718" s="247"/>
    </row>
    <row r="719" spans="1:18" ht="12.75" customHeight="1" x14ac:dyDescent="0.25">
      <c r="B719" s="325"/>
      <c r="C719" s="325"/>
      <c r="D719" s="683"/>
      <c r="E719" s="2"/>
      <c r="F719" s="2"/>
      <c r="G719" s="60"/>
      <c r="H719" s="675"/>
      <c r="I719" s="60"/>
      <c r="M719" s="257" t="s">
        <v>2127</v>
      </c>
      <c r="N719" s="257">
        <f>SUM(N572:N718)</f>
        <v>683492.8</v>
      </c>
    </row>
    <row r="720" spans="1:18" ht="12.75" customHeight="1" x14ac:dyDescent="0.25">
      <c r="B720" s="325"/>
      <c r="C720" s="325"/>
      <c r="D720" s="683"/>
      <c r="E720" s="2"/>
      <c r="F720" s="2"/>
      <c r="G720" s="60"/>
      <c r="H720" s="675"/>
      <c r="I720" s="60"/>
      <c r="M720" s="257"/>
      <c r="N720" s="257"/>
    </row>
    <row r="721" spans="1:16" ht="13.8" thickBot="1" x14ac:dyDescent="0.3"/>
    <row r="722" spans="1:16" ht="12.75" customHeight="1" thickBot="1" x14ac:dyDescent="0.3">
      <c r="A722" s="420" t="s">
        <v>2143</v>
      </c>
      <c r="B722" s="578"/>
      <c r="C722" s="543"/>
      <c r="D722" s="677"/>
      <c r="E722" s="543"/>
      <c r="F722" s="543"/>
      <c r="G722" s="547"/>
    </row>
    <row r="723" spans="1:16" ht="12.75" customHeight="1" x14ac:dyDescent="0.25">
      <c r="A723" s="755" t="s">
        <v>184</v>
      </c>
      <c r="B723" s="756" t="s">
        <v>999</v>
      </c>
      <c r="C723" s="757" t="s">
        <v>2082</v>
      </c>
      <c r="D723" s="758" t="s">
        <v>2084</v>
      </c>
      <c r="E723" s="757" t="s">
        <v>940</v>
      </c>
      <c r="F723" s="757" t="s">
        <v>668</v>
      </c>
      <c r="G723" s="759" t="s">
        <v>667</v>
      </c>
    </row>
    <row r="724" spans="1:16" ht="12.75" customHeight="1" x14ac:dyDescent="0.25">
      <c r="A724" s="354" t="s">
        <v>2923</v>
      </c>
      <c r="B724" s="295" t="s">
        <v>2923</v>
      </c>
      <c r="C724" s="249" t="s">
        <v>927</v>
      </c>
      <c r="D724" s="231" t="s">
        <v>1231</v>
      </c>
      <c r="F724" s="299">
        <v>0</v>
      </c>
      <c r="G724" s="299">
        <v>148</v>
      </c>
    </row>
    <row r="725" spans="1:16" ht="12.75" customHeight="1" x14ac:dyDescent="0.25">
      <c r="A725" s="354" t="s">
        <v>3294</v>
      </c>
      <c r="B725" s="295" t="s">
        <v>3294</v>
      </c>
      <c r="C725" s="61" t="s">
        <v>3300</v>
      </c>
      <c r="D725" s="689">
        <v>3564591</v>
      </c>
      <c r="E725" s="309" t="s">
        <v>932</v>
      </c>
      <c r="F725" s="299">
        <v>0</v>
      </c>
      <c r="G725" s="299">
        <v>10000</v>
      </c>
    </row>
    <row r="726" spans="1:16" ht="12.75" customHeight="1" x14ac:dyDescent="0.25">
      <c r="A726" s="354" t="s">
        <v>3294</v>
      </c>
      <c r="B726" s="295" t="s">
        <v>3294</v>
      </c>
      <c r="C726" s="61" t="s">
        <v>3301</v>
      </c>
      <c r="D726" s="689">
        <v>3567078</v>
      </c>
      <c r="E726" s="309" t="s">
        <v>932</v>
      </c>
      <c r="F726" s="299">
        <v>0</v>
      </c>
      <c r="G726" s="299">
        <v>5000</v>
      </c>
    </row>
    <row r="727" spans="1:16" ht="12.75" customHeight="1" x14ac:dyDescent="0.25">
      <c r="A727" s="354" t="s">
        <v>3302</v>
      </c>
      <c r="B727" s="295" t="s">
        <v>3302</v>
      </c>
      <c r="C727" s="61" t="s">
        <v>3304</v>
      </c>
      <c r="D727" s="689">
        <v>3575425</v>
      </c>
      <c r="E727" s="309" t="s">
        <v>932</v>
      </c>
      <c r="F727" s="299">
        <v>0</v>
      </c>
      <c r="G727" s="299">
        <v>10000</v>
      </c>
    </row>
    <row r="728" spans="1:16" ht="12.75" customHeight="1" x14ac:dyDescent="0.25">
      <c r="A728" s="354" t="s">
        <v>3306</v>
      </c>
      <c r="B728" s="295" t="s">
        <v>3306</v>
      </c>
      <c r="C728" s="61" t="s">
        <v>3307</v>
      </c>
      <c r="D728" s="689">
        <v>3618029</v>
      </c>
      <c r="E728" s="309" t="s">
        <v>932</v>
      </c>
      <c r="F728" s="299">
        <v>0</v>
      </c>
      <c r="G728" s="299">
        <v>6000</v>
      </c>
    </row>
    <row r="729" spans="1:16" ht="12.75" customHeight="1" x14ac:dyDescent="0.25">
      <c r="A729" s="354" t="s">
        <v>3311</v>
      </c>
      <c r="B729" s="295" t="s">
        <v>3311</v>
      </c>
      <c r="C729" s="61" t="s">
        <v>3312</v>
      </c>
      <c r="D729" s="689">
        <v>3641331</v>
      </c>
      <c r="E729" s="309" t="s">
        <v>932</v>
      </c>
      <c r="F729" s="299">
        <v>0</v>
      </c>
      <c r="G729" s="299">
        <v>4000</v>
      </c>
      <c r="I729" s="249"/>
      <c r="J729" s="249"/>
      <c r="K729" s="249"/>
      <c r="L729" s="249"/>
      <c r="M729" s="249"/>
      <c r="O729" s="247"/>
      <c r="P729" s="224"/>
    </row>
    <row r="730" spans="1:16" ht="12.75" customHeight="1" x14ac:dyDescent="0.25">
      <c r="A730" s="354" t="s">
        <v>3342</v>
      </c>
      <c r="B730" s="295" t="s">
        <v>3342</v>
      </c>
      <c r="C730" s="61" t="s">
        <v>3343</v>
      </c>
      <c r="D730" s="689">
        <v>3730312</v>
      </c>
      <c r="E730" s="309" t="s">
        <v>932</v>
      </c>
      <c r="F730" s="299">
        <v>0</v>
      </c>
      <c r="G730" s="299">
        <v>200</v>
      </c>
    </row>
    <row r="731" spans="1:16" ht="12.75" customHeight="1" x14ac:dyDescent="0.25">
      <c r="A731" s="354" t="s">
        <v>3342</v>
      </c>
      <c r="B731" s="295" t="s">
        <v>3342</v>
      </c>
      <c r="C731" s="61" t="s">
        <v>3349</v>
      </c>
      <c r="D731" s="689">
        <v>3730208</v>
      </c>
      <c r="E731" s="309" t="s">
        <v>932</v>
      </c>
      <c r="F731" s="299">
        <v>0</v>
      </c>
      <c r="G731" s="299">
        <v>1000</v>
      </c>
      <c r="I731" s="249"/>
      <c r="J731" s="249"/>
      <c r="K731" s="249"/>
      <c r="L731" s="249"/>
      <c r="M731" s="249"/>
      <c r="O731" s="247"/>
      <c r="P731" s="224"/>
    </row>
    <row r="732" spans="1:16" ht="12.75" customHeight="1" x14ac:dyDescent="0.25">
      <c r="A732" s="354" t="s">
        <v>3351</v>
      </c>
      <c r="B732" s="295" t="s">
        <v>3351</v>
      </c>
      <c r="C732" s="61" t="s">
        <v>3352</v>
      </c>
      <c r="D732" s="689">
        <v>3748350</v>
      </c>
      <c r="E732" s="309" t="s">
        <v>932</v>
      </c>
      <c r="F732" s="299">
        <v>0</v>
      </c>
      <c r="G732" s="299">
        <v>5000</v>
      </c>
      <c r="I732" s="249"/>
      <c r="J732" s="249"/>
      <c r="K732" s="249"/>
      <c r="L732" s="249"/>
      <c r="M732" s="249"/>
      <c r="O732" s="247"/>
      <c r="P732" s="224"/>
    </row>
    <row r="733" spans="1:16" ht="12.75" customHeight="1" x14ac:dyDescent="0.25">
      <c r="A733" s="354" t="s">
        <v>3354</v>
      </c>
      <c r="B733" s="295" t="s">
        <v>3354</v>
      </c>
      <c r="C733" s="61" t="s">
        <v>3355</v>
      </c>
      <c r="D733" s="689">
        <v>3777431</v>
      </c>
      <c r="E733" s="309" t="s">
        <v>932</v>
      </c>
      <c r="F733" s="299">
        <v>0</v>
      </c>
      <c r="G733" s="299">
        <v>1500</v>
      </c>
      <c r="L733" s="249"/>
      <c r="M733" s="249"/>
      <c r="O733" s="247"/>
      <c r="P733" s="224"/>
    </row>
    <row r="734" spans="1:16" ht="12.75" customHeight="1" x14ac:dyDescent="0.25">
      <c r="A734" s="354" t="s">
        <v>3359</v>
      </c>
      <c r="B734" s="295" t="s">
        <v>3359</v>
      </c>
      <c r="C734" s="61" t="s">
        <v>3360</v>
      </c>
      <c r="D734" s="689">
        <v>3838924</v>
      </c>
      <c r="E734" s="309" t="s">
        <v>932</v>
      </c>
      <c r="F734" s="299">
        <v>0</v>
      </c>
      <c r="G734" s="299">
        <v>300</v>
      </c>
      <c r="I734" s="249"/>
      <c r="J734" s="249"/>
      <c r="K734" s="249"/>
      <c r="L734" s="249"/>
      <c r="M734" s="249"/>
      <c r="O734" s="247"/>
      <c r="P734" s="224"/>
    </row>
    <row r="735" spans="1:16" ht="12.75" customHeight="1" x14ac:dyDescent="0.25">
      <c r="A735" s="354" t="s">
        <v>3389</v>
      </c>
      <c r="B735" s="295" t="s">
        <v>3389</v>
      </c>
      <c r="C735" s="61" t="s">
        <v>3390</v>
      </c>
      <c r="D735" s="689">
        <v>3947211</v>
      </c>
      <c r="E735" s="309" t="s">
        <v>932</v>
      </c>
      <c r="F735" s="299">
        <v>0</v>
      </c>
      <c r="G735" s="299">
        <v>42000</v>
      </c>
      <c r="I735" s="295"/>
      <c r="L735" s="249"/>
      <c r="M735" s="249"/>
      <c r="O735" s="247"/>
      <c r="P735" s="224"/>
    </row>
    <row r="736" spans="1:16" ht="12.75" customHeight="1" x14ac:dyDescent="0.25">
      <c r="A736" s="354" t="s">
        <v>3393</v>
      </c>
      <c r="B736" s="295" t="s">
        <v>3393</v>
      </c>
      <c r="C736" s="61" t="s">
        <v>3394</v>
      </c>
      <c r="D736" s="689">
        <v>4036101</v>
      </c>
      <c r="E736" s="309" t="s">
        <v>932</v>
      </c>
      <c r="F736" s="299">
        <v>0</v>
      </c>
      <c r="G736" s="299">
        <v>10000</v>
      </c>
      <c r="K736" s="249"/>
      <c r="L736" s="249"/>
      <c r="M736" s="249"/>
      <c r="O736" s="247"/>
      <c r="P736" s="224"/>
    </row>
    <row r="737" spans="1:16" ht="12.75" customHeight="1" x14ac:dyDescent="0.25">
      <c r="A737" s="354" t="s">
        <v>3384</v>
      </c>
      <c r="B737" s="295" t="s">
        <v>3384</v>
      </c>
      <c r="C737" s="61" t="s">
        <v>3385</v>
      </c>
      <c r="D737" s="689">
        <v>4046227</v>
      </c>
      <c r="E737" s="309" t="s">
        <v>932</v>
      </c>
      <c r="F737" s="299">
        <v>0</v>
      </c>
      <c r="G737" s="299">
        <v>2000</v>
      </c>
      <c r="I737" s="249"/>
      <c r="K737" s="249"/>
      <c r="L737" s="249"/>
      <c r="M737" s="249"/>
      <c r="O737" s="247"/>
      <c r="P737" s="224"/>
    </row>
    <row r="738" spans="1:16" ht="12.75" customHeight="1" x14ac:dyDescent="0.25">
      <c r="A738" s="354" t="s">
        <v>3404</v>
      </c>
      <c r="B738" s="295" t="s">
        <v>3404</v>
      </c>
      <c r="C738" s="61" t="s">
        <v>3405</v>
      </c>
      <c r="D738" s="689">
        <v>4130367</v>
      </c>
      <c r="E738" s="309" t="s">
        <v>932</v>
      </c>
      <c r="F738" s="299">
        <v>0</v>
      </c>
      <c r="G738" s="299">
        <v>2000</v>
      </c>
      <c r="J738" s="249"/>
      <c r="K738" s="249"/>
      <c r="L738" s="249"/>
      <c r="M738" s="249"/>
      <c r="O738" s="247"/>
      <c r="P738" s="224"/>
    </row>
    <row r="739" spans="1:16" ht="12.75" customHeight="1" x14ac:dyDescent="0.25">
      <c r="A739" s="354" t="s">
        <v>3408</v>
      </c>
      <c r="B739" s="295" t="s">
        <v>3408</v>
      </c>
      <c r="C739" s="61" t="s">
        <v>3413</v>
      </c>
      <c r="D739" s="689">
        <v>4164436</v>
      </c>
      <c r="E739" s="309" t="s">
        <v>932</v>
      </c>
      <c r="F739" s="299">
        <v>0</v>
      </c>
      <c r="G739" s="299">
        <v>900</v>
      </c>
      <c r="J739" s="249"/>
      <c r="K739" s="249"/>
      <c r="L739" s="249"/>
      <c r="M739" s="249"/>
      <c r="O739" s="247"/>
      <c r="P739" s="224"/>
    </row>
    <row r="740" spans="1:16" ht="12.75" customHeight="1" x14ac:dyDescent="0.25">
      <c r="A740" s="354" t="s">
        <v>3409</v>
      </c>
      <c r="B740" s="295" t="s">
        <v>3409</v>
      </c>
      <c r="C740" s="61" t="s">
        <v>3412</v>
      </c>
      <c r="D740" s="689">
        <v>4172406</v>
      </c>
      <c r="E740" s="309" t="s">
        <v>932</v>
      </c>
      <c r="F740" s="299">
        <v>0</v>
      </c>
      <c r="G740" s="299">
        <v>1000</v>
      </c>
      <c r="I740" s="249"/>
      <c r="J740" s="249"/>
      <c r="K740" s="249"/>
      <c r="L740" s="249"/>
      <c r="M740" s="249"/>
      <c r="O740" s="247"/>
      <c r="P740" s="224"/>
    </row>
    <row r="741" spans="1:16" ht="12.75" customHeight="1" x14ac:dyDescent="0.25">
      <c r="A741" s="354" t="s">
        <v>3415</v>
      </c>
      <c r="B741" s="295" t="s">
        <v>3415</v>
      </c>
      <c r="C741" s="61" t="s">
        <v>3416</v>
      </c>
      <c r="D741" s="689">
        <v>4236866</v>
      </c>
      <c r="E741" s="309" t="s">
        <v>932</v>
      </c>
      <c r="F741" s="299">
        <v>0</v>
      </c>
      <c r="G741" s="299">
        <v>100</v>
      </c>
      <c r="J741" s="249"/>
      <c r="K741" s="249"/>
      <c r="L741" s="249"/>
      <c r="M741" s="249"/>
      <c r="O741" s="247"/>
      <c r="P741" s="224"/>
    </row>
    <row r="742" spans="1:16" ht="12.75" customHeight="1" x14ac:dyDescent="0.25">
      <c r="A742" s="354" t="s">
        <v>3419</v>
      </c>
      <c r="B742" s="295" t="s">
        <v>3419</v>
      </c>
      <c r="C742" s="61" t="s">
        <v>3420</v>
      </c>
      <c r="D742" s="689">
        <v>4273086</v>
      </c>
      <c r="E742" s="309" t="s">
        <v>932</v>
      </c>
      <c r="F742" s="299">
        <v>0</v>
      </c>
      <c r="G742" s="299">
        <v>2000</v>
      </c>
      <c r="I742" s="249"/>
      <c r="J742" s="249"/>
      <c r="K742" s="249"/>
      <c r="L742" s="249"/>
      <c r="M742" s="249"/>
      <c r="O742" s="247"/>
      <c r="P742" s="224"/>
    </row>
    <row r="743" spans="1:16" ht="12.75" customHeight="1" x14ac:dyDescent="0.25">
      <c r="A743" s="354" t="s">
        <v>3419</v>
      </c>
      <c r="B743" s="295" t="s">
        <v>3419</v>
      </c>
      <c r="C743" s="61" t="s">
        <v>3421</v>
      </c>
      <c r="D743" s="689">
        <v>4273057</v>
      </c>
      <c r="E743" s="309" t="s">
        <v>932</v>
      </c>
      <c r="F743" s="299">
        <v>0</v>
      </c>
      <c r="G743" s="299">
        <v>4000</v>
      </c>
      <c r="I743" s="249"/>
      <c r="J743" s="249"/>
      <c r="K743" s="249"/>
      <c r="L743" s="249"/>
      <c r="M743" s="249"/>
      <c r="O743" s="247"/>
      <c r="P743" s="224"/>
    </row>
    <row r="744" spans="1:16" ht="12.75" customHeight="1" x14ac:dyDescent="0.25">
      <c r="A744" s="354" t="s">
        <v>3422</v>
      </c>
      <c r="B744" s="295" t="s">
        <v>3422</v>
      </c>
      <c r="C744" s="61" t="s">
        <v>3424</v>
      </c>
      <c r="D744" s="689">
        <v>4294172</v>
      </c>
      <c r="E744" s="309" t="s">
        <v>932</v>
      </c>
      <c r="F744" s="299">
        <v>0</v>
      </c>
      <c r="G744" s="299">
        <v>3000</v>
      </c>
      <c r="K744" s="249"/>
      <c r="L744" s="249"/>
      <c r="M744" s="249"/>
      <c r="O744" s="247"/>
      <c r="P744" s="224"/>
    </row>
    <row r="745" spans="1:16" ht="12.75" customHeight="1" x14ac:dyDescent="0.25">
      <c r="A745" s="354" t="s">
        <v>3432</v>
      </c>
      <c r="B745" s="295" t="s">
        <v>3432</v>
      </c>
      <c r="C745" s="61" t="s">
        <v>3434</v>
      </c>
      <c r="D745" s="689">
        <v>4333944</v>
      </c>
      <c r="E745" s="309" t="s">
        <v>932</v>
      </c>
      <c r="F745" s="299">
        <v>0</v>
      </c>
      <c r="G745" s="299">
        <v>2000</v>
      </c>
      <c r="I745" s="249"/>
      <c r="J745" s="249"/>
      <c r="K745" s="249"/>
      <c r="L745" s="249"/>
      <c r="M745" s="249"/>
      <c r="O745" s="247"/>
      <c r="P745" s="224"/>
    </row>
    <row r="746" spans="1:16" ht="12.75" customHeight="1" x14ac:dyDescent="0.25">
      <c r="A746" s="354" t="s">
        <v>3438</v>
      </c>
      <c r="B746" s="295" t="s">
        <v>3438</v>
      </c>
      <c r="C746" s="61" t="s">
        <v>3439</v>
      </c>
      <c r="D746" s="689">
        <v>4344186</v>
      </c>
      <c r="E746" s="309" t="s">
        <v>932</v>
      </c>
      <c r="F746" s="299">
        <v>0</v>
      </c>
      <c r="G746" s="299">
        <v>3000</v>
      </c>
      <c r="I746" s="249"/>
      <c r="J746" s="249"/>
      <c r="K746" s="249"/>
      <c r="L746" s="249"/>
      <c r="M746" s="249"/>
      <c r="O746" s="247"/>
      <c r="P746" s="224"/>
    </row>
    <row r="747" spans="1:16" ht="12.75" customHeight="1" x14ac:dyDescent="0.25">
      <c r="A747" s="354" t="s">
        <v>3441</v>
      </c>
      <c r="B747" s="295" t="s">
        <v>3441</v>
      </c>
      <c r="C747" s="61" t="s">
        <v>3444</v>
      </c>
      <c r="D747" s="689">
        <v>4367879</v>
      </c>
      <c r="E747" s="309" t="s">
        <v>932</v>
      </c>
      <c r="F747" s="299">
        <v>0</v>
      </c>
      <c r="G747" s="299">
        <v>3900</v>
      </c>
      <c r="K747" s="249"/>
      <c r="L747" s="249"/>
      <c r="M747" s="249"/>
      <c r="O747" s="247"/>
      <c r="P747" s="224"/>
    </row>
    <row r="748" spans="1:16" ht="12.75" customHeight="1" x14ac:dyDescent="0.25">
      <c r="A748" s="354" t="s">
        <v>3441</v>
      </c>
      <c r="B748" s="295" t="s">
        <v>3441</v>
      </c>
      <c r="C748" s="61" t="s">
        <v>3445</v>
      </c>
      <c r="D748" s="689">
        <v>4368042</v>
      </c>
      <c r="E748" s="309" t="s">
        <v>932</v>
      </c>
      <c r="F748" s="299">
        <v>0</v>
      </c>
      <c r="G748" s="299">
        <v>1100</v>
      </c>
      <c r="K748" s="249"/>
      <c r="L748" s="249"/>
      <c r="M748" s="249"/>
      <c r="O748" s="247"/>
      <c r="P748" s="224"/>
    </row>
    <row r="749" spans="1:16" ht="12.75" customHeight="1" x14ac:dyDescent="0.25">
      <c r="A749" s="354" t="s">
        <v>3468</v>
      </c>
      <c r="B749" s="295" t="s">
        <v>3468</v>
      </c>
      <c r="C749" s="61" t="s">
        <v>3469</v>
      </c>
      <c r="D749" s="689">
        <v>4397748</v>
      </c>
      <c r="E749" s="309" t="s">
        <v>932</v>
      </c>
      <c r="F749" s="299">
        <v>0</v>
      </c>
      <c r="G749" s="299">
        <v>1500</v>
      </c>
      <c r="K749" s="249"/>
      <c r="L749" s="249"/>
      <c r="M749" s="249"/>
      <c r="O749" s="247"/>
      <c r="P749" s="224"/>
    </row>
    <row r="750" spans="1:16" ht="12.75" customHeight="1" x14ac:dyDescent="0.25">
      <c r="A750" s="354" t="s">
        <v>3473</v>
      </c>
      <c r="B750" s="295" t="s">
        <v>3473</v>
      </c>
      <c r="C750" s="61" t="s">
        <v>3474</v>
      </c>
      <c r="D750" s="689">
        <v>4415505</v>
      </c>
      <c r="E750" s="309" t="s">
        <v>932</v>
      </c>
      <c r="F750" s="299">
        <v>0</v>
      </c>
      <c r="G750" s="299">
        <v>400</v>
      </c>
      <c r="K750" s="249"/>
      <c r="L750" s="249"/>
      <c r="M750" s="249"/>
      <c r="O750" s="247"/>
      <c r="P750" s="224"/>
    </row>
    <row r="751" spans="1:16" ht="26.4" x14ac:dyDescent="0.25">
      <c r="A751" s="354" t="s">
        <v>3477</v>
      </c>
      <c r="B751" s="295" t="s">
        <v>3477</v>
      </c>
      <c r="C751" s="707" t="s">
        <v>3479</v>
      </c>
      <c r="D751" s="689">
        <v>4427072</v>
      </c>
      <c r="E751" s="309" t="s">
        <v>932</v>
      </c>
      <c r="F751" s="299">
        <v>0</v>
      </c>
      <c r="G751" s="299">
        <v>3100</v>
      </c>
    </row>
    <row r="752" spans="1:16" ht="12.75" customHeight="1" x14ac:dyDescent="0.25">
      <c r="A752" s="354" t="s">
        <v>3487</v>
      </c>
      <c r="B752" s="295" t="s">
        <v>3487</v>
      </c>
      <c r="C752" s="61" t="s">
        <v>3488</v>
      </c>
      <c r="D752" s="689">
        <v>4466466</v>
      </c>
      <c r="E752" s="309" t="s">
        <v>932</v>
      </c>
      <c r="F752" s="299">
        <v>0</v>
      </c>
      <c r="G752" s="299">
        <v>10000</v>
      </c>
      <c r="I752" s="249"/>
      <c r="J752" s="249"/>
      <c r="K752" s="249"/>
      <c r="L752" s="249"/>
      <c r="M752" s="249"/>
      <c r="O752" s="247"/>
      <c r="P752" s="224"/>
    </row>
    <row r="753" spans="1:16" ht="12.75" customHeight="1" x14ac:dyDescent="0.25">
      <c r="A753" s="354" t="s">
        <v>3487</v>
      </c>
      <c r="B753" s="295" t="s">
        <v>3487</v>
      </c>
      <c r="C753" s="61" t="s">
        <v>3489</v>
      </c>
      <c r="D753" s="689">
        <v>4465547</v>
      </c>
      <c r="E753" s="309" t="s">
        <v>932</v>
      </c>
      <c r="F753" s="299">
        <v>0</v>
      </c>
      <c r="G753" s="299">
        <v>10000</v>
      </c>
      <c r="I753" s="249"/>
      <c r="J753" s="249"/>
      <c r="K753" s="249"/>
      <c r="L753" s="249"/>
      <c r="M753" s="249"/>
      <c r="O753" s="247"/>
      <c r="P753" s="224"/>
    </row>
    <row r="754" spans="1:16" ht="12.75" customHeight="1" x14ac:dyDescent="0.25">
      <c r="A754" s="354" t="s">
        <v>3496</v>
      </c>
      <c r="B754" s="295" t="s">
        <v>3496</v>
      </c>
      <c r="C754" s="61" t="s">
        <v>3497</v>
      </c>
      <c r="D754" s="689">
        <v>4500789</v>
      </c>
      <c r="E754" s="309" t="s">
        <v>932</v>
      </c>
      <c r="F754" s="299">
        <v>0</v>
      </c>
      <c r="G754" s="299">
        <v>5000</v>
      </c>
    </row>
    <row r="755" spans="1:16" ht="12.75" customHeight="1" x14ac:dyDescent="0.25">
      <c r="A755" s="354" t="s">
        <v>3498</v>
      </c>
      <c r="B755" s="295" t="s">
        <v>3498</v>
      </c>
      <c r="C755" s="61" t="s">
        <v>3504</v>
      </c>
      <c r="D755" s="689">
        <v>4507983</v>
      </c>
      <c r="E755" s="309" t="s">
        <v>932</v>
      </c>
      <c r="F755" s="299">
        <v>0</v>
      </c>
      <c r="G755" s="299">
        <v>5000</v>
      </c>
      <c r="I755" s="249"/>
      <c r="J755" s="249"/>
      <c r="K755" s="249"/>
      <c r="L755" s="249"/>
      <c r="M755" s="249"/>
      <c r="O755" s="247"/>
      <c r="P755" s="224"/>
    </row>
    <row r="756" spans="1:16" ht="12.75" customHeight="1" x14ac:dyDescent="0.25">
      <c r="A756" s="354" t="s">
        <v>3498</v>
      </c>
      <c r="B756" s="295" t="s">
        <v>3498</v>
      </c>
      <c r="C756" s="61" t="s">
        <v>3505</v>
      </c>
      <c r="D756" s="689">
        <v>4508133</v>
      </c>
      <c r="E756" s="309" t="s">
        <v>932</v>
      </c>
      <c r="F756" s="299">
        <v>0</v>
      </c>
      <c r="G756" s="299">
        <v>1000</v>
      </c>
      <c r="I756" s="249"/>
      <c r="J756" s="249"/>
      <c r="K756" s="249"/>
      <c r="L756" s="249"/>
      <c r="M756" s="249"/>
      <c r="O756" s="247"/>
      <c r="P756" s="224"/>
    </row>
    <row r="757" spans="1:16" ht="12.75" customHeight="1" x14ac:dyDescent="0.25">
      <c r="A757" s="354" t="s">
        <v>3518</v>
      </c>
      <c r="B757" s="295" t="s">
        <v>3518</v>
      </c>
      <c r="C757" s="61" t="s">
        <v>3519</v>
      </c>
      <c r="D757" s="689">
        <v>4552865</v>
      </c>
      <c r="E757" s="309" t="s">
        <v>932</v>
      </c>
      <c r="F757" s="299">
        <v>0</v>
      </c>
      <c r="G757" s="299">
        <v>5000</v>
      </c>
      <c r="K757" s="249"/>
      <c r="L757" s="249"/>
      <c r="M757" s="249"/>
      <c r="O757" s="247"/>
      <c r="P757" s="224"/>
    </row>
    <row r="758" spans="1:16" ht="12.75" customHeight="1" x14ac:dyDescent="0.25">
      <c r="A758" s="354" t="s">
        <v>3520</v>
      </c>
      <c r="B758" s="295" t="s">
        <v>3520</v>
      </c>
      <c r="C758" s="61" t="s">
        <v>2999</v>
      </c>
      <c r="D758" s="689">
        <v>1</v>
      </c>
      <c r="E758" s="309" t="s">
        <v>932</v>
      </c>
      <c r="F758" s="299">
        <v>71000</v>
      </c>
      <c r="G758" s="299">
        <v>0</v>
      </c>
      <c r="K758" s="249"/>
      <c r="L758" s="249"/>
      <c r="M758" s="249"/>
      <c r="O758" s="247"/>
      <c r="P758" s="224"/>
    </row>
    <row r="759" spans="1:16" ht="12.75" customHeight="1" x14ac:dyDescent="0.25">
      <c r="A759" s="354" t="s">
        <v>3520</v>
      </c>
      <c r="B759" s="295" t="s">
        <v>3520</v>
      </c>
      <c r="C759" s="61" t="s">
        <v>3524</v>
      </c>
      <c r="D759" s="689">
        <v>4559182</v>
      </c>
      <c r="E759" s="309" t="s">
        <v>932</v>
      </c>
      <c r="F759" s="299">
        <v>0</v>
      </c>
      <c r="G759" s="299">
        <v>15000</v>
      </c>
    </row>
    <row r="760" spans="1:16" ht="12.75" customHeight="1" x14ac:dyDescent="0.25">
      <c r="A760" s="354" t="s">
        <v>3520</v>
      </c>
      <c r="B760" s="295" t="s">
        <v>3520</v>
      </c>
      <c r="C760" s="61" t="s">
        <v>3525</v>
      </c>
      <c r="D760" s="689">
        <v>4561805</v>
      </c>
      <c r="E760" s="309" t="s">
        <v>932</v>
      </c>
      <c r="F760" s="299">
        <v>0</v>
      </c>
      <c r="G760" s="299">
        <v>900</v>
      </c>
    </row>
    <row r="761" spans="1:16" ht="12.75" customHeight="1" x14ac:dyDescent="0.25">
      <c r="A761" s="354" t="s">
        <v>3520</v>
      </c>
      <c r="B761" s="295" t="s">
        <v>3520</v>
      </c>
      <c r="C761" s="61" t="s">
        <v>3526</v>
      </c>
      <c r="D761" s="689">
        <v>4561786</v>
      </c>
      <c r="E761" s="309" t="s">
        <v>932</v>
      </c>
      <c r="F761" s="299">
        <v>0</v>
      </c>
      <c r="G761" s="299">
        <v>5000</v>
      </c>
    </row>
    <row r="762" spans="1:16" ht="12.75" customHeight="1" x14ac:dyDescent="0.25">
      <c r="A762" s="354" t="s">
        <v>3530</v>
      </c>
      <c r="B762" s="295" t="s">
        <v>3530</v>
      </c>
      <c r="C762" s="61" t="s">
        <v>3531</v>
      </c>
      <c r="D762" s="689">
        <v>4568060</v>
      </c>
      <c r="E762" s="309" t="s">
        <v>932</v>
      </c>
      <c r="F762" s="299">
        <v>0</v>
      </c>
      <c r="G762" s="299">
        <v>2600</v>
      </c>
    </row>
    <row r="763" spans="1:16" ht="12.75" customHeight="1" x14ac:dyDescent="0.25">
      <c r="A763" s="354" t="s">
        <v>3530</v>
      </c>
      <c r="B763" s="295" t="s">
        <v>3530</v>
      </c>
      <c r="C763" s="61" t="s">
        <v>3532</v>
      </c>
      <c r="D763" s="689">
        <v>4570868</v>
      </c>
      <c r="E763" s="309" t="s">
        <v>932</v>
      </c>
      <c r="F763" s="299">
        <v>0</v>
      </c>
      <c r="G763" s="299">
        <v>11500</v>
      </c>
    </row>
    <row r="764" spans="1:16" ht="12.75" customHeight="1" x14ac:dyDescent="0.25">
      <c r="A764" s="354" t="s">
        <v>3534</v>
      </c>
      <c r="B764" s="295" t="s">
        <v>3534</v>
      </c>
      <c r="C764" s="61" t="s">
        <v>3543</v>
      </c>
      <c r="D764" s="689">
        <v>4593502</v>
      </c>
      <c r="E764" s="309" t="s">
        <v>932</v>
      </c>
      <c r="F764" s="299">
        <v>0</v>
      </c>
      <c r="G764" s="299">
        <v>5000</v>
      </c>
    </row>
    <row r="765" spans="1:16" ht="12.75" customHeight="1" x14ac:dyDescent="0.25">
      <c r="A765" s="354" t="s">
        <v>3541</v>
      </c>
      <c r="B765" s="295" t="s">
        <v>3541</v>
      </c>
      <c r="C765" s="61" t="s">
        <v>3542</v>
      </c>
      <c r="D765" s="689">
        <v>4599586</v>
      </c>
      <c r="E765" s="309" t="s">
        <v>932</v>
      </c>
      <c r="F765" s="299">
        <v>0</v>
      </c>
      <c r="G765" s="299">
        <v>7000</v>
      </c>
    </row>
    <row r="766" spans="1:16" ht="12.75" customHeight="1" x14ac:dyDescent="0.25">
      <c r="A766" s="354" t="s">
        <v>3546</v>
      </c>
      <c r="B766" s="295" t="s">
        <v>3546</v>
      </c>
      <c r="C766" s="61" t="s">
        <v>3547</v>
      </c>
      <c r="D766" s="689">
        <v>4604046</v>
      </c>
      <c r="E766" s="309" t="s">
        <v>932</v>
      </c>
      <c r="F766" s="299">
        <v>0</v>
      </c>
      <c r="G766" s="299">
        <v>3000</v>
      </c>
      <c r="K766" s="249"/>
      <c r="L766" s="249"/>
      <c r="M766" s="249"/>
      <c r="O766" s="247"/>
      <c r="P766" s="224"/>
    </row>
    <row r="767" spans="1:16" ht="12.75" customHeight="1" x14ac:dyDescent="0.25">
      <c r="A767" s="354" t="s">
        <v>3546</v>
      </c>
      <c r="B767" s="295" t="s">
        <v>3546</v>
      </c>
      <c r="C767" s="61" t="s">
        <v>3548</v>
      </c>
      <c r="D767" s="689">
        <v>4607575</v>
      </c>
      <c r="E767" s="309" t="s">
        <v>932</v>
      </c>
      <c r="F767" s="299">
        <v>0</v>
      </c>
      <c r="G767" s="299">
        <v>3000</v>
      </c>
      <c r="K767" s="249"/>
      <c r="L767" s="249"/>
      <c r="M767" s="249"/>
      <c r="O767" s="247"/>
      <c r="P767" s="224"/>
    </row>
    <row r="768" spans="1:16" ht="12.75" customHeight="1" x14ac:dyDescent="0.25">
      <c r="A768" s="354" t="s">
        <v>3556</v>
      </c>
      <c r="B768" s="295" t="s">
        <v>3556</v>
      </c>
      <c r="C768" s="61" t="s">
        <v>3557</v>
      </c>
      <c r="D768" s="689">
        <v>4639185</v>
      </c>
      <c r="E768" s="309" t="s">
        <v>932</v>
      </c>
      <c r="F768" s="299">
        <v>0</v>
      </c>
      <c r="G768" s="299">
        <v>2000</v>
      </c>
      <c r="I768" s="249"/>
      <c r="J768" s="249"/>
      <c r="K768" s="249"/>
      <c r="L768" s="249"/>
      <c r="M768" s="249"/>
      <c r="O768" s="247"/>
      <c r="P768" s="224"/>
    </row>
    <row r="769" spans="1:16" ht="12.75" customHeight="1" x14ac:dyDescent="0.25">
      <c r="A769" s="354" t="s">
        <v>3559</v>
      </c>
      <c r="B769" s="295" t="s">
        <v>3559</v>
      </c>
      <c r="C769" s="61" t="s">
        <v>3560</v>
      </c>
      <c r="D769" s="689">
        <v>4709072</v>
      </c>
      <c r="E769" s="309" t="s">
        <v>932</v>
      </c>
      <c r="F769" s="299">
        <v>0</v>
      </c>
      <c r="G769" s="299">
        <v>7000</v>
      </c>
      <c r="K769" s="249"/>
      <c r="L769" s="249"/>
      <c r="M769" s="249"/>
      <c r="O769" s="247"/>
      <c r="P769" s="224"/>
    </row>
    <row r="770" spans="1:16" ht="12.75" customHeight="1" x14ac:dyDescent="0.25">
      <c r="A770" s="354" t="s">
        <v>3561</v>
      </c>
      <c r="B770" s="295" t="s">
        <v>3561</v>
      </c>
      <c r="C770" s="61" t="s">
        <v>3562</v>
      </c>
      <c r="D770" s="689">
        <v>4721808</v>
      </c>
      <c r="E770" s="309" t="s">
        <v>932</v>
      </c>
      <c r="F770" s="299">
        <v>0</v>
      </c>
      <c r="G770" s="299">
        <v>20000</v>
      </c>
      <c r="M770" s="249"/>
      <c r="O770" s="247"/>
      <c r="P770" s="224"/>
    </row>
    <row r="771" spans="1:16" ht="12.75" customHeight="1" x14ac:dyDescent="0.25">
      <c r="A771" s="354" t="s">
        <v>3568</v>
      </c>
      <c r="B771" s="295" t="s">
        <v>3568</v>
      </c>
      <c r="C771" s="61" t="s">
        <v>3585</v>
      </c>
      <c r="D771" s="689">
        <v>4726906</v>
      </c>
      <c r="E771" s="309" t="s">
        <v>932</v>
      </c>
      <c r="F771" s="299">
        <v>0</v>
      </c>
      <c r="G771" s="299">
        <v>17000</v>
      </c>
      <c r="M771" s="249"/>
      <c r="O771" s="247"/>
      <c r="P771" s="224"/>
    </row>
    <row r="772" spans="1:16" ht="12.75" customHeight="1" x14ac:dyDescent="0.25">
      <c r="A772" s="354" t="s">
        <v>3568</v>
      </c>
      <c r="B772" s="295" t="s">
        <v>3568</v>
      </c>
      <c r="C772" s="61" t="s">
        <v>3586</v>
      </c>
      <c r="D772" s="689">
        <v>4732023</v>
      </c>
      <c r="E772" s="309" t="s">
        <v>932</v>
      </c>
      <c r="F772" s="299">
        <v>0</v>
      </c>
      <c r="G772" s="299">
        <v>10000</v>
      </c>
      <c r="M772" s="249"/>
      <c r="O772" s="247"/>
      <c r="P772" s="224"/>
    </row>
    <row r="773" spans="1:16" ht="12.75" customHeight="1" x14ac:dyDescent="0.25">
      <c r="A773" s="354" t="s">
        <v>3590</v>
      </c>
      <c r="B773" s="295" t="s">
        <v>3590</v>
      </c>
      <c r="C773" s="61" t="s">
        <v>3593</v>
      </c>
      <c r="D773" s="689">
        <v>4746107</v>
      </c>
      <c r="E773" s="309" t="s">
        <v>932</v>
      </c>
      <c r="F773" s="299">
        <v>0</v>
      </c>
      <c r="G773" s="299">
        <v>7000</v>
      </c>
      <c r="M773" s="249"/>
      <c r="O773" s="247"/>
      <c r="P773" s="224"/>
    </row>
    <row r="774" spans="1:16" ht="12.75" customHeight="1" x14ac:dyDescent="0.25">
      <c r="A774" s="354" t="s">
        <v>3592</v>
      </c>
      <c r="B774" s="295" t="s">
        <v>3592</v>
      </c>
      <c r="C774" s="61" t="s">
        <v>3600</v>
      </c>
      <c r="D774" s="689">
        <v>4755643</v>
      </c>
      <c r="E774" s="309" t="s">
        <v>932</v>
      </c>
      <c r="F774" s="299">
        <v>0</v>
      </c>
      <c r="G774" s="299">
        <v>2000</v>
      </c>
      <c r="M774" s="249"/>
      <c r="O774" s="247"/>
      <c r="P774" s="224"/>
    </row>
    <row r="775" spans="1:16" ht="12.75" customHeight="1" x14ac:dyDescent="0.25">
      <c r="A775" s="354" t="s">
        <v>3594</v>
      </c>
      <c r="B775" s="295" t="s">
        <v>3594</v>
      </c>
      <c r="C775" s="61" t="s">
        <v>3595</v>
      </c>
      <c r="D775" s="689">
        <v>4765825</v>
      </c>
      <c r="E775" s="309" t="s">
        <v>932</v>
      </c>
      <c r="F775" s="299">
        <v>0</v>
      </c>
      <c r="G775" s="299">
        <v>1000</v>
      </c>
      <c r="M775" s="249"/>
      <c r="O775" s="247"/>
      <c r="P775" s="224"/>
    </row>
    <row r="776" spans="1:16" ht="12.75" customHeight="1" x14ac:dyDescent="0.25">
      <c r="A776" s="354" t="s">
        <v>3594</v>
      </c>
      <c r="B776" s="295" t="s">
        <v>3594</v>
      </c>
      <c r="C776" s="61" t="s">
        <v>3596</v>
      </c>
      <c r="D776" s="689">
        <v>4765334</v>
      </c>
      <c r="E776" s="309" t="s">
        <v>932</v>
      </c>
      <c r="F776" s="299">
        <v>0</v>
      </c>
      <c r="G776" s="299">
        <v>400</v>
      </c>
      <c r="M776" s="249"/>
      <c r="O776" s="247"/>
      <c r="P776" s="224"/>
    </row>
    <row r="777" spans="1:16" ht="12.75" customHeight="1" x14ac:dyDescent="0.25">
      <c r="A777" s="354" t="s">
        <v>3594</v>
      </c>
      <c r="B777" s="295" t="s">
        <v>3594</v>
      </c>
      <c r="C777" s="61" t="s">
        <v>3597</v>
      </c>
      <c r="D777" s="689">
        <v>4765182</v>
      </c>
      <c r="E777" s="309" t="s">
        <v>932</v>
      </c>
      <c r="F777" s="299">
        <v>0</v>
      </c>
      <c r="G777" s="299">
        <v>1000</v>
      </c>
      <c r="M777" s="249"/>
      <c r="O777" s="247"/>
      <c r="P777" s="224"/>
    </row>
    <row r="778" spans="1:16" ht="12.75" customHeight="1" x14ac:dyDescent="0.25">
      <c r="A778" s="354" t="s">
        <v>3594</v>
      </c>
      <c r="B778" s="295" t="s">
        <v>3594</v>
      </c>
      <c r="C778" s="61" t="s">
        <v>3598</v>
      </c>
      <c r="D778" s="689">
        <v>4765018</v>
      </c>
      <c r="E778" s="309" t="s">
        <v>932</v>
      </c>
      <c r="F778" s="299">
        <v>0</v>
      </c>
      <c r="G778" s="299">
        <v>3000</v>
      </c>
      <c r="M778" s="249"/>
      <c r="O778" s="247"/>
      <c r="P778" s="224"/>
    </row>
    <row r="779" spans="1:16" ht="12.75" customHeight="1" x14ac:dyDescent="0.25">
      <c r="A779" s="354" t="s">
        <v>3601</v>
      </c>
      <c r="B779" s="295" t="s">
        <v>3601</v>
      </c>
      <c r="C779" s="61" t="s">
        <v>3603</v>
      </c>
      <c r="D779" s="689">
        <v>4809483</v>
      </c>
      <c r="E779" s="309" t="s">
        <v>932</v>
      </c>
      <c r="F779" s="299">
        <v>0</v>
      </c>
      <c r="G779" s="299">
        <v>6000</v>
      </c>
      <c r="M779" s="249"/>
      <c r="O779" s="247"/>
      <c r="P779" s="224"/>
    </row>
    <row r="780" spans="1:16" ht="12.75" customHeight="1" x14ac:dyDescent="0.25">
      <c r="A780" s="354" t="s">
        <v>3619</v>
      </c>
      <c r="B780" s="295" t="s">
        <v>3619</v>
      </c>
      <c r="C780" s="61" t="s">
        <v>3620</v>
      </c>
      <c r="D780" s="689">
        <v>4967011</v>
      </c>
      <c r="E780" s="309" t="s">
        <v>932</v>
      </c>
      <c r="F780" s="299">
        <v>0</v>
      </c>
      <c r="G780" s="299">
        <v>600</v>
      </c>
      <c r="M780" s="249"/>
      <c r="O780" s="247"/>
      <c r="P780" s="224"/>
    </row>
    <row r="781" spans="1:16" ht="12.75" customHeight="1" x14ac:dyDescent="0.25">
      <c r="A781" s="354" t="s">
        <v>3619</v>
      </c>
      <c r="B781" s="295" t="s">
        <v>3619</v>
      </c>
      <c r="C781" s="61" t="s">
        <v>3621</v>
      </c>
      <c r="D781" s="689">
        <v>4963858</v>
      </c>
      <c r="E781" s="309" t="s">
        <v>932</v>
      </c>
      <c r="F781" s="299">
        <v>0</v>
      </c>
      <c r="G781" s="299">
        <v>15000</v>
      </c>
      <c r="M781" s="249"/>
      <c r="O781" s="247"/>
      <c r="P781" s="224"/>
    </row>
    <row r="782" spans="1:16" ht="12.75" customHeight="1" x14ac:dyDescent="0.25">
      <c r="A782" s="354" t="s">
        <v>3627</v>
      </c>
      <c r="B782" s="295" t="s">
        <v>3627</v>
      </c>
      <c r="C782" s="61" t="s">
        <v>3629</v>
      </c>
      <c r="D782" s="689">
        <v>4978246</v>
      </c>
      <c r="E782" s="309" t="s">
        <v>932</v>
      </c>
      <c r="F782" s="299">
        <v>0</v>
      </c>
      <c r="G782" s="299">
        <v>5000</v>
      </c>
      <c r="M782" s="249"/>
      <c r="O782" s="247"/>
      <c r="P782" s="224"/>
    </row>
    <row r="783" spans="1:16" ht="12.75" customHeight="1" x14ac:dyDescent="0.25">
      <c r="A783" s="354" t="s">
        <v>3627</v>
      </c>
      <c r="B783" s="295" t="s">
        <v>3627</v>
      </c>
      <c r="C783" s="61" t="s">
        <v>3630</v>
      </c>
      <c r="D783" s="689">
        <v>4981006</v>
      </c>
      <c r="E783" s="309" t="s">
        <v>932</v>
      </c>
      <c r="F783" s="299">
        <v>0</v>
      </c>
      <c r="G783" s="299">
        <v>6000</v>
      </c>
      <c r="M783" s="249"/>
      <c r="O783" s="247"/>
      <c r="P783" s="224"/>
    </row>
    <row r="784" spans="1:16" ht="12.75" customHeight="1" x14ac:dyDescent="0.25">
      <c r="A784" s="354" t="s">
        <v>3631</v>
      </c>
      <c r="B784" s="295" t="s">
        <v>3631</v>
      </c>
      <c r="C784" s="61" t="s">
        <v>3635</v>
      </c>
      <c r="D784" s="689">
        <v>5031070</v>
      </c>
      <c r="E784" s="309" t="s">
        <v>932</v>
      </c>
      <c r="F784" s="299">
        <v>0</v>
      </c>
      <c r="G784" s="299">
        <v>2000</v>
      </c>
      <c r="M784" s="249"/>
      <c r="O784" s="247"/>
      <c r="P784" s="224"/>
    </row>
    <row r="785" spans="1:16" ht="12.75" customHeight="1" x14ac:dyDescent="0.25">
      <c r="A785" s="354" t="s">
        <v>3637</v>
      </c>
      <c r="B785" s="295" t="s">
        <v>3637</v>
      </c>
      <c r="C785" s="61" t="s">
        <v>3638</v>
      </c>
      <c r="D785" s="689">
        <v>5048755</v>
      </c>
      <c r="E785" s="309" t="s">
        <v>932</v>
      </c>
      <c r="F785" s="299">
        <v>0</v>
      </c>
      <c r="G785" s="299">
        <v>4500</v>
      </c>
      <c r="M785" s="249"/>
      <c r="O785" s="247"/>
      <c r="P785" s="224"/>
    </row>
    <row r="786" spans="1:16" ht="12.75" customHeight="1" x14ac:dyDescent="0.25">
      <c r="A786" s="354" t="s">
        <v>3641</v>
      </c>
      <c r="B786" s="295" t="s">
        <v>3641</v>
      </c>
      <c r="C786" s="61" t="s">
        <v>3642</v>
      </c>
      <c r="D786" s="689">
        <v>5093061</v>
      </c>
      <c r="E786" s="309" t="s">
        <v>932</v>
      </c>
      <c r="F786" s="299">
        <v>0</v>
      </c>
      <c r="G786" s="299">
        <v>4000</v>
      </c>
      <c r="M786" s="249"/>
      <c r="O786" s="247"/>
      <c r="P786" s="224"/>
    </row>
    <row r="787" spans="1:16" ht="12.75" customHeight="1" x14ac:dyDescent="0.25">
      <c r="A787" s="354" t="s">
        <v>3644</v>
      </c>
      <c r="B787" s="295" t="s">
        <v>3644</v>
      </c>
      <c r="C787" s="61" t="s">
        <v>2999</v>
      </c>
      <c r="D787" s="689">
        <v>1</v>
      </c>
      <c r="E787" s="309" t="s">
        <v>932</v>
      </c>
      <c r="F787" s="299">
        <v>27500</v>
      </c>
      <c r="G787" s="299">
        <v>0</v>
      </c>
      <c r="M787" s="249"/>
      <c r="O787" s="247"/>
      <c r="P787" s="224"/>
    </row>
    <row r="788" spans="1:16" ht="12.75" customHeight="1" x14ac:dyDescent="0.25">
      <c r="A788" s="354" t="s">
        <v>3646</v>
      </c>
      <c r="B788" s="295" t="s">
        <v>3646</v>
      </c>
      <c r="C788" s="61" t="s">
        <v>3648</v>
      </c>
      <c r="D788" s="689">
        <v>5231687</v>
      </c>
      <c r="E788" s="309" t="s">
        <v>932</v>
      </c>
      <c r="F788" s="299">
        <v>0</v>
      </c>
      <c r="G788" s="299">
        <v>20000</v>
      </c>
      <c r="M788" s="249"/>
      <c r="O788" s="247"/>
      <c r="P788" s="224"/>
    </row>
    <row r="789" spans="1:16" ht="12.75" customHeight="1" x14ac:dyDescent="0.25">
      <c r="A789" s="354" t="s">
        <v>3646</v>
      </c>
      <c r="B789" s="295" t="s">
        <v>3646</v>
      </c>
      <c r="C789" s="61" t="s">
        <v>3649</v>
      </c>
      <c r="D789" s="689">
        <v>5231033</v>
      </c>
      <c r="E789" s="309" t="s">
        <v>932</v>
      </c>
      <c r="F789" s="299">
        <v>0</v>
      </c>
      <c r="G789" s="299">
        <v>5000</v>
      </c>
      <c r="M789" s="249"/>
      <c r="O789" s="247"/>
      <c r="P789" s="224"/>
    </row>
    <row r="790" spans="1:16" ht="12.75" customHeight="1" x14ac:dyDescent="0.25">
      <c r="A790" s="354" t="s">
        <v>3646</v>
      </c>
      <c r="B790" s="295" t="s">
        <v>3646</v>
      </c>
      <c r="C790" s="61" t="s">
        <v>3650</v>
      </c>
      <c r="D790" s="689">
        <v>5230056</v>
      </c>
      <c r="E790" s="309" t="s">
        <v>932</v>
      </c>
      <c r="F790" s="299">
        <v>0</v>
      </c>
      <c r="G790" s="299">
        <v>20000</v>
      </c>
      <c r="M790" s="249"/>
      <c r="O790" s="247"/>
      <c r="P790" s="224"/>
    </row>
    <row r="791" spans="1:16" ht="12.75" customHeight="1" x14ac:dyDescent="0.25">
      <c r="A791" s="354" t="s">
        <v>3651</v>
      </c>
      <c r="B791" s="295" t="s">
        <v>3651</v>
      </c>
      <c r="C791" s="61" t="s">
        <v>2170</v>
      </c>
      <c r="D791" s="689">
        <v>41014</v>
      </c>
      <c r="E791" s="309" t="s">
        <v>932</v>
      </c>
      <c r="F791" s="299">
        <v>1279.8</v>
      </c>
      <c r="M791" s="249"/>
      <c r="O791" s="247"/>
      <c r="P791" s="224"/>
    </row>
    <row r="792" spans="1:16" ht="12.75" customHeight="1" x14ac:dyDescent="0.25">
      <c r="A792" s="354" t="s">
        <v>3656</v>
      </c>
      <c r="B792" s="295" t="s">
        <v>3656</v>
      </c>
      <c r="C792" s="61" t="s">
        <v>2170</v>
      </c>
      <c r="D792" s="689">
        <v>81014</v>
      </c>
      <c r="E792" s="309" t="s">
        <v>932</v>
      </c>
      <c r="F792" s="299">
        <v>8720.2000000000007</v>
      </c>
      <c r="I792" s="249"/>
      <c r="J792" s="249"/>
      <c r="K792" s="249"/>
      <c r="L792" s="249"/>
      <c r="M792" s="249"/>
      <c r="O792" s="247"/>
      <c r="P792" s="224"/>
    </row>
    <row r="793" spans="1:16" ht="12.75" customHeight="1" x14ac:dyDescent="0.25">
      <c r="A793" s="354" t="s">
        <v>3656</v>
      </c>
      <c r="B793" s="295" t="s">
        <v>3656</v>
      </c>
      <c r="C793" s="61" t="s">
        <v>3662</v>
      </c>
      <c r="D793" s="689">
        <v>5295724</v>
      </c>
      <c r="E793" s="309" t="s">
        <v>932</v>
      </c>
      <c r="F793" s="299">
        <v>0</v>
      </c>
      <c r="G793" s="299">
        <v>10000</v>
      </c>
      <c r="M793" s="249"/>
      <c r="O793" s="247"/>
      <c r="P793" s="224"/>
    </row>
    <row r="794" spans="1:16" ht="12.75" customHeight="1" x14ac:dyDescent="0.25">
      <c r="A794" s="354" t="s">
        <v>3659</v>
      </c>
      <c r="B794" s="295" t="s">
        <v>3659</v>
      </c>
      <c r="C794" s="61" t="s">
        <v>3660</v>
      </c>
      <c r="D794" s="689">
        <v>5305792</v>
      </c>
      <c r="E794" s="309" t="s">
        <v>932</v>
      </c>
      <c r="F794" s="299">
        <v>0</v>
      </c>
      <c r="G794" s="299">
        <v>1000</v>
      </c>
      <c r="M794" s="249"/>
      <c r="O794" s="247"/>
      <c r="P794" s="224"/>
    </row>
    <row r="795" spans="1:16" ht="12.75" customHeight="1" x14ac:dyDescent="0.25">
      <c r="A795" s="354" t="s">
        <v>3659</v>
      </c>
      <c r="B795" s="295" t="s">
        <v>3659</v>
      </c>
      <c r="C795" s="61" t="s">
        <v>3661</v>
      </c>
      <c r="D795" s="689">
        <v>5308602</v>
      </c>
      <c r="E795" s="309" t="s">
        <v>932</v>
      </c>
      <c r="F795" s="299">
        <v>0</v>
      </c>
      <c r="G795" s="299">
        <v>2000</v>
      </c>
      <c r="K795" s="249"/>
      <c r="L795" s="249"/>
      <c r="M795" s="249"/>
      <c r="O795" s="247"/>
      <c r="P795" s="224"/>
    </row>
    <row r="796" spans="1:16" ht="12.75" customHeight="1" x14ac:dyDescent="0.25">
      <c r="A796" s="354" t="s">
        <v>3664</v>
      </c>
      <c r="B796" s="295" t="s">
        <v>3664</v>
      </c>
      <c r="C796" s="61" t="s">
        <v>3669</v>
      </c>
      <c r="D796" s="689">
        <v>5413324</v>
      </c>
      <c r="E796" s="309" t="s">
        <v>932</v>
      </c>
      <c r="F796" s="299">
        <v>0</v>
      </c>
      <c r="G796" s="299">
        <v>6000</v>
      </c>
      <c r="M796" s="249"/>
      <c r="O796" s="247"/>
      <c r="P796" s="224"/>
    </row>
    <row r="797" spans="1:16" ht="12.75" customHeight="1" x14ac:dyDescent="0.25">
      <c r="A797" s="354" t="s">
        <v>3664</v>
      </c>
      <c r="B797" s="295" t="s">
        <v>3664</v>
      </c>
      <c r="C797" s="61" t="s">
        <v>3670</v>
      </c>
      <c r="D797" s="689">
        <v>5413545</v>
      </c>
      <c r="E797" s="309" t="s">
        <v>932</v>
      </c>
      <c r="F797" s="299">
        <v>0</v>
      </c>
      <c r="G797" s="299">
        <v>2000</v>
      </c>
      <c r="K797" s="249"/>
      <c r="L797" s="249"/>
      <c r="M797" s="249"/>
      <c r="O797" s="247"/>
      <c r="P797" s="224"/>
    </row>
    <row r="798" spans="1:16" ht="12.75" customHeight="1" x14ac:dyDescent="0.25">
      <c r="A798" s="354" t="s">
        <v>3668</v>
      </c>
      <c r="B798" s="295" t="s">
        <v>3668</v>
      </c>
      <c r="C798" s="61" t="s">
        <v>3671</v>
      </c>
      <c r="D798" s="689">
        <v>5438340</v>
      </c>
      <c r="E798" s="309" t="s">
        <v>932</v>
      </c>
      <c r="F798" s="299">
        <v>0</v>
      </c>
      <c r="G798" s="299">
        <v>5000</v>
      </c>
      <c r="M798" s="249"/>
      <c r="O798" s="247"/>
      <c r="P798" s="224"/>
    </row>
    <row r="799" spans="1:16" ht="12.75" customHeight="1" x14ac:dyDescent="0.25">
      <c r="A799" s="354" t="s">
        <v>3672</v>
      </c>
      <c r="B799" s="295" t="s">
        <v>3672</v>
      </c>
      <c r="C799" s="61" t="s">
        <v>3673</v>
      </c>
      <c r="D799" s="689">
        <v>5446850</v>
      </c>
      <c r="E799" s="309" t="s">
        <v>932</v>
      </c>
      <c r="F799" s="299">
        <v>0</v>
      </c>
      <c r="G799" s="299">
        <v>400</v>
      </c>
      <c r="M799" s="249"/>
      <c r="O799" s="247"/>
      <c r="P799" s="224"/>
    </row>
    <row r="800" spans="1:16" ht="12.75" customHeight="1" x14ac:dyDescent="0.25">
      <c r="A800" s="354" t="s">
        <v>3672</v>
      </c>
      <c r="B800" s="295" t="s">
        <v>3672</v>
      </c>
      <c r="C800" s="61" t="s">
        <v>3674</v>
      </c>
      <c r="D800" s="689">
        <v>5446687</v>
      </c>
      <c r="E800" s="309" t="s">
        <v>932</v>
      </c>
      <c r="F800" s="299">
        <v>0</v>
      </c>
      <c r="G800" s="299">
        <v>2000</v>
      </c>
      <c r="K800" s="249"/>
      <c r="L800" s="249"/>
      <c r="M800" s="249"/>
      <c r="O800" s="247"/>
      <c r="P800" s="224"/>
    </row>
    <row r="801" spans="1:16" ht="12.75" customHeight="1" x14ac:dyDescent="0.25">
      <c r="A801" s="354" t="s">
        <v>3675</v>
      </c>
      <c r="B801" s="295" t="s">
        <v>3675</v>
      </c>
      <c r="C801" s="61" t="s">
        <v>3678</v>
      </c>
      <c r="D801" s="689">
        <v>5484364</v>
      </c>
      <c r="E801" s="309" t="s">
        <v>932</v>
      </c>
      <c r="F801" s="299">
        <v>0</v>
      </c>
      <c r="G801" s="299">
        <v>1000</v>
      </c>
      <c r="K801" s="249"/>
      <c r="L801" s="249"/>
      <c r="M801" s="249"/>
      <c r="O801" s="247"/>
      <c r="P801" s="224"/>
    </row>
    <row r="802" spans="1:16" ht="12.75" customHeight="1" x14ac:dyDescent="0.25">
      <c r="A802" s="354" t="s">
        <v>3689</v>
      </c>
      <c r="B802" s="295" t="s">
        <v>3689</v>
      </c>
      <c r="C802" s="61" t="s">
        <v>3690</v>
      </c>
      <c r="D802" s="689">
        <v>5575468</v>
      </c>
      <c r="E802" s="309" t="s">
        <v>932</v>
      </c>
      <c r="F802" s="299">
        <v>0</v>
      </c>
      <c r="G802" s="299">
        <v>1600</v>
      </c>
      <c r="M802" s="249"/>
      <c r="O802" s="247"/>
      <c r="P802" s="224"/>
    </row>
    <row r="803" spans="1:16" ht="12.75" customHeight="1" x14ac:dyDescent="0.25">
      <c r="A803" s="354" t="s">
        <v>4046</v>
      </c>
      <c r="B803" s="295" t="s">
        <v>4046</v>
      </c>
      <c r="C803" s="61" t="s">
        <v>4047</v>
      </c>
      <c r="D803" s="689">
        <v>6282297</v>
      </c>
      <c r="E803" s="309" t="s">
        <v>932</v>
      </c>
      <c r="F803" s="299">
        <v>0</v>
      </c>
      <c r="G803" s="299">
        <v>30000</v>
      </c>
      <c r="M803" s="249"/>
      <c r="O803" s="247"/>
      <c r="P803" s="224"/>
    </row>
    <row r="804" spans="1:16" ht="12.75" customHeight="1" x14ac:dyDescent="0.25">
      <c r="A804" s="250" t="s">
        <v>4058</v>
      </c>
      <c r="B804" s="249" t="s">
        <v>4058</v>
      </c>
      <c r="C804" s="249" t="s">
        <v>4059</v>
      </c>
      <c r="D804" s="231">
        <v>6443553</v>
      </c>
      <c r="E804" s="249" t="s">
        <v>932</v>
      </c>
      <c r="F804" s="249">
        <v>0</v>
      </c>
      <c r="G804" s="247">
        <v>60000</v>
      </c>
      <c r="M804" s="249"/>
      <c r="O804" s="247"/>
      <c r="P804" s="224"/>
    </row>
    <row r="805" spans="1:16" ht="12.75" customHeight="1" x14ac:dyDescent="0.25">
      <c r="A805" s="250" t="s">
        <v>4070</v>
      </c>
      <c r="B805" s="295" t="s">
        <v>4070</v>
      </c>
      <c r="C805" s="249" t="s">
        <v>4071</v>
      </c>
      <c r="D805" s="231">
        <v>6483498</v>
      </c>
      <c r="E805" s="249" t="s">
        <v>932</v>
      </c>
      <c r="F805" s="299">
        <v>0</v>
      </c>
      <c r="G805" s="299">
        <v>5000</v>
      </c>
    </row>
    <row r="806" spans="1:16" ht="12.75" customHeight="1" x14ac:dyDescent="0.25">
      <c r="A806" s="250" t="s">
        <v>4085</v>
      </c>
      <c r="B806" s="295" t="s">
        <v>4085</v>
      </c>
      <c r="C806" s="249" t="s">
        <v>4098</v>
      </c>
      <c r="D806" s="231">
        <v>6556928</v>
      </c>
      <c r="E806" s="249" t="s">
        <v>932</v>
      </c>
      <c r="F806" s="299">
        <v>0</v>
      </c>
      <c r="G806" s="299">
        <v>35000</v>
      </c>
    </row>
    <row r="807" spans="1:16" ht="12.75" customHeight="1" x14ac:dyDescent="0.25">
      <c r="A807" s="354" t="s">
        <v>4096</v>
      </c>
      <c r="B807" s="295" t="s">
        <v>4096</v>
      </c>
      <c r="C807" s="249" t="s">
        <v>4097</v>
      </c>
      <c r="D807" s="231">
        <v>6627263</v>
      </c>
      <c r="E807" s="249" t="s">
        <v>932</v>
      </c>
      <c r="F807" s="299">
        <v>0</v>
      </c>
      <c r="G807" s="299">
        <v>500</v>
      </c>
    </row>
    <row r="808" spans="1:16" ht="12.75" customHeight="1" x14ac:dyDescent="0.25">
      <c r="A808" s="354" t="s">
        <v>4119</v>
      </c>
      <c r="B808" s="295" t="s">
        <v>4119</v>
      </c>
      <c r="C808" s="2" t="s">
        <v>2170</v>
      </c>
      <c r="D808" s="231">
        <v>120215</v>
      </c>
      <c r="E808" s="2" t="s">
        <v>932</v>
      </c>
      <c r="F808" s="299">
        <v>50000.9</v>
      </c>
      <c r="G808" s="299">
        <v>0</v>
      </c>
    </row>
    <row r="809" spans="1:16" ht="12.75" customHeight="1" x14ac:dyDescent="0.25">
      <c r="A809" s="250" t="s">
        <v>4141</v>
      </c>
      <c r="B809" s="295" t="s">
        <v>4141</v>
      </c>
      <c r="C809" s="249" t="s">
        <v>4144</v>
      </c>
      <c r="D809" s="231">
        <v>6847307</v>
      </c>
      <c r="E809" s="249" t="s">
        <v>932</v>
      </c>
      <c r="F809" s="299">
        <v>0</v>
      </c>
      <c r="G809" s="299">
        <v>15000</v>
      </c>
    </row>
    <row r="810" spans="1:16" ht="12.75" customHeight="1" x14ac:dyDescent="0.25">
      <c r="A810" s="250" t="s">
        <v>4149</v>
      </c>
      <c r="B810" s="295" t="s">
        <v>4149</v>
      </c>
      <c r="C810" s="249" t="s">
        <v>4150</v>
      </c>
      <c r="D810" s="231">
        <v>6874844</v>
      </c>
      <c r="E810" s="249" t="s">
        <v>932</v>
      </c>
      <c r="F810" s="299">
        <v>0</v>
      </c>
      <c r="G810" s="299">
        <v>40000</v>
      </c>
    </row>
    <row r="811" spans="1:16" ht="12.75" customHeight="1" x14ac:dyDescent="0.25">
      <c r="A811" s="354" t="s">
        <v>4176</v>
      </c>
      <c r="B811" s="295" t="s">
        <v>4176</v>
      </c>
      <c r="C811" s="249" t="s">
        <v>4181</v>
      </c>
      <c r="D811" s="231">
        <v>6994813</v>
      </c>
      <c r="E811" s="249" t="s">
        <v>932</v>
      </c>
      <c r="F811" s="299">
        <v>0</v>
      </c>
      <c r="G811" s="299">
        <v>4500</v>
      </c>
    </row>
    <row r="812" spans="1:16" ht="12.75" customHeight="1" x14ac:dyDescent="0.25">
      <c r="A812" s="250" t="s">
        <v>4218</v>
      </c>
      <c r="B812" s="295" t="s">
        <v>4218</v>
      </c>
      <c r="C812" s="249" t="s">
        <v>2170</v>
      </c>
      <c r="D812" s="231">
        <v>180315</v>
      </c>
      <c r="E812" s="249" t="s">
        <v>932</v>
      </c>
      <c r="F812" s="299">
        <v>8000</v>
      </c>
      <c r="G812" s="299">
        <v>0</v>
      </c>
    </row>
    <row r="813" spans="1:16" ht="12.75" customHeight="1" x14ac:dyDescent="0.25">
      <c r="A813" s="250" t="s">
        <v>4231</v>
      </c>
      <c r="B813" s="295" t="s">
        <v>4231</v>
      </c>
      <c r="C813" s="249" t="s">
        <v>4234</v>
      </c>
      <c r="D813" s="231">
        <v>7147159</v>
      </c>
      <c r="E813" s="249" t="s">
        <v>932</v>
      </c>
      <c r="F813" s="299">
        <v>0</v>
      </c>
      <c r="G813" s="299">
        <v>1000</v>
      </c>
    </row>
    <row r="814" spans="1:16" ht="12.75" customHeight="1" x14ac:dyDescent="0.25">
      <c r="A814" s="250" t="s">
        <v>4242</v>
      </c>
      <c r="B814" s="295" t="s">
        <v>4242</v>
      </c>
      <c r="C814" s="249" t="s">
        <v>4252</v>
      </c>
      <c r="D814" s="231">
        <v>7254265</v>
      </c>
      <c r="E814" s="249" t="s">
        <v>932</v>
      </c>
      <c r="F814" s="299">
        <v>0</v>
      </c>
      <c r="G814" s="299">
        <v>7000</v>
      </c>
    </row>
    <row r="815" spans="1:16" ht="12.75" customHeight="1" x14ac:dyDescent="0.25">
      <c r="A815" s="354"/>
      <c r="C815" s="61"/>
      <c r="D815" s="689"/>
      <c r="E815" s="309"/>
      <c r="K815" s="249"/>
      <c r="L815" s="249"/>
      <c r="M815" s="249"/>
      <c r="O815" s="247"/>
      <c r="P815" s="224"/>
    </row>
    <row r="816" spans="1:16" ht="12.75" customHeight="1" x14ac:dyDescent="0.25">
      <c r="A816" s="354"/>
      <c r="C816" s="708"/>
      <c r="D816" s="689"/>
      <c r="E816" s="255"/>
      <c r="F816" s="362">
        <f>SUM(F724:F815)</f>
        <v>166500.9</v>
      </c>
      <c r="G816" s="362">
        <f>SUM(G724:G815)</f>
        <v>601648</v>
      </c>
      <c r="H816" s="267"/>
      <c r="I816" s="255"/>
      <c r="J816" s="255"/>
      <c r="K816" s="249"/>
      <c r="L816" s="249"/>
      <c r="M816" s="249"/>
      <c r="O816" s="247"/>
      <c r="P816" s="224"/>
    </row>
    <row r="817" spans="1:16" ht="13.8" thickBot="1" x14ac:dyDescent="0.3">
      <c r="A817" s="354"/>
      <c r="C817" s="708"/>
      <c r="D817" s="689"/>
      <c r="E817" s="255"/>
      <c r="F817" s="255"/>
      <c r="G817" s="255"/>
      <c r="H817" s="679"/>
      <c r="K817" s="249"/>
      <c r="L817" s="249"/>
      <c r="M817" s="249"/>
      <c r="O817" s="247"/>
      <c r="P817" s="224"/>
    </row>
    <row r="818" spans="1:16" ht="13.8" thickBot="1" x14ac:dyDescent="0.3">
      <c r="B818" s="325"/>
      <c r="C818" s="708"/>
      <c r="D818" s="689"/>
      <c r="E818" s="272"/>
      <c r="G818" s="255" t="s">
        <v>2141</v>
      </c>
      <c r="H818" s="276">
        <f>G816-F816</f>
        <v>435147.1</v>
      </c>
      <c r="K818" s="249"/>
      <c r="L818" s="249"/>
      <c r="M818" s="249"/>
      <c r="O818" s="247"/>
      <c r="P818" s="224"/>
    </row>
    <row r="819" spans="1:16" ht="13.2" x14ac:dyDescent="0.25">
      <c r="B819" s="325"/>
      <c r="C819" s="708"/>
      <c r="D819" s="689"/>
      <c r="E819" s="272"/>
      <c r="F819" s="255"/>
      <c r="G819" s="255"/>
      <c r="H819" s="679"/>
      <c r="K819" s="249"/>
      <c r="L819" s="249"/>
      <c r="M819" s="249"/>
      <c r="O819" s="247"/>
      <c r="P819" s="224"/>
    </row>
    <row r="820" spans="1:16" ht="13.2" x14ac:dyDescent="0.25">
      <c r="B820" s="325"/>
      <c r="C820" s="708"/>
      <c r="D820" s="689"/>
      <c r="E820" s="272"/>
      <c r="F820" s="255"/>
      <c r="G820" s="255"/>
      <c r="H820" s="679"/>
      <c r="K820" s="249"/>
      <c r="L820" s="249"/>
      <c r="M820" s="249"/>
      <c r="O820" s="247"/>
      <c r="P820" s="224"/>
    </row>
    <row r="821" spans="1:16" ht="12.75" customHeight="1" x14ac:dyDescent="0.25">
      <c r="B821" s="325"/>
      <c r="C821" s="263"/>
      <c r="D821" s="689"/>
      <c r="F821" s="249"/>
      <c r="H821" s="230"/>
      <c r="K821" s="249"/>
      <c r="L821" s="249"/>
      <c r="M821" s="249"/>
      <c r="O821" s="247"/>
      <c r="P821" s="224"/>
    </row>
    <row r="822" spans="1:16" ht="12.75" customHeight="1" x14ac:dyDescent="0.25">
      <c r="C822" s="542"/>
      <c r="D822" s="689"/>
      <c r="E822" s="542"/>
      <c r="F822" s="246"/>
      <c r="G822" s="246"/>
      <c r="H822" s="230"/>
      <c r="K822" s="249"/>
      <c r="L822" s="249"/>
      <c r="M822" s="249"/>
      <c r="O822" s="247"/>
      <c r="P822" s="224"/>
    </row>
    <row r="823" spans="1:16" ht="12.75" customHeight="1" thickBot="1" x14ac:dyDescent="0.3">
      <c r="C823" s="542"/>
      <c r="D823" s="689"/>
      <c r="E823" s="542"/>
      <c r="F823" s="246"/>
      <c r="G823" s="246"/>
      <c r="H823" s="230"/>
    </row>
    <row r="824" spans="1:16" ht="12.75" customHeight="1" thickBot="1" x14ac:dyDescent="0.3">
      <c r="A824" s="420" t="s">
        <v>941</v>
      </c>
      <c r="B824" s="413"/>
      <c r="C824" s="545"/>
      <c r="D824" s="274"/>
      <c r="E824" s="680"/>
      <c r="F824" s="680"/>
      <c r="G824" s="547"/>
    </row>
    <row r="825" spans="1:16" ht="12.75" customHeight="1" x14ac:dyDescent="0.25">
      <c r="A825" s="755" t="s">
        <v>184</v>
      </c>
      <c r="B825" s="756" t="s">
        <v>999</v>
      </c>
      <c r="C825" s="757" t="s">
        <v>2082</v>
      </c>
      <c r="D825" s="758" t="s">
        <v>2084</v>
      </c>
      <c r="E825" s="757" t="s">
        <v>940</v>
      </c>
      <c r="F825" s="757" t="s">
        <v>668</v>
      </c>
      <c r="G825" s="759" t="s">
        <v>667</v>
      </c>
    </row>
    <row r="826" spans="1:16" ht="30" customHeight="1" x14ac:dyDescent="0.25">
      <c r="A826" s="744" t="s">
        <v>3340</v>
      </c>
      <c r="B826" s="527" t="s">
        <v>3340</v>
      </c>
      <c r="C826" s="709" t="s">
        <v>3344</v>
      </c>
      <c r="D826" s="689" t="s">
        <v>3341</v>
      </c>
      <c r="E826" s="681" t="s">
        <v>932</v>
      </c>
      <c r="F826" s="528">
        <v>111.24</v>
      </c>
      <c r="G826" s="528">
        <v>0</v>
      </c>
    </row>
    <row r="827" spans="1:16" ht="26.4" x14ac:dyDescent="0.25">
      <c r="A827" s="744" t="s">
        <v>3373</v>
      </c>
      <c r="B827" s="527" t="s">
        <v>3373</v>
      </c>
      <c r="C827" s="710" t="s">
        <v>3376</v>
      </c>
      <c r="D827" s="689" t="s">
        <v>3375</v>
      </c>
      <c r="E827" s="681" t="s">
        <v>932</v>
      </c>
      <c r="F827" s="528">
        <v>111.24</v>
      </c>
      <c r="G827" s="528">
        <v>0</v>
      </c>
      <c r="H827" s="694"/>
      <c r="J827" s="249"/>
      <c r="K827" s="249"/>
      <c r="L827" s="249"/>
      <c r="M827" s="249"/>
      <c r="O827" s="247"/>
      <c r="P827" s="224"/>
    </row>
    <row r="828" spans="1:16" ht="12.75" customHeight="1" x14ac:dyDescent="0.25">
      <c r="A828" s="354" t="s">
        <v>3425</v>
      </c>
      <c r="B828" s="295" t="s">
        <v>3425</v>
      </c>
      <c r="C828" s="61" t="s">
        <v>2295</v>
      </c>
      <c r="D828" s="689" t="s">
        <v>1237</v>
      </c>
      <c r="E828" s="309" t="s">
        <v>932</v>
      </c>
      <c r="F828" s="299">
        <v>33.71</v>
      </c>
      <c r="G828" s="299">
        <v>0</v>
      </c>
      <c r="I828" s="249"/>
      <c r="J828" s="249"/>
      <c r="K828" s="249"/>
      <c r="L828" s="249"/>
      <c r="M828" s="249"/>
      <c r="O828" s="247"/>
      <c r="P828" s="224"/>
    </row>
    <row r="829" spans="1:16" ht="26.4" x14ac:dyDescent="0.25">
      <c r="A829" s="354" t="s">
        <v>3432</v>
      </c>
      <c r="B829" s="295" t="s">
        <v>3432</v>
      </c>
      <c r="C829" s="707" t="s">
        <v>3435</v>
      </c>
      <c r="D829" s="689" t="s">
        <v>3433</v>
      </c>
      <c r="E829" s="309" t="s">
        <v>932</v>
      </c>
      <c r="F829" s="299">
        <v>111.24</v>
      </c>
      <c r="G829" s="299">
        <v>0</v>
      </c>
      <c r="I829" s="249"/>
      <c r="K829" s="249"/>
      <c r="L829" s="249"/>
      <c r="M829" s="249"/>
      <c r="O829" s="247"/>
      <c r="P829" s="224"/>
    </row>
    <row r="830" spans="1:16" ht="30" customHeight="1" x14ac:dyDescent="0.25">
      <c r="A830" s="354" t="s">
        <v>3539</v>
      </c>
      <c r="B830" s="295" t="s">
        <v>3539</v>
      </c>
      <c r="C830" s="707" t="s">
        <v>3540</v>
      </c>
      <c r="D830" s="689" t="s">
        <v>3533</v>
      </c>
      <c r="E830" s="309" t="s">
        <v>932</v>
      </c>
      <c r="F830" s="299">
        <v>111.24</v>
      </c>
      <c r="G830" s="299">
        <v>0</v>
      </c>
    </row>
    <row r="831" spans="1:16" s="1" customFormat="1" ht="13.2" x14ac:dyDescent="0.25">
      <c r="A831" s="744"/>
      <c r="B831" s="527"/>
      <c r="C831" s="709"/>
      <c r="D831" s="689"/>
      <c r="E831" s="681"/>
      <c r="F831" s="528"/>
      <c r="G831" s="528"/>
      <c r="H831" s="694"/>
      <c r="I831" s="60"/>
      <c r="J831" s="2"/>
      <c r="K831" s="60"/>
      <c r="L831" s="60"/>
      <c r="M831" s="2"/>
      <c r="O831" s="60"/>
      <c r="P831" s="2"/>
    </row>
    <row r="832" spans="1:16" s="1" customFormat="1" ht="26.4" x14ac:dyDescent="0.25">
      <c r="A832" s="354" t="s">
        <v>3601</v>
      </c>
      <c r="B832" s="295" t="s">
        <v>3601</v>
      </c>
      <c r="C832" s="711" t="s">
        <v>3604</v>
      </c>
      <c r="D832" s="689" t="s">
        <v>3602</v>
      </c>
      <c r="E832" s="2" t="s">
        <v>932</v>
      </c>
      <c r="F832" s="299">
        <v>335.96</v>
      </c>
      <c r="G832" s="299">
        <v>0</v>
      </c>
      <c r="H832" s="267"/>
      <c r="I832" s="60"/>
      <c r="J832" s="2"/>
      <c r="K832" s="60"/>
      <c r="L832" s="60"/>
      <c r="M832" s="2"/>
      <c r="O832" s="60"/>
      <c r="P832" s="2"/>
    </row>
    <row r="833" spans="1:16" ht="26.4" x14ac:dyDescent="0.25">
      <c r="A833" s="354" t="s">
        <v>3631</v>
      </c>
      <c r="B833" s="295" t="s">
        <v>3631</v>
      </c>
      <c r="C833" s="707" t="s">
        <v>3636</v>
      </c>
      <c r="D833" s="689" t="s">
        <v>3634</v>
      </c>
      <c r="E833" s="309" t="s">
        <v>932</v>
      </c>
      <c r="F833" s="299">
        <v>335.96</v>
      </c>
      <c r="G833" s="299">
        <v>0</v>
      </c>
      <c r="M833" s="249"/>
      <c r="O833" s="247"/>
      <c r="P833" s="224"/>
    </row>
    <row r="834" spans="1:16" ht="26.4" x14ac:dyDescent="0.25">
      <c r="A834" s="354" t="s">
        <v>3665</v>
      </c>
      <c r="B834" s="295" t="s">
        <v>3665</v>
      </c>
      <c r="C834" s="707" t="s">
        <v>3667</v>
      </c>
      <c r="D834" s="689" t="s">
        <v>3666</v>
      </c>
      <c r="E834" s="309" t="s">
        <v>932</v>
      </c>
      <c r="F834" s="299">
        <v>335.96</v>
      </c>
      <c r="G834" s="299">
        <v>0</v>
      </c>
      <c r="M834" s="249"/>
      <c r="O834" s="247"/>
      <c r="P834" s="224"/>
    </row>
    <row r="835" spans="1:16" s="1" customFormat="1" ht="12.75" customHeight="1" x14ac:dyDescent="0.25">
      <c r="A835" s="233"/>
      <c r="H835" s="234"/>
      <c r="I835" s="60"/>
      <c r="J835" s="2"/>
      <c r="K835" s="60"/>
      <c r="L835" s="60"/>
      <c r="M835" s="2"/>
      <c r="O835" s="60"/>
      <c r="P835" s="2"/>
    </row>
    <row r="836" spans="1:16" ht="12.75" customHeight="1" x14ac:dyDescent="0.25">
      <c r="I836" s="249"/>
      <c r="J836" s="249"/>
      <c r="K836" s="249"/>
      <c r="L836" s="249"/>
      <c r="M836" s="249"/>
      <c r="O836" s="247"/>
      <c r="P836" s="224"/>
    </row>
    <row r="837" spans="1:16" s="1" customFormat="1" ht="12.75" customHeight="1" x14ac:dyDescent="0.25">
      <c r="A837" s="354"/>
      <c r="B837" s="295"/>
      <c r="C837" s="712"/>
      <c r="D837" s="689"/>
      <c r="E837" s="309"/>
      <c r="F837" s="299"/>
      <c r="G837" s="299"/>
      <c r="H837" s="234"/>
      <c r="I837" s="60"/>
      <c r="J837" s="2"/>
      <c r="K837" s="60"/>
      <c r="L837" s="60"/>
      <c r="M837" s="2"/>
      <c r="O837" s="60"/>
      <c r="P837" s="2"/>
    </row>
    <row r="838" spans="1:16" ht="12.75" customHeight="1" x14ac:dyDescent="0.25">
      <c r="A838" s="354"/>
      <c r="D838" s="689"/>
      <c r="E838" s="299"/>
      <c r="F838" s="255"/>
    </row>
    <row r="839" spans="1:16" s="1" customFormat="1" ht="13.2" x14ac:dyDescent="0.25">
      <c r="A839" s="354"/>
      <c r="B839" s="295"/>
      <c r="C839" s="249"/>
      <c r="D839" s="689"/>
      <c r="E839" s="299"/>
      <c r="F839" s="255"/>
      <c r="G839" s="299"/>
      <c r="H839" s="234"/>
      <c r="I839" s="60"/>
      <c r="J839" s="2"/>
      <c r="K839" s="60"/>
      <c r="L839" s="60"/>
      <c r="M839" s="2"/>
      <c r="O839" s="60"/>
      <c r="P839" s="2"/>
    </row>
    <row r="840" spans="1:16" ht="12.75" customHeight="1" x14ac:dyDescent="0.25">
      <c r="A840" s="354"/>
      <c r="D840" s="689"/>
      <c r="E840" s="299"/>
      <c r="F840" s="255"/>
    </row>
    <row r="841" spans="1:16" ht="12.75" customHeight="1" x14ac:dyDescent="0.25">
      <c r="A841" s="354"/>
      <c r="D841" s="689"/>
      <c r="E841" s="299"/>
      <c r="F841" s="255"/>
    </row>
    <row r="842" spans="1:16" s="1" customFormat="1" ht="13.2" x14ac:dyDescent="0.25">
      <c r="A842" s="354"/>
      <c r="B842" s="295"/>
      <c r="C842" s="61"/>
      <c r="D842" s="689"/>
      <c r="E842" s="309"/>
      <c r="F842" s="299"/>
      <c r="G842" s="60"/>
      <c r="H842" s="234"/>
      <c r="I842" s="60"/>
      <c r="J842" s="2"/>
      <c r="K842" s="60"/>
      <c r="L842" s="60"/>
      <c r="M842" s="2"/>
      <c r="O842" s="60"/>
      <c r="P842" s="2"/>
    </row>
    <row r="843" spans="1:16" ht="12.75" customHeight="1" x14ac:dyDescent="0.25">
      <c r="A843" s="354"/>
      <c r="C843" s="61"/>
      <c r="D843" s="267"/>
      <c r="E843" s="309"/>
    </row>
    <row r="844" spans="1:16" ht="12.75" customHeight="1" thickBot="1" x14ac:dyDescent="0.3">
      <c r="A844" s="354"/>
      <c r="E844" s="299"/>
      <c r="F844" s="255"/>
    </row>
    <row r="845" spans="1:16" ht="12.75" customHeight="1" thickBot="1" x14ac:dyDescent="0.3">
      <c r="A845" s="354"/>
      <c r="C845" s="2"/>
      <c r="E845" s="2" t="s">
        <v>535</v>
      </c>
      <c r="F845" s="682">
        <f>SUM(F826:F844)</f>
        <v>1486.55</v>
      </c>
      <c r="H845" s="234"/>
      <c r="N845" s="254"/>
    </row>
    <row r="846" spans="1:16" ht="12.75" customHeight="1" x14ac:dyDescent="0.25">
      <c r="A846" s="354"/>
      <c r="C846" s="2"/>
      <c r="E846" s="2"/>
      <c r="F846" s="390"/>
      <c r="H846" s="234"/>
      <c r="N846" s="254"/>
    </row>
    <row r="847" spans="1:16" s="1" customFormat="1" ht="13.2" x14ac:dyDescent="0.25">
      <c r="A847" s="354"/>
      <c r="B847" s="295"/>
      <c r="C847" s="61"/>
      <c r="D847" s="267"/>
      <c r="E847" s="309"/>
      <c r="F847" s="299"/>
      <c r="G847" s="60"/>
      <c r="H847" s="234"/>
      <c r="I847" s="60"/>
      <c r="J847" s="2"/>
      <c r="K847" s="60"/>
      <c r="L847" s="60"/>
      <c r="M847" s="2"/>
      <c r="O847" s="60"/>
      <c r="P847" s="2"/>
    </row>
    <row r="848" spans="1:16" ht="30" customHeight="1" x14ac:dyDescent="0.25">
      <c r="A848" s="744" t="s">
        <v>3361</v>
      </c>
      <c r="B848" s="527" t="s">
        <v>3361</v>
      </c>
      <c r="C848" s="710" t="s">
        <v>3363</v>
      </c>
      <c r="D848" s="690" t="s">
        <v>3362</v>
      </c>
      <c r="E848" s="681" t="s">
        <v>932</v>
      </c>
      <c r="F848" s="528">
        <v>111.24</v>
      </c>
      <c r="G848" s="528">
        <v>0</v>
      </c>
      <c r="I848" s="249"/>
      <c r="J848" s="249"/>
      <c r="K848" s="249"/>
      <c r="L848" s="249"/>
      <c r="M848" s="249"/>
      <c r="O848" s="247"/>
      <c r="P848" s="224"/>
    </row>
    <row r="849" spans="1:16" ht="12.75" customHeight="1" x14ac:dyDescent="0.25">
      <c r="A849" s="354" t="s">
        <v>3417</v>
      </c>
      <c r="B849" s="295" t="s">
        <v>3417</v>
      </c>
      <c r="C849" s="707" t="s">
        <v>3427</v>
      </c>
      <c r="D849" s="689" t="s">
        <v>3418</v>
      </c>
      <c r="E849" s="309" t="s">
        <v>932</v>
      </c>
      <c r="F849" s="299">
        <v>111.24</v>
      </c>
      <c r="G849" s="299">
        <v>0</v>
      </c>
      <c r="J849" s="249"/>
      <c r="K849" s="249"/>
      <c r="L849" s="249"/>
      <c r="M849" s="249"/>
      <c r="O849" s="247"/>
      <c r="P849" s="224"/>
    </row>
    <row r="850" spans="1:16" ht="26.4" x14ac:dyDescent="0.25">
      <c r="A850" s="354" t="s">
        <v>3506</v>
      </c>
      <c r="B850" s="295" t="s">
        <v>3506</v>
      </c>
      <c r="C850" s="707" t="s">
        <v>3508</v>
      </c>
      <c r="D850" s="267" t="s">
        <v>3507</v>
      </c>
      <c r="E850" s="309" t="s">
        <v>932</v>
      </c>
      <c r="F850" s="299">
        <v>111.24</v>
      </c>
      <c r="G850" s="299">
        <v>0</v>
      </c>
    </row>
    <row r="851" spans="1:16" ht="26.4" x14ac:dyDescent="0.25">
      <c r="A851" s="354" t="s">
        <v>3683</v>
      </c>
      <c r="B851" s="295" t="s">
        <v>3683</v>
      </c>
      <c r="C851" s="707" t="s">
        <v>3687</v>
      </c>
      <c r="D851" s="689" t="s">
        <v>3684</v>
      </c>
      <c r="E851" s="309" t="s">
        <v>932</v>
      </c>
      <c r="F851" s="299">
        <v>335.96</v>
      </c>
      <c r="G851" s="299">
        <v>0</v>
      </c>
      <c r="I851" s="249"/>
      <c r="J851" s="249"/>
      <c r="K851" s="249"/>
      <c r="L851" s="249"/>
      <c r="M851" s="249"/>
      <c r="O851" s="247"/>
      <c r="P851" s="224"/>
    </row>
    <row r="852" spans="1:16" ht="26.4" x14ac:dyDescent="0.25">
      <c r="A852" s="354" t="s">
        <v>3685</v>
      </c>
      <c r="B852" s="295" t="s">
        <v>3685</v>
      </c>
      <c r="C852" s="707" t="s">
        <v>3688</v>
      </c>
      <c r="D852" s="689" t="s">
        <v>3686</v>
      </c>
      <c r="E852" s="309" t="s">
        <v>932</v>
      </c>
      <c r="F852" s="299">
        <v>111.24</v>
      </c>
      <c r="G852" s="299">
        <v>0</v>
      </c>
      <c r="I852" s="249"/>
      <c r="J852" s="249"/>
      <c r="K852" s="249"/>
      <c r="L852" s="249"/>
      <c r="M852" s="249"/>
      <c r="O852" s="247"/>
      <c r="P852" s="224"/>
    </row>
    <row r="853" spans="1:16" ht="12.75" customHeight="1" x14ac:dyDescent="0.25">
      <c r="A853" s="354" t="s">
        <v>4050</v>
      </c>
      <c r="B853" s="295" t="s">
        <v>4050</v>
      </c>
      <c r="C853" s="61" t="s">
        <v>2295</v>
      </c>
      <c r="D853" s="267" t="s">
        <v>1237</v>
      </c>
      <c r="E853" s="309" t="s">
        <v>932</v>
      </c>
      <c r="F853" s="299">
        <v>280.89999999999998</v>
      </c>
      <c r="G853" s="299">
        <v>0</v>
      </c>
    </row>
    <row r="854" spans="1:16" ht="26.4" x14ac:dyDescent="0.25">
      <c r="A854" s="354" t="s">
        <v>4050</v>
      </c>
      <c r="B854" s="295" t="s">
        <v>4050</v>
      </c>
      <c r="C854" s="707" t="s">
        <v>4054</v>
      </c>
      <c r="D854" s="267" t="s">
        <v>4053</v>
      </c>
      <c r="E854" s="309" t="s">
        <v>932</v>
      </c>
      <c r="F854" s="299">
        <v>111.24</v>
      </c>
      <c r="G854" s="299">
        <v>0</v>
      </c>
      <c r="H854" s="234"/>
      <c r="N854" s="254"/>
    </row>
    <row r="855" spans="1:16" ht="26.4" x14ac:dyDescent="0.25">
      <c r="A855" s="745">
        <v>42187</v>
      </c>
      <c r="B855" s="16" t="s">
        <v>4111</v>
      </c>
      <c r="C855" s="712" t="s">
        <v>4113</v>
      </c>
      <c r="D855" s="91" t="s">
        <v>4112</v>
      </c>
      <c r="E855" s="2" t="s">
        <v>932</v>
      </c>
      <c r="F855" s="299">
        <v>335.96</v>
      </c>
      <c r="G855" s="299">
        <v>0</v>
      </c>
      <c r="H855" s="234"/>
      <c r="N855" s="254"/>
    </row>
    <row r="856" spans="1:16" ht="26.4" x14ac:dyDescent="0.25">
      <c r="A856" s="354" t="s">
        <v>4158</v>
      </c>
      <c r="B856" s="295" t="s">
        <v>4158</v>
      </c>
      <c r="C856" s="712" t="s">
        <v>4160</v>
      </c>
      <c r="D856" s="231" t="s">
        <v>4159</v>
      </c>
      <c r="E856" s="249" t="s">
        <v>932</v>
      </c>
      <c r="F856" s="299">
        <v>335.96</v>
      </c>
      <c r="G856" s="299">
        <v>0</v>
      </c>
    </row>
    <row r="857" spans="1:16" ht="13.2" x14ac:dyDescent="0.25">
      <c r="A857" s="354" t="s">
        <v>4131</v>
      </c>
      <c r="B857" s="295" t="s">
        <v>4131</v>
      </c>
      <c r="C857" s="712" t="s">
        <v>2295</v>
      </c>
      <c r="D857" s="689" t="s">
        <v>1237</v>
      </c>
      <c r="E857" s="2" t="s">
        <v>932</v>
      </c>
      <c r="F857" s="249">
        <v>235.96</v>
      </c>
      <c r="G857" s="299">
        <v>0</v>
      </c>
      <c r="H857" s="267"/>
    </row>
    <row r="858" spans="1:16" ht="13.2" x14ac:dyDescent="0.25">
      <c r="A858" s="354" t="s">
        <v>4184</v>
      </c>
      <c r="B858" s="295" t="s">
        <v>4184</v>
      </c>
      <c r="C858" s="707" t="s">
        <v>2295</v>
      </c>
      <c r="D858" s="689" t="s">
        <v>1237</v>
      </c>
      <c r="E858" s="309" t="s">
        <v>932</v>
      </c>
      <c r="F858" s="299">
        <v>438.2</v>
      </c>
      <c r="G858" s="299">
        <v>0</v>
      </c>
      <c r="H858" s="267"/>
    </row>
    <row r="859" spans="1:16" ht="26.4" x14ac:dyDescent="0.25">
      <c r="A859" s="354" t="s">
        <v>4221</v>
      </c>
      <c r="B859" s="295" t="s">
        <v>4221</v>
      </c>
      <c r="C859" s="53" t="s">
        <v>4229</v>
      </c>
      <c r="D859" s="689" t="s">
        <v>1231</v>
      </c>
      <c r="E859" s="309" t="s">
        <v>932</v>
      </c>
      <c r="F859" s="299">
        <v>280.33999999999997</v>
      </c>
      <c r="G859" s="299">
        <v>0</v>
      </c>
      <c r="H859" s="267"/>
    </row>
    <row r="860" spans="1:16" ht="12.75" customHeight="1" x14ac:dyDescent="0.25">
      <c r="A860" s="354" t="s">
        <v>4242</v>
      </c>
      <c r="B860" s="295" t="s">
        <v>4242</v>
      </c>
      <c r="C860" s="707" t="s">
        <v>2295</v>
      </c>
      <c r="D860" s="689" t="s">
        <v>1237</v>
      </c>
      <c r="E860" s="309" t="s">
        <v>932</v>
      </c>
      <c r="F860" s="299">
        <v>623.6</v>
      </c>
      <c r="G860" s="299">
        <v>0</v>
      </c>
      <c r="H860" s="267"/>
    </row>
    <row r="861" spans="1:16" ht="12.75" customHeight="1" x14ac:dyDescent="0.25">
      <c r="A861" s="354"/>
      <c r="C861" s="707"/>
      <c r="D861" s="689"/>
      <c r="E861" s="309"/>
      <c r="H861" s="267"/>
    </row>
    <row r="862" spans="1:16" ht="12.75" customHeight="1" x14ac:dyDescent="0.25">
      <c r="B862" s="325"/>
      <c r="H862" s="267"/>
    </row>
    <row r="863" spans="1:16" ht="12.75" customHeight="1" x14ac:dyDescent="0.25">
      <c r="B863" s="325"/>
      <c r="H863" s="267"/>
    </row>
    <row r="864" spans="1:16" ht="12.75" customHeight="1" thickBot="1" x14ac:dyDescent="0.3"/>
    <row r="865" spans="1:16" s="1" customFormat="1" ht="13.8" thickBot="1" x14ac:dyDescent="0.3">
      <c r="A865" s="233"/>
      <c r="B865" s="16"/>
      <c r="C865" s="41"/>
      <c r="D865" s="91"/>
      <c r="E865" s="2" t="s">
        <v>536</v>
      </c>
      <c r="F865" s="682">
        <f>SUM(F848:F864)</f>
        <v>3423.08</v>
      </c>
      <c r="G865" s="60"/>
      <c r="H865" s="234"/>
      <c r="I865" s="60"/>
      <c r="J865" s="60"/>
      <c r="K865" s="60"/>
      <c r="L865" s="60"/>
      <c r="M865" s="2"/>
      <c r="O865" s="60"/>
      <c r="P865" s="2"/>
    </row>
    <row r="866" spans="1:16" s="1" customFormat="1" ht="13.2" x14ac:dyDescent="0.25">
      <c r="A866" s="233"/>
      <c r="B866" s="16"/>
      <c r="C866" s="41"/>
      <c r="D866" s="91"/>
      <c r="E866" s="2"/>
      <c r="F866" s="60"/>
      <c r="G866" s="60"/>
      <c r="H866" s="234"/>
      <c r="I866" s="60"/>
      <c r="J866" s="60"/>
      <c r="K866" s="60"/>
      <c r="L866" s="60"/>
      <c r="M866" s="2"/>
      <c r="O866" s="60"/>
      <c r="P866" s="2"/>
    </row>
    <row r="868" spans="1:16" ht="12.75" customHeight="1" thickBot="1" x14ac:dyDescent="0.3"/>
    <row r="869" spans="1:16" ht="12.75" customHeight="1" thickBot="1" x14ac:dyDescent="0.3">
      <c r="A869" s="420" t="s">
        <v>344</v>
      </c>
      <c r="B869" s="413"/>
      <c r="C869" s="545"/>
      <c r="D869" s="274"/>
      <c r="E869" s="545"/>
      <c r="F869" s="680"/>
      <c r="G869" s="547"/>
      <c r="I869" s="249"/>
      <c r="J869" s="249"/>
      <c r="K869" s="249"/>
      <c r="L869" s="249"/>
      <c r="M869" s="249"/>
      <c r="O869" s="247"/>
      <c r="P869" s="224"/>
    </row>
    <row r="870" spans="1:16" ht="12.75" customHeight="1" x14ac:dyDescent="0.25">
      <c r="A870" s="755" t="s">
        <v>184</v>
      </c>
      <c r="B870" s="756" t="s">
        <v>999</v>
      </c>
      <c r="C870" s="757" t="s">
        <v>2082</v>
      </c>
      <c r="D870" s="758" t="s">
        <v>2084</v>
      </c>
      <c r="E870" s="757" t="s">
        <v>940</v>
      </c>
      <c r="F870" s="757" t="s">
        <v>668</v>
      </c>
      <c r="G870" s="759" t="s">
        <v>667</v>
      </c>
      <c r="I870" s="249"/>
      <c r="J870" s="249"/>
      <c r="K870" s="249"/>
      <c r="L870" s="249"/>
      <c r="M870" s="249"/>
      <c r="O870" s="247"/>
      <c r="P870" s="224"/>
    </row>
    <row r="871" spans="1:16" ht="12.75" customHeight="1" x14ac:dyDescent="0.25">
      <c r="A871" s="354" t="s">
        <v>3386</v>
      </c>
      <c r="B871" s="295" t="s">
        <v>3386</v>
      </c>
      <c r="C871" s="61" t="s">
        <v>3387</v>
      </c>
      <c r="D871" s="267" t="s">
        <v>3388</v>
      </c>
      <c r="E871" s="309" t="s">
        <v>1028</v>
      </c>
      <c r="F871" s="299">
        <v>6.18</v>
      </c>
      <c r="G871" s="326">
        <v>0</v>
      </c>
      <c r="K871" s="249"/>
      <c r="L871" s="249"/>
      <c r="M871" s="249"/>
      <c r="O871" s="247"/>
      <c r="P871" s="224"/>
    </row>
    <row r="872" spans="1:16" ht="12.75" customHeight="1" x14ac:dyDescent="0.25">
      <c r="A872" s="354" t="s">
        <v>3386</v>
      </c>
      <c r="B872" s="295" t="s">
        <v>3386</v>
      </c>
      <c r="C872" s="61" t="s">
        <v>3387</v>
      </c>
      <c r="D872" s="267" t="s">
        <v>3388</v>
      </c>
      <c r="E872" s="309" t="s">
        <v>1028</v>
      </c>
      <c r="F872" s="299">
        <v>50</v>
      </c>
      <c r="G872" s="326">
        <v>0</v>
      </c>
      <c r="K872" s="249"/>
      <c r="L872" s="249"/>
      <c r="M872" s="249"/>
      <c r="O872" s="247"/>
      <c r="P872" s="224"/>
    </row>
    <row r="873" spans="1:16" ht="12.75" customHeight="1" x14ac:dyDescent="0.25">
      <c r="A873" s="354" t="s">
        <v>3396</v>
      </c>
      <c r="B873" s="295" t="s">
        <v>3396</v>
      </c>
      <c r="C873" s="61" t="s">
        <v>3397</v>
      </c>
      <c r="D873" s="267" t="s">
        <v>3398</v>
      </c>
      <c r="E873" s="309" t="s">
        <v>1028</v>
      </c>
      <c r="F873" s="299">
        <v>75</v>
      </c>
      <c r="G873" s="326">
        <v>0</v>
      </c>
      <c r="H873" s="267"/>
      <c r="J873" s="249"/>
      <c r="K873" s="249"/>
      <c r="L873" s="249"/>
      <c r="M873" s="249"/>
      <c r="O873" s="247"/>
      <c r="P873" s="224"/>
    </row>
    <row r="874" spans="1:16" ht="12.75" customHeight="1" x14ac:dyDescent="0.25">
      <c r="A874" s="354" t="s">
        <v>3396</v>
      </c>
      <c r="B874" s="295" t="s">
        <v>3396</v>
      </c>
      <c r="C874" s="61" t="s">
        <v>3397</v>
      </c>
      <c r="D874" s="267" t="s">
        <v>3398</v>
      </c>
      <c r="E874" s="309" t="s">
        <v>1028</v>
      </c>
      <c r="F874" s="299">
        <v>9.27</v>
      </c>
      <c r="G874" s="326">
        <v>0</v>
      </c>
      <c r="I874" s="255"/>
      <c r="J874" s="249"/>
      <c r="K874" s="249"/>
      <c r="L874" s="249"/>
      <c r="M874" s="249"/>
      <c r="O874" s="247"/>
      <c r="P874" s="224"/>
    </row>
    <row r="875" spans="1:16" ht="12.75" customHeight="1" x14ac:dyDescent="0.25">
      <c r="A875" s="354" t="s">
        <v>3401</v>
      </c>
      <c r="B875" s="295" t="s">
        <v>3401</v>
      </c>
      <c r="C875" s="61" t="s">
        <v>3402</v>
      </c>
      <c r="D875" s="267" t="s">
        <v>3403</v>
      </c>
      <c r="E875" s="309" t="s">
        <v>1028</v>
      </c>
      <c r="F875" s="299">
        <v>75</v>
      </c>
      <c r="G875" s="326">
        <v>0</v>
      </c>
      <c r="I875" s="255"/>
      <c r="J875" s="249"/>
      <c r="K875" s="249"/>
      <c r="L875" s="249"/>
      <c r="M875" s="249"/>
      <c r="O875" s="247"/>
      <c r="P875" s="224"/>
    </row>
    <row r="876" spans="1:16" ht="12.75" customHeight="1" x14ac:dyDescent="0.25">
      <c r="A876" s="354" t="s">
        <v>3401</v>
      </c>
      <c r="B876" s="295" t="s">
        <v>3401</v>
      </c>
      <c r="C876" s="61" t="s">
        <v>3402</v>
      </c>
      <c r="D876" s="267" t="s">
        <v>3403</v>
      </c>
      <c r="E876" s="309" t="s">
        <v>1028</v>
      </c>
      <c r="F876" s="299">
        <v>9.27</v>
      </c>
      <c r="G876" s="326">
        <v>0</v>
      </c>
      <c r="I876" s="295"/>
      <c r="J876" s="249"/>
      <c r="K876" s="249"/>
      <c r="L876" s="249"/>
      <c r="M876" s="249"/>
      <c r="O876" s="247"/>
      <c r="P876" s="224"/>
    </row>
    <row r="877" spans="1:16" ht="12.75" customHeight="1" x14ac:dyDescent="0.25">
      <c r="A877" s="354" t="s">
        <v>3409</v>
      </c>
      <c r="B877" s="295" t="s">
        <v>3409</v>
      </c>
      <c r="C877" s="61" t="s">
        <v>3410</v>
      </c>
      <c r="D877" s="267" t="s">
        <v>3411</v>
      </c>
      <c r="E877" s="309" t="s">
        <v>1028</v>
      </c>
      <c r="F877" s="299">
        <v>25</v>
      </c>
      <c r="G877" s="326">
        <v>0</v>
      </c>
      <c r="J877" s="249"/>
      <c r="K877" s="249"/>
      <c r="L877" s="249"/>
      <c r="M877" s="249"/>
      <c r="O877" s="247"/>
      <c r="P877" s="224"/>
    </row>
    <row r="878" spans="1:16" ht="12.75" customHeight="1" x14ac:dyDescent="0.25">
      <c r="A878" s="354" t="s">
        <v>3409</v>
      </c>
      <c r="B878" s="295" t="s">
        <v>3409</v>
      </c>
      <c r="C878" s="61" t="s">
        <v>3410</v>
      </c>
      <c r="D878" s="267" t="s">
        <v>3411</v>
      </c>
      <c r="E878" s="309" t="s">
        <v>1028</v>
      </c>
      <c r="F878" s="299">
        <v>3.09</v>
      </c>
      <c r="G878" s="326">
        <v>0</v>
      </c>
      <c r="I878" s="249"/>
      <c r="J878" s="249"/>
      <c r="K878" s="249"/>
      <c r="L878" s="249"/>
      <c r="M878" s="249"/>
      <c r="O878" s="247"/>
      <c r="P878" s="224"/>
    </row>
    <row r="879" spans="1:16" ht="12.75" customHeight="1" x14ac:dyDescent="0.25">
      <c r="A879" s="354" t="s">
        <v>3470</v>
      </c>
      <c r="B879" s="295" t="s">
        <v>3470</v>
      </c>
      <c r="C879" s="61" t="s">
        <v>3471</v>
      </c>
      <c r="D879" s="689" t="s">
        <v>3472</v>
      </c>
      <c r="E879" s="309" t="s">
        <v>1028</v>
      </c>
      <c r="F879" s="299">
        <v>50</v>
      </c>
      <c r="G879" s="326">
        <v>0</v>
      </c>
      <c r="K879" s="249"/>
      <c r="L879" s="249"/>
      <c r="M879" s="249"/>
      <c r="O879" s="247"/>
      <c r="P879" s="224"/>
    </row>
    <row r="880" spans="1:16" ht="12.75" customHeight="1" x14ac:dyDescent="0.25">
      <c r="A880" s="354" t="s">
        <v>3470</v>
      </c>
      <c r="B880" s="295" t="s">
        <v>3470</v>
      </c>
      <c r="C880" s="61" t="s">
        <v>3471</v>
      </c>
      <c r="D880" s="689" t="s">
        <v>3472</v>
      </c>
      <c r="E880" s="309" t="s">
        <v>1028</v>
      </c>
      <c r="F880" s="299">
        <v>6.18</v>
      </c>
      <c r="G880" s="326">
        <v>0</v>
      </c>
      <c r="K880" s="249"/>
      <c r="L880" s="249"/>
      <c r="M880" s="249"/>
      <c r="O880" s="247"/>
      <c r="P880" s="224"/>
    </row>
    <row r="881" spans="1:16" ht="12.75" customHeight="1" x14ac:dyDescent="0.25">
      <c r="A881" s="354" t="s">
        <v>3481</v>
      </c>
      <c r="B881" s="295" t="s">
        <v>3481</v>
      </c>
      <c r="C881" s="61" t="s">
        <v>3482</v>
      </c>
      <c r="D881" s="267" t="s">
        <v>3483</v>
      </c>
      <c r="E881" s="309" t="s">
        <v>1028</v>
      </c>
      <c r="F881" s="299">
        <v>50</v>
      </c>
      <c r="G881" s="326">
        <v>0</v>
      </c>
      <c r="I881" s="249"/>
      <c r="J881" s="249"/>
      <c r="K881" s="249"/>
      <c r="L881" s="249"/>
      <c r="M881" s="249"/>
      <c r="O881" s="247"/>
      <c r="P881" s="224"/>
    </row>
    <row r="882" spans="1:16" ht="12.75" customHeight="1" x14ac:dyDescent="0.25">
      <c r="A882" s="354" t="s">
        <v>3481</v>
      </c>
      <c r="B882" s="295" t="s">
        <v>3481</v>
      </c>
      <c r="C882" s="61" t="s">
        <v>3482</v>
      </c>
      <c r="D882" s="267" t="s">
        <v>3483</v>
      </c>
      <c r="E882" s="309" t="s">
        <v>1028</v>
      </c>
      <c r="F882" s="299">
        <v>6.18</v>
      </c>
      <c r="G882" s="326">
        <v>0</v>
      </c>
      <c r="I882" s="249"/>
      <c r="J882" s="249"/>
      <c r="K882" s="249"/>
      <c r="L882" s="249"/>
      <c r="M882" s="249"/>
      <c r="O882" s="247"/>
      <c r="P882" s="224"/>
    </row>
    <row r="883" spans="1:16" ht="12.75" customHeight="1" x14ac:dyDescent="0.25">
      <c r="A883" s="354" t="s">
        <v>3484</v>
      </c>
      <c r="B883" s="295" t="s">
        <v>3484</v>
      </c>
      <c r="C883" s="61" t="s">
        <v>3485</v>
      </c>
      <c r="D883" s="267" t="s">
        <v>3486</v>
      </c>
      <c r="E883" s="309" t="s">
        <v>1028</v>
      </c>
      <c r="F883" s="299">
        <v>25</v>
      </c>
      <c r="G883" s="326">
        <v>0</v>
      </c>
      <c r="I883" s="249"/>
      <c r="J883" s="249"/>
      <c r="K883" s="249"/>
      <c r="L883" s="249"/>
      <c r="M883" s="249"/>
      <c r="O883" s="247"/>
      <c r="P883" s="224"/>
    </row>
    <row r="884" spans="1:16" ht="12.75" customHeight="1" x14ac:dyDescent="0.25">
      <c r="A884" s="354" t="s">
        <v>3484</v>
      </c>
      <c r="B884" s="295" t="s">
        <v>3484</v>
      </c>
      <c r="C884" s="61" t="s">
        <v>3485</v>
      </c>
      <c r="D884" s="267" t="s">
        <v>3486</v>
      </c>
      <c r="E884" s="309" t="s">
        <v>1028</v>
      </c>
      <c r="F884" s="299">
        <v>3.09</v>
      </c>
      <c r="G884" s="326">
        <v>0</v>
      </c>
      <c r="I884" s="249"/>
      <c r="J884" s="249"/>
      <c r="K884" s="249"/>
      <c r="L884" s="249"/>
      <c r="M884" s="249"/>
      <c r="O884" s="247"/>
      <c r="P884" s="224"/>
    </row>
    <row r="885" spans="1:16" ht="12.75" customHeight="1" x14ac:dyDescent="0.25">
      <c r="A885" s="354" t="s">
        <v>3498</v>
      </c>
      <c r="B885" s="295" t="s">
        <v>3498</v>
      </c>
      <c r="C885" s="249" t="s">
        <v>3499</v>
      </c>
      <c r="D885" s="689" t="s">
        <v>3500</v>
      </c>
      <c r="E885" s="249" t="s">
        <v>1028</v>
      </c>
      <c r="F885" s="299">
        <v>75</v>
      </c>
      <c r="G885" s="326">
        <v>0</v>
      </c>
    </row>
    <row r="886" spans="1:16" ht="12.75" customHeight="1" x14ac:dyDescent="0.25">
      <c r="A886" s="354" t="s">
        <v>3498</v>
      </c>
      <c r="B886" s="295" t="s">
        <v>3498</v>
      </c>
      <c r="C886" s="249" t="s">
        <v>3499</v>
      </c>
      <c r="D886" s="689" t="s">
        <v>3500</v>
      </c>
      <c r="E886" s="249" t="s">
        <v>1028</v>
      </c>
      <c r="F886" s="299">
        <v>9.27</v>
      </c>
      <c r="G886" s="326">
        <v>0</v>
      </c>
      <c r="K886" s="249"/>
      <c r="L886" s="249"/>
      <c r="M886" s="249"/>
      <c r="O886" s="247"/>
      <c r="P886" s="224"/>
    </row>
    <row r="887" spans="1:16" ht="12.75" customHeight="1" x14ac:dyDescent="0.25">
      <c r="A887" s="354" t="s">
        <v>3534</v>
      </c>
      <c r="B887" s="295" t="s">
        <v>3534</v>
      </c>
      <c r="C887" s="249" t="s">
        <v>3535</v>
      </c>
      <c r="D887" s="689" t="s">
        <v>3536</v>
      </c>
      <c r="E887" s="249" t="s">
        <v>1028</v>
      </c>
      <c r="F887" s="299">
        <v>100</v>
      </c>
      <c r="G887" s="326">
        <v>0</v>
      </c>
    </row>
    <row r="888" spans="1:16" ht="12.75" customHeight="1" x14ac:dyDescent="0.25">
      <c r="A888" s="354" t="s">
        <v>3534</v>
      </c>
      <c r="B888" s="295" t="s">
        <v>3534</v>
      </c>
      <c r="C888" s="249" t="s">
        <v>3537</v>
      </c>
      <c r="D888" s="689" t="s">
        <v>3538</v>
      </c>
      <c r="E888" s="249" t="s">
        <v>1028</v>
      </c>
      <c r="F888" s="299">
        <v>9.27</v>
      </c>
      <c r="G888" s="326">
        <v>0</v>
      </c>
    </row>
    <row r="889" spans="1:16" ht="12.75" customHeight="1" x14ac:dyDescent="0.25">
      <c r="A889" s="354" t="s">
        <v>3534</v>
      </c>
      <c r="B889" s="295" t="s">
        <v>3534</v>
      </c>
      <c r="C889" s="249" t="s">
        <v>3537</v>
      </c>
      <c r="D889" s="689" t="s">
        <v>3538</v>
      </c>
      <c r="E889" s="249" t="s">
        <v>1028</v>
      </c>
      <c r="F889" s="299">
        <v>75</v>
      </c>
      <c r="G889" s="326">
        <v>0</v>
      </c>
    </row>
    <row r="890" spans="1:16" ht="12.75" customHeight="1" x14ac:dyDescent="0.25">
      <c r="A890" s="354" t="s">
        <v>3534</v>
      </c>
      <c r="B890" s="295" t="s">
        <v>3534</v>
      </c>
      <c r="C890" s="249" t="s">
        <v>3535</v>
      </c>
      <c r="D890" s="689" t="s">
        <v>3536</v>
      </c>
      <c r="E890" s="249" t="s">
        <v>1028</v>
      </c>
      <c r="F890" s="299">
        <v>12.36</v>
      </c>
      <c r="G890" s="326">
        <v>0</v>
      </c>
    </row>
    <row r="891" spans="1:16" ht="12.75" customHeight="1" x14ac:dyDescent="0.25">
      <c r="A891" s="250" t="s">
        <v>3549</v>
      </c>
      <c r="B891" s="295" t="s">
        <v>3549</v>
      </c>
      <c r="C891" s="249" t="s">
        <v>3550</v>
      </c>
      <c r="D891" s="231" t="s">
        <v>3551</v>
      </c>
      <c r="E891" s="249" t="s">
        <v>1028</v>
      </c>
      <c r="F891" s="299">
        <v>50</v>
      </c>
      <c r="G891" s="326">
        <v>0</v>
      </c>
    </row>
    <row r="892" spans="1:16" ht="12.75" customHeight="1" x14ac:dyDescent="0.25">
      <c r="A892" s="250" t="s">
        <v>3549</v>
      </c>
      <c r="B892" s="295" t="s">
        <v>3549</v>
      </c>
      <c r="C892" s="249" t="s">
        <v>3550</v>
      </c>
      <c r="D892" s="231" t="s">
        <v>3551</v>
      </c>
      <c r="E892" s="249" t="s">
        <v>1028</v>
      </c>
      <c r="F892" s="299">
        <v>6.18</v>
      </c>
      <c r="G892" s="326">
        <v>0</v>
      </c>
    </row>
    <row r="893" spans="1:16" ht="12.75" customHeight="1" x14ac:dyDescent="0.25">
      <c r="A893" s="354" t="s">
        <v>3553</v>
      </c>
      <c r="B893" s="295" t="s">
        <v>3553</v>
      </c>
      <c r="C893" s="249" t="s">
        <v>3554</v>
      </c>
      <c r="D893" s="689" t="s">
        <v>3555</v>
      </c>
      <c r="E893" s="249" t="s">
        <v>1028</v>
      </c>
      <c r="F893" s="299">
        <v>50</v>
      </c>
      <c r="G893" s="326">
        <v>0</v>
      </c>
      <c r="I893" s="249"/>
      <c r="J893" s="249"/>
      <c r="K893" s="249"/>
      <c r="L893" s="249"/>
      <c r="M893" s="249"/>
      <c r="O893" s="247"/>
      <c r="P893" s="224"/>
    </row>
    <row r="894" spans="1:16" ht="12.75" customHeight="1" x14ac:dyDescent="0.25">
      <c r="A894" s="354" t="s">
        <v>3553</v>
      </c>
      <c r="B894" s="295" t="s">
        <v>3553</v>
      </c>
      <c r="C894" s="61" t="s">
        <v>3554</v>
      </c>
      <c r="D894" s="267" t="s">
        <v>3555</v>
      </c>
      <c r="E894" s="309" t="s">
        <v>1028</v>
      </c>
      <c r="F894" s="299">
        <v>6.18</v>
      </c>
      <c r="G894" s="326">
        <v>0</v>
      </c>
      <c r="I894" s="249"/>
      <c r="J894" s="249"/>
      <c r="K894" s="249"/>
      <c r="L894" s="249"/>
      <c r="M894" s="249"/>
      <c r="O894" s="247"/>
      <c r="P894" s="224"/>
    </row>
    <row r="895" spans="1:16" ht="12.75" customHeight="1" x14ac:dyDescent="0.25">
      <c r="A895" s="354" t="s">
        <v>3587</v>
      </c>
      <c r="B895" s="295" t="s">
        <v>3587</v>
      </c>
      <c r="C895" s="61" t="s">
        <v>3588</v>
      </c>
      <c r="D895" s="689" t="s">
        <v>3589</v>
      </c>
      <c r="E895" s="309" t="s">
        <v>1028</v>
      </c>
      <c r="F895" s="299">
        <v>3.09</v>
      </c>
      <c r="G895" s="299">
        <v>0</v>
      </c>
      <c r="M895" s="249"/>
      <c r="O895" s="247"/>
      <c r="P895" s="224"/>
    </row>
    <row r="896" spans="1:16" ht="12.75" customHeight="1" x14ac:dyDescent="0.25">
      <c r="A896" s="354" t="s">
        <v>3587</v>
      </c>
      <c r="B896" s="295" t="s">
        <v>3587</v>
      </c>
      <c r="C896" s="61" t="s">
        <v>3588</v>
      </c>
      <c r="D896" s="689" t="s">
        <v>3589</v>
      </c>
      <c r="E896" s="309" t="s">
        <v>1028</v>
      </c>
      <c r="F896" s="299">
        <v>25</v>
      </c>
      <c r="G896" s="299">
        <v>0</v>
      </c>
      <c r="K896" s="249"/>
      <c r="L896" s="249"/>
      <c r="M896" s="249"/>
      <c r="O896" s="247"/>
      <c r="P896" s="224"/>
    </row>
    <row r="897" spans="1:16" ht="12.75" customHeight="1" x14ac:dyDescent="0.25">
      <c r="A897" s="354" t="s">
        <v>3622</v>
      </c>
      <c r="B897" s="295" t="s">
        <v>3622</v>
      </c>
      <c r="C897" s="61" t="s">
        <v>3623</v>
      </c>
      <c r="D897" s="689" t="s">
        <v>3624</v>
      </c>
      <c r="E897" s="309" t="s">
        <v>1028</v>
      </c>
      <c r="F897" s="299">
        <v>50</v>
      </c>
      <c r="G897" s="299">
        <v>0</v>
      </c>
      <c r="M897" s="249"/>
      <c r="O897" s="247"/>
      <c r="P897" s="224"/>
    </row>
    <row r="898" spans="1:16" ht="12.75" customHeight="1" x14ac:dyDescent="0.25">
      <c r="A898" s="354" t="s">
        <v>3622</v>
      </c>
      <c r="B898" s="295" t="s">
        <v>3622</v>
      </c>
      <c r="C898" s="61" t="s">
        <v>3625</v>
      </c>
      <c r="D898" s="689" t="s">
        <v>3626</v>
      </c>
      <c r="E898" s="309" t="s">
        <v>1028</v>
      </c>
      <c r="F898" s="299">
        <v>3.09</v>
      </c>
      <c r="G898" s="299">
        <v>0</v>
      </c>
      <c r="M898" s="249"/>
      <c r="O898" s="247"/>
      <c r="P898" s="224"/>
    </row>
    <row r="899" spans="1:16" ht="12.75" customHeight="1" x14ac:dyDescent="0.25">
      <c r="A899" s="354" t="s">
        <v>3622</v>
      </c>
      <c r="B899" s="295" t="s">
        <v>3622</v>
      </c>
      <c r="C899" s="61" t="s">
        <v>3625</v>
      </c>
      <c r="D899" s="689" t="s">
        <v>3626</v>
      </c>
      <c r="E899" s="309" t="s">
        <v>1028</v>
      </c>
      <c r="F899" s="299">
        <v>25</v>
      </c>
      <c r="G899" s="299">
        <v>0</v>
      </c>
      <c r="M899" s="249"/>
      <c r="O899" s="247"/>
      <c r="P899" s="224"/>
    </row>
    <row r="900" spans="1:16" ht="12.75" customHeight="1" x14ac:dyDescent="0.25">
      <c r="A900" s="354" t="s">
        <v>3622</v>
      </c>
      <c r="B900" s="295" t="s">
        <v>3622</v>
      </c>
      <c r="C900" s="61" t="s">
        <v>3623</v>
      </c>
      <c r="D900" s="689" t="s">
        <v>3624</v>
      </c>
      <c r="E900" s="309" t="s">
        <v>1028</v>
      </c>
      <c r="F900" s="299">
        <v>6.18</v>
      </c>
      <c r="G900" s="299">
        <v>0</v>
      </c>
      <c r="M900" s="249"/>
      <c r="O900" s="247"/>
      <c r="P900" s="224"/>
    </row>
    <row r="901" spans="1:16" ht="12.75" customHeight="1" x14ac:dyDescent="0.25">
      <c r="A901" s="354" t="s">
        <v>3656</v>
      </c>
      <c r="B901" s="295" t="s">
        <v>3656</v>
      </c>
      <c r="C901" s="61" t="s">
        <v>3657</v>
      </c>
      <c r="D901" s="689" t="s">
        <v>3658</v>
      </c>
      <c r="E901" s="309" t="s">
        <v>1028</v>
      </c>
      <c r="F901" s="299">
        <v>25</v>
      </c>
      <c r="G901" s="299">
        <v>0</v>
      </c>
      <c r="I901" s="249"/>
      <c r="J901" s="249"/>
      <c r="K901" s="249"/>
      <c r="L901" s="249"/>
      <c r="M901" s="249"/>
      <c r="O901" s="247"/>
      <c r="P901" s="224"/>
    </row>
    <row r="902" spans="1:16" ht="12.75" customHeight="1" x14ac:dyDescent="0.25">
      <c r="A902" s="354" t="s">
        <v>3656</v>
      </c>
      <c r="B902" s="295" t="s">
        <v>3656</v>
      </c>
      <c r="C902" s="61" t="s">
        <v>3657</v>
      </c>
      <c r="D902" s="689" t="s">
        <v>3658</v>
      </c>
      <c r="E902" s="309" t="s">
        <v>1028</v>
      </c>
      <c r="F902" s="299">
        <v>3.09</v>
      </c>
      <c r="G902" s="299">
        <v>0</v>
      </c>
      <c r="I902" s="249"/>
      <c r="J902" s="249"/>
      <c r="K902" s="249"/>
      <c r="L902" s="249"/>
      <c r="M902" s="249"/>
      <c r="O902" s="247"/>
      <c r="P902" s="224"/>
    </row>
    <row r="903" spans="1:16" ht="12.75" customHeight="1" x14ac:dyDescent="0.25">
      <c r="A903" s="354" t="s">
        <v>3675</v>
      </c>
      <c r="B903" s="295" t="s">
        <v>3675</v>
      </c>
      <c r="C903" s="61" t="s">
        <v>3676</v>
      </c>
      <c r="D903" s="689" t="s">
        <v>3677</v>
      </c>
      <c r="E903" s="309" t="s">
        <v>1028</v>
      </c>
      <c r="F903" s="299">
        <v>3.09</v>
      </c>
      <c r="G903" s="299">
        <v>0</v>
      </c>
      <c r="K903" s="249"/>
      <c r="L903" s="249"/>
      <c r="M903" s="249"/>
      <c r="O903" s="247"/>
      <c r="P903" s="224"/>
    </row>
    <row r="904" spans="1:16" ht="12.75" customHeight="1" x14ac:dyDescent="0.25">
      <c r="A904" s="354" t="s">
        <v>3675</v>
      </c>
      <c r="B904" s="295" t="s">
        <v>3675</v>
      </c>
      <c r="C904" s="61" t="s">
        <v>3676</v>
      </c>
      <c r="D904" s="689" t="s">
        <v>3677</v>
      </c>
      <c r="E904" s="309" t="s">
        <v>1028</v>
      </c>
      <c r="F904" s="299">
        <v>25</v>
      </c>
      <c r="G904" s="299">
        <v>0</v>
      </c>
      <c r="I904" s="295"/>
      <c r="J904" s="61"/>
      <c r="K904" s="249"/>
      <c r="L904" s="249"/>
      <c r="M904" s="249"/>
      <c r="O904" s="247"/>
      <c r="P904" s="224"/>
    </row>
    <row r="905" spans="1:16" ht="12.75" customHeight="1" x14ac:dyDescent="0.25">
      <c r="A905" s="354" t="s">
        <v>3679</v>
      </c>
      <c r="B905" s="295" t="s">
        <v>3679</v>
      </c>
      <c r="C905" s="61" t="s">
        <v>3680</v>
      </c>
      <c r="D905" s="689" t="s">
        <v>3681</v>
      </c>
      <c r="E905" s="309" t="s">
        <v>1028</v>
      </c>
      <c r="F905" s="299">
        <v>25</v>
      </c>
      <c r="G905" s="299">
        <v>0</v>
      </c>
      <c r="I905" s="295"/>
      <c r="J905" s="61"/>
      <c r="K905" s="249"/>
      <c r="L905" s="249"/>
      <c r="M905" s="249"/>
      <c r="O905" s="247"/>
      <c r="P905" s="224"/>
    </row>
    <row r="906" spans="1:16" ht="12.75" customHeight="1" x14ac:dyDescent="0.25">
      <c r="A906" s="354" t="s">
        <v>3679</v>
      </c>
      <c r="B906" s="295" t="s">
        <v>3679</v>
      </c>
      <c r="C906" s="61" t="s">
        <v>3680</v>
      </c>
      <c r="D906" s="689" t="s">
        <v>3681</v>
      </c>
      <c r="E906" s="309" t="s">
        <v>1028</v>
      </c>
      <c r="F906" s="299">
        <v>3.09</v>
      </c>
      <c r="G906" s="299">
        <v>0</v>
      </c>
      <c r="I906" s="295"/>
      <c r="J906" s="61"/>
      <c r="K906" s="249"/>
      <c r="L906" s="249"/>
      <c r="M906" s="249"/>
      <c r="O906" s="247"/>
      <c r="P906" s="224"/>
    </row>
    <row r="907" spans="1:16" ht="12.75" customHeight="1" x14ac:dyDescent="0.25">
      <c r="A907" s="354" t="s">
        <v>4067</v>
      </c>
      <c r="B907" s="295" t="s">
        <v>4067</v>
      </c>
      <c r="C907" s="61" t="s">
        <v>4068</v>
      </c>
      <c r="D907" s="689" t="s">
        <v>4069</v>
      </c>
      <c r="E907" s="309" t="s">
        <v>1028</v>
      </c>
      <c r="F907" s="299">
        <v>50</v>
      </c>
      <c r="G907" s="299">
        <v>0</v>
      </c>
      <c r="I907" s="295"/>
      <c r="J907" s="61"/>
      <c r="K907" s="249"/>
      <c r="L907" s="249"/>
      <c r="M907" s="249"/>
      <c r="O907" s="247"/>
      <c r="P907" s="224"/>
    </row>
    <row r="908" spans="1:16" ht="12.75" customHeight="1" x14ac:dyDescent="0.25">
      <c r="A908" s="354" t="s">
        <v>4067</v>
      </c>
      <c r="B908" s="295" t="s">
        <v>4067</v>
      </c>
      <c r="C908" s="61" t="s">
        <v>4068</v>
      </c>
      <c r="D908" s="689" t="s">
        <v>4069</v>
      </c>
      <c r="E908" s="309" t="s">
        <v>1028</v>
      </c>
      <c r="F908" s="299">
        <v>6.18</v>
      </c>
      <c r="G908" s="299">
        <v>0</v>
      </c>
      <c r="I908" s="295"/>
      <c r="J908" s="61"/>
      <c r="K908" s="249"/>
      <c r="L908" s="249"/>
      <c r="M908" s="249"/>
      <c r="O908" s="247"/>
      <c r="P908" s="224"/>
    </row>
    <row r="909" spans="1:16" ht="12.75" customHeight="1" x14ac:dyDescent="0.25">
      <c r="A909" s="354" t="s">
        <v>4085</v>
      </c>
      <c r="B909" s="295" t="s">
        <v>4085</v>
      </c>
      <c r="C909" s="61" t="s">
        <v>4086</v>
      </c>
      <c r="D909" s="689" t="s">
        <v>4087</v>
      </c>
      <c r="E909" s="309" t="s">
        <v>1028</v>
      </c>
      <c r="F909" s="299">
        <v>25</v>
      </c>
      <c r="G909" s="299">
        <v>0</v>
      </c>
      <c r="I909" s="295"/>
      <c r="J909" s="61"/>
      <c r="K909" s="249"/>
      <c r="L909" s="249"/>
      <c r="M909" s="249"/>
      <c r="O909" s="247"/>
      <c r="P909" s="224"/>
    </row>
    <row r="910" spans="1:16" ht="12.75" customHeight="1" x14ac:dyDescent="0.25">
      <c r="A910" s="354" t="s">
        <v>4085</v>
      </c>
      <c r="B910" s="295" t="s">
        <v>4085</v>
      </c>
      <c r="C910" s="61" t="s">
        <v>4086</v>
      </c>
      <c r="D910" s="689" t="s">
        <v>4087</v>
      </c>
      <c r="E910" s="309" t="s">
        <v>1028</v>
      </c>
      <c r="F910" s="299">
        <v>3.09</v>
      </c>
      <c r="G910" s="299">
        <v>0</v>
      </c>
      <c r="I910" s="295"/>
      <c r="J910" s="61"/>
      <c r="K910" s="249"/>
      <c r="L910" s="249"/>
      <c r="M910" s="249"/>
      <c r="O910" s="247"/>
      <c r="P910" s="224"/>
    </row>
    <row r="911" spans="1:16" ht="12.75" customHeight="1" x14ac:dyDescent="0.25">
      <c r="A911" s="354" t="s">
        <v>4099</v>
      </c>
      <c r="B911" s="295" t="s">
        <v>4099</v>
      </c>
      <c r="C911" s="61" t="s">
        <v>4100</v>
      </c>
      <c r="D911" s="689" t="s">
        <v>4101</v>
      </c>
      <c r="E911" s="309" t="s">
        <v>1028</v>
      </c>
      <c r="F911" s="299">
        <v>9.27</v>
      </c>
      <c r="G911" s="299">
        <v>0</v>
      </c>
      <c r="I911" s="295"/>
      <c r="J911" s="61"/>
      <c r="K911" s="249"/>
      <c r="L911" s="249"/>
      <c r="M911" s="249"/>
      <c r="O911" s="247"/>
      <c r="P911" s="224"/>
    </row>
    <row r="912" spans="1:16" ht="12.75" customHeight="1" x14ac:dyDescent="0.25">
      <c r="A912" s="354" t="s">
        <v>4099</v>
      </c>
      <c r="B912" s="295" t="s">
        <v>4099</v>
      </c>
      <c r="C912" s="2" t="s">
        <v>4100</v>
      </c>
      <c r="D912" s="231" t="s">
        <v>4101</v>
      </c>
      <c r="E912" s="2" t="s">
        <v>1028</v>
      </c>
      <c r="F912" s="299">
        <v>75</v>
      </c>
      <c r="G912" s="299">
        <v>0</v>
      </c>
    </row>
    <row r="913" spans="1:16" ht="12.75" customHeight="1" x14ac:dyDescent="0.25">
      <c r="A913" s="354" t="s">
        <v>4116</v>
      </c>
      <c r="B913" s="295" t="s">
        <v>4116</v>
      </c>
      <c r="C913" s="2" t="s">
        <v>4117</v>
      </c>
      <c r="D913" s="231" t="s">
        <v>4118</v>
      </c>
      <c r="E913" s="2" t="s">
        <v>1028</v>
      </c>
      <c r="F913" s="299">
        <v>50</v>
      </c>
      <c r="G913" s="299">
        <v>0</v>
      </c>
    </row>
    <row r="914" spans="1:16" ht="12.75" customHeight="1" x14ac:dyDescent="0.25">
      <c r="A914" s="354" t="s">
        <v>4116</v>
      </c>
      <c r="B914" s="295" t="s">
        <v>4116</v>
      </c>
      <c r="C914" s="2" t="s">
        <v>4117</v>
      </c>
      <c r="D914" s="231" t="s">
        <v>4118</v>
      </c>
      <c r="E914" s="2" t="s">
        <v>1028</v>
      </c>
      <c r="F914" s="299">
        <v>6.18</v>
      </c>
      <c r="G914" s="299">
        <v>0</v>
      </c>
    </row>
    <row r="915" spans="1:16" ht="12.75" customHeight="1" x14ac:dyDescent="0.25">
      <c r="A915" s="250" t="s">
        <v>4141</v>
      </c>
      <c r="B915" s="295" t="s">
        <v>4141</v>
      </c>
      <c r="C915" s="249" t="s">
        <v>4142</v>
      </c>
      <c r="D915" s="231" t="s">
        <v>4143</v>
      </c>
      <c r="E915" s="249" t="s">
        <v>1028</v>
      </c>
      <c r="F915" s="299">
        <v>6.18</v>
      </c>
      <c r="G915" s="299">
        <v>0</v>
      </c>
    </row>
    <row r="916" spans="1:16" ht="12.75" customHeight="1" x14ac:dyDescent="0.25">
      <c r="A916" s="250" t="s">
        <v>4141</v>
      </c>
      <c r="B916" s="295" t="s">
        <v>4141</v>
      </c>
      <c r="C916" s="249" t="s">
        <v>4142</v>
      </c>
      <c r="D916" s="231" t="s">
        <v>4143</v>
      </c>
      <c r="E916" s="249" t="s">
        <v>1028</v>
      </c>
      <c r="F916" s="299">
        <v>50</v>
      </c>
      <c r="G916" s="299">
        <v>0</v>
      </c>
    </row>
    <row r="917" spans="1:16" ht="12.75" customHeight="1" x14ac:dyDescent="0.25">
      <c r="A917" s="746">
        <v>42250</v>
      </c>
      <c r="B917" s="295" t="s">
        <v>4169</v>
      </c>
      <c r="C917" s="249" t="s">
        <v>4170</v>
      </c>
      <c r="D917" s="231" t="s">
        <v>4171</v>
      </c>
      <c r="E917" s="249" t="s">
        <v>1028</v>
      </c>
      <c r="F917" s="299">
        <v>6.18</v>
      </c>
      <c r="G917" s="299">
        <v>0</v>
      </c>
    </row>
    <row r="918" spans="1:16" ht="12.75" customHeight="1" x14ac:dyDescent="0.25">
      <c r="A918" s="354" t="s">
        <v>4169</v>
      </c>
      <c r="B918" s="295" t="s">
        <v>4169</v>
      </c>
      <c r="C918" s="2" t="s">
        <v>4170</v>
      </c>
      <c r="D918" s="231" t="s">
        <v>4171</v>
      </c>
      <c r="E918" s="2" t="s">
        <v>1028</v>
      </c>
      <c r="F918" s="60">
        <v>50</v>
      </c>
      <c r="G918" s="299">
        <v>0</v>
      </c>
      <c r="I918" s="249"/>
      <c r="J918" s="249"/>
      <c r="K918" s="249"/>
      <c r="L918" s="249"/>
      <c r="M918" s="249"/>
      <c r="O918" s="247"/>
      <c r="P918" s="224"/>
    </row>
    <row r="919" spans="1:16" ht="12.75" customHeight="1" x14ac:dyDescent="0.25">
      <c r="A919" s="354" t="s">
        <v>4169</v>
      </c>
      <c r="B919" s="16" t="s">
        <v>4169</v>
      </c>
      <c r="C919" s="2" t="s">
        <v>4172</v>
      </c>
      <c r="D919" s="231" t="s">
        <v>4173</v>
      </c>
      <c r="E919" s="2" t="s">
        <v>1028</v>
      </c>
      <c r="F919" s="60">
        <v>50</v>
      </c>
      <c r="G919" s="299">
        <v>0</v>
      </c>
      <c r="I919" s="249"/>
      <c r="J919" s="249"/>
      <c r="K919" s="249"/>
      <c r="L919" s="249"/>
      <c r="M919" s="249"/>
      <c r="O919" s="247"/>
      <c r="P919" s="224"/>
    </row>
    <row r="920" spans="1:16" ht="12.75" customHeight="1" x14ac:dyDescent="0.25">
      <c r="A920" s="354" t="s">
        <v>4169</v>
      </c>
      <c r="B920" s="16" t="s">
        <v>4169</v>
      </c>
      <c r="C920" s="2" t="s">
        <v>4172</v>
      </c>
      <c r="D920" s="231" t="s">
        <v>4173</v>
      </c>
      <c r="E920" s="2" t="s">
        <v>1028</v>
      </c>
      <c r="F920" s="60">
        <v>6.18</v>
      </c>
      <c r="G920" s="299">
        <v>0</v>
      </c>
      <c r="I920" s="249"/>
      <c r="J920" s="249"/>
      <c r="K920" s="249"/>
      <c r="L920" s="249"/>
      <c r="M920" s="249"/>
      <c r="O920" s="247"/>
      <c r="P920" s="224"/>
    </row>
    <row r="921" spans="1:16" ht="12.75" customHeight="1" x14ac:dyDescent="0.25">
      <c r="A921" s="354" t="s">
        <v>4184</v>
      </c>
      <c r="B921" s="295" t="s">
        <v>4184</v>
      </c>
      <c r="C921" s="249" t="s">
        <v>4182</v>
      </c>
      <c r="D921" s="231" t="s">
        <v>4183</v>
      </c>
      <c r="E921" s="249" t="s">
        <v>1028</v>
      </c>
      <c r="F921" s="299">
        <v>6.18</v>
      </c>
      <c r="G921" s="299">
        <v>0</v>
      </c>
    </row>
    <row r="922" spans="1:16" ht="12.75" customHeight="1" x14ac:dyDescent="0.25">
      <c r="A922" s="354" t="s">
        <v>4184</v>
      </c>
      <c r="B922" s="295" t="s">
        <v>4184</v>
      </c>
      <c r="C922" s="249" t="s">
        <v>4182</v>
      </c>
      <c r="D922" s="231" t="s">
        <v>4183</v>
      </c>
      <c r="E922" s="249" t="s">
        <v>1028</v>
      </c>
      <c r="F922" s="299">
        <v>50</v>
      </c>
      <c r="G922" s="299">
        <v>0</v>
      </c>
    </row>
    <row r="923" spans="1:16" ht="12.75" customHeight="1" x14ac:dyDescent="0.25">
      <c r="A923" s="354" t="s">
        <v>4211</v>
      </c>
      <c r="B923" s="295" t="s">
        <v>4211</v>
      </c>
      <c r="C923" s="249" t="s">
        <v>4212</v>
      </c>
      <c r="D923" s="231" t="s">
        <v>4213</v>
      </c>
      <c r="E923" s="249" t="s">
        <v>1028</v>
      </c>
      <c r="F923" s="299">
        <v>25</v>
      </c>
      <c r="G923" s="299">
        <v>0</v>
      </c>
    </row>
    <row r="924" spans="1:16" ht="12.75" customHeight="1" x14ac:dyDescent="0.25">
      <c r="A924" s="354" t="s">
        <v>4211</v>
      </c>
      <c r="B924" s="295" t="s">
        <v>4211</v>
      </c>
      <c r="C924" s="249" t="s">
        <v>4212</v>
      </c>
      <c r="D924" s="231" t="s">
        <v>4213</v>
      </c>
      <c r="E924" s="249" t="s">
        <v>1028</v>
      </c>
      <c r="F924" s="299">
        <v>3.09</v>
      </c>
      <c r="G924" s="299">
        <v>0</v>
      </c>
    </row>
    <row r="925" spans="1:16" ht="12.75" customHeight="1" x14ac:dyDescent="0.25">
      <c r="A925" s="354" t="s">
        <v>4221</v>
      </c>
      <c r="B925" s="295" t="s">
        <v>4221</v>
      </c>
      <c r="C925" s="249" t="s">
        <v>4222</v>
      </c>
      <c r="D925" s="231" t="s">
        <v>4223</v>
      </c>
      <c r="E925" s="249" t="s">
        <v>1028</v>
      </c>
      <c r="F925" s="299">
        <v>50</v>
      </c>
      <c r="G925" s="299">
        <v>0</v>
      </c>
    </row>
    <row r="926" spans="1:16" ht="12.75" customHeight="1" x14ac:dyDescent="0.25">
      <c r="A926" s="354" t="s">
        <v>4221</v>
      </c>
      <c r="B926" s="295" t="s">
        <v>4221</v>
      </c>
      <c r="C926" s="249" t="s">
        <v>4222</v>
      </c>
      <c r="D926" s="231" t="s">
        <v>4223</v>
      </c>
      <c r="E926" s="249" t="s">
        <v>1028</v>
      </c>
      <c r="F926" s="299">
        <v>6.18</v>
      </c>
      <c r="G926" s="299">
        <v>0</v>
      </c>
    </row>
    <row r="927" spans="1:16" ht="12.75" customHeight="1" x14ac:dyDescent="0.25">
      <c r="A927" s="354" t="s">
        <v>4226</v>
      </c>
      <c r="B927" s="295" t="s">
        <v>4226</v>
      </c>
      <c r="C927" s="249" t="s">
        <v>4227</v>
      </c>
      <c r="D927" s="231" t="s">
        <v>4228</v>
      </c>
      <c r="E927" s="249" t="s">
        <v>1028</v>
      </c>
      <c r="F927" s="299">
        <v>25</v>
      </c>
      <c r="G927" s="299">
        <v>0</v>
      </c>
    </row>
    <row r="928" spans="1:16" ht="12.75" customHeight="1" x14ac:dyDescent="0.25">
      <c r="A928" s="354" t="s">
        <v>4226</v>
      </c>
      <c r="B928" s="295" t="s">
        <v>4226</v>
      </c>
      <c r="C928" s="249" t="s">
        <v>4227</v>
      </c>
      <c r="D928" s="231" t="s">
        <v>4228</v>
      </c>
      <c r="E928" s="249" t="s">
        <v>1028</v>
      </c>
      <c r="F928" s="299">
        <v>3.09</v>
      </c>
      <c r="G928" s="299">
        <v>0</v>
      </c>
    </row>
    <row r="929" spans="1:16" ht="12.75" customHeight="1" x14ac:dyDescent="0.25">
      <c r="A929" s="354" t="s">
        <v>4242</v>
      </c>
      <c r="B929" s="295" t="s">
        <v>4242</v>
      </c>
      <c r="C929" s="249" t="s">
        <v>4243</v>
      </c>
      <c r="D929" s="231" t="s">
        <v>4244</v>
      </c>
      <c r="E929" s="249" t="s">
        <v>932</v>
      </c>
      <c r="F929" s="299">
        <v>28.09</v>
      </c>
      <c r="G929" s="299">
        <v>0</v>
      </c>
    </row>
    <row r="930" spans="1:16" ht="12.75" customHeight="1" x14ac:dyDescent="0.25">
      <c r="A930" s="354"/>
    </row>
    <row r="931" spans="1:16" ht="12.75" customHeight="1" x14ac:dyDescent="0.25">
      <c r="A931" s="354"/>
    </row>
    <row r="932" spans="1:16" ht="12.75" customHeight="1" thickBot="1" x14ac:dyDescent="0.3">
      <c r="A932" s="355"/>
      <c r="B932" s="16"/>
      <c r="C932" s="2"/>
      <c r="E932" s="2"/>
      <c r="F932" s="60"/>
      <c r="I932" s="249"/>
      <c r="J932" s="249"/>
      <c r="K932" s="249"/>
      <c r="L932" s="249"/>
      <c r="M932" s="249"/>
      <c r="O932" s="247"/>
      <c r="P932" s="224"/>
    </row>
    <row r="933" spans="1:16" ht="12.75" customHeight="1" thickBot="1" x14ac:dyDescent="0.3">
      <c r="E933" s="2" t="s">
        <v>946</v>
      </c>
      <c r="F933" s="423">
        <f>SUM(F871:F932)</f>
        <v>1573.0400000000002</v>
      </c>
      <c r="I933" s="249"/>
      <c r="J933" s="249"/>
      <c r="K933" s="249"/>
      <c r="L933" s="249"/>
      <c r="M933" s="249"/>
      <c r="O933" s="247"/>
      <c r="P933" s="224"/>
    </row>
    <row r="934" spans="1:16" ht="12.75" customHeight="1" x14ac:dyDescent="0.25">
      <c r="E934" s="2"/>
    </row>
    <row r="935" spans="1:16" ht="12.75" customHeight="1" x14ac:dyDescent="0.25">
      <c r="F935" s="249"/>
      <c r="I935" s="249"/>
      <c r="J935" s="249"/>
      <c r="K935" s="249"/>
      <c r="L935" s="249"/>
      <c r="M935" s="249"/>
      <c r="O935" s="247"/>
      <c r="P935" s="224"/>
    </row>
    <row r="936" spans="1:16" ht="12.75" customHeight="1" x14ac:dyDescent="0.25">
      <c r="F936" s="249"/>
      <c r="I936" s="249"/>
      <c r="J936" s="249"/>
      <c r="K936" s="249"/>
      <c r="L936" s="249"/>
      <c r="M936" s="249"/>
      <c r="O936" s="247"/>
      <c r="P936" s="224"/>
    </row>
    <row r="937" spans="1:16" ht="12.75" customHeight="1" thickBot="1" x14ac:dyDescent="0.3">
      <c r="F937" s="249"/>
      <c r="I937" s="249"/>
      <c r="J937" s="249"/>
      <c r="K937" s="249"/>
      <c r="L937" s="249"/>
      <c r="M937" s="249"/>
      <c r="O937" s="247"/>
      <c r="P937" s="224"/>
    </row>
    <row r="938" spans="1:16" ht="12.75" customHeight="1" thickBot="1" x14ac:dyDescent="0.3">
      <c r="A938" s="420" t="s">
        <v>895</v>
      </c>
      <c r="B938" s="413"/>
      <c r="C938" s="545"/>
      <c r="D938" s="274"/>
      <c r="E938" s="545"/>
      <c r="F938" s="680"/>
      <c r="G938" s="547"/>
      <c r="I938" s="249"/>
      <c r="J938" s="249"/>
      <c r="K938" s="249"/>
      <c r="L938" s="249"/>
      <c r="M938" s="249"/>
      <c r="O938" s="247"/>
      <c r="P938" s="224"/>
    </row>
    <row r="939" spans="1:16" ht="12.75" customHeight="1" x14ac:dyDescent="0.25">
      <c r="A939" s="755" t="s">
        <v>184</v>
      </c>
      <c r="B939" s="756" t="s">
        <v>999</v>
      </c>
      <c r="C939" s="757" t="s">
        <v>2082</v>
      </c>
      <c r="D939" s="758" t="s">
        <v>2084</v>
      </c>
      <c r="E939" s="757" t="s">
        <v>940</v>
      </c>
      <c r="F939" s="757" t="s">
        <v>668</v>
      </c>
      <c r="G939" s="759" t="s">
        <v>667</v>
      </c>
      <c r="I939" s="249"/>
      <c r="J939" s="249"/>
      <c r="K939" s="249"/>
      <c r="L939" s="249"/>
      <c r="M939" s="249"/>
      <c r="O939" s="247"/>
      <c r="P939" s="224"/>
    </row>
    <row r="940" spans="1:16" ht="12.75" customHeight="1" x14ac:dyDescent="0.25">
      <c r="A940" s="354" t="s">
        <v>3294</v>
      </c>
      <c r="B940" s="295" t="s">
        <v>3294</v>
      </c>
      <c r="C940" s="61" t="s">
        <v>938</v>
      </c>
      <c r="D940" s="689">
        <v>3567078</v>
      </c>
      <c r="E940" s="309" t="s">
        <v>932</v>
      </c>
      <c r="F940" s="299">
        <v>6.74</v>
      </c>
      <c r="G940" s="299">
        <v>0</v>
      </c>
      <c r="H940" s="267"/>
    </row>
    <row r="941" spans="1:16" ht="12.75" customHeight="1" x14ac:dyDescent="0.25">
      <c r="A941" s="354" t="s">
        <v>3294</v>
      </c>
      <c r="B941" s="295" t="s">
        <v>3294</v>
      </c>
      <c r="C941" s="61" t="s">
        <v>938</v>
      </c>
      <c r="D941" s="689">
        <v>3564591</v>
      </c>
      <c r="E941" s="309" t="s">
        <v>932</v>
      </c>
      <c r="F941" s="299">
        <v>6.74</v>
      </c>
      <c r="G941" s="299">
        <v>0</v>
      </c>
      <c r="J941" s="249"/>
      <c r="K941" s="249"/>
      <c r="L941" s="249"/>
      <c r="M941" s="249"/>
      <c r="O941" s="247"/>
      <c r="P941" s="224"/>
    </row>
    <row r="942" spans="1:16" ht="12.75" customHeight="1" x14ac:dyDescent="0.25">
      <c r="A942" s="354" t="s">
        <v>3302</v>
      </c>
      <c r="B942" s="295" t="s">
        <v>3302</v>
      </c>
      <c r="C942" s="61" t="s">
        <v>938</v>
      </c>
      <c r="D942" s="689">
        <v>3575425</v>
      </c>
      <c r="E942" s="309" t="s">
        <v>932</v>
      </c>
      <c r="F942" s="299">
        <v>6.74</v>
      </c>
      <c r="G942" s="299">
        <v>0</v>
      </c>
      <c r="I942" s="295"/>
      <c r="J942" s="249"/>
      <c r="K942" s="249"/>
      <c r="L942" s="249"/>
      <c r="M942" s="249"/>
      <c r="O942" s="247"/>
      <c r="P942" s="224"/>
    </row>
    <row r="943" spans="1:16" ht="12.75" customHeight="1" x14ac:dyDescent="0.25">
      <c r="A943" s="354" t="s">
        <v>3306</v>
      </c>
      <c r="B943" s="295" t="s">
        <v>3306</v>
      </c>
      <c r="C943" s="61" t="s">
        <v>938</v>
      </c>
      <c r="D943" s="689">
        <v>3618029</v>
      </c>
      <c r="E943" s="309" t="s">
        <v>932</v>
      </c>
      <c r="F943" s="299">
        <v>6.74</v>
      </c>
      <c r="G943" s="299">
        <v>0</v>
      </c>
      <c r="J943" s="249"/>
      <c r="K943" s="249"/>
      <c r="L943" s="249"/>
      <c r="M943" s="249"/>
      <c r="O943" s="247"/>
      <c r="P943" s="224"/>
    </row>
    <row r="944" spans="1:16" ht="12.75" customHeight="1" x14ac:dyDescent="0.25">
      <c r="A944" s="354" t="s">
        <v>3311</v>
      </c>
      <c r="B944" s="295" t="s">
        <v>3311</v>
      </c>
      <c r="C944" s="61" t="s">
        <v>938</v>
      </c>
      <c r="D944" s="689">
        <v>3641331</v>
      </c>
      <c r="E944" s="309" t="s">
        <v>932</v>
      </c>
      <c r="F944" s="299">
        <v>6.74</v>
      </c>
      <c r="G944" s="299">
        <v>0</v>
      </c>
      <c r="J944" s="249"/>
      <c r="K944" s="249"/>
      <c r="L944" s="249"/>
      <c r="M944" s="249"/>
      <c r="O944" s="247"/>
      <c r="P944" s="224"/>
    </row>
    <row r="945" spans="1:16" ht="12.75" customHeight="1" x14ac:dyDescent="0.25">
      <c r="A945" s="354" t="s">
        <v>3342</v>
      </c>
      <c r="B945" s="295" t="s">
        <v>3342</v>
      </c>
      <c r="C945" s="61" t="s">
        <v>938</v>
      </c>
      <c r="D945" s="689">
        <v>3730208</v>
      </c>
      <c r="E945" s="309" t="s">
        <v>932</v>
      </c>
      <c r="F945" s="299">
        <v>6.74</v>
      </c>
      <c r="G945" s="299">
        <v>0</v>
      </c>
    </row>
    <row r="946" spans="1:16" ht="12.75" customHeight="1" x14ac:dyDescent="0.25">
      <c r="A946" s="354" t="s">
        <v>3342</v>
      </c>
      <c r="B946" s="295" t="s">
        <v>3342</v>
      </c>
      <c r="C946" s="61" t="s">
        <v>938</v>
      </c>
      <c r="D946" s="689">
        <v>3730312</v>
      </c>
      <c r="E946" s="309" t="s">
        <v>932</v>
      </c>
      <c r="F946" s="299">
        <v>6.74</v>
      </c>
      <c r="G946" s="299">
        <v>0</v>
      </c>
    </row>
    <row r="947" spans="1:16" ht="12.75" customHeight="1" x14ac:dyDescent="0.25">
      <c r="A947" s="354" t="s">
        <v>3351</v>
      </c>
      <c r="B947" s="295" t="s">
        <v>3351</v>
      </c>
      <c r="C947" s="61" t="s">
        <v>938</v>
      </c>
      <c r="D947" s="689">
        <v>3748350</v>
      </c>
      <c r="E947" s="309" t="s">
        <v>932</v>
      </c>
      <c r="F947" s="299">
        <v>6.74</v>
      </c>
      <c r="G947" s="299">
        <v>0</v>
      </c>
      <c r="I947" s="249"/>
      <c r="J947" s="249"/>
      <c r="K947" s="249"/>
      <c r="L947" s="249"/>
      <c r="M947" s="249"/>
      <c r="O947" s="247"/>
      <c r="P947" s="224"/>
    </row>
    <row r="948" spans="1:16" ht="12.75" customHeight="1" x14ac:dyDescent="0.25">
      <c r="A948" s="354" t="s">
        <v>3354</v>
      </c>
      <c r="B948" s="295" t="s">
        <v>3354</v>
      </c>
      <c r="C948" s="61" t="s">
        <v>938</v>
      </c>
      <c r="D948" s="689">
        <v>3777431</v>
      </c>
      <c r="E948" s="309" t="s">
        <v>932</v>
      </c>
      <c r="F948" s="299">
        <v>6.74</v>
      </c>
      <c r="G948" s="299">
        <v>0</v>
      </c>
      <c r="I948" s="249"/>
      <c r="J948" s="249"/>
      <c r="K948" s="249"/>
      <c r="L948" s="249"/>
      <c r="M948" s="249"/>
      <c r="O948" s="247"/>
      <c r="P948" s="224"/>
    </row>
    <row r="949" spans="1:16" ht="12.75" customHeight="1" x14ac:dyDescent="0.25">
      <c r="A949" s="354" t="s">
        <v>3359</v>
      </c>
      <c r="B949" s="295" t="s">
        <v>3359</v>
      </c>
      <c r="C949" s="61" t="s">
        <v>938</v>
      </c>
      <c r="D949" s="689">
        <v>3838924</v>
      </c>
      <c r="E949" s="309" t="s">
        <v>932</v>
      </c>
      <c r="F949" s="299">
        <v>6.74</v>
      </c>
      <c r="G949" s="299">
        <v>0</v>
      </c>
      <c r="I949" s="249"/>
      <c r="J949" s="249"/>
      <c r="K949" s="249"/>
      <c r="L949" s="249"/>
      <c r="M949" s="249"/>
      <c r="O949" s="247"/>
      <c r="P949" s="224"/>
    </row>
    <row r="950" spans="1:16" ht="12.75" customHeight="1" x14ac:dyDescent="0.25">
      <c r="A950" s="354" t="s">
        <v>3389</v>
      </c>
      <c r="B950" s="295" t="s">
        <v>3389</v>
      </c>
      <c r="C950" s="61" t="s">
        <v>938</v>
      </c>
      <c r="D950" s="689">
        <v>3947211</v>
      </c>
      <c r="E950" s="309" t="s">
        <v>932</v>
      </c>
      <c r="F950" s="60">
        <v>6.74</v>
      </c>
      <c r="G950" s="299">
        <v>0</v>
      </c>
      <c r="H950" s="267"/>
      <c r="I950" s="255"/>
      <c r="L950" s="249"/>
      <c r="M950" s="249"/>
      <c r="O950" s="247"/>
      <c r="P950" s="224"/>
    </row>
    <row r="951" spans="1:16" ht="12.75" customHeight="1" x14ac:dyDescent="0.25">
      <c r="A951" s="354" t="s">
        <v>3393</v>
      </c>
      <c r="B951" s="295" t="s">
        <v>3393</v>
      </c>
      <c r="C951" s="61" t="s">
        <v>938</v>
      </c>
      <c r="D951" s="689">
        <v>4036101</v>
      </c>
      <c r="E951" s="309" t="s">
        <v>932</v>
      </c>
      <c r="F951" s="299">
        <v>6.74</v>
      </c>
      <c r="G951" s="299">
        <v>0</v>
      </c>
      <c r="K951" s="249"/>
      <c r="L951" s="249"/>
      <c r="M951" s="249"/>
      <c r="O951" s="247"/>
      <c r="P951" s="224"/>
    </row>
    <row r="952" spans="1:16" ht="12.75" customHeight="1" x14ac:dyDescent="0.25">
      <c r="A952" s="354" t="s">
        <v>3384</v>
      </c>
      <c r="B952" s="295" t="s">
        <v>3384</v>
      </c>
      <c r="C952" s="61" t="s">
        <v>938</v>
      </c>
      <c r="D952" s="689">
        <v>4046227</v>
      </c>
      <c r="E952" s="309" t="s">
        <v>932</v>
      </c>
      <c r="F952" s="299">
        <v>6.74</v>
      </c>
      <c r="G952" s="299">
        <v>0</v>
      </c>
      <c r="I952" s="249"/>
      <c r="J952" s="249"/>
      <c r="K952" s="249"/>
      <c r="L952" s="249"/>
      <c r="M952" s="249"/>
      <c r="O952" s="247"/>
      <c r="P952" s="224"/>
    </row>
    <row r="953" spans="1:16" ht="12.75" customHeight="1" x14ac:dyDescent="0.25">
      <c r="A953" s="354" t="s">
        <v>3404</v>
      </c>
      <c r="B953" s="295" t="s">
        <v>3404</v>
      </c>
      <c r="C953" s="61" t="s">
        <v>938</v>
      </c>
      <c r="D953" s="689">
        <v>4130367</v>
      </c>
      <c r="E953" s="309" t="s">
        <v>932</v>
      </c>
      <c r="F953" s="299">
        <v>6.74</v>
      </c>
      <c r="G953" s="299">
        <v>0</v>
      </c>
      <c r="J953" s="249"/>
      <c r="K953" s="249"/>
      <c r="L953" s="249"/>
      <c r="M953" s="249"/>
      <c r="O953" s="247"/>
      <c r="P953" s="224"/>
    </row>
    <row r="954" spans="1:16" ht="12.75" customHeight="1" x14ac:dyDescent="0.25">
      <c r="A954" s="354" t="s">
        <v>3408</v>
      </c>
      <c r="B954" s="295" t="s">
        <v>3408</v>
      </c>
      <c r="C954" s="61" t="s">
        <v>938</v>
      </c>
      <c r="D954" s="689">
        <v>4164436</v>
      </c>
      <c r="E954" s="309" t="s">
        <v>932</v>
      </c>
      <c r="F954" s="299">
        <v>6.74</v>
      </c>
      <c r="G954" s="299">
        <v>0</v>
      </c>
      <c r="K954" s="249"/>
      <c r="L954" s="249"/>
      <c r="M954" s="249"/>
      <c r="O954" s="247"/>
      <c r="P954" s="224"/>
    </row>
    <row r="955" spans="1:16" ht="12.75" customHeight="1" x14ac:dyDescent="0.25">
      <c r="A955" s="354" t="s">
        <v>3409</v>
      </c>
      <c r="B955" s="295" t="s">
        <v>3409</v>
      </c>
      <c r="C955" s="61" t="s">
        <v>938</v>
      </c>
      <c r="D955" s="689">
        <v>4172406</v>
      </c>
      <c r="E955" s="309" t="s">
        <v>932</v>
      </c>
      <c r="F955" s="299">
        <v>6.74</v>
      </c>
      <c r="G955" s="299">
        <v>0</v>
      </c>
      <c r="I955" s="249"/>
      <c r="J955" s="249"/>
      <c r="K955" s="249"/>
      <c r="L955" s="249"/>
      <c r="M955" s="249"/>
      <c r="O955" s="247"/>
      <c r="P955" s="224"/>
    </row>
    <row r="956" spans="1:16" ht="12.75" customHeight="1" x14ac:dyDescent="0.25">
      <c r="A956" s="354" t="s">
        <v>3415</v>
      </c>
      <c r="B956" s="295" t="s">
        <v>3415</v>
      </c>
      <c r="C956" s="61" t="s">
        <v>938</v>
      </c>
      <c r="D956" s="689">
        <v>4236866</v>
      </c>
      <c r="E956" s="309" t="s">
        <v>932</v>
      </c>
      <c r="F956" s="299">
        <v>6.74</v>
      </c>
      <c r="G956" s="299">
        <v>0</v>
      </c>
      <c r="I956" s="249"/>
      <c r="J956" s="249"/>
      <c r="K956" s="249"/>
      <c r="L956" s="249"/>
      <c r="M956" s="249"/>
      <c r="O956" s="247"/>
      <c r="P956" s="224"/>
    </row>
    <row r="957" spans="1:16" ht="12.75" customHeight="1" x14ac:dyDescent="0.25">
      <c r="A957" s="354" t="s">
        <v>3419</v>
      </c>
      <c r="B957" s="295" t="s">
        <v>3419</v>
      </c>
      <c r="C957" s="61" t="s">
        <v>938</v>
      </c>
      <c r="D957" s="689">
        <v>4273057</v>
      </c>
      <c r="E957" s="309" t="s">
        <v>932</v>
      </c>
      <c r="F957" s="299">
        <v>6.74</v>
      </c>
      <c r="G957" s="299">
        <v>0</v>
      </c>
      <c r="K957" s="249"/>
      <c r="L957" s="249"/>
      <c r="M957" s="249"/>
      <c r="O957" s="247"/>
      <c r="P957" s="224"/>
    </row>
    <row r="958" spans="1:16" ht="12.75" customHeight="1" x14ac:dyDescent="0.25">
      <c r="A958" s="354" t="s">
        <v>3419</v>
      </c>
      <c r="B958" s="295" t="s">
        <v>3419</v>
      </c>
      <c r="C958" s="61" t="s">
        <v>938</v>
      </c>
      <c r="D958" s="689">
        <v>4273086</v>
      </c>
      <c r="E958" s="309" t="s">
        <v>932</v>
      </c>
      <c r="F958" s="299">
        <v>6.74</v>
      </c>
      <c r="G958" s="299">
        <v>0</v>
      </c>
      <c r="K958" s="249"/>
      <c r="L958" s="249"/>
      <c r="M958" s="249"/>
      <c r="O958" s="247"/>
      <c r="P958" s="224"/>
    </row>
    <row r="959" spans="1:16" ht="12.75" customHeight="1" x14ac:dyDescent="0.25">
      <c r="A959" s="354" t="s">
        <v>3422</v>
      </c>
      <c r="B959" s="295" t="s">
        <v>3422</v>
      </c>
      <c r="C959" s="61" t="s">
        <v>938</v>
      </c>
      <c r="D959" s="689">
        <v>4294172</v>
      </c>
      <c r="E959" s="309" t="s">
        <v>932</v>
      </c>
      <c r="F959" s="299">
        <v>6.74</v>
      </c>
      <c r="G959" s="299">
        <v>0</v>
      </c>
      <c r="K959" s="249"/>
      <c r="L959" s="249"/>
      <c r="M959" s="249"/>
      <c r="O959" s="247"/>
      <c r="P959" s="224"/>
    </row>
    <row r="960" spans="1:16" ht="12.75" customHeight="1" x14ac:dyDescent="0.25">
      <c r="A960" s="354" t="s">
        <v>3432</v>
      </c>
      <c r="B960" s="295" t="s">
        <v>3432</v>
      </c>
      <c r="C960" s="61" t="s">
        <v>938</v>
      </c>
      <c r="D960" s="689">
        <v>4333944</v>
      </c>
      <c r="E960" s="309" t="s">
        <v>932</v>
      </c>
      <c r="F960" s="299">
        <v>6.74</v>
      </c>
      <c r="G960" s="299">
        <v>0</v>
      </c>
      <c r="I960" s="249"/>
      <c r="J960" s="249"/>
      <c r="K960" s="249"/>
      <c r="L960" s="249"/>
      <c r="M960" s="249"/>
      <c r="O960" s="247"/>
      <c r="P960" s="224"/>
    </row>
    <row r="961" spans="1:16" ht="12.75" customHeight="1" x14ac:dyDescent="0.25">
      <c r="A961" s="354" t="s">
        <v>3438</v>
      </c>
      <c r="B961" s="295" t="s">
        <v>3438</v>
      </c>
      <c r="C961" s="61" t="s">
        <v>938</v>
      </c>
      <c r="D961" s="689">
        <v>4344186</v>
      </c>
      <c r="E961" s="309" t="s">
        <v>932</v>
      </c>
      <c r="F961" s="299">
        <v>6.74</v>
      </c>
      <c r="G961" s="299">
        <v>0</v>
      </c>
      <c r="I961" s="249"/>
      <c r="J961" s="249"/>
      <c r="K961" s="249"/>
      <c r="L961" s="249"/>
      <c r="M961" s="249"/>
      <c r="O961" s="247"/>
      <c r="P961" s="224"/>
    </row>
    <row r="962" spans="1:16" ht="12.75" customHeight="1" x14ac:dyDescent="0.25">
      <c r="A962" s="354" t="s">
        <v>3441</v>
      </c>
      <c r="B962" s="295" t="s">
        <v>3441</v>
      </c>
      <c r="C962" s="61" t="s">
        <v>938</v>
      </c>
      <c r="D962" s="689">
        <v>4368042</v>
      </c>
      <c r="E962" s="309" t="s">
        <v>932</v>
      </c>
      <c r="F962" s="299">
        <v>6.74</v>
      </c>
      <c r="G962" s="299">
        <v>0</v>
      </c>
      <c r="K962" s="249"/>
      <c r="L962" s="249"/>
      <c r="M962" s="249"/>
      <c r="O962" s="247"/>
      <c r="P962" s="224"/>
    </row>
    <row r="963" spans="1:16" ht="12.75" customHeight="1" x14ac:dyDescent="0.25">
      <c r="A963" s="354" t="s">
        <v>3441</v>
      </c>
      <c r="B963" s="295" t="s">
        <v>3441</v>
      </c>
      <c r="C963" s="61" t="s">
        <v>938</v>
      </c>
      <c r="D963" s="689">
        <v>4367879</v>
      </c>
      <c r="E963" s="309" t="s">
        <v>932</v>
      </c>
      <c r="F963" s="299">
        <v>6.74</v>
      </c>
      <c r="G963" s="299">
        <v>0</v>
      </c>
      <c r="I963" s="249"/>
      <c r="J963" s="249"/>
      <c r="K963" s="249"/>
      <c r="L963" s="249"/>
      <c r="M963" s="249"/>
      <c r="O963" s="247"/>
      <c r="P963" s="224"/>
    </row>
    <row r="964" spans="1:16" ht="12.75" customHeight="1" x14ac:dyDescent="0.25">
      <c r="A964" s="354" t="s">
        <v>3468</v>
      </c>
      <c r="B964" s="295" t="s">
        <v>3468</v>
      </c>
      <c r="C964" s="61" t="s">
        <v>938</v>
      </c>
      <c r="D964" s="689">
        <v>4397748</v>
      </c>
      <c r="E964" s="309" t="s">
        <v>932</v>
      </c>
      <c r="F964" s="299">
        <v>6.74</v>
      </c>
      <c r="G964" s="299">
        <v>0</v>
      </c>
      <c r="K964" s="249"/>
      <c r="L964" s="249"/>
      <c r="M964" s="249"/>
      <c r="O964" s="247"/>
      <c r="P964" s="224"/>
    </row>
    <row r="965" spans="1:16" ht="12.75" customHeight="1" x14ac:dyDescent="0.25">
      <c r="A965" s="354" t="s">
        <v>3473</v>
      </c>
      <c r="B965" s="295" t="s">
        <v>3473</v>
      </c>
      <c r="C965" s="61" t="s">
        <v>938</v>
      </c>
      <c r="D965" s="689">
        <v>4415505</v>
      </c>
      <c r="E965" s="309" t="s">
        <v>932</v>
      </c>
      <c r="F965" s="299">
        <v>6.74</v>
      </c>
      <c r="G965" s="299">
        <v>0</v>
      </c>
      <c r="K965" s="249"/>
      <c r="L965" s="249"/>
      <c r="M965" s="249"/>
      <c r="O965" s="247"/>
      <c r="P965" s="224"/>
    </row>
    <row r="966" spans="1:16" ht="12.75" customHeight="1" x14ac:dyDescent="0.25">
      <c r="A966" s="354" t="s">
        <v>3477</v>
      </c>
      <c r="B966" s="295" t="s">
        <v>3477</v>
      </c>
      <c r="C966" s="61" t="s">
        <v>938</v>
      </c>
      <c r="D966" s="689">
        <v>4427072</v>
      </c>
      <c r="E966" s="309" t="s">
        <v>932</v>
      </c>
      <c r="F966" s="299">
        <v>6.74</v>
      </c>
      <c r="G966" s="299">
        <v>0</v>
      </c>
    </row>
    <row r="967" spans="1:16" ht="12.75" customHeight="1" x14ac:dyDescent="0.25">
      <c r="A967" s="354" t="s">
        <v>3487</v>
      </c>
      <c r="B967" s="295" t="s">
        <v>3487</v>
      </c>
      <c r="C967" s="61" t="s">
        <v>938</v>
      </c>
      <c r="D967" s="267">
        <v>4466466</v>
      </c>
      <c r="E967" s="309" t="s">
        <v>932</v>
      </c>
      <c r="F967" s="299">
        <v>6.74</v>
      </c>
      <c r="G967" s="299">
        <v>0</v>
      </c>
      <c r="I967" s="249"/>
      <c r="J967" s="249"/>
      <c r="K967" s="249"/>
      <c r="L967" s="249"/>
      <c r="M967" s="249"/>
      <c r="O967" s="247"/>
      <c r="P967" s="224"/>
    </row>
    <row r="968" spans="1:16" ht="12.75" customHeight="1" x14ac:dyDescent="0.25">
      <c r="A968" s="354" t="s">
        <v>3487</v>
      </c>
      <c r="B968" s="295" t="s">
        <v>3487</v>
      </c>
      <c r="C968" s="61" t="s">
        <v>938</v>
      </c>
      <c r="D968" s="267">
        <v>4465547</v>
      </c>
      <c r="E968" s="309" t="s">
        <v>932</v>
      </c>
      <c r="F968" s="299">
        <v>6.74</v>
      </c>
      <c r="G968" s="299">
        <v>0</v>
      </c>
      <c r="I968" s="249"/>
      <c r="J968" s="249"/>
      <c r="K968" s="249"/>
      <c r="L968" s="249"/>
      <c r="M968" s="249"/>
      <c r="O968" s="247"/>
      <c r="P968" s="224"/>
    </row>
    <row r="969" spans="1:16" ht="12.75" customHeight="1" x14ac:dyDescent="0.25">
      <c r="A969" s="354" t="s">
        <v>3496</v>
      </c>
      <c r="B969" s="295" t="s">
        <v>3496</v>
      </c>
      <c r="C969" s="61" t="s">
        <v>938</v>
      </c>
      <c r="D969" s="689">
        <v>4500789</v>
      </c>
      <c r="E969" s="309" t="s">
        <v>932</v>
      </c>
      <c r="F969" s="299">
        <v>6.74</v>
      </c>
      <c r="G969" s="299">
        <v>0</v>
      </c>
    </row>
    <row r="970" spans="1:16" ht="12.75" customHeight="1" x14ac:dyDescent="0.25">
      <c r="A970" s="354" t="s">
        <v>3498</v>
      </c>
      <c r="B970" s="295" t="s">
        <v>3498</v>
      </c>
      <c r="C970" s="61" t="s">
        <v>938</v>
      </c>
      <c r="D970" s="267">
        <v>4508133</v>
      </c>
      <c r="E970" s="309" t="s">
        <v>932</v>
      </c>
      <c r="F970" s="299">
        <v>6.74</v>
      </c>
      <c r="G970" s="299">
        <v>0</v>
      </c>
      <c r="I970" s="249"/>
      <c r="J970" s="249"/>
      <c r="K970" s="249"/>
      <c r="L970" s="249"/>
      <c r="M970" s="249"/>
      <c r="O970" s="247"/>
      <c r="P970" s="224"/>
    </row>
    <row r="971" spans="1:16" ht="12.75" customHeight="1" x14ac:dyDescent="0.25">
      <c r="A971" s="354" t="s">
        <v>3498</v>
      </c>
      <c r="B971" s="295" t="s">
        <v>3498</v>
      </c>
      <c r="C971" s="61" t="s">
        <v>938</v>
      </c>
      <c r="D971" s="267">
        <v>4507983</v>
      </c>
      <c r="E971" s="309" t="s">
        <v>932</v>
      </c>
      <c r="F971" s="299">
        <v>6.74</v>
      </c>
      <c r="G971" s="299">
        <v>0</v>
      </c>
      <c r="I971" s="249"/>
      <c r="J971" s="249"/>
      <c r="K971" s="249"/>
      <c r="L971" s="249"/>
      <c r="M971" s="249"/>
      <c r="O971" s="247"/>
      <c r="P971" s="224"/>
    </row>
    <row r="972" spans="1:16" ht="12.75" customHeight="1" x14ac:dyDescent="0.25">
      <c r="A972" s="354" t="s">
        <v>3518</v>
      </c>
      <c r="B972" s="295" t="s">
        <v>3518</v>
      </c>
      <c r="C972" s="61" t="s">
        <v>938</v>
      </c>
      <c r="D972" s="689">
        <v>4552865</v>
      </c>
      <c r="E972" s="309" t="s">
        <v>932</v>
      </c>
      <c r="F972" s="299">
        <v>6.74</v>
      </c>
      <c r="G972" s="299">
        <v>0</v>
      </c>
      <c r="K972" s="249"/>
      <c r="L972" s="249"/>
      <c r="M972" s="249"/>
      <c r="O972" s="247"/>
      <c r="P972" s="224"/>
    </row>
    <row r="973" spans="1:16" ht="12.75" customHeight="1" x14ac:dyDescent="0.25">
      <c r="A973" s="354" t="s">
        <v>3520</v>
      </c>
      <c r="B973" s="295" t="s">
        <v>3520</v>
      </c>
      <c r="C973" s="249" t="s">
        <v>938</v>
      </c>
      <c r="D973" s="231">
        <v>4561805</v>
      </c>
      <c r="E973" s="309" t="s">
        <v>932</v>
      </c>
      <c r="F973" s="299">
        <v>6.74</v>
      </c>
      <c r="G973" s="299">
        <v>0</v>
      </c>
    </row>
    <row r="974" spans="1:16" ht="12.75" customHeight="1" x14ac:dyDescent="0.25">
      <c r="A974" s="354" t="s">
        <v>3520</v>
      </c>
      <c r="B974" s="295" t="s">
        <v>3520</v>
      </c>
      <c r="C974" s="61" t="s">
        <v>938</v>
      </c>
      <c r="D974" s="689">
        <v>4561786</v>
      </c>
      <c r="E974" s="309" t="s">
        <v>932</v>
      </c>
      <c r="F974" s="299">
        <v>6.74</v>
      </c>
      <c r="G974" s="299">
        <v>0</v>
      </c>
    </row>
    <row r="975" spans="1:16" ht="12.75" customHeight="1" x14ac:dyDescent="0.25">
      <c r="A975" s="354" t="s">
        <v>3520</v>
      </c>
      <c r="B975" s="295" t="s">
        <v>3520</v>
      </c>
      <c r="C975" s="61" t="s">
        <v>938</v>
      </c>
      <c r="D975" s="689">
        <v>4559182</v>
      </c>
      <c r="E975" s="309" t="s">
        <v>932</v>
      </c>
      <c r="F975" s="299">
        <v>6.74</v>
      </c>
      <c r="G975" s="299">
        <v>0</v>
      </c>
    </row>
    <row r="976" spans="1:16" ht="12.75" customHeight="1" x14ac:dyDescent="0.25">
      <c r="A976" s="354" t="s">
        <v>3530</v>
      </c>
      <c r="B976" s="295" t="s">
        <v>3530</v>
      </c>
      <c r="C976" s="61" t="s">
        <v>938</v>
      </c>
      <c r="D976" s="689">
        <v>4570868</v>
      </c>
      <c r="E976" s="309" t="s">
        <v>932</v>
      </c>
      <c r="F976" s="299">
        <v>6.74</v>
      </c>
      <c r="G976" s="299">
        <v>0</v>
      </c>
    </row>
    <row r="977" spans="1:16" ht="12.75" customHeight="1" x14ac:dyDescent="0.25">
      <c r="A977" s="354" t="s">
        <v>3530</v>
      </c>
      <c r="B977" s="295" t="s">
        <v>3530</v>
      </c>
      <c r="C977" s="61" t="s">
        <v>938</v>
      </c>
      <c r="D977" s="689">
        <v>4568060</v>
      </c>
      <c r="E977" s="309" t="s">
        <v>932</v>
      </c>
      <c r="F977" s="299">
        <v>6.74</v>
      </c>
      <c r="G977" s="299">
        <v>0</v>
      </c>
    </row>
    <row r="978" spans="1:16" ht="12.75" customHeight="1" x14ac:dyDescent="0.25">
      <c r="A978" s="354" t="s">
        <v>3534</v>
      </c>
      <c r="B978" s="295" t="s">
        <v>3534</v>
      </c>
      <c r="C978" s="61" t="s">
        <v>938</v>
      </c>
      <c r="D978" s="689">
        <v>4593502</v>
      </c>
      <c r="E978" s="309" t="s">
        <v>932</v>
      </c>
      <c r="F978" s="299">
        <v>6.74</v>
      </c>
      <c r="G978" s="299">
        <v>0</v>
      </c>
    </row>
    <row r="979" spans="1:16" ht="12.75" customHeight="1" x14ac:dyDescent="0.25">
      <c r="A979" s="354" t="s">
        <v>3541</v>
      </c>
      <c r="B979" s="295" t="s">
        <v>3541</v>
      </c>
      <c r="C979" s="61" t="s">
        <v>938</v>
      </c>
      <c r="D979" s="689">
        <v>4599586</v>
      </c>
      <c r="E979" s="309" t="s">
        <v>932</v>
      </c>
      <c r="F979" s="299">
        <v>6.74</v>
      </c>
      <c r="G979" s="299">
        <v>0</v>
      </c>
    </row>
    <row r="980" spans="1:16" ht="12.75" customHeight="1" x14ac:dyDescent="0.25">
      <c r="A980" s="354" t="s">
        <v>3546</v>
      </c>
      <c r="B980" s="295" t="s">
        <v>3546</v>
      </c>
      <c r="C980" s="61" t="s">
        <v>938</v>
      </c>
      <c r="D980" s="689">
        <v>4604046</v>
      </c>
      <c r="E980" s="309" t="s">
        <v>932</v>
      </c>
      <c r="F980" s="299">
        <v>6.74</v>
      </c>
      <c r="G980" s="299">
        <v>0</v>
      </c>
      <c r="K980" s="249"/>
      <c r="L980" s="249"/>
      <c r="M980" s="249"/>
      <c r="O980" s="247"/>
      <c r="P980" s="224"/>
    </row>
    <row r="981" spans="1:16" ht="12.75" customHeight="1" x14ac:dyDescent="0.25">
      <c r="A981" s="354" t="s">
        <v>3546</v>
      </c>
      <c r="B981" s="295" t="s">
        <v>3546</v>
      </c>
      <c r="C981" s="61" t="s">
        <v>938</v>
      </c>
      <c r="D981" s="689">
        <v>4607575</v>
      </c>
      <c r="E981" s="309" t="s">
        <v>932</v>
      </c>
      <c r="F981" s="299">
        <v>6.74</v>
      </c>
      <c r="G981" s="299">
        <v>0</v>
      </c>
    </row>
    <row r="982" spans="1:16" ht="12.75" customHeight="1" x14ac:dyDescent="0.25">
      <c r="A982" s="354" t="s">
        <v>3556</v>
      </c>
      <c r="B982" s="295" t="s">
        <v>3556</v>
      </c>
      <c r="C982" s="61" t="s">
        <v>938</v>
      </c>
      <c r="D982" s="689">
        <v>4639185</v>
      </c>
      <c r="E982" s="309" t="s">
        <v>932</v>
      </c>
      <c r="F982" s="299">
        <v>6.74</v>
      </c>
      <c r="G982" s="299">
        <v>0</v>
      </c>
      <c r="I982" s="249"/>
      <c r="J982" s="249"/>
      <c r="K982" s="249"/>
      <c r="L982" s="249"/>
      <c r="M982" s="249"/>
      <c r="O982" s="247"/>
      <c r="P982" s="224"/>
    </row>
    <row r="983" spans="1:16" ht="12.75" customHeight="1" x14ac:dyDescent="0.25">
      <c r="A983" s="354" t="s">
        <v>3559</v>
      </c>
      <c r="B983" s="295" t="s">
        <v>3559</v>
      </c>
      <c r="C983" s="61" t="s">
        <v>938</v>
      </c>
      <c r="D983" s="689">
        <v>4709072</v>
      </c>
      <c r="E983" s="309" t="s">
        <v>932</v>
      </c>
      <c r="F983" s="299">
        <v>6.74</v>
      </c>
      <c r="G983" s="299">
        <v>0</v>
      </c>
      <c r="K983" s="249"/>
      <c r="L983" s="249"/>
      <c r="M983" s="249"/>
      <c r="O983" s="247"/>
      <c r="P983" s="224"/>
    </row>
    <row r="984" spans="1:16" ht="12.75" customHeight="1" x14ac:dyDescent="0.25">
      <c r="A984" s="354" t="s">
        <v>3561</v>
      </c>
      <c r="B984" s="295" t="s">
        <v>3561</v>
      </c>
      <c r="C984" s="61" t="s">
        <v>938</v>
      </c>
      <c r="D984" s="689">
        <v>4721808</v>
      </c>
      <c r="E984" s="309" t="s">
        <v>932</v>
      </c>
      <c r="F984" s="299">
        <v>6.74</v>
      </c>
      <c r="G984" s="299">
        <v>0</v>
      </c>
      <c r="K984" s="249"/>
      <c r="L984" s="249"/>
      <c r="M984" s="249"/>
      <c r="O984" s="247"/>
      <c r="P984" s="224"/>
    </row>
    <row r="985" spans="1:16" ht="12.75" customHeight="1" x14ac:dyDescent="0.25">
      <c r="A985" s="354" t="s">
        <v>3568</v>
      </c>
      <c r="B985" s="295" t="s">
        <v>3568</v>
      </c>
      <c r="C985" s="61" t="s">
        <v>938</v>
      </c>
      <c r="D985" s="689">
        <v>4732023</v>
      </c>
      <c r="E985" s="309" t="s">
        <v>932</v>
      </c>
      <c r="F985" s="299">
        <v>6.74</v>
      </c>
      <c r="G985" s="299">
        <v>0</v>
      </c>
      <c r="M985" s="249"/>
      <c r="O985" s="247"/>
      <c r="P985" s="224"/>
    </row>
    <row r="986" spans="1:16" ht="12.75" customHeight="1" x14ac:dyDescent="0.25">
      <c r="A986" s="354" t="s">
        <v>3568</v>
      </c>
      <c r="B986" s="295" t="s">
        <v>3568</v>
      </c>
      <c r="C986" s="61" t="s">
        <v>938</v>
      </c>
      <c r="D986" s="689">
        <v>4726906</v>
      </c>
      <c r="E986" s="309" t="s">
        <v>932</v>
      </c>
      <c r="F986" s="299">
        <v>6.74</v>
      </c>
      <c r="G986" s="299">
        <v>0</v>
      </c>
      <c r="M986" s="249"/>
      <c r="O986" s="247"/>
      <c r="P986" s="224"/>
    </row>
    <row r="987" spans="1:16" ht="12.75" customHeight="1" x14ac:dyDescent="0.25">
      <c r="A987" s="354" t="s">
        <v>3590</v>
      </c>
      <c r="B987" s="295" t="s">
        <v>3590</v>
      </c>
      <c r="C987" s="61" t="s">
        <v>938</v>
      </c>
      <c r="D987" s="689">
        <v>4746107</v>
      </c>
      <c r="E987" s="309" t="s">
        <v>932</v>
      </c>
      <c r="F987" s="299">
        <v>6.74</v>
      </c>
      <c r="G987" s="299">
        <v>0</v>
      </c>
      <c r="M987" s="249"/>
      <c r="O987" s="247"/>
      <c r="P987" s="224"/>
    </row>
    <row r="988" spans="1:16" ht="12.75" customHeight="1" x14ac:dyDescent="0.25">
      <c r="A988" s="354" t="s">
        <v>3594</v>
      </c>
      <c r="B988" s="295" t="s">
        <v>3594</v>
      </c>
      <c r="C988" s="61" t="s">
        <v>938</v>
      </c>
      <c r="D988" s="689">
        <v>4765825</v>
      </c>
      <c r="E988" s="309" t="s">
        <v>932</v>
      </c>
      <c r="F988" s="299">
        <v>6.74</v>
      </c>
      <c r="G988" s="299">
        <v>0</v>
      </c>
      <c r="M988" s="249"/>
      <c r="O988" s="247"/>
      <c r="P988" s="224"/>
    </row>
    <row r="989" spans="1:16" ht="12.75" customHeight="1" x14ac:dyDescent="0.25">
      <c r="A989" s="354" t="s">
        <v>3594</v>
      </c>
      <c r="B989" s="295" t="s">
        <v>3594</v>
      </c>
      <c r="C989" s="61" t="s">
        <v>938</v>
      </c>
      <c r="D989" s="689">
        <v>4765334</v>
      </c>
      <c r="E989" s="309" t="s">
        <v>932</v>
      </c>
      <c r="F989" s="299">
        <v>6.74</v>
      </c>
      <c r="G989" s="299">
        <v>0</v>
      </c>
      <c r="M989" s="249"/>
      <c r="O989" s="247"/>
      <c r="P989" s="224"/>
    </row>
    <row r="990" spans="1:16" ht="12.75" customHeight="1" x14ac:dyDescent="0.25">
      <c r="A990" s="354" t="s">
        <v>3594</v>
      </c>
      <c r="B990" s="295" t="s">
        <v>3594</v>
      </c>
      <c r="C990" s="61" t="s">
        <v>938</v>
      </c>
      <c r="D990" s="689">
        <v>4765182</v>
      </c>
      <c r="E990" s="309" t="s">
        <v>932</v>
      </c>
      <c r="F990" s="299">
        <v>6.74</v>
      </c>
      <c r="G990" s="299">
        <v>0</v>
      </c>
      <c r="M990" s="249"/>
      <c r="O990" s="247"/>
      <c r="P990" s="224"/>
    </row>
    <row r="991" spans="1:16" ht="12.75" customHeight="1" x14ac:dyDescent="0.25">
      <c r="A991" s="354" t="s">
        <v>3594</v>
      </c>
      <c r="B991" s="295" t="s">
        <v>3594</v>
      </c>
      <c r="C991" s="61" t="s">
        <v>938</v>
      </c>
      <c r="D991" s="689">
        <v>4765018</v>
      </c>
      <c r="E991" s="309" t="s">
        <v>932</v>
      </c>
      <c r="F991" s="299">
        <v>6.74</v>
      </c>
      <c r="G991" s="299">
        <v>0</v>
      </c>
      <c r="M991" s="249"/>
      <c r="O991" s="247"/>
      <c r="P991" s="224"/>
    </row>
    <row r="992" spans="1:16" ht="12.75" customHeight="1" x14ac:dyDescent="0.25">
      <c r="A992" s="354" t="s">
        <v>3592</v>
      </c>
      <c r="B992" s="295" t="s">
        <v>3592</v>
      </c>
      <c r="C992" s="61" t="s">
        <v>938</v>
      </c>
      <c r="D992" s="689">
        <v>4755643</v>
      </c>
      <c r="E992" s="309" t="s">
        <v>932</v>
      </c>
      <c r="F992" s="299">
        <v>6.74</v>
      </c>
      <c r="G992" s="299">
        <v>0</v>
      </c>
      <c r="M992" s="249"/>
      <c r="O992" s="247"/>
      <c r="P992" s="224"/>
    </row>
    <row r="993" spans="1:16" ht="12.75" customHeight="1" x14ac:dyDescent="0.25">
      <c r="A993" s="354" t="s">
        <v>3601</v>
      </c>
      <c r="B993" s="295" t="s">
        <v>3601</v>
      </c>
      <c r="C993" s="61" t="s">
        <v>938</v>
      </c>
      <c r="D993" s="689">
        <v>4809483</v>
      </c>
      <c r="E993" s="309" t="s">
        <v>932</v>
      </c>
      <c r="F993" s="299">
        <v>6.74</v>
      </c>
      <c r="G993" s="299">
        <v>0</v>
      </c>
      <c r="M993" s="249"/>
      <c r="O993" s="247"/>
      <c r="P993" s="224"/>
    </row>
    <row r="994" spans="1:16" ht="12.75" customHeight="1" x14ac:dyDescent="0.25">
      <c r="A994" s="354" t="s">
        <v>3619</v>
      </c>
      <c r="B994" s="295" t="s">
        <v>3619</v>
      </c>
      <c r="C994" s="61" t="s">
        <v>938</v>
      </c>
      <c r="D994" s="689">
        <v>4967011</v>
      </c>
      <c r="E994" s="309" t="s">
        <v>932</v>
      </c>
      <c r="F994" s="299">
        <v>6.74</v>
      </c>
      <c r="G994" s="299">
        <v>0</v>
      </c>
      <c r="M994" s="249"/>
      <c r="O994" s="247"/>
      <c r="P994" s="224"/>
    </row>
    <row r="995" spans="1:16" ht="12.75" customHeight="1" x14ac:dyDescent="0.25">
      <c r="A995" s="354" t="s">
        <v>3619</v>
      </c>
      <c r="B995" s="295" t="s">
        <v>3619</v>
      </c>
      <c r="C995" s="61" t="s">
        <v>938</v>
      </c>
      <c r="D995" s="689">
        <v>4963858</v>
      </c>
      <c r="E995" s="309" t="s">
        <v>932</v>
      </c>
      <c r="F995" s="299">
        <v>6.74</v>
      </c>
      <c r="G995" s="299">
        <v>0</v>
      </c>
      <c r="M995" s="249"/>
      <c r="O995" s="247"/>
      <c r="P995" s="224"/>
    </row>
    <row r="996" spans="1:16" ht="12.75" customHeight="1" x14ac:dyDescent="0.25">
      <c r="A996" s="354" t="s">
        <v>3627</v>
      </c>
      <c r="B996" s="295" t="s">
        <v>3627</v>
      </c>
      <c r="C996" s="61" t="s">
        <v>938</v>
      </c>
      <c r="D996" s="689">
        <v>4981006</v>
      </c>
      <c r="E996" s="309" t="s">
        <v>932</v>
      </c>
      <c r="F996" s="299">
        <v>6.74</v>
      </c>
      <c r="G996" s="299">
        <v>0</v>
      </c>
      <c r="M996" s="249"/>
      <c r="O996" s="247"/>
      <c r="P996" s="224"/>
    </row>
    <row r="997" spans="1:16" ht="12.75" customHeight="1" x14ac:dyDescent="0.25">
      <c r="A997" s="354" t="s">
        <v>3627</v>
      </c>
      <c r="B997" s="295" t="s">
        <v>3627</v>
      </c>
      <c r="C997" s="61" t="s">
        <v>938</v>
      </c>
      <c r="D997" s="689">
        <v>4978246</v>
      </c>
      <c r="E997" s="309" t="s">
        <v>932</v>
      </c>
      <c r="F997" s="299">
        <v>6.74</v>
      </c>
      <c r="G997" s="299">
        <v>0</v>
      </c>
      <c r="M997" s="249"/>
      <c r="O997" s="247"/>
      <c r="P997" s="224"/>
    </row>
    <row r="998" spans="1:16" ht="12.75" customHeight="1" x14ac:dyDescent="0.25">
      <c r="A998" s="354" t="s">
        <v>3631</v>
      </c>
      <c r="B998" s="295" t="s">
        <v>3631</v>
      </c>
      <c r="C998" s="61" t="s">
        <v>938</v>
      </c>
      <c r="D998" s="689">
        <v>5031070</v>
      </c>
      <c r="E998" s="309" t="s">
        <v>932</v>
      </c>
      <c r="F998" s="299">
        <v>6.74</v>
      </c>
      <c r="G998" s="299">
        <v>0</v>
      </c>
      <c r="M998" s="249"/>
      <c r="O998" s="247"/>
      <c r="P998" s="224"/>
    </row>
    <row r="999" spans="1:16" ht="12.75" customHeight="1" x14ac:dyDescent="0.25">
      <c r="A999" s="354" t="s">
        <v>3637</v>
      </c>
      <c r="B999" s="295" t="s">
        <v>3637</v>
      </c>
      <c r="C999" s="61" t="s">
        <v>938</v>
      </c>
      <c r="D999" s="689">
        <v>5048755</v>
      </c>
      <c r="E999" s="309" t="s">
        <v>932</v>
      </c>
      <c r="F999" s="299">
        <v>6.74</v>
      </c>
      <c r="G999" s="299">
        <v>0</v>
      </c>
      <c r="M999" s="249"/>
      <c r="O999" s="247"/>
      <c r="P999" s="224"/>
    </row>
    <row r="1000" spans="1:16" ht="12.75" customHeight="1" x14ac:dyDescent="0.25">
      <c r="A1000" s="354" t="s">
        <v>3641</v>
      </c>
      <c r="B1000" s="295" t="s">
        <v>3641</v>
      </c>
      <c r="C1000" s="61" t="s">
        <v>938</v>
      </c>
      <c r="D1000" s="689">
        <v>5093061</v>
      </c>
      <c r="E1000" s="309" t="s">
        <v>932</v>
      </c>
      <c r="F1000" s="299">
        <v>6.74</v>
      </c>
      <c r="G1000" s="299">
        <v>0</v>
      </c>
      <c r="M1000" s="249"/>
      <c r="O1000" s="247"/>
      <c r="P1000" s="224"/>
    </row>
    <row r="1001" spans="1:16" ht="12.75" customHeight="1" x14ac:dyDescent="0.25">
      <c r="A1001" s="354" t="s">
        <v>3646</v>
      </c>
      <c r="B1001" s="295" t="s">
        <v>3646</v>
      </c>
      <c r="C1001" s="61" t="s">
        <v>938</v>
      </c>
      <c r="D1001" s="689">
        <v>5231687</v>
      </c>
      <c r="E1001" s="309" t="s">
        <v>932</v>
      </c>
      <c r="F1001" s="299">
        <v>6.74</v>
      </c>
      <c r="G1001" s="299">
        <v>0</v>
      </c>
      <c r="M1001" s="249"/>
      <c r="O1001" s="247"/>
      <c r="P1001" s="224"/>
    </row>
    <row r="1002" spans="1:16" ht="12.75" customHeight="1" x14ac:dyDescent="0.25">
      <c r="A1002" s="354" t="s">
        <v>3646</v>
      </c>
      <c r="B1002" s="295" t="s">
        <v>3646</v>
      </c>
      <c r="C1002" s="61" t="s">
        <v>938</v>
      </c>
      <c r="D1002" s="689">
        <v>5231033</v>
      </c>
      <c r="E1002" s="309" t="s">
        <v>932</v>
      </c>
      <c r="F1002" s="299">
        <v>6.74</v>
      </c>
      <c r="G1002" s="299">
        <v>0</v>
      </c>
      <c r="M1002" s="249"/>
      <c r="O1002" s="247"/>
      <c r="P1002" s="224"/>
    </row>
    <row r="1003" spans="1:16" ht="12.75" customHeight="1" x14ac:dyDescent="0.25">
      <c r="A1003" s="354" t="s">
        <v>3646</v>
      </c>
      <c r="B1003" s="295" t="s">
        <v>3646</v>
      </c>
      <c r="C1003" s="61" t="s">
        <v>938</v>
      </c>
      <c r="D1003" s="689">
        <v>5230056</v>
      </c>
      <c r="E1003" s="309" t="s">
        <v>932</v>
      </c>
      <c r="F1003" s="299">
        <v>6.74</v>
      </c>
      <c r="G1003" s="299">
        <v>0</v>
      </c>
    </row>
    <row r="1004" spans="1:16" ht="12.75" customHeight="1" x14ac:dyDescent="0.25">
      <c r="A1004" s="354" t="s">
        <v>3656</v>
      </c>
      <c r="B1004" s="295" t="s">
        <v>3656</v>
      </c>
      <c r="C1004" s="61" t="s">
        <v>938</v>
      </c>
      <c r="D1004" s="689">
        <v>5295724</v>
      </c>
      <c r="E1004" s="309" t="s">
        <v>932</v>
      </c>
      <c r="F1004" s="299">
        <v>6.74</v>
      </c>
      <c r="G1004" s="299">
        <v>0</v>
      </c>
      <c r="M1004" s="249"/>
      <c r="O1004" s="247"/>
      <c r="P1004" s="224"/>
    </row>
    <row r="1005" spans="1:16" ht="12.75" customHeight="1" x14ac:dyDescent="0.25">
      <c r="A1005" s="354" t="s">
        <v>3659</v>
      </c>
      <c r="B1005" s="295" t="s">
        <v>3659</v>
      </c>
      <c r="C1005" s="61" t="s">
        <v>938</v>
      </c>
      <c r="D1005" s="689">
        <v>5308602</v>
      </c>
      <c r="E1005" s="309" t="s">
        <v>932</v>
      </c>
      <c r="F1005" s="299">
        <v>6.74</v>
      </c>
      <c r="G1005" s="299">
        <v>0</v>
      </c>
      <c r="M1005" s="249"/>
      <c r="O1005" s="247"/>
      <c r="P1005" s="224"/>
    </row>
    <row r="1006" spans="1:16" ht="12.75" customHeight="1" x14ac:dyDescent="0.25">
      <c r="A1006" s="354" t="s">
        <v>3659</v>
      </c>
      <c r="B1006" s="295" t="s">
        <v>3659</v>
      </c>
      <c r="C1006" s="61" t="s">
        <v>938</v>
      </c>
      <c r="D1006" s="689">
        <v>5305792</v>
      </c>
      <c r="E1006" s="309" t="s">
        <v>932</v>
      </c>
      <c r="F1006" s="299">
        <v>6.74</v>
      </c>
      <c r="G1006" s="299">
        <v>0</v>
      </c>
      <c r="M1006" s="249"/>
      <c r="O1006" s="247"/>
      <c r="P1006" s="224"/>
    </row>
    <row r="1007" spans="1:16" ht="12.75" customHeight="1" x14ac:dyDescent="0.25">
      <c r="A1007" s="354" t="s">
        <v>3664</v>
      </c>
      <c r="B1007" s="295" t="s">
        <v>3664</v>
      </c>
      <c r="C1007" s="61" t="s">
        <v>938</v>
      </c>
      <c r="D1007" s="689">
        <v>5413545</v>
      </c>
      <c r="E1007" s="309" t="s">
        <v>932</v>
      </c>
      <c r="F1007" s="299">
        <v>6.74</v>
      </c>
      <c r="G1007" s="299">
        <v>0</v>
      </c>
      <c r="M1007" s="249"/>
      <c r="O1007" s="247"/>
      <c r="P1007" s="224"/>
    </row>
    <row r="1008" spans="1:16" ht="12.75" customHeight="1" x14ac:dyDescent="0.25">
      <c r="A1008" s="354" t="s">
        <v>3664</v>
      </c>
      <c r="B1008" s="295" t="s">
        <v>3664</v>
      </c>
      <c r="C1008" s="61" t="s">
        <v>938</v>
      </c>
      <c r="D1008" s="689">
        <v>5413324</v>
      </c>
      <c r="E1008" s="309" t="s">
        <v>932</v>
      </c>
      <c r="F1008" s="299">
        <v>6.74</v>
      </c>
      <c r="G1008" s="299">
        <v>0</v>
      </c>
      <c r="M1008" s="249"/>
      <c r="O1008" s="247"/>
      <c r="P1008" s="224"/>
    </row>
    <row r="1009" spans="1:16" ht="12.75" customHeight="1" x14ac:dyDescent="0.25">
      <c r="A1009" s="354" t="s">
        <v>3668</v>
      </c>
      <c r="B1009" s="295" t="s">
        <v>3668</v>
      </c>
      <c r="C1009" s="61" t="s">
        <v>938</v>
      </c>
      <c r="D1009" s="689">
        <v>5438340</v>
      </c>
      <c r="E1009" s="309" t="s">
        <v>932</v>
      </c>
      <c r="F1009" s="299">
        <v>6.74</v>
      </c>
      <c r="G1009" s="299">
        <v>0</v>
      </c>
      <c r="M1009" s="249"/>
      <c r="O1009" s="247"/>
      <c r="P1009" s="224"/>
    </row>
    <row r="1010" spans="1:16" ht="12.75" customHeight="1" x14ac:dyDescent="0.25">
      <c r="A1010" s="354" t="s">
        <v>3672</v>
      </c>
      <c r="B1010" s="295" t="s">
        <v>3672</v>
      </c>
      <c r="C1010" s="61" t="s">
        <v>938</v>
      </c>
      <c r="D1010" s="689">
        <v>5446850</v>
      </c>
      <c r="E1010" s="309" t="s">
        <v>932</v>
      </c>
      <c r="F1010" s="299">
        <v>6.74</v>
      </c>
      <c r="G1010" s="299">
        <v>0</v>
      </c>
      <c r="M1010" s="249"/>
      <c r="O1010" s="247"/>
      <c r="P1010" s="224"/>
    </row>
    <row r="1011" spans="1:16" ht="12.75" customHeight="1" x14ac:dyDescent="0.25">
      <c r="A1011" s="354" t="s">
        <v>3672</v>
      </c>
      <c r="B1011" s="295" t="s">
        <v>3672</v>
      </c>
      <c r="C1011" s="61" t="s">
        <v>938</v>
      </c>
      <c r="D1011" s="689">
        <v>5446687</v>
      </c>
      <c r="E1011" s="309" t="s">
        <v>932</v>
      </c>
      <c r="F1011" s="299">
        <v>6.74</v>
      </c>
      <c r="G1011" s="299">
        <v>0</v>
      </c>
      <c r="M1011" s="249"/>
      <c r="O1011" s="247"/>
      <c r="P1011" s="224"/>
    </row>
    <row r="1012" spans="1:16" ht="12.75" customHeight="1" x14ac:dyDescent="0.25">
      <c r="A1012" s="354" t="s">
        <v>3675</v>
      </c>
      <c r="B1012" s="295" t="s">
        <v>3675</v>
      </c>
      <c r="C1012" s="61" t="s">
        <v>938</v>
      </c>
      <c r="D1012" s="689">
        <v>5484364</v>
      </c>
      <c r="E1012" s="309" t="s">
        <v>932</v>
      </c>
      <c r="F1012" s="299">
        <v>6.74</v>
      </c>
      <c r="G1012" s="299">
        <v>0</v>
      </c>
    </row>
    <row r="1013" spans="1:16" ht="12.75" customHeight="1" x14ac:dyDescent="0.25">
      <c r="A1013" s="354" t="s">
        <v>3689</v>
      </c>
      <c r="B1013" s="295" t="s">
        <v>3689</v>
      </c>
      <c r="C1013" s="61" t="s">
        <v>938</v>
      </c>
      <c r="D1013" s="689">
        <v>5575468</v>
      </c>
      <c r="E1013" s="309" t="s">
        <v>932</v>
      </c>
      <c r="F1013" s="299">
        <v>6.74</v>
      </c>
      <c r="G1013" s="299">
        <v>0</v>
      </c>
      <c r="M1013" s="249"/>
      <c r="O1013" s="247"/>
      <c r="P1013" s="224"/>
    </row>
    <row r="1014" spans="1:16" ht="12.75" customHeight="1" x14ac:dyDescent="0.25">
      <c r="A1014" s="354" t="s">
        <v>4046</v>
      </c>
      <c r="B1014" s="295" t="s">
        <v>4046</v>
      </c>
      <c r="C1014" s="61" t="s">
        <v>938</v>
      </c>
      <c r="D1014" s="689">
        <v>6282297</v>
      </c>
      <c r="E1014" s="309" t="s">
        <v>932</v>
      </c>
      <c r="F1014" s="299">
        <v>6.74</v>
      </c>
      <c r="G1014" s="299">
        <v>0</v>
      </c>
      <c r="M1014" s="249"/>
      <c r="O1014" s="247"/>
      <c r="P1014" s="224"/>
    </row>
    <row r="1015" spans="1:16" ht="12.75" customHeight="1" x14ac:dyDescent="0.25">
      <c r="A1015" s="354" t="s">
        <v>4058</v>
      </c>
      <c r="B1015" s="295" t="s">
        <v>4058</v>
      </c>
      <c r="C1015" s="61" t="s">
        <v>938</v>
      </c>
      <c r="D1015" s="689">
        <v>6443553</v>
      </c>
      <c r="E1015" s="309" t="s">
        <v>932</v>
      </c>
      <c r="F1015" s="299">
        <v>6.74</v>
      </c>
      <c r="G1015" s="299">
        <v>0</v>
      </c>
      <c r="M1015" s="249"/>
      <c r="O1015" s="247"/>
      <c r="P1015" s="224"/>
    </row>
    <row r="1016" spans="1:16" ht="12.75" customHeight="1" x14ac:dyDescent="0.25">
      <c r="A1016" s="250" t="s">
        <v>4070</v>
      </c>
      <c r="B1016" s="295" t="s">
        <v>4070</v>
      </c>
      <c r="C1016" s="249" t="s">
        <v>938</v>
      </c>
      <c r="D1016" s="231">
        <v>6483498</v>
      </c>
      <c r="E1016" s="249" t="s">
        <v>932</v>
      </c>
      <c r="F1016" s="299">
        <v>6.74</v>
      </c>
      <c r="G1016" s="299">
        <v>0</v>
      </c>
    </row>
    <row r="1017" spans="1:16" ht="12.75" customHeight="1" x14ac:dyDescent="0.25">
      <c r="A1017" s="250" t="s">
        <v>4085</v>
      </c>
      <c r="B1017" s="295" t="s">
        <v>4085</v>
      </c>
      <c r="C1017" s="249" t="s">
        <v>938</v>
      </c>
      <c r="D1017" s="231">
        <v>6556928</v>
      </c>
      <c r="E1017" s="249" t="s">
        <v>932</v>
      </c>
      <c r="F1017" s="299">
        <v>6.74</v>
      </c>
      <c r="G1017" s="299">
        <v>0</v>
      </c>
    </row>
    <row r="1018" spans="1:16" ht="12.75" customHeight="1" x14ac:dyDescent="0.25">
      <c r="A1018" s="354" t="s">
        <v>4096</v>
      </c>
      <c r="B1018" s="295" t="s">
        <v>4096</v>
      </c>
      <c r="C1018" s="249" t="s">
        <v>938</v>
      </c>
      <c r="D1018" s="231">
        <v>6627263</v>
      </c>
      <c r="E1018" s="249" t="s">
        <v>932</v>
      </c>
      <c r="F1018" s="299">
        <v>6.74</v>
      </c>
      <c r="G1018" s="299">
        <v>0</v>
      </c>
    </row>
    <row r="1019" spans="1:16" ht="12.75" customHeight="1" x14ac:dyDescent="0.25">
      <c r="A1019" s="250" t="s">
        <v>4141</v>
      </c>
      <c r="B1019" s="295" t="s">
        <v>4141</v>
      </c>
      <c r="C1019" s="249" t="s">
        <v>938</v>
      </c>
      <c r="D1019" s="231">
        <v>6847307</v>
      </c>
      <c r="E1019" s="249" t="s">
        <v>932</v>
      </c>
      <c r="F1019" s="299">
        <v>6.74</v>
      </c>
      <c r="G1019" s="299">
        <v>0</v>
      </c>
    </row>
    <row r="1020" spans="1:16" ht="12.75" customHeight="1" x14ac:dyDescent="0.25">
      <c r="A1020" s="250" t="s">
        <v>4149</v>
      </c>
      <c r="B1020" s="295" t="s">
        <v>4149</v>
      </c>
      <c r="C1020" s="249" t="s">
        <v>938</v>
      </c>
      <c r="D1020" s="231">
        <v>6874844</v>
      </c>
      <c r="E1020" s="249" t="s">
        <v>932</v>
      </c>
      <c r="F1020" s="299">
        <v>6.74</v>
      </c>
      <c r="G1020" s="299">
        <v>0</v>
      </c>
    </row>
    <row r="1021" spans="1:16" ht="12.75" customHeight="1" x14ac:dyDescent="0.25">
      <c r="A1021" s="354" t="s">
        <v>4176</v>
      </c>
      <c r="B1021" s="295" t="s">
        <v>4176</v>
      </c>
      <c r="C1021" s="249" t="s">
        <v>938</v>
      </c>
      <c r="D1021" s="231">
        <v>6994813</v>
      </c>
      <c r="E1021" s="249" t="s">
        <v>932</v>
      </c>
      <c r="F1021" s="299">
        <v>6.74</v>
      </c>
      <c r="G1021" s="299">
        <v>0</v>
      </c>
    </row>
    <row r="1022" spans="1:16" ht="12.75" customHeight="1" x14ac:dyDescent="0.25">
      <c r="A1022" s="250" t="s">
        <v>4231</v>
      </c>
      <c r="B1022" s="295" t="s">
        <v>4231</v>
      </c>
      <c r="C1022" s="249" t="s">
        <v>938</v>
      </c>
      <c r="D1022" s="231">
        <v>7147159</v>
      </c>
      <c r="E1022" s="249" t="s">
        <v>932</v>
      </c>
      <c r="F1022" s="299">
        <v>6.74</v>
      </c>
      <c r="G1022" s="299">
        <v>0</v>
      </c>
    </row>
    <row r="1023" spans="1:16" ht="12.75" customHeight="1" x14ac:dyDescent="0.25">
      <c r="A1023" s="250" t="s">
        <v>4242</v>
      </c>
      <c r="B1023" s="295" t="s">
        <v>4242</v>
      </c>
      <c r="C1023" s="249" t="s">
        <v>938</v>
      </c>
      <c r="D1023" s="231">
        <v>7254265</v>
      </c>
      <c r="E1023" s="249" t="s">
        <v>932</v>
      </c>
      <c r="F1023" s="299">
        <v>6.74</v>
      </c>
      <c r="G1023" s="299">
        <v>0</v>
      </c>
    </row>
    <row r="1024" spans="1:16" ht="12.75" customHeight="1" x14ac:dyDescent="0.25">
      <c r="A1024" s="354"/>
      <c r="C1024" s="61"/>
      <c r="D1024" s="689"/>
      <c r="E1024" s="309"/>
      <c r="I1024" s="249"/>
      <c r="J1024" s="249"/>
      <c r="K1024" s="249"/>
      <c r="L1024" s="249"/>
      <c r="M1024" s="249"/>
      <c r="O1024" s="247"/>
      <c r="P1024" s="224"/>
    </row>
    <row r="1025" spans="1:16" ht="12.75" customHeight="1" x14ac:dyDescent="0.25">
      <c r="A1025" s="354"/>
      <c r="C1025" s="61"/>
      <c r="D1025" s="689"/>
      <c r="E1025" s="309"/>
      <c r="I1025" s="249"/>
      <c r="J1025" s="249"/>
      <c r="K1025" s="249"/>
      <c r="L1025" s="249"/>
      <c r="M1025" s="249"/>
      <c r="O1025" s="247"/>
      <c r="P1025" s="224"/>
    </row>
    <row r="1026" spans="1:16" ht="12.75" customHeight="1" x14ac:dyDescent="0.25">
      <c r="A1026" s="354"/>
      <c r="C1026" s="61"/>
      <c r="D1026" s="689"/>
      <c r="E1026" s="309"/>
      <c r="I1026" s="249"/>
      <c r="J1026" s="249"/>
      <c r="K1026" s="249"/>
      <c r="L1026" s="249"/>
      <c r="M1026" s="249"/>
      <c r="O1026" s="247"/>
      <c r="P1026" s="224"/>
    </row>
    <row r="1027" spans="1:16" ht="12.75" customHeight="1" x14ac:dyDescent="0.25">
      <c r="A1027" s="354"/>
      <c r="C1027" s="61"/>
      <c r="D1027" s="267"/>
      <c r="E1027" s="309"/>
      <c r="I1027" s="249"/>
      <c r="J1027" s="249"/>
      <c r="K1027" s="249"/>
      <c r="L1027" s="249"/>
      <c r="M1027" s="249"/>
      <c r="O1027" s="247"/>
      <c r="P1027" s="224"/>
    </row>
    <row r="1028" spans="1:16" ht="12.75" customHeight="1" x14ac:dyDescent="0.25">
      <c r="A1028" s="354"/>
      <c r="C1028" s="61"/>
      <c r="D1028" s="267"/>
      <c r="E1028" s="309"/>
      <c r="K1028" s="249"/>
      <c r="L1028" s="249"/>
      <c r="M1028" s="249"/>
      <c r="O1028" s="247"/>
      <c r="P1028" s="224"/>
    </row>
    <row r="1029" spans="1:16" ht="12.75" customHeight="1" thickBot="1" x14ac:dyDescent="0.3">
      <c r="A1029" s="354"/>
      <c r="C1029" s="61"/>
      <c r="D1029" s="267"/>
      <c r="E1029" s="309"/>
      <c r="K1029" s="249"/>
      <c r="L1029" s="249"/>
      <c r="M1029" s="249"/>
      <c r="O1029" s="247"/>
      <c r="P1029" s="224"/>
    </row>
    <row r="1030" spans="1:16" ht="12.75" customHeight="1" thickBot="1" x14ac:dyDescent="0.3">
      <c r="A1030" s="354"/>
      <c r="C1030" s="2"/>
      <c r="E1030" s="2" t="s">
        <v>1040</v>
      </c>
      <c r="F1030" s="423">
        <f>SUM(F940:F1029)</f>
        <v>566.16000000000054</v>
      </c>
      <c r="I1030" s="249"/>
      <c r="J1030" s="249"/>
      <c r="K1030" s="249"/>
      <c r="L1030" s="249"/>
      <c r="M1030" s="249"/>
      <c r="O1030" s="247"/>
      <c r="P1030" s="224"/>
    </row>
    <row r="1031" spans="1:16" ht="12.75" customHeight="1" x14ac:dyDescent="0.25">
      <c r="A1031" s="354"/>
      <c r="C1031" s="2"/>
      <c r="E1031" s="2"/>
      <c r="F1031" s="3"/>
      <c r="I1031" s="249"/>
      <c r="J1031" s="249"/>
      <c r="K1031" s="249"/>
      <c r="L1031" s="249"/>
      <c r="M1031" s="249"/>
      <c r="O1031" s="247"/>
      <c r="P1031" s="224"/>
    </row>
    <row r="1032" spans="1:16" ht="12.75" customHeight="1" x14ac:dyDescent="0.25">
      <c r="A1032" s="354"/>
      <c r="E1032" s="2"/>
      <c r="F1032" s="3"/>
      <c r="I1032" s="249"/>
      <c r="J1032" s="249"/>
      <c r="K1032" s="249"/>
      <c r="L1032" s="249"/>
      <c r="M1032" s="249"/>
      <c r="O1032" s="247"/>
      <c r="P1032" s="224"/>
    </row>
    <row r="1033" spans="1:16" ht="12.75" customHeight="1" x14ac:dyDescent="0.25">
      <c r="A1033" s="354"/>
      <c r="I1033" s="249"/>
      <c r="J1033" s="249"/>
      <c r="K1033" s="249"/>
      <c r="L1033" s="249"/>
      <c r="M1033" s="249"/>
      <c r="O1033" s="247"/>
      <c r="P1033" s="224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1"/>
  <sheetViews>
    <sheetView workbookViewId="0">
      <selection activeCell="P22" sqref="P22"/>
    </sheetView>
  </sheetViews>
  <sheetFormatPr defaultColWidth="9.21875" defaultRowHeight="13.2" x14ac:dyDescent="0.25"/>
  <cols>
    <col min="1" max="1" width="9.21875" style="534"/>
    <col min="2" max="3" width="9.21875" style="532"/>
    <col min="4" max="5" width="9.21875" style="471"/>
    <col min="6" max="6" width="9.5546875" style="582" bestFit="1" customWidth="1"/>
    <col min="7" max="7" width="22" style="588" customWidth="1"/>
    <col min="8" max="8" width="11.77734375" style="535" customWidth="1"/>
    <col min="9" max="9" width="9.21875" style="468" customWidth="1"/>
    <col min="10" max="10" width="19.21875" style="471" customWidth="1"/>
    <col min="11" max="16" width="10.77734375" style="471" customWidth="1"/>
    <col min="17" max="16384" width="9.21875" style="532"/>
  </cols>
  <sheetData>
    <row r="2" spans="1:16" ht="13.8" thickBot="1" x14ac:dyDescent="0.3"/>
    <row r="3" spans="1:16" ht="13.8" thickBot="1" x14ac:dyDescent="0.3">
      <c r="E3" s="583" t="s">
        <v>3732</v>
      </c>
      <c r="F3" s="586">
        <f>F40-F21</f>
        <v>-2338.4800000000105</v>
      </c>
    </row>
    <row r="7" spans="1:16" ht="52.8" x14ac:dyDescent="0.25">
      <c r="A7" s="594" t="s">
        <v>184</v>
      </c>
      <c r="B7" s="594" t="s">
        <v>185</v>
      </c>
      <c r="C7" s="594" t="s">
        <v>186</v>
      </c>
      <c r="D7" s="595" t="s">
        <v>469</v>
      </c>
      <c r="E7" s="595" t="s">
        <v>664</v>
      </c>
      <c r="F7" s="595" t="s">
        <v>189</v>
      </c>
      <c r="G7" s="594" t="s">
        <v>3457</v>
      </c>
      <c r="H7" s="594" t="s">
        <v>192</v>
      </c>
      <c r="I7" s="594" t="s">
        <v>193</v>
      </c>
      <c r="J7" s="594" t="s">
        <v>194</v>
      </c>
      <c r="K7" s="594" t="s">
        <v>195</v>
      </c>
      <c r="L7" s="595" t="s">
        <v>893</v>
      </c>
      <c r="M7" s="595" t="s">
        <v>3458</v>
      </c>
      <c r="N7" s="595" t="s">
        <v>2247</v>
      </c>
      <c r="O7" s="595" t="s">
        <v>3459</v>
      </c>
      <c r="P7" s="595" t="s">
        <v>190</v>
      </c>
    </row>
    <row r="8" spans="1:16" x14ac:dyDescent="0.25">
      <c r="A8" s="579">
        <v>41971</v>
      </c>
      <c r="B8" s="580" t="s">
        <v>1058</v>
      </c>
      <c r="C8" s="580" t="s">
        <v>197</v>
      </c>
      <c r="D8" s="589">
        <v>1000</v>
      </c>
      <c r="E8" s="589">
        <v>67.7</v>
      </c>
      <c r="F8" s="589">
        <v>67700</v>
      </c>
      <c r="G8" s="580" t="s">
        <v>3693</v>
      </c>
      <c r="H8" s="580">
        <v>2014221</v>
      </c>
      <c r="I8" s="580" t="s">
        <v>199</v>
      </c>
      <c r="J8" s="580" t="s">
        <v>200</v>
      </c>
      <c r="K8" s="580" t="s">
        <v>201</v>
      </c>
      <c r="L8" s="589">
        <v>68</v>
      </c>
      <c r="M8" s="589">
        <v>2.5</v>
      </c>
      <c r="N8" s="589">
        <v>4.0599999999999996</v>
      </c>
      <c r="O8" s="589">
        <v>418.37</v>
      </c>
      <c r="P8" s="589">
        <v>492.94</v>
      </c>
    </row>
    <row r="9" spans="1:16" x14ac:dyDescent="0.25">
      <c r="A9" s="579">
        <v>41795</v>
      </c>
      <c r="B9" s="580" t="s">
        <v>3460</v>
      </c>
      <c r="C9" s="580" t="s">
        <v>197</v>
      </c>
      <c r="D9" s="589">
        <v>50</v>
      </c>
      <c r="E9" s="589">
        <v>433</v>
      </c>
      <c r="F9" s="589">
        <v>21650</v>
      </c>
      <c r="G9" s="580" t="s">
        <v>3464</v>
      </c>
      <c r="H9" s="580">
        <v>2014105</v>
      </c>
      <c r="I9" s="580" t="s">
        <v>199</v>
      </c>
      <c r="J9" s="597" t="s">
        <v>200</v>
      </c>
      <c r="K9" s="580" t="s">
        <v>201</v>
      </c>
      <c r="L9" s="589">
        <v>21.65</v>
      </c>
      <c r="M9" s="589">
        <v>0.8</v>
      </c>
      <c r="N9" s="589">
        <v>1.3</v>
      </c>
      <c r="O9" s="589">
        <v>133.79</v>
      </c>
      <c r="P9" s="589">
        <v>157.54</v>
      </c>
    </row>
    <row r="10" spans="1:16" x14ac:dyDescent="0.25">
      <c r="A10" s="579">
        <v>41793</v>
      </c>
      <c r="B10" s="580" t="s">
        <v>1512</v>
      </c>
      <c r="C10" s="580" t="s">
        <v>197</v>
      </c>
      <c r="D10" s="589">
        <v>500</v>
      </c>
      <c r="E10" s="589">
        <v>95.1</v>
      </c>
      <c r="F10" s="589">
        <v>47550</v>
      </c>
      <c r="G10" s="580" t="s">
        <v>3465</v>
      </c>
      <c r="H10" s="580">
        <v>2014103</v>
      </c>
      <c r="I10" s="580" t="s">
        <v>199</v>
      </c>
      <c r="J10" s="580" t="s">
        <v>200</v>
      </c>
      <c r="K10" s="580" t="s">
        <v>201</v>
      </c>
      <c r="L10" s="589">
        <v>48</v>
      </c>
      <c r="M10" s="589">
        <v>1.76</v>
      </c>
      <c r="N10" s="589">
        <v>2.85</v>
      </c>
      <c r="O10" s="589">
        <v>293.85000000000002</v>
      </c>
      <c r="P10" s="589">
        <v>346.46</v>
      </c>
    </row>
    <row r="11" spans="1:16" x14ac:dyDescent="0.25">
      <c r="A11" s="580"/>
      <c r="B11" s="580"/>
      <c r="C11" s="580"/>
      <c r="D11" s="589"/>
      <c r="E11" s="589"/>
      <c r="F11" s="589"/>
      <c r="G11" s="580"/>
      <c r="H11" s="580"/>
      <c r="I11" s="580"/>
      <c r="J11" s="580"/>
      <c r="K11" s="580"/>
      <c r="L11" s="589"/>
      <c r="M11" s="589"/>
      <c r="N11" s="589"/>
      <c r="O11" s="589"/>
      <c r="P11" s="589"/>
    </row>
    <row r="19" spans="1:16" x14ac:dyDescent="0.25">
      <c r="E19" s="583" t="s">
        <v>984</v>
      </c>
      <c r="F19" s="587">
        <f>SUM(F8:F18)</f>
        <v>136900</v>
      </c>
      <c r="P19" s="585">
        <f>SUM(P8:P18)</f>
        <v>996.94</v>
      </c>
    </row>
    <row r="20" spans="1:16" ht="13.8" thickBot="1" x14ac:dyDescent="0.3">
      <c r="E20" s="581"/>
      <c r="F20" s="584"/>
    </row>
    <row r="21" spans="1:16" ht="13.8" thickBot="1" x14ac:dyDescent="0.3">
      <c r="E21" s="583" t="s">
        <v>624</v>
      </c>
      <c r="F21" s="586">
        <f>F19+P19</f>
        <v>137896.94</v>
      </c>
    </row>
    <row r="22" spans="1:16" x14ac:dyDescent="0.25">
      <c r="E22" s="583"/>
      <c r="F22" s="596"/>
    </row>
    <row r="23" spans="1:16" x14ac:dyDescent="0.25">
      <c r="E23" s="583"/>
      <c r="F23" s="596"/>
    </row>
    <row r="24" spans="1:16" x14ac:dyDescent="0.25">
      <c r="E24" s="590"/>
      <c r="F24" s="588"/>
    </row>
    <row r="25" spans="1:16" ht="52.8" x14ac:dyDescent="0.25">
      <c r="A25" s="594" t="s">
        <v>184</v>
      </c>
      <c r="B25" s="594" t="s">
        <v>185</v>
      </c>
      <c r="C25" s="594" t="s">
        <v>186</v>
      </c>
      <c r="D25" s="595" t="s">
        <v>469</v>
      </c>
      <c r="E25" s="595" t="s">
        <v>664</v>
      </c>
      <c r="F25" s="595" t="s">
        <v>189</v>
      </c>
      <c r="G25" s="594" t="s">
        <v>3457</v>
      </c>
      <c r="H25" s="594" t="s">
        <v>192</v>
      </c>
      <c r="I25" s="594" t="s">
        <v>193</v>
      </c>
      <c r="J25" s="594" t="s">
        <v>194</v>
      </c>
      <c r="K25" s="594" t="s">
        <v>195</v>
      </c>
      <c r="L25" s="595" t="s">
        <v>893</v>
      </c>
      <c r="M25" s="595" t="s">
        <v>3458</v>
      </c>
      <c r="N25" s="595" t="s">
        <v>2247</v>
      </c>
      <c r="O25" s="595" t="s">
        <v>3459</v>
      </c>
      <c r="P25" s="595" t="s">
        <v>190</v>
      </c>
    </row>
    <row r="26" spans="1:16" x14ac:dyDescent="0.25">
      <c r="A26" s="579">
        <v>41977</v>
      </c>
      <c r="B26" s="580" t="s">
        <v>1058</v>
      </c>
      <c r="C26" s="580" t="s">
        <v>369</v>
      </c>
      <c r="D26" s="589">
        <v>500</v>
      </c>
      <c r="E26" s="589">
        <v>65.900000000000006</v>
      </c>
      <c r="F26" s="589">
        <v>32950</v>
      </c>
      <c r="G26" s="580" t="s">
        <v>3691</v>
      </c>
      <c r="H26" s="580">
        <v>201415166</v>
      </c>
      <c r="I26" s="580" t="s">
        <v>199</v>
      </c>
      <c r="J26" s="580" t="s">
        <v>200</v>
      </c>
      <c r="K26" s="580" t="s">
        <v>204</v>
      </c>
      <c r="L26" s="589">
        <v>33</v>
      </c>
      <c r="M26" s="589">
        <v>1.0900000000000001</v>
      </c>
      <c r="N26" s="589">
        <v>1.98</v>
      </c>
      <c r="O26" s="589">
        <v>370.23</v>
      </c>
      <c r="P26" s="589">
        <v>406.29</v>
      </c>
    </row>
    <row r="27" spans="1:16" x14ac:dyDescent="0.25">
      <c r="A27" s="579">
        <v>41976</v>
      </c>
      <c r="B27" s="580" t="s">
        <v>1058</v>
      </c>
      <c r="C27" s="580" t="s">
        <v>369</v>
      </c>
      <c r="D27" s="589">
        <v>500</v>
      </c>
      <c r="E27" s="589">
        <v>66.7</v>
      </c>
      <c r="F27" s="589">
        <v>33350</v>
      </c>
      <c r="G27" s="580" t="s">
        <v>3692</v>
      </c>
      <c r="H27" s="580">
        <v>201415165</v>
      </c>
      <c r="I27" s="580" t="s">
        <v>199</v>
      </c>
      <c r="J27" s="580" t="s">
        <v>200</v>
      </c>
      <c r="K27" s="580" t="s">
        <v>204</v>
      </c>
      <c r="L27" s="589">
        <v>33</v>
      </c>
      <c r="M27" s="589">
        <v>1.1000000000000001</v>
      </c>
      <c r="N27" s="589">
        <v>2</v>
      </c>
      <c r="O27" s="589">
        <v>374.72</v>
      </c>
      <c r="P27" s="589">
        <v>410.82</v>
      </c>
    </row>
    <row r="28" spans="1:16" x14ac:dyDescent="0.25">
      <c r="A28" s="579">
        <v>41799</v>
      </c>
      <c r="B28" s="580" t="s">
        <v>3460</v>
      </c>
      <c r="C28" s="580" t="s">
        <v>369</v>
      </c>
      <c r="D28" s="589">
        <v>50</v>
      </c>
      <c r="E28" s="589">
        <v>433.3</v>
      </c>
      <c r="F28" s="589">
        <v>21665</v>
      </c>
      <c r="G28" s="580" t="s">
        <v>3461</v>
      </c>
      <c r="H28" s="580">
        <v>2014107</v>
      </c>
      <c r="I28" s="580" t="s">
        <v>199</v>
      </c>
      <c r="J28" s="580" t="s">
        <v>200</v>
      </c>
      <c r="K28" s="580" t="s">
        <v>201</v>
      </c>
      <c r="L28" s="589">
        <v>22</v>
      </c>
      <c r="M28" s="589">
        <v>0.8</v>
      </c>
      <c r="N28" s="589">
        <v>1.3</v>
      </c>
      <c r="O28" s="589">
        <v>133.88999999999999</v>
      </c>
      <c r="P28" s="589">
        <v>157.99</v>
      </c>
    </row>
    <row r="29" spans="1:16" x14ac:dyDescent="0.25">
      <c r="A29" s="579">
        <v>41796</v>
      </c>
      <c r="B29" s="580" t="s">
        <v>1512</v>
      </c>
      <c r="C29" s="580" t="s">
        <v>369</v>
      </c>
      <c r="D29" s="589">
        <v>200</v>
      </c>
      <c r="E29" s="589">
        <v>97.85</v>
      </c>
      <c r="F29" s="589">
        <v>19570</v>
      </c>
      <c r="G29" s="580" t="s">
        <v>3462</v>
      </c>
      <c r="H29" s="580">
        <v>2014106</v>
      </c>
      <c r="I29" s="580" t="s">
        <v>199</v>
      </c>
      <c r="J29" s="580" t="s">
        <v>200</v>
      </c>
      <c r="K29" s="580" t="s">
        <v>201</v>
      </c>
      <c r="L29" s="589">
        <v>20</v>
      </c>
      <c r="M29" s="589">
        <v>0.72</v>
      </c>
      <c r="N29" s="589">
        <v>1.17</v>
      </c>
      <c r="O29" s="589">
        <v>120.93</v>
      </c>
      <c r="P29" s="589">
        <v>142.83000000000001</v>
      </c>
    </row>
    <row r="30" spans="1:16" x14ac:dyDescent="0.25">
      <c r="A30" s="579">
        <v>41795</v>
      </c>
      <c r="B30" s="580" t="s">
        <v>1512</v>
      </c>
      <c r="C30" s="580" t="s">
        <v>369</v>
      </c>
      <c r="D30" s="589">
        <v>300</v>
      </c>
      <c r="E30" s="589">
        <v>97.85</v>
      </c>
      <c r="F30" s="589">
        <v>29355</v>
      </c>
      <c r="G30" s="580" t="s">
        <v>3463</v>
      </c>
      <c r="H30" s="580">
        <v>2014105</v>
      </c>
      <c r="I30" s="580" t="s">
        <v>199</v>
      </c>
      <c r="J30" s="580" t="s">
        <v>200</v>
      </c>
      <c r="K30" s="580" t="s">
        <v>201</v>
      </c>
      <c r="L30" s="589">
        <v>29.35</v>
      </c>
      <c r="M30" s="589">
        <v>1.0900000000000001</v>
      </c>
      <c r="N30" s="589">
        <v>1.76</v>
      </c>
      <c r="O30" s="589">
        <v>181.41</v>
      </c>
      <c r="P30" s="589">
        <v>213.61</v>
      </c>
    </row>
    <row r="38" spans="5:16" x14ac:dyDescent="0.25">
      <c r="E38" s="583" t="s">
        <v>984</v>
      </c>
      <c r="F38" s="587">
        <f>SUM(F26:F37)</f>
        <v>136890</v>
      </c>
      <c r="P38" s="585">
        <f>SUM(P26:P37)</f>
        <v>1331.54</v>
      </c>
    </row>
    <row r="39" spans="5:16" ht="13.8" thickBot="1" x14ac:dyDescent="0.3">
      <c r="E39" s="581"/>
      <c r="F39" s="584"/>
    </row>
    <row r="40" spans="5:16" ht="13.8" thickBot="1" x14ac:dyDescent="0.3">
      <c r="E40" s="583" t="s">
        <v>659</v>
      </c>
      <c r="F40" s="586">
        <f>F38-P38</f>
        <v>135558.46</v>
      </c>
    </row>
    <row r="41" spans="5:16" x14ac:dyDescent="0.25">
      <c r="E41" s="583"/>
      <c r="F41" s="596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88"/>
  <sheetViews>
    <sheetView workbookViewId="0">
      <selection activeCell="P22" sqref="P22"/>
    </sheetView>
  </sheetViews>
  <sheetFormatPr defaultColWidth="9.21875" defaultRowHeight="13.2" x14ac:dyDescent="0.25"/>
  <cols>
    <col min="1" max="1" width="9.21875" style="534"/>
    <col min="2" max="2" width="39" style="532" customWidth="1"/>
    <col min="3" max="4" width="9.21875" style="534"/>
    <col min="5" max="5" width="9.21875" style="468"/>
    <col min="6" max="6" width="9.21875" style="590"/>
    <col min="7" max="7" width="12.77734375" style="588" customWidth="1"/>
    <col min="8" max="8" width="23.44140625" style="535" customWidth="1"/>
    <col min="9" max="9" width="9.21875" style="468" customWidth="1"/>
    <col min="10" max="15" width="11.77734375" style="471" customWidth="1"/>
    <col min="16" max="16384" width="9.21875" style="532"/>
  </cols>
  <sheetData>
    <row r="3" spans="1:15" ht="13.8" thickBot="1" x14ac:dyDescent="0.3"/>
    <row r="4" spans="1:15" ht="13.8" thickBot="1" x14ac:dyDescent="0.3">
      <c r="F4" s="583" t="s">
        <v>2139</v>
      </c>
      <c r="G4" s="586">
        <f>G84-G50</f>
        <v>-87402.41</v>
      </c>
    </row>
    <row r="7" spans="1:15" ht="52.8" x14ac:dyDescent="0.25">
      <c r="A7" s="591" t="s">
        <v>3449</v>
      </c>
      <c r="B7" s="591" t="s">
        <v>468</v>
      </c>
      <c r="C7" s="591" t="s">
        <v>3450</v>
      </c>
      <c r="D7" s="591" t="s">
        <v>186</v>
      </c>
      <c r="E7" s="592" t="s">
        <v>469</v>
      </c>
      <c r="F7" s="592" t="s">
        <v>664</v>
      </c>
      <c r="G7" s="592" t="s">
        <v>470</v>
      </c>
      <c r="H7" s="591" t="s">
        <v>191</v>
      </c>
      <c r="I7" s="593" t="s">
        <v>3731</v>
      </c>
      <c r="J7" s="593" t="s">
        <v>3451</v>
      </c>
      <c r="K7" s="593" t="s">
        <v>2247</v>
      </c>
      <c r="L7" s="593" t="s">
        <v>3452</v>
      </c>
      <c r="M7" s="593" t="s">
        <v>471</v>
      </c>
      <c r="N7" s="593" t="s">
        <v>3453</v>
      </c>
      <c r="O7" s="593" t="s">
        <v>3371</v>
      </c>
    </row>
    <row r="8" spans="1:15" x14ac:dyDescent="0.25">
      <c r="A8" s="533">
        <v>41992</v>
      </c>
      <c r="B8" s="532" t="s">
        <v>3694</v>
      </c>
      <c r="C8" s="534" t="s">
        <v>201</v>
      </c>
      <c r="D8" s="534" t="s">
        <v>197</v>
      </c>
      <c r="E8" s="468">
        <v>9000</v>
      </c>
      <c r="F8" s="455">
        <v>0.3</v>
      </c>
      <c r="G8" s="455">
        <v>2700</v>
      </c>
      <c r="H8" s="532" t="s">
        <v>3738</v>
      </c>
      <c r="I8" s="471">
        <v>0</v>
      </c>
      <c r="J8" s="471">
        <v>1.52</v>
      </c>
      <c r="K8" s="471">
        <v>0.16</v>
      </c>
      <c r="L8" s="471">
        <v>0.01</v>
      </c>
      <c r="M8" s="471">
        <v>95</v>
      </c>
      <c r="N8" s="471">
        <v>11.74</v>
      </c>
      <c r="O8" s="471">
        <v>108.43</v>
      </c>
    </row>
    <row r="9" spans="1:15" x14ac:dyDescent="0.25">
      <c r="A9" s="533">
        <v>41992</v>
      </c>
      <c r="B9" s="532" t="s">
        <v>3694</v>
      </c>
      <c r="C9" s="534" t="s">
        <v>201</v>
      </c>
      <c r="D9" s="534" t="s">
        <v>197</v>
      </c>
      <c r="E9" s="468">
        <v>9000</v>
      </c>
      <c r="F9" s="455">
        <v>0.3</v>
      </c>
      <c r="G9" s="455">
        <v>2700</v>
      </c>
      <c r="H9" s="532" t="s">
        <v>3739</v>
      </c>
      <c r="I9" s="471">
        <v>0</v>
      </c>
      <c r="J9" s="471">
        <v>1.52</v>
      </c>
      <c r="K9" s="471">
        <v>0.16</v>
      </c>
      <c r="L9" s="471">
        <v>0.01</v>
      </c>
      <c r="M9" s="471">
        <v>95</v>
      </c>
      <c r="N9" s="471">
        <v>11.74</v>
      </c>
      <c r="O9" s="471">
        <v>108.43</v>
      </c>
    </row>
    <row r="10" spans="1:15" x14ac:dyDescent="0.25">
      <c r="A10" s="533">
        <v>41991</v>
      </c>
      <c r="B10" s="532" t="s">
        <v>3694</v>
      </c>
      <c r="C10" s="534" t="s">
        <v>201</v>
      </c>
      <c r="D10" s="534" t="s">
        <v>197</v>
      </c>
      <c r="E10" s="468">
        <v>9000</v>
      </c>
      <c r="F10" s="455">
        <v>0.55000000000000004</v>
      </c>
      <c r="G10" s="455">
        <v>4950</v>
      </c>
      <c r="H10" s="532" t="s">
        <v>3695</v>
      </c>
      <c r="I10" s="471">
        <v>0</v>
      </c>
      <c r="J10" s="471">
        <v>2.78</v>
      </c>
      <c r="K10" s="471">
        <v>0.3</v>
      </c>
      <c r="L10" s="471">
        <v>0.01</v>
      </c>
      <c r="M10" s="471">
        <v>95</v>
      </c>
      <c r="N10" s="471">
        <v>11.74</v>
      </c>
      <c r="O10" s="471">
        <v>109.83</v>
      </c>
    </row>
    <row r="11" spans="1:15" x14ac:dyDescent="0.25">
      <c r="A11" s="533">
        <v>41990</v>
      </c>
      <c r="B11" s="532" t="s">
        <v>3694</v>
      </c>
      <c r="C11" s="534" t="s">
        <v>201</v>
      </c>
      <c r="D11" s="534" t="s">
        <v>197</v>
      </c>
      <c r="E11" s="468">
        <v>9000</v>
      </c>
      <c r="F11" s="455">
        <v>0.95</v>
      </c>
      <c r="G11" s="455">
        <v>8550</v>
      </c>
      <c r="H11" s="532" t="s">
        <v>3696</v>
      </c>
      <c r="I11" s="471">
        <v>0</v>
      </c>
      <c r="J11" s="471">
        <v>4.8099999999999996</v>
      </c>
      <c r="K11" s="471">
        <v>0.51</v>
      </c>
      <c r="L11" s="471">
        <v>0.02</v>
      </c>
      <c r="M11" s="471">
        <v>95</v>
      </c>
      <c r="N11" s="471">
        <v>11.74</v>
      </c>
      <c r="O11" s="471">
        <v>112.08</v>
      </c>
    </row>
    <row r="12" spans="1:15" x14ac:dyDescent="0.25">
      <c r="A12" s="533">
        <v>41985</v>
      </c>
      <c r="B12" s="532" t="s">
        <v>3697</v>
      </c>
      <c r="C12" s="534" t="s">
        <v>201</v>
      </c>
      <c r="D12" s="534" t="s">
        <v>197</v>
      </c>
      <c r="E12" s="468">
        <v>2000</v>
      </c>
      <c r="F12" s="455">
        <v>2.5499999999999998</v>
      </c>
      <c r="G12" s="455">
        <v>5100</v>
      </c>
      <c r="H12" s="532" t="s">
        <v>3698</v>
      </c>
      <c r="I12" s="471">
        <v>0</v>
      </c>
      <c r="J12" s="471">
        <v>2.87</v>
      </c>
      <c r="K12" s="471">
        <v>0.31</v>
      </c>
      <c r="L12" s="471">
        <v>0.01</v>
      </c>
      <c r="M12" s="471">
        <v>95</v>
      </c>
      <c r="N12" s="471">
        <v>11.74</v>
      </c>
      <c r="O12" s="471">
        <v>109.93</v>
      </c>
    </row>
    <row r="13" spans="1:15" x14ac:dyDescent="0.25">
      <c r="A13" s="533">
        <v>41984</v>
      </c>
      <c r="B13" s="532" t="s">
        <v>3697</v>
      </c>
      <c r="C13" s="534" t="s">
        <v>201</v>
      </c>
      <c r="D13" s="534" t="s">
        <v>197</v>
      </c>
      <c r="E13" s="468">
        <v>2000</v>
      </c>
      <c r="F13" s="455">
        <v>2.5499999999999998</v>
      </c>
      <c r="G13" s="455">
        <v>5100</v>
      </c>
      <c r="H13" s="532" t="s">
        <v>3699</v>
      </c>
      <c r="I13" s="471">
        <v>0</v>
      </c>
      <c r="J13" s="471">
        <v>2.87</v>
      </c>
      <c r="K13" s="471">
        <v>0.31</v>
      </c>
      <c r="L13" s="471">
        <v>0.01</v>
      </c>
      <c r="M13" s="471">
        <v>95</v>
      </c>
      <c r="N13" s="471">
        <v>11.74</v>
      </c>
      <c r="O13" s="471">
        <v>109.93</v>
      </c>
    </row>
    <row r="14" spans="1:15" x14ac:dyDescent="0.25">
      <c r="A14" s="533">
        <v>41984</v>
      </c>
      <c r="B14" s="532" t="s">
        <v>3697</v>
      </c>
      <c r="C14" s="534" t="s">
        <v>201</v>
      </c>
      <c r="D14" s="534" t="s">
        <v>197</v>
      </c>
      <c r="E14" s="468">
        <v>2000</v>
      </c>
      <c r="F14" s="455">
        <v>2.5499999999999998</v>
      </c>
      <c r="G14" s="455">
        <v>5100</v>
      </c>
      <c r="H14" s="532" t="s">
        <v>3700</v>
      </c>
      <c r="I14" s="471">
        <v>0</v>
      </c>
      <c r="J14" s="471">
        <v>2.87</v>
      </c>
      <c r="K14" s="471">
        <v>0.31</v>
      </c>
      <c r="L14" s="471">
        <v>0.01</v>
      </c>
      <c r="M14" s="471">
        <v>95</v>
      </c>
      <c r="N14" s="471">
        <v>11.74</v>
      </c>
      <c r="O14" s="471">
        <v>109.93</v>
      </c>
    </row>
    <row r="15" spans="1:15" x14ac:dyDescent="0.25">
      <c r="A15" s="533">
        <v>41984</v>
      </c>
      <c r="B15" s="532" t="s">
        <v>3697</v>
      </c>
      <c r="C15" s="534" t="s">
        <v>201</v>
      </c>
      <c r="D15" s="534" t="s">
        <v>197</v>
      </c>
      <c r="E15" s="468">
        <v>4000</v>
      </c>
      <c r="F15" s="455">
        <v>2.5</v>
      </c>
      <c r="G15" s="455">
        <v>10000</v>
      </c>
      <c r="H15" s="532" t="s">
        <v>3701</v>
      </c>
      <c r="I15" s="471">
        <v>0</v>
      </c>
      <c r="J15" s="471">
        <v>5.62</v>
      </c>
      <c r="K15" s="471">
        <v>0.6</v>
      </c>
      <c r="L15" s="471">
        <v>0.02</v>
      </c>
      <c r="M15" s="471">
        <v>190</v>
      </c>
      <c r="N15" s="471">
        <v>23.48</v>
      </c>
      <c r="O15" s="471">
        <v>219.72</v>
      </c>
    </row>
    <row r="16" spans="1:15" x14ac:dyDescent="0.25">
      <c r="A16" s="533">
        <v>41984</v>
      </c>
      <c r="B16" s="532" t="s">
        <v>3702</v>
      </c>
      <c r="C16" s="534" t="s">
        <v>201</v>
      </c>
      <c r="D16" s="534" t="s">
        <v>197</v>
      </c>
      <c r="E16" s="468">
        <v>2000</v>
      </c>
      <c r="F16" s="455">
        <v>1.5</v>
      </c>
      <c r="G16" s="455">
        <v>3000</v>
      </c>
      <c r="H16" s="532" t="s">
        <v>3703</v>
      </c>
      <c r="I16" s="471">
        <v>0</v>
      </c>
      <c r="J16" s="471">
        <v>1.69</v>
      </c>
      <c r="K16" s="471">
        <v>0.18</v>
      </c>
      <c r="L16" s="471">
        <v>0.01</v>
      </c>
      <c r="M16" s="471">
        <v>95</v>
      </c>
      <c r="N16" s="471">
        <v>11.74</v>
      </c>
      <c r="O16" s="471">
        <v>108.62</v>
      </c>
    </row>
    <row r="17" spans="1:15" x14ac:dyDescent="0.25">
      <c r="A17" s="533">
        <v>41983</v>
      </c>
      <c r="B17" s="532" t="s">
        <v>3704</v>
      </c>
      <c r="C17" s="534" t="s">
        <v>201</v>
      </c>
      <c r="D17" s="534" t="s">
        <v>197</v>
      </c>
      <c r="E17" s="468">
        <v>4000</v>
      </c>
      <c r="F17" s="455">
        <v>0.6</v>
      </c>
      <c r="G17" s="455">
        <v>2400</v>
      </c>
      <c r="H17" s="532" t="s">
        <v>3705</v>
      </c>
      <c r="I17" s="471">
        <v>0</v>
      </c>
      <c r="J17" s="471">
        <v>1.35</v>
      </c>
      <c r="K17" s="471">
        <v>0.14000000000000001</v>
      </c>
      <c r="L17" s="471">
        <v>0</v>
      </c>
      <c r="M17" s="471">
        <v>95</v>
      </c>
      <c r="N17" s="471">
        <v>11.74</v>
      </c>
      <c r="O17" s="471">
        <v>108.23</v>
      </c>
    </row>
    <row r="18" spans="1:15" x14ac:dyDescent="0.25">
      <c r="A18" s="533">
        <v>41982</v>
      </c>
      <c r="B18" s="532" t="s">
        <v>3704</v>
      </c>
      <c r="C18" s="534" t="s">
        <v>201</v>
      </c>
      <c r="D18" s="534" t="s">
        <v>197</v>
      </c>
      <c r="E18" s="468">
        <v>8000</v>
      </c>
      <c r="F18" s="455">
        <v>0.55000000000000004</v>
      </c>
      <c r="G18" s="455">
        <v>4400</v>
      </c>
      <c r="H18" s="532" t="s">
        <v>3706</v>
      </c>
      <c r="I18" s="471">
        <v>0</v>
      </c>
      <c r="J18" s="471">
        <v>2.4700000000000002</v>
      </c>
      <c r="K18" s="471">
        <v>0.26</v>
      </c>
      <c r="L18" s="471">
        <v>0.01</v>
      </c>
      <c r="M18" s="471">
        <v>190</v>
      </c>
      <c r="N18" s="471">
        <v>23.48</v>
      </c>
      <c r="O18" s="471">
        <v>216.22</v>
      </c>
    </row>
    <row r="19" spans="1:15" x14ac:dyDescent="0.25">
      <c r="A19" s="533">
        <v>41981</v>
      </c>
      <c r="B19" s="532" t="s">
        <v>3704</v>
      </c>
      <c r="C19" s="534" t="s">
        <v>201</v>
      </c>
      <c r="D19" s="534" t="s">
        <v>197</v>
      </c>
      <c r="E19" s="468">
        <v>8000</v>
      </c>
      <c r="F19" s="455">
        <v>0.8</v>
      </c>
      <c r="G19" s="455">
        <v>6400</v>
      </c>
      <c r="H19" s="532" t="s">
        <v>3707</v>
      </c>
      <c r="I19" s="471">
        <v>0</v>
      </c>
      <c r="J19" s="471">
        <v>3.6</v>
      </c>
      <c r="K19" s="471">
        <v>0.38</v>
      </c>
      <c r="L19" s="471">
        <v>0.02</v>
      </c>
      <c r="M19" s="471">
        <v>190</v>
      </c>
      <c r="N19" s="471">
        <v>23.48</v>
      </c>
      <c r="O19" s="471">
        <v>217.48</v>
      </c>
    </row>
    <row r="20" spans="1:15" x14ac:dyDescent="0.25">
      <c r="A20" s="533">
        <v>41977</v>
      </c>
      <c r="B20" s="532" t="s">
        <v>3704</v>
      </c>
      <c r="C20" s="534" t="s">
        <v>201</v>
      </c>
      <c r="D20" s="534" t="s">
        <v>197</v>
      </c>
      <c r="E20" s="468">
        <v>4000</v>
      </c>
      <c r="F20" s="455">
        <v>1.2</v>
      </c>
      <c r="G20" s="455">
        <v>4800</v>
      </c>
      <c r="H20" s="532" t="s">
        <v>3708</v>
      </c>
      <c r="I20" s="471">
        <v>0</v>
      </c>
      <c r="J20" s="471">
        <v>2.7</v>
      </c>
      <c r="K20" s="471">
        <v>0.28999999999999998</v>
      </c>
      <c r="L20" s="471">
        <v>0.01</v>
      </c>
      <c r="M20" s="471">
        <v>95</v>
      </c>
      <c r="N20" s="471">
        <v>11.74</v>
      </c>
      <c r="O20" s="471">
        <v>109.74</v>
      </c>
    </row>
    <row r="21" spans="1:15" x14ac:dyDescent="0.25">
      <c r="A21" s="533">
        <v>41977</v>
      </c>
      <c r="B21" s="532" t="s">
        <v>3702</v>
      </c>
      <c r="C21" s="534" t="s">
        <v>201</v>
      </c>
      <c r="D21" s="534" t="s">
        <v>197</v>
      </c>
      <c r="E21" s="468">
        <v>4000</v>
      </c>
      <c r="F21" s="455">
        <v>3</v>
      </c>
      <c r="G21" s="455">
        <v>12000</v>
      </c>
      <c r="H21" s="532" t="s">
        <v>3709</v>
      </c>
      <c r="I21" s="471">
        <v>0</v>
      </c>
      <c r="J21" s="471">
        <v>6.74</v>
      </c>
      <c r="K21" s="471">
        <v>0.72</v>
      </c>
      <c r="L21" s="471">
        <v>0.02</v>
      </c>
      <c r="M21" s="471">
        <v>190</v>
      </c>
      <c r="N21" s="471">
        <v>23.48</v>
      </c>
      <c r="O21" s="471">
        <v>220.96</v>
      </c>
    </row>
    <row r="22" spans="1:15" x14ac:dyDescent="0.25">
      <c r="A22" s="533">
        <v>41977</v>
      </c>
      <c r="B22" s="532" t="s">
        <v>3704</v>
      </c>
      <c r="C22" s="534" t="s">
        <v>201</v>
      </c>
      <c r="D22" s="534" t="s">
        <v>197</v>
      </c>
      <c r="E22" s="468">
        <v>4000</v>
      </c>
      <c r="F22" s="455">
        <v>1.55</v>
      </c>
      <c r="G22" s="455">
        <v>6200</v>
      </c>
      <c r="H22" s="532" t="s">
        <v>3710</v>
      </c>
      <c r="I22" s="471">
        <v>0</v>
      </c>
      <c r="J22" s="471">
        <v>3.48</v>
      </c>
      <c r="K22" s="471">
        <v>0.37</v>
      </c>
      <c r="L22" s="471">
        <v>0.01</v>
      </c>
      <c r="M22" s="471">
        <v>95</v>
      </c>
      <c r="N22" s="471">
        <v>11.74</v>
      </c>
      <c r="O22" s="471">
        <v>110.6</v>
      </c>
    </row>
    <row r="23" spans="1:15" x14ac:dyDescent="0.25">
      <c r="A23" s="533">
        <v>41976</v>
      </c>
      <c r="B23" s="532" t="s">
        <v>3711</v>
      </c>
      <c r="C23" s="534" t="s">
        <v>201</v>
      </c>
      <c r="D23" s="534" t="s">
        <v>197</v>
      </c>
      <c r="E23" s="468">
        <v>2000</v>
      </c>
      <c r="F23" s="455">
        <v>2.5</v>
      </c>
      <c r="G23" s="455">
        <v>5000</v>
      </c>
      <c r="H23" s="532" t="s">
        <v>3712</v>
      </c>
      <c r="I23" s="471">
        <v>0</v>
      </c>
      <c r="J23" s="471">
        <v>2.81</v>
      </c>
      <c r="K23" s="471">
        <v>0.3</v>
      </c>
      <c r="L23" s="471">
        <v>0.01</v>
      </c>
      <c r="M23" s="471">
        <v>95</v>
      </c>
      <c r="N23" s="471">
        <v>11.74</v>
      </c>
      <c r="O23" s="471">
        <v>109.86</v>
      </c>
    </row>
    <row r="24" spans="1:15" x14ac:dyDescent="0.25">
      <c r="A24" s="533">
        <v>41976</v>
      </c>
      <c r="B24" s="532" t="s">
        <v>3702</v>
      </c>
      <c r="C24" s="534" t="s">
        <v>201</v>
      </c>
      <c r="D24" s="534" t="s">
        <v>197</v>
      </c>
      <c r="E24" s="468">
        <v>2000</v>
      </c>
      <c r="F24" s="455">
        <v>3.55</v>
      </c>
      <c r="G24" s="455">
        <v>7100</v>
      </c>
      <c r="H24" s="532" t="s">
        <v>3713</v>
      </c>
      <c r="I24" s="471">
        <v>0</v>
      </c>
      <c r="J24" s="471">
        <v>3.99</v>
      </c>
      <c r="K24" s="471">
        <v>0.43</v>
      </c>
      <c r="L24" s="471">
        <v>0.01</v>
      </c>
      <c r="M24" s="471">
        <v>95</v>
      </c>
      <c r="N24" s="471">
        <v>11.74</v>
      </c>
      <c r="O24" s="471">
        <v>111.17</v>
      </c>
    </row>
    <row r="25" spans="1:15" x14ac:dyDescent="0.25">
      <c r="A25" s="533">
        <v>41975</v>
      </c>
      <c r="B25" s="532" t="s">
        <v>3704</v>
      </c>
      <c r="C25" s="534" t="s">
        <v>201</v>
      </c>
      <c r="D25" s="534" t="s">
        <v>197</v>
      </c>
      <c r="E25" s="468">
        <v>8000</v>
      </c>
      <c r="F25" s="455">
        <v>1.5</v>
      </c>
      <c r="G25" s="455">
        <v>12000</v>
      </c>
      <c r="H25" s="532" t="s">
        <v>3714</v>
      </c>
      <c r="I25" s="471">
        <v>0</v>
      </c>
      <c r="J25" s="471">
        <v>6.74</v>
      </c>
      <c r="K25" s="471">
        <v>0.72</v>
      </c>
      <c r="L25" s="471">
        <v>0.02</v>
      </c>
      <c r="M25" s="471">
        <v>190</v>
      </c>
      <c r="N25" s="471">
        <v>23.48</v>
      </c>
      <c r="O25" s="471">
        <v>220.96</v>
      </c>
    </row>
    <row r="26" spans="1:15" x14ac:dyDescent="0.25">
      <c r="A26" s="533">
        <v>41967</v>
      </c>
      <c r="B26" s="532" t="s">
        <v>3715</v>
      </c>
      <c r="C26" s="534" t="s">
        <v>201</v>
      </c>
      <c r="D26" s="534" t="s">
        <v>197</v>
      </c>
      <c r="E26" s="468">
        <v>1250</v>
      </c>
      <c r="F26" s="455">
        <v>2.1</v>
      </c>
      <c r="G26" s="455">
        <v>2625</v>
      </c>
      <c r="H26" s="532" t="s">
        <v>3716</v>
      </c>
      <c r="I26" s="471">
        <v>0</v>
      </c>
      <c r="J26" s="471">
        <v>1.48</v>
      </c>
      <c r="K26" s="471">
        <v>0.16</v>
      </c>
      <c r="L26" s="471">
        <v>0.01</v>
      </c>
      <c r="M26" s="471">
        <v>95</v>
      </c>
      <c r="N26" s="471">
        <v>11.74</v>
      </c>
      <c r="O26" s="471">
        <v>108.39</v>
      </c>
    </row>
    <row r="27" spans="1:15" x14ac:dyDescent="0.25">
      <c r="A27" s="533">
        <v>41964</v>
      </c>
      <c r="B27" s="532" t="s">
        <v>3715</v>
      </c>
      <c r="C27" s="534" t="s">
        <v>201</v>
      </c>
      <c r="D27" s="534" t="s">
        <v>197</v>
      </c>
      <c r="E27" s="468">
        <v>1250</v>
      </c>
      <c r="F27" s="455">
        <v>2.8</v>
      </c>
      <c r="G27" s="455">
        <v>3500</v>
      </c>
      <c r="H27" s="532" t="s">
        <v>3717</v>
      </c>
      <c r="I27" s="471">
        <v>0</v>
      </c>
      <c r="J27" s="471">
        <v>1.97</v>
      </c>
      <c r="K27" s="471">
        <v>0.21</v>
      </c>
      <c r="L27" s="471">
        <v>0.01</v>
      </c>
      <c r="M27" s="471">
        <v>95</v>
      </c>
      <c r="N27" s="471">
        <v>11.74</v>
      </c>
      <c r="O27" s="471">
        <v>108.93</v>
      </c>
    </row>
    <row r="28" spans="1:15" x14ac:dyDescent="0.25">
      <c r="A28" s="533">
        <v>41962</v>
      </c>
      <c r="B28" s="532" t="s">
        <v>3718</v>
      </c>
      <c r="C28" s="534" t="s">
        <v>201</v>
      </c>
      <c r="D28" s="534" t="s">
        <v>197</v>
      </c>
      <c r="E28" s="468">
        <v>1250</v>
      </c>
      <c r="F28" s="455">
        <v>1.6</v>
      </c>
      <c r="G28" s="455">
        <v>2000</v>
      </c>
      <c r="H28" s="532" t="s">
        <v>3719</v>
      </c>
      <c r="I28" s="471">
        <v>0</v>
      </c>
      <c r="J28" s="471">
        <v>1.1200000000000001</v>
      </c>
      <c r="K28" s="471">
        <v>0.12</v>
      </c>
      <c r="L28" s="471">
        <v>0</v>
      </c>
      <c r="M28" s="471">
        <v>95</v>
      </c>
      <c r="N28" s="471">
        <v>11.74</v>
      </c>
      <c r="O28" s="471">
        <v>107.98</v>
      </c>
    </row>
    <row r="29" spans="1:15" x14ac:dyDescent="0.25">
      <c r="A29" s="533">
        <v>41962</v>
      </c>
      <c r="B29" s="532" t="s">
        <v>3718</v>
      </c>
      <c r="C29" s="534" t="s">
        <v>201</v>
      </c>
      <c r="D29" s="534" t="s">
        <v>197</v>
      </c>
      <c r="E29" s="468">
        <v>2500</v>
      </c>
      <c r="F29" s="455">
        <v>1.9</v>
      </c>
      <c r="G29" s="455">
        <v>4750</v>
      </c>
      <c r="H29" s="532" t="s">
        <v>3720</v>
      </c>
      <c r="I29" s="471">
        <v>0</v>
      </c>
      <c r="J29" s="471">
        <v>2.67</v>
      </c>
      <c r="K29" s="471">
        <v>0.28999999999999998</v>
      </c>
      <c r="L29" s="471">
        <v>0.01</v>
      </c>
      <c r="M29" s="471">
        <v>190</v>
      </c>
      <c r="N29" s="471">
        <v>23.48</v>
      </c>
      <c r="O29" s="471">
        <v>216.45</v>
      </c>
    </row>
    <row r="30" spans="1:15" x14ac:dyDescent="0.25">
      <c r="A30" s="533">
        <v>41956</v>
      </c>
      <c r="B30" s="532" t="s">
        <v>3715</v>
      </c>
      <c r="C30" s="534" t="s">
        <v>201</v>
      </c>
      <c r="D30" s="534" t="s">
        <v>197</v>
      </c>
      <c r="E30" s="468">
        <v>1250</v>
      </c>
      <c r="F30" s="455">
        <v>5.15</v>
      </c>
      <c r="G30" s="455">
        <v>6437.5</v>
      </c>
      <c r="H30" s="532" t="s">
        <v>3721</v>
      </c>
      <c r="I30" s="471">
        <v>0</v>
      </c>
      <c r="J30" s="471">
        <v>3.62</v>
      </c>
      <c r="K30" s="471">
        <v>0.39</v>
      </c>
      <c r="L30" s="471">
        <v>0.01</v>
      </c>
      <c r="M30" s="471">
        <v>95</v>
      </c>
      <c r="N30" s="471">
        <v>11.74</v>
      </c>
      <c r="O30" s="471">
        <v>110.76</v>
      </c>
    </row>
    <row r="31" spans="1:15" x14ac:dyDescent="0.25">
      <c r="A31" s="533">
        <v>41955</v>
      </c>
      <c r="B31" s="532" t="s">
        <v>3715</v>
      </c>
      <c r="C31" s="534" t="s">
        <v>201</v>
      </c>
      <c r="D31" s="534" t="s">
        <v>197</v>
      </c>
      <c r="E31" s="468">
        <v>1250</v>
      </c>
      <c r="F31" s="455">
        <v>6</v>
      </c>
      <c r="G31" s="455">
        <v>7500</v>
      </c>
      <c r="H31" s="532" t="s">
        <v>3722</v>
      </c>
      <c r="I31" s="471">
        <v>0</v>
      </c>
      <c r="J31" s="471">
        <v>4.22</v>
      </c>
      <c r="K31" s="471">
        <v>0.45</v>
      </c>
      <c r="L31" s="471">
        <v>0.02</v>
      </c>
      <c r="M31" s="471">
        <v>95</v>
      </c>
      <c r="N31" s="471">
        <v>11.74</v>
      </c>
      <c r="O31" s="471">
        <v>111.43</v>
      </c>
    </row>
    <row r="32" spans="1:15" x14ac:dyDescent="0.25">
      <c r="A32" s="533">
        <v>41800</v>
      </c>
      <c r="B32" s="532" t="s">
        <v>3454</v>
      </c>
      <c r="C32" s="534" t="s">
        <v>201</v>
      </c>
      <c r="D32" s="534" t="s">
        <v>197</v>
      </c>
      <c r="E32" s="468">
        <v>1000</v>
      </c>
      <c r="F32" s="455">
        <v>6</v>
      </c>
      <c r="G32" s="455">
        <v>6000</v>
      </c>
      <c r="H32" s="532" t="s">
        <v>3456</v>
      </c>
      <c r="I32" s="471">
        <v>0</v>
      </c>
      <c r="J32" s="471">
        <v>3.37</v>
      </c>
      <c r="K32" s="471">
        <v>0.36</v>
      </c>
      <c r="L32" s="471">
        <v>0.01</v>
      </c>
      <c r="M32" s="471">
        <v>380</v>
      </c>
      <c r="N32" s="471">
        <v>46.96</v>
      </c>
      <c r="O32" s="471">
        <v>430.7</v>
      </c>
    </row>
    <row r="33" spans="1:15" x14ac:dyDescent="0.25">
      <c r="A33" s="532"/>
      <c r="F33" s="455"/>
      <c r="G33" s="455"/>
      <c r="H33" s="532"/>
      <c r="I33" s="471"/>
    </row>
    <row r="48" spans="1:15" x14ac:dyDescent="0.25">
      <c r="F48" s="583" t="s">
        <v>984</v>
      </c>
      <c r="G48" s="587">
        <f>SUM(G8:G47)</f>
        <v>140312.5</v>
      </c>
      <c r="O48" s="585">
        <f>SUM(O8:O47)</f>
        <v>3716.7599999999998</v>
      </c>
    </row>
    <row r="49" spans="1:15" ht="13.8" thickBot="1" x14ac:dyDescent="0.3">
      <c r="F49" s="581"/>
      <c r="G49" s="584"/>
    </row>
    <row r="50" spans="1:15" ht="13.8" thickBot="1" x14ac:dyDescent="0.3">
      <c r="F50" s="583" t="s">
        <v>624</v>
      </c>
      <c r="G50" s="586">
        <f>G48+O48</f>
        <v>144029.26</v>
      </c>
    </row>
    <row r="54" spans="1:15" x14ac:dyDescent="0.25">
      <c r="A54" s="532"/>
      <c r="F54" s="455"/>
      <c r="G54" s="455"/>
      <c r="H54" s="532"/>
      <c r="I54" s="471"/>
    </row>
    <row r="55" spans="1:15" x14ac:dyDescent="0.25">
      <c r="A55" s="532"/>
      <c r="F55" s="455"/>
      <c r="G55" s="455"/>
      <c r="H55" s="532"/>
      <c r="I55" s="471"/>
    </row>
    <row r="56" spans="1:15" x14ac:dyDescent="0.25">
      <c r="A56" s="532"/>
      <c r="F56" s="455"/>
      <c r="G56" s="455"/>
      <c r="H56" s="532"/>
      <c r="I56" s="471"/>
    </row>
    <row r="57" spans="1:15" ht="52.8" x14ac:dyDescent="0.25">
      <c r="A57" s="591" t="s">
        <v>3449</v>
      </c>
      <c r="B57" s="591" t="s">
        <v>468</v>
      </c>
      <c r="C57" s="591" t="s">
        <v>3450</v>
      </c>
      <c r="D57" s="591" t="s">
        <v>186</v>
      </c>
      <c r="E57" s="592" t="s">
        <v>469</v>
      </c>
      <c r="F57" s="592" t="s">
        <v>664</v>
      </c>
      <c r="G57" s="592" t="s">
        <v>470</v>
      </c>
      <c r="H57" s="591" t="s">
        <v>191</v>
      </c>
      <c r="I57" s="593" t="s">
        <v>3731</v>
      </c>
      <c r="J57" s="593" t="s">
        <v>3451</v>
      </c>
      <c r="K57" s="593" t="s">
        <v>2247</v>
      </c>
      <c r="L57" s="593" t="s">
        <v>3452</v>
      </c>
      <c r="M57" s="593" t="s">
        <v>471</v>
      </c>
      <c r="N57" s="593" t="s">
        <v>3453</v>
      </c>
      <c r="O57" s="593" t="s">
        <v>3371</v>
      </c>
    </row>
    <row r="58" spans="1:15" x14ac:dyDescent="0.25">
      <c r="A58" s="533">
        <v>41970</v>
      </c>
      <c r="B58" s="607" t="s">
        <v>3733</v>
      </c>
      <c r="C58" s="608" t="s">
        <v>201</v>
      </c>
      <c r="D58" s="608" t="s">
        <v>657</v>
      </c>
      <c r="E58" s="468">
        <v>5000</v>
      </c>
      <c r="F58" s="455">
        <v>0.6</v>
      </c>
      <c r="G58" s="590">
        <f>E58*F58</f>
        <v>3000</v>
      </c>
      <c r="O58" s="471">
        <v>3079.51</v>
      </c>
    </row>
    <row r="59" spans="1:15" x14ac:dyDescent="0.25">
      <c r="A59" s="533">
        <v>41989</v>
      </c>
      <c r="B59" s="532" t="s">
        <v>3697</v>
      </c>
      <c r="C59" s="534" t="s">
        <v>201</v>
      </c>
      <c r="D59" s="534" t="s">
        <v>369</v>
      </c>
      <c r="E59" s="468">
        <v>4000</v>
      </c>
      <c r="F59" s="455">
        <v>0.45</v>
      </c>
      <c r="G59" s="455">
        <v>1800</v>
      </c>
      <c r="H59" s="532" t="s">
        <v>3723</v>
      </c>
      <c r="I59" s="471">
        <v>0.3</v>
      </c>
      <c r="J59" s="471">
        <v>1.02</v>
      </c>
      <c r="K59" s="471">
        <v>0.1</v>
      </c>
      <c r="L59" s="471">
        <v>0</v>
      </c>
      <c r="M59" s="471">
        <v>190</v>
      </c>
      <c r="N59" s="471">
        <v>23.48</v>
      </c>
      <c r="O59" s="471">
        <v>214.9</v>
      </c>
    </row>
    <row r="60" spans="1:15" x14ac:dyDescent="0.25">
      <c r="A60" s="533">
        <v>41989</v>
      </c>
      <c r="B60" s="532" t="s">
        <v>3697</v>
      </c>
      <c r="C60" s="534" t="s">
        <v>201</v>
      </c>
      <c r="D60" s="534" t="s">
        <v>369</v>
      </c>
      <c r="E60" s="468">
        <v>6000</v>
      </c>
      <c r="F60" s="455">
        <v>0.45</v>
      </c>
      <c r="G60" s="455">
        <v>2700</v>
      </c>
      <c r="H60" s="532" t="s">
        <v>3724</v>
      </c>
      <c r="I60" s="471">
        <v>0.69</v>
      </c>
      <c r="J60" s="471">
        <v>1.52</v>
      </c>
      <c r="K60" s="471">
        <v>0.16</v>
      </c>
      <c r="L60" s="471">
        <v>0.01</v>
      </c>
      <c r="M60" s="471">
        <v>285</v>
      </c>
      <c r="N60" s="471">
        <v>35.229999999999997</v>
      </c>
      <c r="O60" s="471">
        <v>322.61</v>
      </c>
    </row>
    <row r="61" spans="1:15" x14ac:dyDescent="0.25">
      <c r="A61" s="533">
        <v>41984</v>
      </c>
      <c r="B61" s="532" t="s">
        <v>3702</v>
      </c>
      <c r="C61" s="534" t="s">
        <v>201</v>
      </c>
      <c r="D61" s="534" t="s">
        <v>369</v>
      </c>
      <c r="E61" s="468">
        <v>2000</v>
      </c>
      <c r="F61" s="455">
        <v>1.5</v>
      </c>
      <c r="G61" s="455">
        <v>3000</v>
      </c>
      <c r="H61" s="532" t="s">
        <v>3725</v>
      </c>
      <c r="I61" s="471">
        <v>0.51</v>
      </c>
      <c r="J61" s="471">
        <v>1.69</v>
      </c>
      <c r="K61" s="471">
        <v>0.18</v>
      </c>
      <c r="L61" s="471">
        <v>0.01</v>
      </c>
      <c r="M61" s="471">
        <v>25</v>
      </c>
      <c r="N61" s="471">
        <v>3.09</v>
      </c>
      <c r="O61" s="471">
        <v>30.48</v>
      </c>
    </row>
    <row r="62" spans="1:15" x14ac:dyDescent="0.25">
      <c r="A62" s="533">
        <v>41984</v>
      </c>
      <c r="B62" s="532" t="s">
        <v>3704</v>
      </c>
      <c r="C62" s="534" t="s">
        <v>201</v>
      </c>
      <c r="D62" s="534" t="s">
        <v>369</v>
      </c>
      <c r="E62" s="468">
        <v>32000</v>
      </c>
      <c r="F62" s="455">
        <v>0.45</v>
      </c>
      <c r="G62" s="455">
        <v>14400</v>
      </c>
      <c r="H62" s="532" t="s">
        <v>3726</v>
      </c>
      <c r="I62" s="471">
        <v>2.4500000000000002</v>
      </c>
      <c r="J62" s="471">
        <v>8.08</v>
      </c>
      <c r="K62" s="471">
        <v>0.87</v>
      </c>
      <c r="L62" s="471">
        <v>0.01</v>
      </c>
      <c r="M62" s="471">
        <v>760</v>
      </c>
      <c r="N62" s="471">
        <v>93.93</v>
      </c>
      <c r="O62" s="471">
        <v>865.34</v>
      </c>
    </row>
    <row r="63" spans="1:15" x14ac:dyDescent="0.25">
      <c r="A63" s="533">
        <v>41981</v>
      </c>
      <c r="B63" s="532" t="s">
        <v>3702</v>
      </c>
      <c r="C63" s="534" t="s">
        <v>201</v>
      </c>
      <c r="D63" s="534" t="s">
        <v>369</v>
      </c>
      <c r="E63" s="468">
        <v>6000</v>
      </c>
      <c r="F63" s="455">
        <v>2.2000000000000002</v>
      </c>
      <c r="G63" s="455">
        <v>13200</v>
      </c>
      <c r="H63" s="532" t="s">
        <v>3727</v>
      </c>
      <c r="I63" s="471">
        <v>2</v>
      </c>
      <c r="J63" s="471">
        <v>7.42</v>
      </c>
      <c r="K63" s="471">
        <v>0.79</v>
      </c>
      <c r="L63" s="471">
        <v>0.03</v>
      </c>
      <c r="M63" s="471">
        <v>285</v>
      </c>
      <c r="N63" s="471">
        <v>35.229999999999997</v>
      </c>
      <c r="O63" s="471">
        <v>330.47</v>
      </c>
    </row>
    <row r="64" spans="1:15" x14ac:dyDescent="0.25">
      <c r="A64" s="533">
        <v>41977</v>
      </c>
      <c r="B64" s="532" t="s">
        <v>3711</v>
      </c>
      <c r="C64" s="534" t="s">
        <v>201</v>
      </c>
      <c r="D64" s="534" t="s">
        <v>369</v>
      </c>
      <c r="E64" s="468">
        <v>2000</v>
      </c>
      <c r="F64" s="455">
        <v>2.1</v>
      </c>
      <c r="G64" s="455">
        <v>4200</v>
      </c>
      <c r="H64" s="532" t="s">
        <v>3728</v>
      </c>
      <c r="I64" s="471">
        <v>1</v>
      </c>
      <c r="J64" s="471">
        <v>2.36</v>
      </c>
      <c r="K64" s="471">
        <v>0.25</v>
      </c>
      <c r="L64" s="471">
        <v>0.01</v>
      </c>
      <c r="M64" s="471">
        <v>95</v>
      </c>
      <c r="N64" s="471">
        <v>11.74</v>
      </c>
      <c r="O64" s="471">
        <v>110.36</v>
      </c>
    </row>
    <row r="65" spans="1:15" x14ac:dyDescent="0.25">
      <c r="A65" s="533">
        <v>41976</v>
      </c>
      <c r="B65" s="532" t="s">
        <v>3704</v>
      </c>
      <c r="C65" s="534" t="s">
        <v>201</v>
      </c>
      <c r="D65" s="534" t="s">
        <v>369</v>
      </c>
      <c r="E65" s="468">
        <v>4000</v>
      </c>
      <c r="F65" s="455">
        <v>1.5</v>
      </c>
      <c r="G65" s="455">
        <v>6000</v>
      </c>
      <c r="H65" s="532" t="s">
        <v>3729</v>
      </c>
      <c r="I65" s="471">
        <v>1</v>
      </c>
      <c r="J65" s="471">
        <v>3.37</v>
      </c>
      <c r="K65" s="471">
        <v>0.36</v>
      </c>
      <c r="L65" s="471">
        <v>0.01</v>
      </c>
      <c r="M65" s="471">
        <v>95</v>
      </c>
      <c r="N65" s="471">
        <v>11.74</v>
      </c>
      <c r="O65" s="471">
        <v>111.48</v>
      </c>
    </row>
    <row r="66" spans="1:15" x14ac:dyDescent="0.25">
      <c r="A66" s="533">
        <v>41964</v>
      </c>
      <c r="B66" s="532" t="s">
        <v>3718</v>
      </c>
      <c r="C66" s="534" t="s">
        <v>201</v>
      </c>
      <c r="D66" s="534" t="s">
        <v>369</v>
      </c>
      <c r="E66" s="468">
        <v>3750</v>
      </c>
      <c r="F66" s="455">
        <v>0.45</v>
      </c>
      <c r="G66" s="455">
        <v>1687.5</v>
      </c>
      <c r="H66" s="532" t="s">
        <v>3730</v>
      </c>
      <c r="I66" s="471">
        <v>0</v>
      </c>
      <c r="J66" s="471">
        <v>0.95</v>
      </c>
      <c r="K66" s="471">
        <v>0.1</v>
      </c>
      <c r="L66" s="471">
        <v>0</v>
      </c>
      <c r="M66" s="471">
        <v>285</v>
      </c>
      <c r="N66" s="471">
        <v>35.22</v>
      </c>
      <c r="O66" s="471">
        <v>321.27</v>
      </c>
    </row>
    <row r="67" spans="1:15" x14ac:dyDescent="0.25">
      <c r="A67" s="533">
        <v>41803</v>
      </c>
      <c r="B67" s="532" t="s">
        <v>3454</v>
      </c>
      <c r="C67" s="534" t="s">
        <v>201</v>
      </c>
      <c r="D67" s="534" t="s">
        <v>369</v>
      </c>
      <c r="E67" s="468">
        <v>1000</v>
      </c>
      <c r="F67" s="455">
        <v>12.46</v>
      </c>
      <c r="G67" s="455">
        <v>12462.5</v>
      </c>
      <c r="H67" s="532" t="s">
        <v>3455</v>
      </c>
      <c r="I67" s="471">
        <v>1.98</v>
      </c>
      <c r="J67" s="471">
        <v>7.01</v>
      </c>
      <c r="K67" s="471">
        <v>0.75</v>
      </c>
      <c r="L67" s="471">
        <v>0.03</v>
      </c>
      <c r="M67" s="471">
        <v>380</v>
      </c>
      <c r="N67" s="471">
        <v>46.96</v>
      </c>
      <c r="O67" s="471">
        <v>436.73</v>
      </c>
    </row>
    <row r="82" spans="6:15" x14ac:dyDescent="0.25">
      <c r="F82" s="583" t="s">
        <v>984</v>
      </c>
      <c r="G82" s="587">
        <f>SUM(G58:G81)</f>
        <v>62450</v>
      </c>
      <c r="O82" s="585">
        <f>SUM(O58:O81)</f>
        <v>5823.15</v>
      </c>
    </row>
    <row r="83" spans="6:15" ht="13.8" thickBot="1" x14ac:dyDescent="0.3">
      <c r="F83" s="581"/>
      <c r="G83" s="584"/>
    </row>
    <row r="84" spans="6:15" ht="13.8" thickBot="1" x14ac:dyDescent="0.3">
      <c r="F84" s="583" t="s">
        <v>659</v>
      </c>
      <c r="G84" s="586">
        <f>G82-O82</f>
        <v>56626.85</v>
      </c>
    </row>
    <row r="88" spans="6:15" x14ac:dyDescent="0.25">
      <c r="F88" s="455"/>
      <c r="G88" s="455"/>
      <c r="H88" s="532"/>
      <c r="I88" s="471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P22" sqref="P22"/>
    </sheetView>
  </sheetViews>
  <sheetFormatPr defaultColWidth="9.21875" defaultRowHeight="13.2" x14ac:dyDescent="0.25"/>
  <cols>
    <col min="1" max="1" width="13.21875" style="91" customWidth="1"/>
    <col min="2" max="2" width="38.5546875" style="1" customWidth="1"/>
    <col min="3" max="4" width="9.77734375" style="1" customWidth="1"/>
    <col min="5" max="5" width="9.21875" style="1"/>
    <col min="6" max="6" width="9.21875" style="18"/>
    <col min="7" max="8" width="10.21875" style="12" bestFit="1" customWidth="1"/>
    <col min="9" max="9" width="9.21875" style="10" customWidth="1"/>
    <col min="10" max="16384" width="9.21875" style="1"/>
  </cols>
  <sheetData>
    <row r="1" spans="1:9" x14ac:dyDescent="0.25">
      <c r="A1" s="107" t="s">
        <v>467</v>
      </c>
      <c r="B1" s="107" t="s">
        <v>468</v>
      </c>
      <c r="C1" s="107"/>
      <c r="D1" s="107" t="s">
        <v>186</v>
      </c>
      <c r="E1" s="107" t="s">
        <v>469</v>
      </c>
      <c r="F1" s="407" t="s">
        <v>188</v>
      </c>
      <c r="G1" s="107" t="s">
        <v>470</v>
      </c>
      <c r="H1" s="109" t="s">
        <v>471</v>
      </c>
      <c r="I1" s="216" t="s">
        <v>191</v>
      </c>
    </row>
    <row r="2" spans="1:9" x14ac:dyDescent="0.25">
      <c r="A2" s="437">
        <v>41648</v>
      </c>
      <c r="B2" s="478" t="s">
        <v>3316</v>
      </c>
      <c r="C2" s="30" t="s">
        <v>201</v>
      </c>
      <c r="D2" s="30" t="s">
        <v>197</v>
      </c>
      <c r="E2" s="30">
        <v>100</v>
      </c>
      <c r="F2" s="402">
        <v>36.85</v>
      </c>
      <c r="G2" s="37">
        <v>3685</v>
      </c>
      <c r="H2" s="477">
        <v>215.77</v>
      </c>
      <c r="I2" s="404" t="s">
        <v>3317</v>
      </c>
    </row>
    <row r="3" spans="1:9" x14ac:dyDescent="0.25">
      <c r="A3" s="437">
        <v>41648</v>
      </c>
      <c r="B3" s="478" t="s">
        <v>3316</v>
      </c>
      <c r="C3" s="30" t="s">
        <v>201</v>
      </c>
      <c r="D3" s="30" t="s">
        <v>197</v>
      </c>
      <c r="E3" s="30">
        <v>100</v>
      </c>
      <c r="F3" s="402">
        <v>40.799999999999997</v>
      </c>
      <c r="G3" s="37">
        <v>4080</v>
      </c>
      <c r="H3" s="477">
        <v>216.01</v>
      </c>
      <c r="I3" s="404" t="s">
        <v>3318</v>
      </c>
    </row>
    <row r="4" spans="1:9" x14ac:dyDescent="0.25">
      <c r="A4" s="437">
        <v>41645</v>
      </c>
      <c r="B4" s="478" t="s">
        <v>3316</v>
      </c>
      <c r="C4" s="30" t="s">
        <v>201</v>
      </c>
      <c r="D4" s="30" t="s">
        <v>197</v>
      </c>
      <c r="E4" s="30">
        <v>100</v>
      </c>
      <c r="F4" s="402">
        <v>57</v>
      </c>
      <c r="G4" s="37">
        <v>5700</v>
      </c>
      <c r="H4" s="477">
        <v>217.03</v>
      </c>
      <c r="I4" s="404" t="s">
        <v>3319</v>
      </c>
    </row>
    <row r="5" spans="1:9" x14ac:dyDescent="0.25">
      <c r="A5" s="437">
        <v>41645</v>
      </c>
      <c r="B5" s="478" t="s">
        <v>3316</v>
      </c>
      <c r="C5" s="30" t="s">
        <v>201</v>
      </c>
      <c r="D5" s="30" t="s">
        <v>197</v>
      </c>
      <c r="E5" s="30">
        <v>100</v>
      </c>
      <c r="F5" s="402">
        <v>64.599999999999994</v>
      </c>
      <c r="G5" s="37">
        <v>6460</v>
      </c>
      <c r="H5" s="477">
        <v>217.51</v>
      </c>
      <c r="I5" s="404" t="s">
        <v>3320</v>
      </c>
    </row>
    <row r="6" spans="1:9" x14ac:dyDescent="0.25">
      <c r="A6" s="437">
        <v>41645</v>
      </c>
      <c r="B6" s="478" t="s">
        <v>3321</v>
      </c>
      <c r="C6" s="30" t="s">
        <v>201</v>
      </c>
      <c r="D6" s="30" t="s">
        <v>197</v>
      </c>
      <c r="E6" s="30">
        <v>250</v>
      </c>
      <c r="F6" s="402">
        <v>23.1</v>
      </c>
      <c r="G6" s="37">
        <v>5775</v>
      </c>
      <c r="H6" s="477">
        <v>31.7</v>
      </c>
      <c r="I6" s="404" t="s">
        <v>3322</v>
      </c>
    </row>
    <row r="7" spans="1:9" x14ac:dyDescent="0.25">
      <c r="A7" s="437">
        <v>41642</v>
      </c>
      <c r="B7" s="478" t="s">
        <v>3323</v>
      </c>
      <c r="C7" s="30" t="s">
        <v>201</v>
      </c>
      <c r="D7" s="30" t="s">
        <v>197</v>
      </c>
      <c r="E7" s="30">
        <v>1000</v>
      </c>
      <c r="F7" s="402">
        <v>7.3</v>
      </c>
      <c r="G7" s="37">
        <v>7300</v>
      </c>
      <c r="H7" s="477">
        <v>218.03</v>
      </c>
      <c r="I7" s="404" t="s">
        <v>3324</v>
      </c>
    </row>
    <row r="8" spans="1:9" x14ac:dyDescent="0.25">
      <c r="A8" s="437">
        <v>41626</v>
      </c>
      <c r="B8" s="478" t="s">
        <v>3325</v>
      </c>
      <c r="C8" s="30" t="s">
        <v>201</v>
      </c>
      <c r="D8" s="30" t="s">
        <v>197</v>
      </c>
      <c r="E8" s="30">
        <v>150</v>
      </c>
      <c r="F8" s="402">
        <v>39.07</v>
      </c>
      <c r="G8" s="37">
        <v>5860</v>
      </c>
      <c r="H8" s="477">
        <v>644.1</v>
      </c>
      <c r="I8" s="404" t="s">
        <v>3326</v>
      </c>
    </row>
    <row r="9" spans="1:9" x14ac:dyDescent="0.25">
      <c r="A9" s="437">
        <v>41491</v>
      </c>
      <c r="B9" s="478" t="s">
        <v>3327</v>
      </c>
      <c r="C9" s="30" t="s">
        <v>201</v>
      </c>
      <c r="D9" s="30" t="s">
        <v>197</v>
      </c>
      <c r="E9" s="30">
        <v>250</v>
      </c>
      <c r="F9" s="402">
        <v>44</v>
      </c>
      <c r="G9" s="37">
        <v>11000</v>
      </c>
      <c r="H9" s="477">
        <v>540.55999999999995</v>
      </c>
      <c r="I9" s="404" t="s">
        <v>3328</v>
      </c>
    </row>
    <row r="10" spans="1:9" x14ac:dyDescent="0.25">
      <c r="A10" s="437">
        <v>41487</v>
      </c>
      <c r="B10" s="478" t="s">
        <v>3327</v>
      </c>
      <c r="C10" s="30" t="s">
        <v>201</v>
      </c>
      <c r="D10" s="30" t="s">
        <v>197</v>
      </c>
      <c r="E10" s="30">
        <v>50</v>
      </c>
      <c r="F10" s="402">
        <v>54</v>
      </c>
      <c r="G10" s="37">
        <v>2700</v>
      </c>
      <c r="H10" s="477">
        <v>108.42</v>
      </c>
      <c r="I10" s="404" t="s">
        <v>3329</v>
      </c>
    </row>
    <row r="11" spans="1:9" x14ac:dyDescent="0.25">
      <c r="A11" s="437">
        <v>41400</v>
      </c>
      <c r="B11" s="478" t="s">
        <v>3330</v>
      </c>
      <c r="C11" s="30" t="s">
        <v>201</v>
      </c>
      <c r="D11" s="30" t="s">
        <v>197</v>
      </c>
      <c r="E11" s="30">
        <v>100</v>
      </c>
      <c r="F11" s="402">
        <v>35.5</v>
      </c>
      <c r="G11" s="37">
        <v>3550</v>
      </c>
      <c r="H11" s="477">
        <v>215.69</v>
      </c>
      <c r="I11" s="404" t="s">
        <v>3331</v>
      </c>
    </row>
    <row r="12" spans="1:9" x14ac:dyDescent="0.25">
      <c r="A12" s="437">
        <v>41397</v>
      </c>
      <c r="B12" s="478" t="s">
        <v>3330</v>
      </c>
      <c r="C12" s="30" t="s">
        <v>201</v>
      </c>
      <c r="D12" s="30" t="s">
        <v>197</v>
      </c>
      <c r="E12" s="30">
        <v>50</v>
      </c>
      <c r="F12" s="402">
        <v>41.15</v>
      </c>
      <c r="G12" s="37">
        <v>2057.5</v>
      </c>
      <c r="H12" s="477">
        <v>108.02</v>
      </c>
      <c r="I12" s="404" t="s">
        <v>3332</v>
      </c>
    </row>
    <row r="13" spans="1:9" x14ac:dyDescent="0.25">
      <c r="A13" s="437">
        <v>41397</v>
      </c>
      <c r="B13" s="478" t="s">
        <v>3330</v>
      </c>
      <c r="C13" s="30" t="s">
        <v>201</v>
      </c>
      <c r="D13" s="30" t="s">
        <v>197</v>
      </c>
      <c r="E13" s="30">
        <v>200</v>
      </c>
      <c r="F13" s="402">
        <v>44.9</v>
      </c>
      <c r="G13" s="37">
        <v>8980</v>
      </c>
      <c r="H13" s="477">
        <v>432.57</v>
      </c>
      <c r="I13" s="404" t="s">
        <v>3333</v>
      </c>
    </row>
    <row r="14" spans="1:9" x14ac:dyDescent="0.25">
      <c r="A14" s="437">
        <v>41396</v>
      </c>
      <c r="B14" s="478" t="s">
        <v>3330</v>
      </c>
      <c r="C14" s="30" t="s">
        <v>201</v>
      </c>
      <c r="D14" s="30" t="s">
        <v>197</v>
      </c>
      <c r="E14" s="30">
        <v>150</v>
      </c>
      <c r="F14" s="402">
        <v>57</v>
      </c>
      <c r="G14" s="37">
        <v>8550</v>
      </c>
      <c r="H14" s="477">
        <v>325.54000000000002</v>
      </c>
      <c r="I14" s="404" t="s">
        <v>3334</v>
      </c>
    </row>
    <row r="15" spans="1:9" x14ac:dyDescent="0.25">
      <c r="A15" s="437"/>
      <c r="B15" s="478"/>
      <c r="C15" s="30"/>
      <c r="D15" s="30"/>
      <c r="E15" s="30"/>
      <c r="F15" s="402"/>
      <c r="G15" s="37"/>
      <c r="H15" s="477"/>
      <c r="I15" s="404"/>
    </row>
    <row r="16" spans="1:9" x14ac:dyDescent="0.25">
      <c r="A16" s="437"/>
      <c r="B16" s="478"/>
      <c r="C16" s="30"/>
      <c r="D16" s="30"/>
      <c r="E16" s="30"/>
      <c r="F16" s="402"/>
      <c r="G16" s="37"/>
      <c r="H16" s="477"/>
      <c r="I16" s="404"/>
    </row>
    <row r="17" spans="1:9" x14ac:dyDescent="0.25">
      <c r="A17" s="437"/>
      <c r="B17" s="478"/>
      <c r="C17" s="30"/>
      <c r="D17" s="30"/>
      <c r="E17" s="30"/>
      <c r="F17" s="402"/>
      <c r="G17" s="37"/>
      <c r="H17" s="477"/>
      <c r="I17" s="404"/>
    </row>
    <row r="18" spans="1:9" x14ac:dyDescent="0.25">
      <c r="A18" s="437"/>
      <c r="B18" s="478"/>
      <c r="C18" s="30"/>
      <c r="D18" s="30"/>
      <c r="E18" s="30"/>
      <c r="F18" s="402"/>
      <c r="G18" s="37"/>
      <c r="H18" s="477"/>
      <c r="I18" s="404"/>
    </row>
    <row r="19" spans="1:9" x14ac:dyDescent="0.25">
      <c r="A19" s="437"/>
      <c r="B19" s="478"/>
      <c r="C19" s="30"/>
      <c r="D19" s="30"/>
      <c r="E19" s="30"/>
      <c r="F19" s="402"/>
      <c r="G19" s="37"/>
      <c r="H19" s="477"/>
      <c r="I19" s="404"/>
    </row>
    <row r="20" spans="1:9" x14ac:dyDescent="0.25">
      <c r="A20" s="437"/>
      <c r="B20" s="30"/>
      <c r="C20" s="30"/>
      <c r="D20" s="30"/>
      <c r="E20" s="30"/>
      <c r="F20" s="402"/>
      <c r="G20" s="37"/>
      <c r="H20" s="477"/>
      <c r="I20" s="404"/>
    </row>
    <row r="21" spans="1:9" x14ac:dyDescent="0.25">
      <c r="A21" s="404"/>
      <c r="B21" s="30"/>
      <c r="C21" s="30"/>
      <c r="D21" s="30"/>
      <c r="E21" s="30"/>
      <c r="F21" s="408"/>
      <c r="G21" s="430">
        <f>SUM(G2:G19)</f>
        <v>75697.5</v>
      </c>
      <c r="H21" s="430">
        <f>SUM(H2:H19)</f>
        <v>3490.9500000000003</v>
      </c>
      <c r="I21" s="403"/>
    </row>
    <row r="22" spans="1:9" ht="13.8" thickBot="1" x14ac:dyDescent="0.3">
      <c r="A22" s="404"/>
      <c r="B22" s="30"/>
      <c r="C22" s="30"/>
      <c r="D22" s="30"/>
      <c r="E22" s="30"/>
      <c r="F22" s="408"/>
      <c r="G22" s="402"/>
      <c r="H22" s="402"/>
      <c r="I22" s="403"/>
    </row>
    <row r="23" spans="1:9" ht="13.8" thickBot="1" x14ac:dyDescent="0.3">
      <c r="A23" s="404"/>
      <c r="B23" s="30"/>
      <c r="C23" s="30"/>
      <c r="D23" s="30"/>
      <c r="E23" s="30"/>
      <c r="F23" s="408"/>
      <c r="G23" s="402" t="s">
        <v>624</v>
      </c>
      <c r="H23" s="431">
        <f>G21+H21</f>
        <v>79188.45</v>
      </c>
      <c r="I23" s="403"/>
    </row>
    <row r="24" spans="1:9" x14ac:dyDescent="0.25">
      <c r="A24" s="404"/>
      <c r="B24" s="30"/>
      <c r="C24" s="30"/>
      <c r="D24" s="30"/>
      <c r="E24" s="30"/>
      <c r="F24" s="408"/>
      <c r="G24" s="402"/>
      <c r="H24" s="438"/>
      <c r="I24" s="403"/>
    </row>
    <row r="25" spans="1:9" x14ac:dyDescent="0.25">
      <c r="A25" s="437"/>
      <c r="B25" s="30"/>
      <c r="C25" s="30"/>
      <c r="D25" s="30"/>
      <c r="E25" s="30"/>
      <c r="F25" s="408"/>
      <c r="G25" s="402"/>
      <c r="H25" s="37"/>
      <c r="I25" s="403"/>
    </row>
    <row r="26" spans="1:9" x14ac:dyDescent="0.25">
      <c r="A26" s="437">
        <v>41648</v>
      </c>
      <c r="B26" s="478" t="s">
        <v>3323</v>
      </c>
      <c r="C26" s="30" t="s">
        <v>201</v>
      </c>
      <c r="D26" s="30" t="s">
        <v>369</v>
      </c>
      <c r="E26" s="30">
        <v>1000</v>
      </c>
      <c r="F26" s="402">
        <v>5.5</v>
      </c>
      <c r="G26" s="37">
        <v>5500</v>
      </c>
      <c r="H26" s="477">
        <v>217.91</v>
      </c>
      <c r="I26" s="404" t="s">
        <v>3335</v>
      </c>
    </row>
    <row r="27" spans="1:9" x14ac:dyDescent="0.25">
      <c r="A27" s="437">
        <v>41645</v>
      </c>
      <c r="B27" s="478" t="s">
        <v>3321</v>
      </c>
      <c r="C27" s="30" t="s">
        <v>201</v>
      </c>
      <c r="D27" s="30" t="s">
        <v>369</v>
      </c>
      <c r="E27" s="30">
        <v>250</v>
      </c>
      <c r="F27" s="402">
        <v>26</v>
      </c>
      <c r="G27" s="37">
        <v>6500</v>
      </c>
      <c r="H27" s="477">
        <v>111.79</v>
      </c>
      <c r="I27" s="404" t="s">
        <v>3336</v>
      </c>
    </row>
    <row r="28" spans="1:9" x14ac:dyDescent="0.25">
      <c r="A28" s="437">
        <v>41502</v>
      </c>
      <c r="B28" s="478" t="s">
        <v>3327</v>
      </c>
      <c r="C28" s="30" t="s">
        <v>201</v>
      </c>
      <c r="D28" s="30" t="s">
        <v>369</v>
      </c>
      <c r="E28" s="30">
        <v>300</v>
      </c>
      <c r="F28" s="402">
        <v>6.1</v>
      </c>
      <c r="G28" s="37">
        <v>1830</v>
      </c>
      <c r="H28" s="477">
        <v>641.59</v>
      </c>
      <c r="I28" s="404" t="s">
        <v>3337</v>
      </c>
    </row>
    <row r="29" spans="1:9" x14ac:dyDescent="0.25">
      <c r="A29" s="437">
        <v>41403</v>
      </c>
      <c r="B29" s="478" t="s">
        <v>3330</v>
      </c>
      <c r="C29" s="30" t="s">
        <v>201</v>
      </c>
      <c r="D29" s="30" t="s">
        <v>369</v>
      </c>
      <c r="E29" s="30">
        <v>500</v>
      </c>
      <c r="F29" s="402">
        <v>64.7</v>
      </c>
      <c r="G29" s="37">
        <v>32350</v>
      </c>
      <c r="H29" s="477">
        <v>1093.57</v>
      </c>
      <c r="I29" s="404" t="s">
        <v>3338</v>
      </c>
    </row>
    <row r="30" spans="1:9" x14ac:dyDescent="0.25">
      <c r="A30" s="437"/>
      <c r="B30" s="478"/>
      <c r="C30" s="30"/>
      <c r="D30" s="30"/>
      <c r="E30" s="30"/>
      <c r="F30" s="402"/>
      <c r="G30" s="37"/>
      <c r="H30" s="477"/>
      <c r="I30" s="404"/>
    </row>
    <row r="31" spans="1:9" x14ac:dyDescent="0.25">
      <c r="A31" s="437"/>
      <c r="B31" s="478"/>
      <c r="C31" s="30"/>
      <c r="D31" s="30"/>
      <c r="E31" s="30"/>
      <c r="F31" s="402"/>
      <c r="G31" s="37"/>
      <c r="H31" s="477"/>
      <c r="I31" s="404"/>
    </row>
    <row r="32" spans="1:9" x14ac:dyDescent="0.25">
      <c r="A32" s="437"/>
      <c r="B32" s="478"/>
      <c r="C32" s="30"/>
      <c r="D32" s="30"/>
      <c r="E32" s="30"/>
      <c r="F32" s="402"/>
      <c r="G32" s="37"/>
      <c r="H32" s="477"/>
      <c r="I32" s="404"/>
    </row>
    <row r="33" spans="1:9" x14ac:dyDescent="0.25">
      <c r="A33" s="437"/>
      <c r="B33" s="478"/>
      <c r="C33" s="30"/>
      <c r="D33" s="30"/>
      <c r="E33" s="30"/>
      <c r="F33" s="402"/>
      <c r="G33" s="37"/>
      <c r="H33" s="477"/>
      <c r="I33" s="404"/>
    </row>
    <row r="34" spans="1:9" x14ac:dyDescent="0.25">
      <c r="A34" s="437"/>
      <c r="B34" s="478"/>
      <c r="C34" s="30"/>
      <c r="D34" s="30"/>
      <c r="E34" s="30"/>
      <c r="F34" s="402"/>
      <c r="G34" s="37"/>
      <c r="H34" s="477"/>
      <c r="I34" s="404"/>
    </row>
    <row r="35" spans="1:9" x14ac:dyDescent="0.25">
      <c r="A35" s="437"/>
      <c r="B35" s="478"/>
      <c r="C35" s="30"/>
      <c r="D35" s="30"/>
      <c r="E35" s="30"/>
      <c r="F35" s="402"/>
      <c r="G35" s="37"/>
      <c r="H35" s="477"/>
      <c r="I35" s="404"/>
    </row>
    <row r="36" spans="1:9" x14ac:dyDescent="0.25">
      <c r="A36" s="437"/>
      <c r="B36" s="478"/>
      <c r="C36" s="30"/>
      <c r="D36" s="30"/>
      <c r="E36" s="30"/>
      <c r="F36" s="402"/>
      <c r="G36" s="37"/>
      <c r="H36" s="477"/>
      <c r="I36" s="404"/>
    </row>
    <row r="37" spans="1:9" x14ac:dyDescent="0.25">
      <c r="A37" s="437"/>
      <c r="B37" s="478"/>
      <c r="C37" s="30"/>
      <c r="D37" s="30"/>
      <c r="E37" s="30"/>
      <c r="F37" s="402"/>
      <c r="G37" s="37"/>
      <c r="H37" s="477"/>
      <c r="I37" s="404"/>
    </row>
    <row r="38" spans="1:9" x14ac:dyDescent="0.25">
      <c r="A38" s="437"/>
      <c r="B38" s="478"/>
      <c r="C38" s="30"/>
      <c r="D38" s="30"/>
      <c r="E38" s="30"/>
      <c r="F38" s="402"/>
      <c r="G38" s="37"/>
      <c r="H38" s="477"/>
      <c r="I38" s="404"/>
    </row>
    <row r="39" spans="1:9" x14ac:dyDescent="0.25">
      <c r="A39" s="437"/>
      <c r="B39" s="478"/>
      <c r="C39" s="30"/>
      <c r="D39" s="30"/>
      <c r="E39" s="30"/>
      <c r="F39" s="402"/>
      <c r="G39" s="37"/>
      <c r="H39" s="477"/>
      <c r="I39" s="404"/>
    </row>
    <row r="40" spans="1:9" x14ac:dyDescent="0.25">
      <c r="A40" s="404"/>
      <c r="B40" s="30"/>
      <c r="C40" s="30"/>
      <c r="D40" s="30"/>
      <c r="E40" s="30"/>
      <c r="F40" s="408"/>
      <c r="G40" s="402"/>
      <c r="H40" s="402"/>
      <c r="I40" s="403"/>
    </row>
    <row r="41" spans="1:9" x14ac:dyDescent="0.25">
      <c r="A41" s="404"/>
      <c r="B41" s="30"/>
      <c r="C41" s="30"/>
      <c r="D41" s="30"/>
      <c r="E41" s="30"/>
      <c r="F41" s="408"/>
      <c r="G41" s="430">
        <f>SUM(G26:G40)</f>
        <v>46180</v>
      </c>
      <c r="H41" s="430">
        <f>SUM(H26:H40)</f>
        <v>2064.8599999999997</v>
      </c>
      <c r="I41" s="403"/>
    </row>
    <row r="42" spans="1:9" ht="13.8" thickBot="1" x14ac:dyDescent="0.3">
      <c r="A42" s="404"/>
      <c r="B42" s="30"/>
      <c r="C42" s="30"/>
      <c r="D42" s="30"/>
      <c r="E42" s="30"/>
      <c r="F42" s="408"/>
      <c r="G42" s="402"/>
      <c r="H42" s="37"/>
      <c r="I42" s="403"/>
    </row>
    <row r="43" spans="1:9" ht="13.8" thickBot="1" x14ac:dyDescent="0.3">
      <c r="A43" s="404"/>
      <c r="B43" s="30"/>
      <c r="C43" s="30"/>
      <c r="D43" s="30"/>
      <c r="E43" s="30"/>
      <c r="F43" s="408"/>
      <c r="G43" s="402" t="s">
        <v>659</v>
      </c>
      <c r="H43" s="431">
        <f>G41-H41</f>
        <v>44115.14</v>
      </c>
      <c r="I43" s="403"/>
    </row>
    <row r="44" spans="1:9" x14ac:dyDescent="0.25">
      <c r="G44" s="402"/>
      <c r="H44" s="37"/>
    </row>
    <row r="45" spans="1:9" ht="13.8" thickBot="1" x14ac:dyDescent="0.3">
      <c r="G45" s="402"/>
      <c r="H45" s="37"/>
    </row>
    <row r="46" spans="1:9" ht="13.8" thickBot="1" x14ac:dyDescent="0.3">
      <c r="G46" s="400" t="s">
        <v>660</v>
      </c>
      <c r="H46" s="432">
        <f>H43-H23</f>
        <v>-35073.31</v>
      </c>
    </row>
    <row r="47" spans="1:9" x14ac:dyDescent="0.25">
      <c r="G47" s="402"/>
      <c r="H47" s="37"/>
    </row>
    <row r="48" spans="1:9" x14ac:dyDescent="0.25">
      <c r="G48" s="402"/>
      <c r="H48" s="37"/>
    </row>
    <row r="49" spans="1:10" x14ac:dyDescent="0.25">
      <c r="A49" s="404"/>
      <c r="B49" s="30"/>
      <c r="C49" s="30"/>
      <c r="D49" s="30"/>
      <c r="E49" s="30"/>
      <c r="F49" s="408"/>
      <c r="G49" s="402"/>
      <c r="H49" s="37"/>
      <c r="I49" s="403"/>
    </row>
    <row r="50" spans="1:10" x14ac:dyDescent="0.25">
      <c r="A50" s="404"/>
      <c r="B50" s="30"/>
      <c r="C50" s="30"/>
      <c r="D50" s="30"/>
      <c r="E50" s="30"/>
      <c r="F50" s="408"/>
      <c r="G50" s="402"/>
      <c r="H50" s="37"/>
      <c r="I50" s="403"/>
    </row>
    <row r="51" spans="1:10" x14ac:dyDescent="0.25">
      <c r="A51" s="404"/>
      <c r="B51" s="30"/>
      <c r="C51" s="30"/>
      <c r="D51" s="30"/>
      <c r="E51" s="30"/>
      <c r="F51" s="408"/>
      <c r="G51" s="402"/>
      <c r="H51" s="402"/>
      <c r="I51" s="403"/>
    </row>
    <row r="52" spans="1:10" x14ac:dyDescent="0.25">
      <c r="A52" s="404"/>
      <c r="B52" s="30"/>
      <c r="C52" s="30"/>
      <c r="D52" s="30"/>
      <c r="E52" s="30"/>
      <c r="F52" s="408"/>
      <c r="G52" s="402"/>
      <c r="H52" s="402"/>
      <c r="I52" s="403"/>
    </row>
    <row r="53" spans="1:10" x14ac:dyDescent="0.25">
      <c r="A53" s="404"/>
      <c r="B53" s="30"/>
      <c r="C53" s="30"/>
      <c r="D53" s="30"/>
      <c r="E53" s="30"/>
      <c r="F53" s="408"/>
      <c r="G53" s="402"/>
      <c r="H53" s="402"/>
      <c r="I53" s="403"/>
    </row>
    <row r="54" spans="1:10" x14ac:dyDescent="0.25">
      <c r="A54" s="404"/>
      <c r="B54" s="30"/>
      <c r="C54" s="30"/>
      <c r="D54" s="30"/>
      <c r="E54" s="30"/>
      <c r="F54" s="408"/>
      <c r="G54" s="402"/>
      <c r="H54" s="402"/>
      <c r="I54" s="403"/>
    </row>
    <row r="55" spans="1:10" x14ac:dyDescent="0.25">
      <c r="A55" s="404"/>
      <c r="B55" s="30"/>
      <c r="C55" s="30"/>
      <c r="D55" s="30"/>
      <c r="E55" s="30"/>
      <c r="F55" s="408"/>
      <c r="G55" s="402"/>
      <c r="H55" s="37"/>
      <c r="I55" s="403"/>
      <c r="J55" s="403"/>
    </row>
    <row r="56" spans="1:10" x14ac:dyDescent="0.25">
      <c r="A56" s="404"/>
      <c r="B56" s="30"/>
      <c r="C56" s="30"/>
      <c r="D56" s="30"/>
      <c r="E56" s="30"/>
      <c r="F56" s="408"/>
      <c r="G56" s="402"/>
      <c r="H56" s="37"/>
      <c r="I56" s="403"/>
    </row>
    <row r="57" spans="1:10" x14ac:dyDescent="0.25">
      <c r="A57" s="404"/>
      <c r="B57" s="30"/>
      <c r="C57" s="30"/>
      <c r="D57" s="30"/>
      <c r="E57" s="30"/>
      <c r="F57" s="408"/>
      <c r="G57" s="402"/>
      <c r="H57" s="37"/>
      <c r="I57" s="403"/>
    </row>
    <row r="58" spans="1:10" x14ac:dyDescent="0.25">
      <c r="G58" s="402"/>
      <c r="H58" s="37"/>
      <c r="I58" s="402"/>
    </row>
    <row r="59" spans="1:10" x14ac:dyDescent="0.25">
      <c r="G59" s="400"/>
      <c r="H59" s="402"/>
      <c r="I59" s="402"/>
    </row>
    <row r="60" spans="1:10" x14ac:dyDescent="0.25">
      <c r="G60" s="402"/>
      <c r="H60" s="37"/>
      <c r="I60" s="402"/>
    </row>
    <row r="61" spans="1:10" x14ac:dyDescent="0.25">
      <c r="G61" s="402"/>
      <c r="H61" s="37"/>
      <c r="I61" s="402"/>
    </row>
    <row r="62" spans="1:10" x14ac:dyDescent="0.25">
      <c r="G62" s="402"/>
      <c r="H62" s="37"/>
      <c r="I62" s="402"/>
    </row>
    <row r="63" spans="1:10" x14ac:dyDescent="0.25">
      <c r="G63" s="402"/>
      <c r="H63" s="37"/>
      <c r="I63" s="402"/>
    </row>
    <row r="64" spans="1:10" x14ac:dyDescent="0.25">
      <c r="G64" s="402"/>
      <c r="H64" s="37"/>
      <c r="I64" s="402"/>
    </row>
    <row r="65" spans="7:9" x14ac:dyDescent="0.25">
      <c r="G65" s="402"/>
      <c r="H65" s="37"/>
      <c r="I65" s="402"/>
    </row>
    <row r="66" spans="7:9" x14ac:dyDescent="0.25">
      <c r="G66" s="402"/>
      <c r="H66" s="37"/>
      <c r="I66" s="402"/>
    </row>
  </sheetData>
  <autoFilter ref="A1:I1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7"/>
  <sheetViews>
    <sheetView topLeftCell="D1" zoomScaleNormal="100" workbookViewId="0">
      <selection activeCell="P16" sqref="P16"/>
    </sheetView>
  </sheetViews>
  <sheetFormatPr defaultColWidth="9.21875" defaultRowHeight="12.75" customHeight="1" x14ac:dyDescent="0.25"/>
  <cols>
    <col min="1" max="1" width="10.77734375" style="224" customWidth="1"/>
    <col min="2" max="2" width="10.77734375" style="295" customWidth="1"/>
    <col min="3" max="3" width="35.21875" style="250" customWidth="1"/>
    <col min="4" max="4" width="24.21875" style="231" bestFit="1" customWidth="1"/>
    <col min="5" max="5" width="13.5546875" style="231" customWidth="1"/>
    <col min="6" max="7" width="10.77734375" style="235" customWidth="1"/>
    <col min="8" max="8" width="10.21875" style="235" bestFit="1" customWidth="1"/>
    <col min="9" max="9" width="9.21875" style="247" customWidth="1"/>
    <col min="10" max="10" width="10.77734375" style="247" bestFit="1" customWidth="1"/>
    <col min="11" max="11" width="13.5546875" style="247" bestFit="1" customWidth="1"/>
    <col min="12" max="12" width="14.77734375" style="247" customWidth="1"/>
    <col min="13" max="13" width="11.77734375" style="247" customWidth="1"/>
    <col min="14" max="14" width="13.21875" style="224" bestFit="1" customWidth="1"/>
    <col min="15" max="15" width="19.21875" style="249" bestFit="1" customWidth="1"/>
    <col min="16" max="16" width="12.77734375" style="249" customWidth="1"/>
    <col min="17" max="17" width="8.5546875" style="224" bestFit="1" customWidth="1"/>
    <col min="18" max="18" width="9" style="224" bestFit="1" customWidth="1"/>
    <col min="19" max="16384" width="9.21875" style="224"/>
  </cols>
  <sheetData>
    <row r="1" spans="2:19" ht="13.2" x14ac:dyDescent="0.25">
      <c r="B1" s="347" t="s">
        <v>2174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</row>
    <row r="2" spans="2:19" ht="13.2" x14ac:dyDescent="0.25">
      <c r="B2" s="347" t="s">
        <v>4251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</row>
    <row r="3" spans="2:19" ht="13.2" x14ac:dyDescent="0.25">
      <c r="B3" s="348" t="s">
        <v>2078</v>
      </c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</row>
    <row r="4" spans="2:19" ht="12.75" customHeight="1" x14ac:dyDescent="0.25">
      <c r="B4" s="325"/>
      <c r="C4" s="325"/>
      <c r="D4" s="325"/>
      <c r="E4" s="2"/>
      <c r="F4" s="2"/>
      <c r="G4" s="60"/>
      <c r="H4" s="303"/>
      <c r="I4" s="60"/>
      <c r="M4" s="260"/>
      <c r="N4" s="255"/>
      <c r="S4" s="247"/>
    </row>
    <row r="5" spans="2:19" ht="12.75" customHeight="1" x14ac:dyDescent="0.25">
      <c r="B5" s="325"/>
      <c r="C5" s="325"/>
      <c r="D5" s="325"/>
      <c r="E5" s="2"/>
      <c r="F5" s="2"/>
      <c r="G5" s="60"/>
      <c r="H5" s="303"/>
      <c r="I5" s="60"/>
      <c r="J5" s="300"/>
      <c r="M5" s="257" t="s">
        <v>2139</v>
      </c>
      <c r="N5" s="257">
        <f>N532-N398</f>
        <v>-287218.23</v>
      </c>
      <c r="P5" s="299"/>
    </row>
    <row r="6" spans="2:19" ht="12.75" customHeight="1" x14ac:dyDescent="0.25">
      <c r="B6" s="325"/>
      <c r="C6" s="325"/>
      <c r="D6" s="325"/>
      <c r="E6" s="2"/>
      <c r="F6" s="2"/>
      <c r="G6" s="60"/>
      <c r="H6" s="303"/>
      <c r="I6" s="60"/>
      <c r="J6" s="300"/>
      <c r="K6" s="233"/>
    </row>
    <row r="7" spans="2:19" ht="12.75" customHeight="1" x14ac:dyDescent="0.25">
      <c r="B7" s="16"/>
      <c r="C7" s="2"/>
      <c r="D7" s="2"/>
      <c r="E7" s="2"/>
      <c r="F7" s="2"/>
      <c r="G7" s="60"/>
      <c r="H7" s="303"/>
      <c r="I7" s="60"/>
      <c r="J7" s="224"/>
      <c r="K7" s="233"/>
      <c r="L7" s="278"/>
      <c r="M7" s="283" t="s">
        <v>538</v>
      </c>
      <c r="N7" s="282" t="s">
        <v>537</v>
      </c>
    </row>
    <row r="8" spans="2:19" ht="12.75" customHeight="1" x14ac:dyDescent="0.25">
      <c r="B8" s="16"/>
      <c r="C8" s="16"/>
      <c r="D8" s="2"/>
      <c r="E8" s="2"/>
      <c r="F8" s="2"/>
      <c r="G8" s="60"/>
      <c r="H8" s="303"/>
      <c r="I8" s="60"/>
      <c r="J8" s="224"/>
      <c r="K8" s="233"/>
      <c r="L8" s="279" t="s">
        <v>1046</v>
      </c>
      <c r="M8" s="424">
        <f>N5</f>
        <v>-287218.23</v>
      </c>
      <c r="N8" s="425">
        <f>M64</f>
        <v>0</v>
      </c>
    </row>
    <row r="9" spans="2:19" ht="12.75" customHeight="1" x14ac:dyDescent="0.25">
      <c r="B9" s="16"/>
      <c r="C9" s="2"/>
      <c r="D9" s="2"/>
      <c r="E9" s="2"/>
      <c r="F9" s="2"/>
      <c r="G9" s="60"/>
      <c r="H9" s="303"/>
      <c r="I9" s="60"/>
      <c r="J9" s="224"/>
      <c r="K9" s="233"/>
      <c r="L9" s="280" t="s">
        <v>1140</v>
      </c>
      <c r="M9" s="426">
        <f>F648+F661+F716+F794</f>
        <v>2953.8900000000003</v>
      </c>
      <c r="N9" s="427"/>
    </row>
    <row r="10" spans="2:19" ht="12.75" customHeight="1" x14ac:dyDescent="0.25">
      <c r="B10" s="385"/>
      <c r="C10" s="385"/>
      <c r="D10" s="293"/>
      <c r="E10" s="293"/>
      <c r="F10" s="293"/>
      <c r="G10" s="294"/>
      <c r="H10" s="386"/>
      <c r="I10" s="60"/>
      <c r="J10" s="224"/>
      <c r="K10" s="1"/>
      <c r="L10" s="281" t="s">
        <v>1262</v>
      </c>
      <c r="M10" s="428">
        <f>M8-M9</f>
        <v>-290172.12</v>
      </c>
      <c r="N10" s="428">
        <f>N8-N9</f>
        <v>0</v>
      </c>
    </row>
    <row r="11" spans="2:19" ht="12.75" customHeight="1" x14ac:dyDescent="0.25">
      <c r="B11" s="385"/>
      <c r="C11" s="293"/>
      <c r="D11" s="293"/>
      <c r="E11" s="293"/>
      <c r="F11" s="293"/>
      <c r="G11" s="294"/>
      <c r="H11" s="386"/>
      <c r="I11" s="60"/>
      <c r="J11" s="224"/>
      <c r="K11" s="1"/>
      <c r="M11" s="260"/>
      <c r="N11" s="255"/>
    </row>
    <row r="12" spans="2:19" ht="12.75" customHeight="1" x14ac:dyDescent="0.25">
      <c r="B12" s="387"/>
      <c r="C12" s="225"/>
      <c r="D12" s="225"/>
      <c r="E12" s="225"/>
      <c r="F12" s="326"/>
      <c r="G12" s="326"/>
      <c r="H12" s="326"/>
      <c r="I12" s="1"/>
      <c r="J12" s="224"/>
      <c r="K12" s="1"/>
      <c r="M12" s="257"/>
      <c r="N12" s="257"/>
    </row>
    <row r="13" spans="2:19" ht="20.100000000000001" customHeight="1" x14ac:dyDescent="0.25">
      <c r="B13" s="385"/>
      <c r="C13" s="225"/>
      <c r="D13" s="225"/>
      <c r="E13" s="293"/>
      <c r="F13" s="293"/>
      <c r="G13" s="293"/>
      <c r="H13" s="294"/>
      <c r="I13" s="1"/>
      <c r="J13" s="224"/>
      <c r="K13" s="1"/>
      <c r="L13" s="260"/>
      <c r="M13" s="255" t="s">
        <v>3003</v>
      </c>
      <c r="N13" s="364">
        <f>N10+M10</f>
        <v>-290172.12</v>
      </c>
      <c r="O13" s="263"/>
      <c r="P13" s="263"/>
    </row>
    <row r="14" spans="2:19" ht="12.75" customHeight="1" x14ac:dyDescent="0.25">
      <c r="I14" s="1"/>
      <c r="J14" s="224"/>
      <c r="K14" s="1"/>
      <c r="L14" s="260"/>
      <c r="M14" s="255"/>
      <c r="N14" s="255"/>
      <c r="O14" s="263"/>
      <c r="P14" s="263"/>
    </row>
    <row r="15" spans="2:19" ht="12.75" customHeight="1" x14ac:dyDescent="0.25">
      <c r="I15" s="1"/>
      <c r="J15" s="224"/>
      <c r="K15" s="1"/>
      <c r="L15" s="260"/>
      <c r="M15" s="255" t="s">
        <v>2141</v>
      </c>
      <c r="N15" s="383">
        <f>H624</f>
        <v>290320.12</v>
      </c>
      <c r="O15" s="263"/>
      <c r="P15" s="263"/>
    </row>
    <row r="16" spans="2:19" ht="12.75" customHeight="1" x14ac:dyDescent="0.25">
      <c r="B16" s="355"/>
      <c r="D16" s="250"/>
      <c r="E16" s="233"/>
      <c r="F16" s="233"/>
      <c r="G16" s="233"/>
      <c r="H16" s="233"/>
      <c r="I16" s="235"/>
      <c r="J16" s="224"/>
      <c r="L16" s="260"/>
      <c r="M16" s="255"/>
      <c r="N16" s="255"/>
      <c r="O16" s="263"/>
      <c r="P16" s="263"/>
    </row>
    <row r="17" spans="2:18" ht="12.75" customHeight="1" thickBot="1" x14ac:dyDescent="0.3">
      <c r="B17" s="354"/>
      <c r="D17" s="250"/>
      <c r="E17" s="250"/>
      <c r="F17" s="300"/>
      <c r="G17" s="300"/>
      <c r="H17" s="250"/>
      <c r="J17" s="224"/>
      <c r="L17" s="260"/>
      <c r="M17" s="290"/>
      <c r="N17" s="290" t="s">
        <v>539</v>
      </c>
      <c r="O17" s="263"/>
      <c r="P17" s="263"/>
    </row>
    <row r="18" spans="2:18" ht="12.75" customHeight="1" thickBot="1" x14ac:dyDescent="0.3">
      <c r="B18" s="354"/>
      <c r="D18" s="250"/>
      <c r="E18" s="250"/>
      <c r="F18" s="300"/>
      <c r="G18" s="300"/>
      <c r="H18" s="250"/>
      <c r="L18" s="260"/>
      <c r="M18" s="255" t="s">
        <v>1568</v>
      </c>
      <c r="N18" s="384">
        <f>SUM(N13:N17)</f>
        <v>148</v>
      </c>
      <c r="O18" s="263"/>
      <c r="P18" s="263" t="s">
        <v>3308</v>
      </c>
    </row>
    <row r="19" spans="2:18" ht="12.75" customHeight="1" x14ac:dyDescent="0.25">
      <c r="H19" s="224"/>
      <c r="M19" s="257"/>
      <c r="N19" s="257"/>
      <c r="Q19" s="259"/>
    </row>
    <row r="20" spans="2:18" ht="12.75" customHeight="1" x14ac:dyDescent="0.25">
      <c r="N20" s="247"/>
    </row>
    <row r="21" spans="2:18" ht="12.75" customHeight="1" x14ac:dyDescent="0.25">
      <c r="M21" s="255" t="s">
        <v>458</v>
      </c>
      <c r="N21" s="298" t="s">
        <v>3309</v>
      </c>
      <c r="O21" s="263"/>
      <c r="P21" s="337"/>
      <c r="R21" s="247"/>
    </row>
    <row r="23" spans="2:18" ht="12.75" customHeight="1" x14ac:dyDescent="0.25">
      <c r="M23" s="257"/>
      <c r="N23" s="289"/>
    </row>
    <row r="24" spans="2:18" ht="12.75" customHeight="1" x14ac:dyDescent="0.25">
      <c r="L24" s="374"/>
      <c r="M24" s="375" t="s">
        <v>3002</v>
      </c>
      <c r="N24" s="360">
        <f>'FY13-Equ-FNO-RKG'!N953</f>
        <v>-399680.78000000271</v>
      </c>
      <c r="Q24" s="247"/>
      <c r="R24" s="247"/>
    </row>
    <row r="25" spans="2:18" ht="12.75" customHeight="1" x14ac:dyDescent="0.25">
      <c r="L25" s="361"/>
      <c r="M25" s="362" t="s">
        <v>1503</v>
      </c>
      <c r="N25" s="366">
        <f>N15-N24</f>
        <v>690000.9000000027</v>
      </c>
      <c r="O25" s="368" t="s">
        <v>73</v>
      </c>
      <c r="P25" s="433">
        <f>N15</f>
        <v>290320.12</v>
      </c>
      <c r="R25" s="247"/>
    </row>
    <row r="26" spans="2:18" ht="12.75" customHeight="1" x14ac:dyDescent="0.25">
      <c r="F26" s="436"/>
      <c r="G26" s="436"/>
      <c r="H26" s="436"/>
      <c r="I26" s="436"/>
      <c r="J26" s="436"/>
      <c r="L26" s="363"/>
      <c r="M26" s="364" t="s">
        <v>2821</v>
      </c>
      <c r="N26" s="367"/>
      <c r="O26" s="364" t="s">
        <v>2821</v>
      </c>
      <c r="P26" s="371">
        <f>N26</f>
        <v>0</v>
      </c>
    </row>
    <row r="27" spans="2:18" ht="13.2" x14ac:dyDescent="0.25">
      <c r="L27" s="363"/>
      <c r="M27" s="364" t="s">
        <v>2820</v>
      </c>
      <c r="N27" s="367"/>
      <c r="O27" s="364" t="s">
        <v>2820</v>
      </c>
      <c r="P27" s="367">
        <f>N27</f>
        <v>0</v>
      </c>
    </row>
    <row r="28" spans="2:18" ht="13.2" x14ac:dyDescent="0.25">
      <c r="L28" s="379"/>
      <c r="M28" s="380" t="s">
        <v>948</v>
      </c>
      <c r="N28" s="381">
        <f>N26+N27+N18-N25</f>
        <v>-689852.9000000027</v>
      </c>
      <c r="O28" s="382" t="s">
        <v>383</v>
      </c>
      <c r="P28" s="434">
        <f>P26+P27+N18-P25</f>
        <v>-290172.12</v>
      </c>
      <c r="R28" s="247"/>
    </row>
    <row r="29" spans="2:18" ht="13.2" x14ac:dyDescent="0.25">
      <c r="R29" s="247"/>
    </row>
    <row r="32" spans="2:18" ht="12.75" customHeight="1" x14ac:dyDescent="0.25">
      <c r="L32" s="374"/>
      <c r="M32" s="375" t="s">
        <v>1505</v>
      </c>
      <c r="N32" s="377">
        <v>99921.29</v>
      </c>
      <c r="O32" s="376" t="s">
        <v>2169</v>
      </c>
      <c r="P32" s="435">
        <f>N32-N28</f>
        <v>789774.19000000274</v>
      </c>
      <c r="Q32" s="259"/>
    </row>
    <row r="35" spans="2:18" ht="13.8" thickBot="1" x14ac:dyDescent="0.3">
      <c r="B35" s="348"/>
      <c r="C35" s="226"/>
      <c r="D35" s="226"/>
      <c r="E35" s="226"/>
      <c r="F35" s="226"/>
      <c r="G35" s="226"/>
      <c r="H35" s="226"/>
      <c r="I35" s="226"/>
      <c r="J35" s="226"/>
      <c r="K35" s="226"/>
      <c r="L35" s="226"/>
      <c r="M35" s="226"/>
      <c r="N35" s="226"/>
    </row>
    <row r="36" spans="2:18" ht="13.8" thickBot="1" x14ac:dyDescent="0.3">
      <c r="B36" s="349" t="s">
        <v>1255</v>
      </c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8"/>
    </row>
    <row r="37" spans="2:18" s="231" customFormat="1" ht="13.2" x14ac:dyDescent="0.25">
      <c r="B37" s="296" t="s">
        <v>184</v>
      </c>
      <c r="C37" s="171" t="s">
        <v>2079</v>
      </c>
      <c r="D37" s="171" t="s">
        <v>186</v>
      </c>
      <c r="E37" s="171" t="s">
        <v>469</v>
      </c>
      <c r="F37" s="221" t="s">
        <v>188</v>
      </c>
      <c r="G37" s="221" t="s">
        <v>470</v>
      </c>
      <c r="H37" s="221" t="s">
        <v>1839</v>
      </c>
      <c r="I37" s="221" t="s">
        <v>1840</v>
      </c>
      <c r="J37" s="221" t="s">
        <v>1841</v>
      </c>
      <c r="K37" s="221" t="s">
        <v>1842</v>
      </c>
      <c r="L37" s="221" t="s">
        <v>1216</v>
      </c>
      <c r="M37" s="221" t="s">
        <v>668</v>
      </c>
      <c r="N37" s="171" t="s">
        <v>1212</v>
      </c>
      <c r="O37" s="249"/>
      <c r="P37" s="249"/>
    </row>
    <row r="38" spans="2:18" s="231" customFormat="1" ht="13.2" x14ac:dyDescent="0.25">
      <c r="B38" s="16"/>
      <c r="C38" s="233"/>
      <c r="D38" s="91"/>
      <c r="E38" s="91"/>
      <c r="F38" s="234"/>
      <c r="G38" s="234"/>
      <c r="H38" s="234"/>
      <c r="I38" s="234"/>
      <c r="J38" s="234"/>
      <c r="K38" s="234"/>
      <c r="L38" s="234"/>
      <c r="M38" s="235"/>
      <c r="N38" s="1"/>
      <c r="O38" s="249"/>
      <c r="P38" s="2"/>
      <c r="Q38" s="91"/>
      <c r="R38" s="91"/>
    </row>
    <row r="39" spans="2:18" s="231" customFormat="1" ht="13.2" x14ac:dyDescent="0.25">
      <c r="B39" s="16"/>
      <c r="C39" s="233"/>
      <c r="D39" s="91"/>
      <c r="E39" s="91"/>
      <c r="F39" s="234"/>
      <c r="G39" s="234"/>
      <c r="H39" s="234"/>
      <c r="I39" s="234"/>
      <c r="J39" s="234"/>
      <c r="K39" s="234"/>
      <c r="L39" s="234"/>
      <c r="M39" s="235"/>
      <c r="N39" s="1"/>
      <c r="O39" s="249"/>
      <c r="P39" s="2"/>
      <c r="Q39" s="91"/>
      <c r="R39" s="91"/>
    </row>
    <row r="40" spans="2:18" s="231" customFormat="1" ht="13.2" x14ac:dyDescent="0.25">
      <c r="B40" s="16"/>
      <c r="C40" s="233"/>
      <c r="D40" s="91"/>
      <c r="E40" s="91"/>
      <c r="F40" s="234"/>
      <c r="G40" s="234"/>
      <c r="H40" s="234"/>
      <c r="I40" s="234"/>
      <c r="J40" s="234"/>
      <c r="K40" s="234"/>
      <c r="L40" s="234"/>
      <c r="M40" s="235"/>
      <c r="N40" s="1"/>
      <c r="O40" s="2"/>
      <c r="P40" s="2"/>
    </row>
    <row r="41" spans="2:18" s="231" customFormat="1" ht="13.2" x14ac:dyDescent="0.25">
      <c r="B41" s="16"/>
      <c r="C41" s="233"/>
      <c r="D41" s="91"/>
      <c r="E41" s="91"/>
      <c r="F41" s="234"/>
      <c r="G41" s="234"/>
      <c r="H41" s="234"/>
      <c r="I41" s="234"/>
      <c r="J41" s="234"/>
      <c r="K41" s="234"/>
      <c r="L41" s="234"/>
      <c r="M41" s="235"/>
      <c r="N41" s="1"/>
      <c r="O41" s="249"/>
      <c r="P41" s="2"/>
      <c r="Q41" s="91"/>
      <c r="R41" s="91"/>
    </row>
    <row r="42" spans="2:18" s="231" customFormat="1" ht="13.2" x14ac:dyDescent="0.25">
      <c r="B42" s="16"/>
      <c r="C42" s="233"/>
      <c r="D42" s="91"/>
      <c r="E42" s="91"/>
      <c r="F42" s="234"/>
      <c r="G42" s="234"/>
      <c r="H42" s="234"/>
      <c r="I42" s="234"/>
      <c r="J42" s="234"/>
      <c r="K42" s="234"/>
      <c r="L42" s="234"/>
      <c r="M42" s="235"/>
      <c r="N42" s="1"/>
      <c r="O42" s="299"/>
      <c r="P42" s="2"/>
      <c r="Q42" s="91"/>
      <c r="R42" s="91"/>
    </row>
    <row r="43" spans="2:18" s="231" customFormat="1" ht="13.2" x14ac:dyDescent="0.25">
      <c r="B43" s="16"/>
      <c r="C43" s="233"/>
      <c r="D43" s="91"/>
      <c r="E43" s="91"/>
      <c r="F43" s="234"/>
      <c r="G43" s="234"/>
      <c r="H43" s="234"/>
      <c r="I43" s="234"/>
      <c r="J43" s="234"/>
      <c r="K43" s="234"/>
      <c r="L43" s="234"/>
      <c r="M43" s="235"/>
      <c r="N43" s="1"/>
      <c r="O43" s="249"/>
      <c r="P43" s="249"/>
    </row>
    <row r="44" spans="2:18" s="231" customFormat="1" ht="13.2" x14ac:dyDescent="0.25">
      <c r="B44" s="350"/>
      <c r="C44" s="236"/>
      <c r="D44" s="237"/>
      <c r="E44" s="238"/>
      <c r="F44" s="239"/>
      <c r="G44" s="239"/>
      <c r="H44" s="239"/>
      <c r="I44" s="239"/>
      <c r="J44" s="230"/>
      <c r="K44" s="230"/>
      <c r="L44" s="230"/>
      <c r="M44" s="230"/>
      <c r="N44" s="240"/>
      <c r="O44" s="249"/>
      <c r="P44" s="249"/>
    </row>
    <row r="45" spans="2:18" s="231" customFormat="1" ht="13.2" x14ac:dyDescent="0.25">
      <c r="B45" s="350"/>
      <c r="C45" s="236"/>
      <c r="D45" s="237"/>
      <c r="E45" s="238"/>
      <c r="F45" s="239"/>
      <c r="G45" s="239"/>
      <c r="H45" s="239"/>
      <c r="I45" s="239"/>
      <c r="J45" s="230"/>
      <c r="K45" s="230"/>
      <c r="L45" s="230"/>
      <c r="M45" s="230"/>
      <c r="N45" s="240"/>
      <c r="O45" s="249"/>
      <c r="P45" s="249"/>
    </row>
    <row r="46" spans="2:18" s="231" customFormat="1" ht="13.2" x14ac:dyDescent="0.25">
      <c r="B46" s="350"/>
      <c r="C46" s="236"/>
      <c r="D46" s="237"/>
      <c r="E46" s="238"/>
      <c r="F46" s="239"/>
      <c r="G46" s="239"/>
      <c r="H46" s="239"/>
      <c r="I46" s="239"/>
      <c r="J46" s="230"/>
      <c r="K46" s="230"/>
      <c r="L46" s="230"/>
      <c r="M46" s="230"/>
      <c r="N46" s="240"/>
      <c r="O46" s="249"/>
      <c r="P46" s="249"/>
    </row>
    <row r="47" spans="2:18" s="231" customFormat="1" ht="13.2" x14ac:dyDescent="0.25">
      <c r="B47" s="350"/>
      <c r="C47" s="236"/>
      <c r="D47" s="237"/>
      <c r="E47" s="238"/>
      <c r="F47" s="239"/>
      <c r="G47" s="239"/>
      <c r="H47" s="239"/>
      <c r="I47" s="239"/>
      <c r="J47" s="230"/>
      <c r="K47" s="230"/>
      <c r="L47" s="230"/>
      <c r="M47" s="230"/>
      <c r="N47" s="240"/>
      <c r="O47" s="249"/>
      <c r="P47" s="249"/>
    </row>
    <row r="48" spans="2:18" s="231" customFormat="1" ht="13.2" x14ac:dyDescent="0.25">
      <c r="B48" s="350"/>
      <c r="C48" s="236"/>
      <c r="D48" s="237"/>
      <c r="E48" s="238"/>
      <c r="F48" s="239"/>
      <c r="G48" s="239"/>
      <c r="H48" s="239"/>
      <c r="I48" s="239"/>
      <c r="J48" s="230"/>
      <c r="K48" s="230"/>
      <c r="L48" s="230"/>
      <c r="M48" s="230"/>
      <c r="N48" s="240"/>
      <c r="O48" s="249"/>
      <c r="P48" s="249"/>
    </row>
    <row r="49" spans="2:21" ht="12.75" customHeight="1" x14ac:dyDescent="0.25">
      <c r="B49" s="350"/>
      <c r="C49" s="241"/>
      <c r="D49" s="229"/>
      <c r="E49" s="229"/>
      <c r="F49" s="230"/>
      <c r="G49" s="230"/>
      <c r="H49" s="230"/>
      <c r="I49" s="242"/>
      <c r="J49" s="243"/>
      <c r="K49" s="244"/>
      <c r="L49" s="257" t="s">
        <v>2121</v>
      </c>
      <c r="M49" s="258">
        <f>SUM(M38:M48)</f>
        <v>0</v>
      </c>
      <c r="N49" s="245"/>
    </row>
    <row r="50" spans="2:21" ht="12.75" customHeight="1" x14ac:dyDescent="0.25">
      <c r="B50" s="350"/>
      <c r="C50" s="241"/>
      <c r="D50" s="229"/>
      <c r="E50" s="229"/>
      <c r="F50" s="230"/>
      <c r="G50" s="230"/>
      <c r="H50" s="230"/>
      <c r="I50" s="242"/>
      <c r="J50" s="242"/>
      <c r="K50" s="242"/>
      <c r="L50" s="242"/>
      <c r="M50" s="242"/>
      <c r="N50" s="245"/>
    </row>
    <row r="51" spans="2:21" ht="12.75" customHeight="1" x14ac:dyDescent="0.25">
      <c r="B51" s="350"/>
      <c r="C51" s="241"/>
      <c r="D51" s="229"/>
      <c r="E51" s="229"/>
      <c r="F51" s="230"/>
      <c r="G51" s="230"/>
      <c r="H51" s="230"/>
      <c r="I51" s="242"/>
      <c r="J51" s="242"/>
      <c r="K51" s="242"/>
      <c r="L51" s="242"/>
      <c r="M51" s="242"/>
      <c r="N51" s="245"/>
    </row>
    <row r="52" spans="2:21" ht="12.75" customHeight="1" x14ac:dyDescent="0.25">
      <c r="B52" s="296" t="s">
        <v>184</v>
      </c>
      <c r="C52" s="171" t="s">
        <v>2079</v>
      </c>
      <c r="D52" s="171" t="s">
        <v>186</v>
      </c>
      <c r="E52" s="171" t="s">
        <v>469</v>
      </c>
      <c r="F52" s="221" t="s">
        <v>188</v>
      </c>
      <c r="G52" s="221" t="s">
        <v>470</v>
      </c>
      <c r="H52" s="221" t="s">
        <v>1839</v>
      </c>
      <c r="I52" s="221" t="s">
        <v>1840</v>
      </c>
      <c r="J52" s="221" t="s">
        <v>1841</v>
      </c>
      <c r="K52" s="221" t="s">
        <v>1842</v>
      </c>
      <c r="L52" s="221" t="s">
        <v>1216</v>
      </c>
      <c r="M52" s="221" t="s">
        <v>667</v>
      </c>
      <c r="N52" s="171" t="s">
        <v>1212</v>
      </c>
    </row>
    <row r="53" spans="2:21" s="231" customFormat="1" ht="13.2" x14ac:dyDescent="0.25">
      <c r="B53" s="16"/>
      <c r="C53" s="1"/>
      <c r="D53" s="91"/>
      <c r="E53" s="91"/>
      <c r="F53" s="59"/>
      <c r="G53" s="468"/>
      <c r="H53" s="469"/>
      <c r="I53" s="469"/>
      <c r="J53" s="469"/>
      <c r="K53" s="470"/>
      <c r="L53" s="470"/>
      <c r="M53" s="471"/>
      <c r="N53" s="1"/>
      <c r="O53" s="60"/>
      <c r="P53" s="2"/>
    </row>
    <row r="54" spans="2:21" ht="12.75" customHeight="1" x14ac:dyDescent="0.25">
      <c r="B54" s="16"/>
      <c r="C54" s="233"/>
      <c r="D54" s="91"/>
      <c r="E54" s="91"/>
      <c r="F54" s="59"/>
      <c r="G54" s="468"/>
      <c r="H54" s="468"/>
      <c r="I54" s="468"/>
      <c r="J54" s="468"/>
      <c r="K54" s="468"/>
      <c r="L54" s="468"/>
      <c r="M54" s="471"/>
      <c r="N54" s="1"/>
    </row>
    <row r="55" spans="2:21" ht="12.75" customHeight="1" x14ac:dyDescent="0.25">
      <c r="B55" s="16"/>
      <c r="C55" s="233"/>
      <c r="D55" s="91"/>
      <c r="E55" s="91"/>
      <c r="F55" s="59"/>
      <c r="G55" s="234"/>
      <c r="H55" s="234"/>
      <c r="I55" s="234"/>
      <c r="J55" s="234"/>
      <c r="K55" s="234"/>
      <c r="L55" s="234"/>
      <c r="M55" s="59"/>
      <c r="N55" s="1"/>
    </row>
    <row r="56" spans="2:21" ht="12.75" customHeight="1" x14ac:dyDescent="0.25">
      <c r="B56" s="16"/>
      <c r="C56" s="233"/>
      <c r="D56" s="91"/>
      <c r="E56" s="91"/>
      <c r="F56" s="59"/>
      <c r="G56" s="234"/>
      <c r="H56" s="234"/>
      <c r="I56" s="234"/>
      <c r="J56" s="234"/>
      <c r="K56" s="234"/>
      <c r="L56" s="234"/>
      <c r="M56" s="59"/>
      <c r="N56" s="1"/>
    </row>
    <row r="57" spans="2:21" ht="12.75" customHeight="1" x14ac:dyDescent="0.25">
      <c r="B57" s="16"/>
      <c r="C57" s="233"/>
      <c r="D57" s="91"/>
      <c r="E57" s="91"/>
      <c r="F57" s="59"/>
      <c r="G57" s="234"/>
      <c r="H57" s="234"/>
      <c r="I57" s="234"/>
      <c r="J57" s="234"/>
      <c r="K57" s="234"/>
      <c r="L57" s="234"/>
      <c r="M57" s="59"/>
      <c r="N57" s="1"/>
    </row>
    <row r="58" spans="2:21" ht="12.75" customHeight="1" x14ac:dyDescent="0.25">
      <c r="B58" s="16"/>
      <c r="C58" s="233"/>
      <c r="D58" s="91"/>
      <c r="E58" s="91"/>
      <c r="F58" s="59"/>
      <c r="G58" s="234"/>
      <c r="H58" s="234"/>
      <c r="I58" s="234"/>
      <c r="J58" s="234"/>
      <c r="K58" s="234"/>
      <c r="L58" s="234"/>
      <c r="M58" s="59"/>
      <c r="N58" s="1"/>
      <c r="O58" s="2"/>
      <c r="P58" s="2"/>
      <c r="R58" s="1"/>
      <c r="S58" s="1"/>
      <c r="T58" s="1"/>
      <c r="U58" s="1"/>
    </row>
    <row r="59" spans="2:21" ht="13.2" x14ac:dyDescent="0.25">
      <c r="B59" s="16"/>
      <c r="C59" s="1"/>
      <c r="D59" s="91"/>
      <c r="E59" s="1"/>
      <c r="F59" s="59"/>
      <c r="G59" s="59"/>
      <c r="H59" s="59"/>
      <c r="I59" s="59"/>
      <c r="J59" s="230"/>
    </row>
    <row r="60" spans="2:21" ht="13.2" x14ac:dyDescent="0.25">
      <c r="B60" s="16"/>
      <c r="C60" s="1"/>
      <c r="D60" s="91"/>
      <c r="E60" s="1"/>
      <c r="F60" s="59"/>
      <c r="G60" s="59"/>
      <c r="H60" s="59"/>
      <c r="I60" s="59"/>
      <c r="J60" s="230"/>
      <c r="K60" s="246"/>
      <c r="L60" s="246"/>
      <c r="M60" s="246"/>
      <c r="N60" s="248"/>
    </row>
    <row r="61" spans="2:21" ht="13.2" x14ac:dyDescent="0.25">
      <c r="B61" s="16"/>
      <c r="C61" s="57"/>
      <c r="D61" s="91"/>
      <c r="E61" s="1"/>
      <c r="F61" s="59"/>
      <c r="G61" s="59"/>
      <c r="H61" s="59"/>
      <c r="I61" s="59"/>
      <c r="J61" s="230"/>
      <c r="K61" s="255"/>
      <c r="L61" s="255"/>
      <c r="M61" s="255"/>
      <c r="N61" s="256"/>
    </row>
    <row r="62" spans="2:21" ht="12.75" customHeight="1" x14ac:dyDescent="0.25">
      <c r="B62" s="16"/>
      <c r="C62" s="57"/>
      <c r="D62" s="91"/>
      <c r="E62" s="1"/>
      <c r="F62" s="59"/>
      <c r="G62" s="59"/>
      <c r="H62" s="59"/>
      <c r="I62" s="59"/>
      <c r="K62" s="257"/>
      <c r="L62" s="257" t="s">
        <v>2127</v>
      </c>
      <c r="M62" s="258">
        <f>SUM(M53:M61)</f>
        <v>0</v>
      </c>
      <c r="N62" s="259"/>
    </row>
    <row r="63" spans="2:21" ht="12.75" customHeight="1" x14ac:dyDescent="0.25">
      <c r="B63" s="16"/>
      <c r="C63" s="57"/>
      <c r="D63" s="91"/>
      <c r="E63" s="1"/>
      <c r="F63" s="59"/>
      <c r="G63" s="59"/>
      <c r="H63" s="59"/>
      <c r="I63" s="59"/>
      <c r="K63" s="260"/>
      <c r="L63" s="260"/>
      <c r="M63" s="260"/>
      <c r="N63" s="261"/>
    </row>
    <row r="64" spans="2:21" ht="12.75" customHeight="1" x14ac:dyDescent="0.25">
      <c r="B64" s="16"/>
      <c r="C64" s="1"/>
      <c r="D64" s="91"/>
      <c r="E64" s="1"/>
      <c r="F64" s="59"/>
      <c r="G64" s="59"/>
      <c r="H64" s="59"/>
      <c r="I64" s="59"/>
      <c r="K64" s="257"/>
      <c r="L64" s="257" t="s">
        <v>2128</v>
      </c>
      <c r="M64" s="258">
        <f>M62-M49</f>
        <v>0</v>
      </c>
      <c r="N64" s="259"/>
    </row>
    <row r="65" spans="1:17" ht="12.75" customHeight="1" x14ac:dyDescent="0.25">
      <c r="B65" s="16"/>
      <c r="C65" s="57"/>
      <c r="D65" s="91"/>
      <c r="E65" s="1"/>
      <c r="F65" s="59"/>
      <c r="G65" s="59"/>
      <c r="H65" s="59"/>
      <c r="I65" s="59"/>
    </row>
    <row r="67" spans="1:17" ht="12.75" customHeight="1" thickBot="1" x14ac:dyDescent="0.3">
      <c r="K67" s="243"/>
      <c r="L67" s="243"/>
    </row>
    <row r="68" spans="1:17" ht="12.75" customHeight="1" thickBot="1" x14ac:dyDescent="0.3">
      <c r="B68" s="351" t="s">
        <v>1256</v>
      </c>
      <c r="C68" s="251"/>
      <c r="D68" s="251"/>
      <c r="E68" s="251"/>
      <c r="F68" s="251"/>
      <c r="G68" s="251"/>
      <c r="H68" s="251"/>
      <c r="I68" s="251"/>
      <c r="J68" s="251"/>
      <c r="K68" s="251"/>
      <c r="L68" s="251"/>
      <c r="M68" s="251"/>
      <c r="N68" s="251"/>
      <c r="O68" s="340"/>
    </row>
    <row r="69" spans="1:17" ht="12.75" customHeight="1" x14ac:dyDescent="0.25">
      <c r="B69" s="411" t="s">
        <v>184</v>
      </c>
      <c r="C69" s="204" t="s">
        <v>2079</v>
      </c>
      <c r="D69" s="204" t="s">
        <v>1258</v>
      </c>
      <c r="E69" s="412" t="s">
        <v>1257</v>
      </c>
      <c r="F69" s="204" t="s">
        <v>469</v>
      </c>
      <c r="G69" s="412" t="s">
        <v>188</v>
      </c>
      <c r="H69" s="412" t="s">
        <v>470</v>
      </c>
      <c r="I69" s="412" t="s">
        <v>1839</v>
      </c>
      <c r="J69" s="412" t="s">
        <v>1840</v>
      </c>
      <c r="K69" s="412" t="s">
        <v>2247</v>
      </c>
      <c r="L69" s="412" t="s">
        <v>1251</v>
      </c>
      <c r="M69" s="412" t="s">
        <v>1216</v>
      </c>
      <c r="N69" s="412" t="s">
        <v>668</v>
      </c>
      <c r="O69" s="204" t="s">
        <v>1212</v>
      </c>
      <c r="P69" s="204" t="s">
        <v>186</v>
      </c>
    </row>
    <row r="70" spans="1:17" ht="12.75" customHeight="1" x14ac:dyDescent="0.25">
      <c r="A70" s="451"/>
      <c r="B70" s="295" t="s">
        <v>2923</v>
      </c>
      <c r="C70" s="466" t="s">
        <v>2924</v>
      </c>
      <c r="D70" s="453" t="s">
        <v>1249</v>
      </c>
      <c r="E70" s="454">
        <v>5800</v>
      </c>
      <c r="F70" s="454">
        <v>500</v>
      </c>
      <c r="G70" s="455">
        <v>29.6</v>
      </c>
      <c r="H70" s="457">
        <f t="shared" ref="H70:H84" si="0">F70*G70</f>
        <v>14800</v>
      </c>
      <c r="I70" s="455">
        <v>90</v>
      </c>
      <c r="J70" s="455">
        <v>12.4</v>
      </c>
      <c r="K70" s="455">
        <v>1</v>
      </c>
      <c r="L70" s="455">
        <v>10.36</v>
      </c>
      <c r="M70" s="455">
        <f t="shared" ref="M70:M98" si="1">SUM(I70:L70)</f>
        <v>113.76</v>
      </c>
      <c r="N70" s="303">
        <f>H70+M70</f>
        <v>14913.76</v>
      </c>
      <c r="O70" s="461" t="s">
        <v>2925</v>
      </c>
      <c r="P70" s="461" t="s">
        <v>197</v>
      </c>
      <c r="Q70" s="451"/>
    </row>
    <row r="71" spans="1:17" ht="12.75" customHeight="1" x14ac:dyDescent="0.25">
      <c r="A71" s="451"/>
      <c r="B71" s="295" t="s">
        <v>2926</v>
      </c>
      <c r="C71" s="466" t="s">
        <v>2924</v>
      </c>
      <c r="D71" s="453" t="s">
        <v>1249</v>
      </c>
      <c r="E71" s="454">
        <v>5800</v>
      </c>
      <c r="F71" s="454">
        <v>200</v>
      </c>
      <c r="G71" s="455">
        <v>20.5</v>
      </c>
      <c r="H71" s="457">
        <f t="shared" si="0"/>
        <v>4100</v>
      </c>
      <c r="I71" s="455">
        <v>36</v>
      </c>
      <c r="J71" s="448"/>
      <c r="K71" s="448"/>
      <c r="L71" s="448"/>
      <c r="M71" s="455">
        <f t="shared" si="1"/>
        <v>36</v>
      </c>
      <c r="N71" s="303">
        <f>H71+M71</f>
        <v>4136</v>
      </c>
      <c r="O71" s="461" t="s">
        <v>2927</v>
      </c>
      <c r="P71" s="461" t="s">
        <v>197</v>
      </c>
      <c r="Q71" s="451"/>
    </row>
    <row r="72" spans="1:17" ht="12.75" customHeight="1" x14ac:dyDescent="0.25">
      <c r="A72" s="451"/>
      <c r="B72" s="295" t="s">
        <v>2926</v>
      </c>
      <c r="C72" s="452" t="s">
        <v>2924</v>
      </c>
      <c r="D72" s="452" t="s">
        <v>1249</v>
      </c>
      <c r="E72" s="454">
        <v>5800</v>
      </c>
      <c r="F72" s="454">
        <v>800</v>
      </c>
      <c r="G72" s="455">
        <v>15.1</v>
      </c>
      <c r="H72" s="457">
        <f t="shared" si="0"/>
        <v>12080</v>
      </c>
      <c r="I72" s="455">
        <v>144</v>
      </c>
      <c r="J72" s="447"/>
      <c r="K72" s="447"/>
      <c r="L72" s="447"/>
      <c r="M72" s="455">
        <f t="shared" si="1"/>
        <v>144</v>
      </c>
      <c r="N72" s="303">
        <f>H72+M72</f>
        <v>12224</v>
      </c>
      <c r="O72" s="461" t="s">
        <v>2927</v>
      </c>
      <c r="P72" s="461" t="s">
        <v>197</v>
      </c>
      <c r="Q72" s="451"/>
    </row>
    <row r="73" spans="1:17" ht="12.75" customHeight="1" x14ac:dyDescent="0.25">
      <c r="A73" s="451"/>
      <c r="B73" s="295" t="s">
        <v>2929</v>
      </c>
      <c r="C73" s="452" t="s">
        <v>2928</v>
      </c>
      <c r="D73" s="452" t="s">
        <v>1249</v>
      </c>
      <c r="E73" s="454">
        <v>90</v>
      </c>
      <c r="F73" s="454">
        <v>2000</v>
      </c>
      <c r="G73" s="455">
        <v>2.9</v>
      </c>
      <c r="H73" s="457">
        <f t="shared" si="0"/>
        <v>5800</v>
      </c>
      <c r="I73" s="455">
        <v>9</v>
      </c>
      <c r="J73" s="447"/>
      <c r="K73" s="447"/>
      <c r="L73" s="447"/>
      <c r="M73" s="455">
        <f t="shared" si="1"/>
        <v>9</v>
      </c>
      <c r="N73" s="303">
        <f>H73+M73</f>
        <v>5809</v>
      </c>
      <c r="O73" s="461" t="s">
        <v>2930</v>
      </c>
      <c r="P73" s="461" t="s">
        <v>197</v>
      </c>
      <c r="Q73" s="451"/>
    </row>
    <row r="74" spans="1:17" ht="12.75" customHeight="1" x14ac:dyDescent="0.25">
      <c r="A74" s="451"/>
      <c r="B74" s="295" t="s">
        <v>2929</v>
      </c>
      <c r="C74" s="452" t="s">
        <v>2924</v>
      </c>
      <c r="D74" s="452" t="s">
        <v>1245</v>
      </c>
      <c r="E74" s="454">
        <v>5500</v>
      </c>
      <c r="F74" s="454">
        <v>50</v>
      </c>
      <c r="G74" s="455">
        <v>55.5</v>
      </c>
      <c r="H74" s="457">
        <f t="shared" si="0"/>
        <v>2775</v>
      </c>
      <c r="I74" s="455">
        <v>9</v>
      </c>
      <c r="J74" s="447"/>
      <c r="K74" s="447"/>
      <c r="L74" s="447"/>
      <c r="M74" s="455">
        <f t="shared" si="1"/>
        <v>9</v>
      </c>
      <c r="N74" s="303">
        <f t="shared" ref="N74:N102" si="2">H74+M74</f>
        <v>2784</v>
      </c>
      <c r="O74" s="461" t="s">
        <v>2930</v>
      </c>
      <c r="P74" s="461" t="s">
        <v>197</v>
      </c>
      <c r="Q74" s="451"/>
    </row>
    <row r="75" spans="1:17" ht="12.75" customHeight="1" x14ac:dyDescent="0.25">
      <c r="A75" s="451"/>
      <c r="B75" s="295" t="s">
        <v>2929</v>
      </c>
      <c r="C75" s="452" t="s">
        <v>2924</v>
      </c>
      <c r="D75" s="452" t="s">
        <v>1245</v>
      </c>
      <c r="E75" s="454">
        <v>5500</v>
      </c>
      <c r="F75" s="454">
        <v>50</v>
      </c>
      <c r="G75" s="455">
        <v>55.5</v>
      </c>
      <c r="H75" s="457">
        <f t="shared" si="0"/>
        <v>2775</v>
      </c>
      <c r="I75" s="455">
        <v>9</v>
      </c>
      <c r="J75" s="447"/>
      <c r="K75" s="447"/>
      <c r="L75" s="447"/>
      <c r="M75" s="455">
        <f t="shared" si="1"/>
        <v>9</v>
      </c>
      <c r="N75" s="303">
        <f t="shared" si="2"/>
        <v>2784</v>
      </c>
      <c r="O75" s="461" t="s">
        <v>2930</v>
      </c>
      <c r="P75" s="461" t="s">
        <v>197</v>
      </c>
      <c r="Q75" s="451"/>
    </row>
    <row r="76" spans="1:17" ht="12.75" customHeight="1" x14ac:dyDescent="0.25">
      <c r="A76" s="451"/>
      <c r="B76" s="295" t="s">
        <v>2929</v>
      </c>
      <c r="C76" s="452" t="s">
        <v>2924</v>
      </c>
      <c r="D76" s="452" t="s">
        <v>1245</v>
      </c>
      <c r="E76" s="454">
        <v>5500</v>
      </c>
      <c r="F76" s="454">
        <v>50</v>
      </c>
      <c r="G76" s="455">
        <v>56.85</v>
      </c>
      <c r="H76" s="457">
        <f t="shared" si="0"/>
        <v>2842.5</v>
      </c>
      <c r="I76" s="455">
        <v>9</v>
      </c>
      <c r="J76" s="447"/>
      <c r="K76" s="447"/>
      <c r="L76" s="447"/>
      <c r="M76" s="455">
        <f t="shared" si="1"/>
        <v>9</v>
      </c>
      <c r="N76" s="303">
        <f t="shared" si="2"/>
        <v>2851.5</v>
      </c>
      <c r="O76" s="461" t="s">
        <v>2930</v>
      </c>
      <c r="P76" s="461" t="s">
        <v>197</v>
      </c>
      <c r="Q76" s="451"/>
    </row>
    <row r="77" spans="1:17" ht="12.75" customHeight="1" x14ac:dyDescent="0.25">
      <c r="A77" s="451"/>
      <c r="B77" s="295" t="s">
        <v>2933</v>
      </c>
      <c r="C77" s="452" t="s">
        <v>2932</v>
      </c>
      <c r="D77" s="452" t="s">
        <v>1249</v>
      </c>
      <c r="E77" s="454">
        <v>185</v>
      </c>
      <c r="F77" s="454">
        <v>1000</v>
      </c>
      <c r="G77" s="455">
        <v>5</v>
      </c>
      <c r="H77" s="457">
        <f t="shared" si="0"/>
        <v>5000</v>
      </c>
      <c r="I77" s="455">
        <v>9</v>
      </c>
      <c r="J77" s="447"/>
      <c r="K77" s="447"/>
      <c r="L77" s="447"/>
      <c r="M77" s="455">
        <f t="shared" si="1"/>
        <v>9</v>
      </c>
      <c r="N77" s="303">
        <f t="shared" si="2"/>
        <v>5009</v>
      </c>
      <c r="O77" s="461" t="s">
        <v>2934</v>
      </c>
      <c r="P77" s="461" t="s">
        <v>197</v>
      </c>
      <c r="Q77" s="451"/>
    </row>
    <row r="78" spans="1:17" ht="12.75" customHeight="1" x14ac:dyDescent="0.25">
      <c r="A78" s="451"/>
      <c r="B78" s="295" t="s">
        <v>2933</v>
      </c>
      <c r="C78" s="452" t="s">
        <v>2931</v>
      </c>
      <c r="D78" s="452" t="s">
        <v>1245</v>
      </c>
      <c r="E78" s="454">
        <v>11000</v>
      </c>
      <c r="F78" s="454">
        <v>50</v>
      </c>
      <c r="G78" s="455">
        <v>160.55000000000001</v>
      </c>
      <c r="H78" s="457">
        <f t="shared" si="0"/>
        <v>8027.5000000000009</v>
      </c>
      <c r="I78" s="455">
        <v>18</v>
      </c>
      <c r="J78" s="447"/>
      <c r="K78" s="447"/>
      <c r="L78" s="447"/>
      <c r="M78" s="455">
        <f t="shared" si="1"/>
        <v>18</v>
      </c>
      <c r="N78" s="303">
        <f t="shared" si="2"/>
        <v>8045.5000000000009</v>
      </c>
      <c r="O78" s="461" t="s">
        <v>2934</v>
      </c>
      <c r="P78" s="461" t="s">
        <v>197</v>
      </c>
      <c r="Q78" s="451"/>
    </row>
    <row r="79" spans="1:17" ht="12.75" customHeight="1" x14ac:dyDescent="0.25">
      <c r="A79" s="451"/>
      <c r="B79" s="295" t="s">
        <v>2933</v>
      </c>
      <c r="C79" s="452" t="s">
        <v>2924</v>
      </c>
      <c r="D79" s="452" t="s">
        <v>1249</v>
      </c>
      <c r="E79" s="454">
        <v>5700</v>
      </c>
      <c r="F79" s="454">
        <v>50</v>
      </c>
      <c r="G79" s="455">
        <v>27.35</v>
      </c>
      <c r="H79" s="457">
        <f t="shared" si="0"/>
        <v>1367.5</v>
      </c>
      <c r="I79" s="455">
        <v>9</v>
      </c>
      <c r="J79" s="447"/>
      <c r="K79" s="447"/>
      <c r="L79" s="447"/>
      <c r="M79" s="455">
        <f t="shared" si="1"/>
        <v>9</v>
      </c>
      <c r="N79" s="303">
        <f t="shared" si="2"/>
        <v>1376.5</v>
      </c>
      <c r="O79" s="461" t="s">
        <v>2934</v>
      </c>
      <c r="P79" s="461" t="s">
        <v>197</v>
      </c>
      <c r="Q79" s="451"/>
    </row>
    <row r="80" spans="1:17" ht="12.75" customHeight="1" x14ac:dyDescent="0.25">
      <c r="A80" s="451"/>
      <c r="B80" s="295" t="s">
        <v>2933</v>
      </c>
      <c r="C80" s="452" t="s">
        <v>2924</v>
      </c>
      <c r="D80" s="452" t="s">
        <v>1249</v>
      </c>
      <c r="E80" s="454">
        <v>5600</v>
      </c>
      <c r="F80" s="454">
        <v>150</v>
      </c>
      <c r="G80" s="455">
        <v>60.6</v>
      </c>
      <c r="H80" s="457">
        <f t="shared" si="0"/>
        <v>9090</v>
      </c>
      <c r="I80" s="455">
        <v>27</v>
      </c>
      <c r="J80" s="447"/>
      <c r="K80" s="447"/>
      <c r="L80" s="447"/>
      <c r="M80" s="455">
        <f t="shared" si="1"/>
        <v>27</v>
      </c>
      <c r="N80" s="303">
        <f t="shared" si="2"/>
        <v>9117</v>
      </c>
      <c r="O80" s="461" t="s">
        <v>2934</v>
      </c>
      <c r="P80" s="461" t="s">
        <v>197</v>
      </c>
      <c r="Q80" s="451"/>
    </row>
    <row r="81" spans="1:18" ht="12.75" customHeight="1" x14ac:dyDescent="0.25">
      <c r="A81" s="451"/>
      <c r="B81" s="295" t="s">
        <v>2933</v>
      </c>
      <c r="C81" s="452" t="s">
        <v>2924</v>
      </c>
      <c r="D81" s="452" t="s">
        <v>1249</v>
      </c>
      <c r="E81" s="454">
        <v>5700</v>
      </c>
      <c r="F81" s="454">
        <v>100</v>
      </c>
      <c r="G81" s="455">
        <v>27.35</v>
      </c>
      <c r="H81" s="457">
        <f t="shared" si="0"/>
        <v>2735</v>
      </c>
      <c r="I81" s="455">
        <v>18</v>
      </c>
      <c r="J81" s="458">
        <v>22.98</v>
      </c>
      <c r="K81" s="458">
        <f>4+3</f>
        <v>7</v>
      </c>
      <c r="L81" s="458">
        <v>32.89</v>
      </c>
      <c r="M81" s="455">
        <f t="shared" si="1"/>
        <v>80.87</v>
      </c>
      <c r="N81" s="303">
        <f t="shared" si="2"/>
        <v>2815.87</v>
      </c>
      <c r="O81" s="461" t="s">
        <v>2934</v>
      </c>
      <c r="P81" s="461" t="s">
        <v>197</v>
      </c>
      <c r="Q81" s="451"/>
    </row>
    <row r="82" spans="1:18" ht="12.75" customHeight="1" x14ac:dyDescent="0.25">
      <c r="A82" s="451"/>
      <c r="B82" s="295" t="s">
        <v>2935</v>
      </c>
      <c r="C82" s="452" t="s">
        <v>2924</v>
      </c>
      <c r="D82" s="452" t="s">
        <v>1245</v>
      </c>
      <c r="E82" s="454">
        <v>5400</v>
      </c>
      <c r="F82" s="454">
        <v>100</v>
      </c>
      <c r="G82" s="455">
        <v>34.9</v>
      </c>
      <c r="H82" s="457">
        <f t="shared" si="0"/>
        <v>3490</v>
      </c>
      <c r="I82" s="455">
        <v>18</v>
      </c>
      <c r="J82" s="447"/>
      <c r="K82" s="447"/>
      <c r="L82" s="447"/>
      <c r="M82" s="455">
        <f t="shared" si="1"/>
        <v>18</v>
      </c>
      <c r="N82" s="303">
        <f t="shared" si="2"/>
        <v>3508</v>
      </c>
      <c r="O82" s="461" t="s">
        <v>2936</v>
      </c>
      <c r="P82" s="461" t="s">
        <v>197</v>
      </c>
      <c r="Q82" s="451"/>
    </row>
    <row r="83" spans="1:18" ht="13.2" x14ac:dyDescent="0.25">
      <c r="A83" s="451"/>
      <c r="B83" s="295" t="s">
        <v>2935</v>
      </c>
      <c r="C83" s="452" t="s">
        <v>2924</v>
      </c>
      <c r="D83" s="452" t="s">
        <v>1245</v>
      </c>
      <c r="E83" s="454">
        <v>5400</v>
      </c>
      <c r="F83" s="454">
        <v>100</v>
      </c>
      <c r="G83" s="455">
        <v>34.950000000000003</v>
      </c>
      <c r="H83" s="457">
        <f t="shared" si="0"/>
        <v>3495.0000000000005</v>
      </c>
      <c r="I83" s="455">
        <v>18</v>
      </c>
      <c r="J83" s="450"/>
      <c r="K83" s="450"/>
      <c r="L83" s="473"/>
      <c r="M83" s="455">
        <f t="shared" si="1"/>
        <v>18</v>
      </c>
      <c r="N83" s="303">
        <f t="shared" si="2"/>
        <v>3513.0000000000005</v>
      </c>
      <c r="O83" s="461" t="s">
        <v>2936</v>
      </c>
      <c r="P83" s="461" t="s">
        <v>197</v>
      </c>
      <c r="Q83" s="451"/>
      <c r="R83" s="247"/>
    </row>
    <row r="84" spans="1:18" ht="12.75" customHeight="1" x14ac:dyDescent="0.25">
      <c r="A84" s="451"/>
      <c r="B84" s="295" t="s">
        <v>2935</v>
      </c>
      <c r="C84" s="452" t="s">
        <v>2924</v>
      </c>
      <c r="D84" s="452" t="s">
        <v>1249</v>
      </c>
      <c r="E84" s="454">
        <v>5600</v>
      </c>
      <c r="F84" s="454">
        <v>50</v>
      </c>
      <c r="G84" s="455">
        <v>66</v>
      </c>
      <c r="H84" s="457">
        <f t="shared" si="0"/>
        <v>3300</v>
      </c>
      <c r="I84" s="455">
        <v>9</v>
      </c>
      <c r="J84" s="447"/>
      <c r="K84" s="447"/>
      <c r="L84" s="447"/>
      <c r="M84" s="455">
        <f t="shared" si="1"/>
        <v>9</v>
      </c>
      <c r="N84" s="303">
        <f t="shared" si="2"/>
        <v>3309</v>
      </c>
      <c r="O84" s="461" t="s">
        <v>2936</v>
      </c>
      <c r="P84" s="461" t="s">
        <v>197</v>
      </c>
      <c r="Q84" s="451"/>
    </row>
    <row r="85" spans="1:18" ht="12.75" customHeight="1" x14ac:dyDescent="0.25">
      <c r="A85" s="451"/>
      <c r="B85" s="295" t="s">
        <v>2946</v>
      </c>
      <c r="C85" s="452" t="s">
        <v>2944</v>
      </c>
      <c r="D85" s="452" t="s">
        <v>1249</v>
      </c>
      <c r="E85" s="454">
        <v>170</v>
      </c>
      <c r="F85" s="454">
        <v>4000</v>
      </c>
      <c r="G85" s="455">
        <v>1.45</v>
      </c>
      <c r="H85" s="457">
        <f t="shared" ref="H85:H98" si="3">F85*G85</f>
        <v>5800</v>
      </c>
      <c r="I85" s="455">
        <v>18</v>
      </c>
      <c r="J85" s="447"/>
      <c r="K85" s="447"/>
      <c r="L85" s="447"/>
      <c r="M85" s="455">
        <f t="shared" si="1"/>
        <v>18</v>
      </c>
      <c r="N85" s="303">
        <f t="shared" si="2"/>
        <v>5818</v>
      </c>
      <c r="O85" s="461" t="s">
        <v>2945</v>
      </c>
      <c r="P85" s="461" t="s">
        <v>197</v>
      </c>
      <c r="Q85" s="451"/>
    </row>
    <row r="86" spans="1:18" ht="12.75" customHeight="1" x14ac:dyDescent="0.25">
      <c r="A86" s="451"/>
      <c r="B86" s="295" t="s">
        <v>2946</v>
      </c>
      <c r="C86" s="452" t="s">
        <v>2924</v>
      </c>
      <c r="D86" s="452" t="s">
        <v>1249</v>
      </c>
      <c r="E86" s="454">
        <v>5600</v>
      </c>
      <c r="F86" s="454">
        <v>100</v>
      </c>
      <c r="G86" s="455">
        <v>54.5</v>
      </c>
      <c r="H86" s="457">
        <f t="shared" si="3"/>
        <v>5450</v>
      </c>
      <c r="I86" s="455">
        <v>18</v>
      </c>
      <c r="J86" s="458">
        <v>13.07</v>
      </c>
      <c r="K86" s="458">
        <f>2+2</f>
        <v>4</v>
      </c>
      <c r="L86" s="458">
        <v>15.77</v>
      </c>
      <c r="M86" s="455">
        <f t="shared" si="1"/>
        <v>50.84</v>
      </c>
      <c r="N86" s="303">
        <f t="shared" si="2"/>
        <v>5500.84</v>
      </c>
      <c r="O86" s="461" t="s">
        <v>2945</v>
      </c>
      <c r="P86" s="461" t="s">
        <v>197</v>
      </c>
      <c r="Q86" s="451"/>
    </row>
    <row r="87" spans="1:18" ht="12.75" customHeight="1" x14ac:dyDescent="0.25">
      <c r="A87" s="451"/>
      <c r="B87" s="295" t="s">
        <v>2943</v>
      </c>
      <c r="C87" s="452" t="s">
        <v>2924</v>
      </c>
      <c r="D87" s="452" t="s">
        <v>1245</v>
      </c>
      <c r="E87" s="454">
        <v>5200</v>
      </c>
      <c r="F87" s="454">
        <v>400</v>
      </c>
      <c r="G87" s="455">
        <v>5.5</v>
      </c>
      <c r="H87" s="457">
        <f t="shared" si="3"/>
        <v>2200</v>
      </c>
      <c r="I87" s="455">
        <v>72</v>
      </c>
      <c r="J87" s="447"/>
      <c r="K87" s="447"/>
      <c r="L87" s="447"/>
      <c r="M87" s="455">
        <f t="shared" si="1"/>
        <v>72</v>
      </c>
      <c r="N87" s="303">
        <f t="shared" si="2"/>
        <v>2272</v>
      </c>
      <c r="O87" s="461" t="s">
        <v>2948</v>
      </c>
      <c r="P87" s="461" t="s">
        <v>197</v>
      </c>
      <c r="Q87" s="451"/>
    </row>
    <row r="88" spans="1:18" ht="12.75" customHeight="1" x14ac:dyDescent="0.25">
      <c r="A88" s="451"/>
      <c r="B88" s="295" t="s">
        <v>2943</v>
      </c>
      <c r="C88" s="452" t="s">
        <v>2924</v>
      </c>
      <c r="D88" s="452" t="s">
        <v>1245</v>
      </c>
      <c r="E88" s="454">
        <v>5300</v>
      </c>
      <c r="F88" s="454">
        <v>150</v>
      </c>
      <c r="G88" s="455">
        <v>12.5</v>
      </c>
      <c r="H88" s="457">
        <f t="shared" si="3"/>
        <v>1875</v>
      </c>
      <c r="I88" s="455">
        <v>27</v>
      </c>
      <c r="J88" s="447"/>
      <c r="K88" s="447"/>
      <c r="L88" s="447"/>
      <c r="M88" s="455">
        <f t="shared" si="1"/>
        <v>27</v>
      </c>
      <c r="N88" s="303">
        <f t="shared" si="2"/>
        <v>1902</v>
      </c>
      <c r="O88" s="461" t="s">
        <v>2948</v>
      </c>
      <c r="P88" s="461" t="s">
        <v>197</v>
      </c>
      <c r="Q88" s="451"/>
    </row>
    <row r="89" spans="1:18" ht="13.2" x14ac:dyDescent="0.25">
      <c r="A89" s="451"/>
      <c r="B89" s="295" t="s">
        <v>2943</v>
      </c>
      <c r="C89" s="452" t="s">
        <v>2924</v>
      </c>
      <c r="D89" s="452" t="s">
        <v>1249</v>
      </c>
      <c r="E89" s="454">
        <v>5800</v>
      </c>
      <c r="F89" s="454">
        <v>100</v>
      </c>
      <c r="G89" s="455">
        <v>12.15</v>
      </c>
      <c r="H89" s="457">
        <f t="shared" si="3"/>
        <v>1215</v>
      </c>
      <c r="I89" s="455">
        <v>18</v>
      </c>
      <c r="J89" s="450"/>
      <c r="K89" s="450"/>
      <c r="L89" s="473"/>
      <c r="M89" s="455">
        <f t="shared" si="1"/>
        <v>18</v>
      </c>
      <c r="N89" s="303">
        <f t="shared" si="2"/>
        <v>1233</v>
      </c>
      <c r="O89" s="461" t="s">
        <v>2948</v>
      </c>
      <c r="P89" s="461" t="s">
        <v>197</v>
      </c>
      <c r="Q89" s="451"/>
      <c r="R89" s="247"/>
    </row>
    <row r="90" spans="1:18" ht="12.75" customHeight="1" x14ac:dyDescent="0.25">
      <c r="A90" s="451"/>
      <c r="B90" s="295" t="s">
        <v>2943</v>
      </c>
      <c r="C90" s="452" t="s">
        <v>2924</v>
      </c>
      <c r="D90" s="452" t="s">
        <v>1249</v>
      </c>
      <c r="E90" s="454">
        <v>5800</v>
      </c>
      <c r="F90" s="454">
        <v>100</v>
      </c>
      <c r="G90" s="455">
        <v>10.5</v>
      </c>
      <c r="H90" s="457">
        <f t="shared" si="3"/>
        <v>1050</v>
      </c>
      <c r="I90" s="455">
        <v>18</v>
      </c>
      <c r="J90" s="450"/>
      <c r="K90" s="450"/>
      <c r="L90" s="450"/>
      <c r="M90" s="455">
        <f t="shared" si="1"/>
        <v>18</v>
      </c>
      <c r="N90" s="303">
        <f t="shared" si="2"/>
        <v>1068</v>
      </c>
      <c r="O90" s="461" t="s">
        <v>2948</v>
      </c>
      <c r="P90" s="461" t="s">
        <v>197</v>
      </c>
      <c r="Q90" s="451"/>
    </row>
    <row r="91" spans="1:18" ht="12.75" customHeight="1" x14ac:dyDescent="0.25">
      <c r="A91" s="451"/>
      <c r="B91" s="295" t="s">
        <v>2943</v>
      </c>
      <c r="C91" s="452" t="s">
        <v>2924</v>
      </c>
      <c r="D91" s="452" t="s">
        <v>1249</v>
      </c>
      <c r="E91" s="454">
        <v>5800</v>
      </c>
      <c r="F91" s="454">
        <v>200</v>
      </c>
      <c r="G91" s="455">
        <v>10.5</v>
      </c>
      <c r="H91" s="457">
        <f t="shared" si="3"/>
        <v>2100</v>
      </c>
      <c r="I91" s="455">
        <v>36</v>
      </c>
      <c r="J91" s="458">
        <v>36.81</v>
      </c>
      <c r="K91" s="458">
        <f>1+1</f>
        <v>2</v>
      </c>
      <c r="L91" s="458">
        <v>9.81</v>
      </c>
      <c r="M91" s="455">
        <f t="shared" si="1"/>
        <v>84.62</v>
      </c>
      <c r="N91" s="303">
        <f t="shared" si="2"/>
        <v>2184.62</v>
      </c>
      <c r="O91" s="461" t="s">
        <v>2948</v>
      </c>
      <c r="P91" s="461" t="s">
        <v>197</v>
      </c>
      <c r="Q91" s="451"/>
    </row>
    <row r="92" spans="1:18" ht="12.75" customHeight="1" x14ac:dyDescent="0.25">
      <c r="A92" s="451"/>
      <c r="B92" s="295" t="s">
        <v>2950</v>
      </c>
      <c r="C92" s="452" t="s">
        <v>2924</v>
      </c>
      <c r="D92" s="452" t="s">
        <v>1249</v>
      </c>
      <c r="E92" s="454">
        <v>5800</v>
      </c>
      <c r="F92" s="454">
        <v>500</v>
      </c>
      <c r="G92" s="455">
        <v>4.9000000000000004</v>
      </c>
      <c r="H92" s="457">
        <f t="shared" si="3"/>
        <v>2450</v>
      </c>
      <c r="I92" s="455">
        <v>90</v>
      </c>
      <c r="J92" s="458">
        <v>11.33</v>
      </c>
      <c r="K92" s="458">
        <f>1</f>
        <v>1</v>
      </c>
      <c r="L92" s="458">
        <v>1.72</v>
      </c>
      <c r="M92" s="455">
        <f t="shared" si="1"/>
        <v>104.05</v>
      </c>
      <c r="N92" s="303">
        <f t="shared" si="2"/>
        <v>2554.0500000000002</v>
      </c>
      <c r="O92" s="461" t="s">
        <v>2952</v>
      </c>
      <c r="P92" s="461" t="s">
        <v>197</v>
      </c>
      <c r="Q92" s="451"/>
    </row>
    <row r="93" spans="1:18" ht="12.75" customHeight="1" x14ac:dyDescent="0.25">
      <c r="A93" s="451"/>
      <c r="B93" s="295" t="s">
        <v>2951</v>
      </c>
      <c r="C93" s="452" t="s">
        <v>2924</v>
      </c>
      <c r="D93" s="452" t="s">
        <v>1249</v>
      </c>
      <c r="E93" s="454">
        <v>5800</v>
      </c>
      <c r="F93" s="454">
        <v>100</v>
      </c>
      <c r="G93" s="455">
        <v>4.95</v>
      </c>
      <c r="H93" s="457">
        <f t="shared" si="3"/>
        <v>495</v>
      </c>
      <c r="I93" s="455">
        <v>18</v>
      </c>
      <c r="J93" s="458">
        <v>2.2599999999999998</v>
      </c>
      <c r="K93" s="458">
        <v>1</v>
      </c>
      <c r="L93" s="458">
        <v>0.35</v>
      </c>
      <c r="M93" s="455">
        <f t="shared" si="1"/>
        <v>21.61</v>
      </c>
      <c r="N93" s="303">
        <f t="shared" si="2"/>
        <v>516.61</v>
      </c>
      <c r="O93" s="461" t="s">
        <v>2953</v>
      </c>
      <c r="P93" s="461" t="s">
        <v>197</v>
      </c>
      <c r="Q93" s="451"/>
    </row>
    <row r="94" spans="1:18" ht="12.75" customHeight="1" x14ac:dyDescent="0.25">
      <c r="A94" s="451"/>
      <c r="B94" s="295" t="s">
        <v>2955</v>
      </c>
      <c r="C94" s="452" t="s">
        <v>2931</v>
      </c>
      <c r="D94" s="452" t="s">
        <v>1245</v>
      </c>
      <c r="E94" s="454">
        <v>11600</v>
      </c>
      <c r="F94" s="454">
        <v>25</v>
      </c>
      <c r="G94" s="455">
        <v>61</v>
      </c>
      <c r="H94" s="457">
        <f t="shared" si="3"/>
        <v>1525</v>
      </c>
      <c r="I94" s="455">
        <v>9</v>
      </c>
      <c r="J94" s="447"/>
      <c r="K94" s="447"/>
      <c r="L94" s="447"/>
      <c r="M94" s="455">
        <f t="shared" si="1"/>
        <v>9</v>
      </c>
      <c r="N94" s="303">
        <f t="shared" si="2"/>
        <v>1534</v>
      </c>
      <c r="O94" s="461" t="s">
        <v>2954</v>
      </c>
      <c r="P94" s="461" t="s">
        <v>197</v>
      </c>
      <c r="Q94" s="451"/>
    </row>
    <row r="95" spans="1:18" ht="13.2" x14ac:dyDescent="0.25">
      <c r="A95" s="451"/>
      <c r="B95" s="295" t="s">
        <v>2955</v>
      </c>
      <c r="C95" s="452" t="s">
        <v>2931</v>
      </c>
      <c r="D95" s="452" t="s">
        <v>1245</v>
      </c>
      <c r="E95" s="454">
        <v>11600</v>
      </c>
      <c r="F95" s="454">
        <v>25</v>
      </c>
      <c r="G95" s="455">
        <v>61</v>
      </c>
      <c r="H95" s="457">
        <f t="shared" si="3"/>
        <v>1525</v>
      </c>
      <c r="I95" s="455">
        <v>9</v>
      </c>
      <c r="J95" s="450"/>
      <c r="K95" s="450"/>
      <c r="L95" s="473"/>
      <c r="M95" s="455">
        <f t="shared" si="1"/>
        <v>9</v>
      </c>
      <c r="N95" s="303">
        <f t="shared" si="2"/>
        <v>1534</v>
      </c>
      <c r="O95" s="461" t="s">
        <v>2954</v>
      </c>
      <c r="P95" s="459" t="s">
        <v>197</v>
      </c>
      <c r="Q95" s="451"/>
      <c r="R95" s="247"/>
    </row>
    <row r="96" spans="1:18" ht="12.75" customHeight="1" x14ac:dyDescent="0.25">
      <c r="A96" s="451"/>
      <c r="B96" s="295" t="s">
        <v>2955</v>
      </c>
      <c r="C96" s="452" t="s">
        <v>2931</v>
      </c>
      <c r="D96" s="452" t="s">
        <v>1245</v>
      </c>
      <c r="E96" s="454">
        <v>11600</v>
      </c>
      <c r="F96" s="454">
        <v>25</v>
      </c>
      <c r="G96" s="455">
        <v>61</v>
      </c>
      <c r="H96" s="457">
        <f t="shared" si="3"/>
        <v>1525</v>
      </c>
      <c r="I96" s="455">
        <v>9</v>
      </c>
      <c r="J96" s="474"/>
      <c r="K96" s="447"/>
      <c r="L96" s="447"/>
      <c r="M96" s="455">
        <f t="shared" si="1"/>
        <v>9</v>
      </c>
      <c r="N96" s="303">
        <f t="shared" si="2"/>
        <v>1534</v>
      </c>
      <c r="O96" s="461" t="s">
        <v>2954</v>
      </c>
      <c r="P96" s="461" t="s">
        <v>197</v>
      </c>
      <c r="Q96" s="451"/>
    </row>
    <row r="97" spans="1:18" ht="12.75" customHeight="1" x14ac:dyDescent="0.25">
      <c r="A97" s="451"/>
      <c r="B97" s="295" t="s">
        <v>2955</v>
      </c>
      <c r="C97" s="452" t="s">
        <v>2931</v>
      </c>
      <c r="D97" s="452" t="s">
        <v>1245</v>
      </c>
      <c r="E97" s="454">
        <v>11600</v>
      </c>
      <c r="F97" s="454">
        <v>125</v>
      </c>
      <c r="G97" s="455">
        <v>61</v>
      </c>
      <c r="H97" s="457">
        <f t="shared" si="3"/>
        <v>7625</v>
      </c>
      <c r="I97" s="455">
        <v>45</v>
      </c>
      <c r="J97" s="447"/>
      <c r="K97" s="447"/>
      <c r="L97" s="447"/>
      <c r="M97" s="455">
        <f t="shared" si="1"/>
        <v>45</v>
      </c>
      <c r="N97" s="303">
        <f t="shared" si="2"/>
        <v>7670</v>
      </c>
      <c r="O97" s="461" t="s">
        <v>2954</v>
      </c>
      <c r="P97" s="461" t="s">
        <v>197</v>
      </c>
      <c r="Q97" s="451"/>
    </row>
    <row r="98" spans="1:18" ht="12.75" customHeight="1" x14ac:dyDescent="0.25">
      <c r="A98" s="451"/>
      <c r="B98" s="295" t="s">
        <v>2955</v>
      </c>
      <c r="C98" s="452" t="s">
        <v>2924</v>
      </c>
      <c r="D98" s="452" t="s">
        <v>1249</v>
      </c>
      <c r="E98" s="454">
        <v>5900</v>
      </c>
      <c r="F98" s="454">
        <v>3000</v>
      </c>
      <c r="G98" s="455">
        <v>3.7</v>
      </c>
      <c r="H98" s="457">
        <f t="shared" si="3"/>
        <v>11100</v>
      </c>
      <c r="I98" s="455">
        <v>540</v>
      </c>
      <c r="J98" s="458">
        <v>178.6</v>
      </c>
      <c r="K98" s="458">
        <f>6+4</f>
        <v>10</v>
      </c>
      <c r="L98" s="458">
        <v>41.05</v>
      </c>
      <c r="M98" s="455">
        <f t="shared" si="1"/>
        <v>769.65</v>
      </c>
      <c r="N98" s="303">
        <f t="shared" si="2"/>
        <v>11869.65</v>
      </c>
      <c r="O98" s="461" t="s">
        <v>2954</v>
      </c>
      <c r="P98" s="461" t="s">
        <v>197</v>
      </c>
      <c r="Q98" s="451"/>
    </row>
    <row r="99" spans="1:18" ht="12.75" customHeight="1" x14ac:dyDescent="0.25">
      <c r="A99" s="451"/>
      <c r="B99" s="295" t="s">
        <v>3000</v>
      </c>
      <c r="C99" s="452" t="s">
        <v>2924</v>
      </c>
      <c r="D99" s="452" t="s">
        <v>1245</v>
      </c>
      <c r="E99" s="454">
        <v>5800</v>
      </c>
      <c r="F99" s="454">
        <v>100</v>
      </c>
      <c r="G99" s="455">
        <v>21.5</v>
      </c>
      <c r="H99" s="457">
        <f>F99*G99</f>
        <v>2150</v>
      </c>
      <c r="I99" s="455">
        <v>18</v>
      </c>
      <c r="J99" s="447"/>
      <c r="K99" s="447"/>
      <c r="L99" s="447"/>
      <c r="M99" s="455">
        <f t="shared" ref="M99:M110" si="4">SUM(I99:L99)</f>
        <v>18</v>
      </c>
      <c r="N99" s="303">
        <f t="shared" si="2"/>
        <v>2168</v>
      </c>
      <c r="O99" s="461" t="s">
        <v>3001</v>
      </c>
      <c r="P99" s="461" t="s">
        <v>197</v>
      </c>
      <c r="Q99" s="451"/>
    </row>
    <row r="100" spans="1:18" ht="12.75" customHeight="1" x14ac:dyDescent="0.25">
      <c r="A100" s="451"/>
      <c r="B100" s="295" t="s">
        <v>3000</v>
      </c>
      <c r="C100" s="452" t="s">
        <v>2924</v>
      </c>
      <c r="D100" s="452" t="s">
        <v>1245</v>
      </c>
      <c r="E100" s="454">
        <v>5800</v>
      </c>
      <c r="F100" s="454">
        <v>100</v>
      </c>
      <c r="G100" s="455">
        <v>22.25</v>
      </c>
      <c r="H100" s="457">
        <f t="shared" ref="H100:H163" si="5">F100*G100</f>
        <v>2225</v>
      </c>
      <c r="I100" s="455">
        <v>18</v>
      </c>
      <c r="J100" s="447"/>
      <c r="K100" s="447"/>
      <c r="L100" s="447"/>
      <c r="M100" s="455">
        <f t="shared" si="4"/>
        <v>18</v>
      </c>
      <c r="N100" s="303">
        <f t="shared" si="2"/>
        <v>2243</v>
      </c>
      <c r="O100" s="461" t="s">
        <v>3001</v>
      </c>
      <c r="P100" s="461" t="s">
        <v>197</v>
      </c>
      <c r="Q100" s="451"/>
    </row>
    <row r="101" spans="1:18" ht="13.2" x14ac:dyDescent="0.25">
      <c r="A101" s="451"/>
      <c r="B101" s="295" t="s">
        <v>3000</v>
      </c>
      <c r="C101" s="452" t="s">
        <v>2924</v>
      </c>
      <c r="D101" s="452" t="s">
        <v>1249</v>
      </c>
      <c r="E101" s="454">
        <v>5800</v>
      </c>
      <c r="F101" s="454">
        <v>200</v>
      </c>
      <c r="G101" s="455">
        <v>33.549999999999997</v>
      </c>
      <c r="H101" s="457">
        <f t="shared" si="5"/>
        <v>6709.9999999999991</v>
      </c>
      <c r="I101" s="455">
        <v>36</v>
      </c>
      <c r="J101" s="447"/>
      <c r="K101" s="447"/>
      <c r="L101" s="447"/>
      <c r="M101" s="455">
        <f t="shared" si="4"/>
        <v>36</v>
      </c>
      <c r="N101" s="303">
        <f t="shared" si="2"/>
        <v>6745.9999999999991</v>
      </c>
      <c r="O101" s="461" t="s">
        <v>3001</v>
      </c>
      <c r="P101" s="459" t="s">
        <v>197</v>
      </c>
      <c r="Q101" s="451"/>
      <c r="R101" s="247"/>
    </row>
    <row r="102" spans="1:18" ht="12.75" customHeight="1" x14ac:dyDescent="0.25">
      <c r="A102" s="451"/>
      <c r="B102" s="295" t="s">
        <v>3000</v>
      </c>
      <c r="C102" s="452" t="s">
        <v>2924</v>
      </c>
      <c r="D102" s="452" t="s">
        <v>1245</v>
      </c>
      <c r="E102" s="454">
        <v>5800</v>
      </c>
      <c r="F102" s="454">
        <v>200</v>
      </c>
      <c r="G102" s="455">
        <v>16.45</v>
      </c>
      <c r="H102" s="457">
        <f t="shared" si="5"/>
        <v>3290</v>
      </c>
      <c r="I102" s="455">
        <v>36</v>
      </c>
      <c r="J102" s="458">
        <v>29.01</v>
      </c>
      <c r="K102" s="458">
        <f>2+2</f>
        <v>4</v>
      </c>
      <c r="L102" s="458">
        <v>18.66</v>
      </c>
      <c r="M102" s="455">
        <f t="shared" si="4"/>
        <v>87.67</v>
      </c>
      <c r="N102" s="303">
        <f t="shared" si="2"/>
        <v>3377.67</v>
      </c>
      <c r="O102" s="461" t="s">
        <v>3001</v>
      </c>
      <c r="P102" s="459" t="s">
        <v>197</v>
      </c>
      <c r="Q102" s="451"/>
    </row>
    <row r="103" spans="1:18" ht="12.75" customHeight="1" x14ac:dyDescent="0.25">
      <c r="A103" s="451"/>
      <c r="B103" s="249" t="s">
        <v>3007</v>
      </c>
      <c r="C103" s="452" t="s">
        <v>3009</v>
      </c>
      <c r="D103" s="452" t="s">
        <v>1245</v>
      </c>
      <c r="E103" s="454">
        <v>12400</v>
      </c>
      <c r="F103" s="454">
        <v>25</v>
      </c>
      <c r="G103" s="455">
        <v>160</v>
      </c>
      <c r="H103" s="457">
        <f t="shared" si="5"/>
        <v>4000</v>
      </c>
      <c r="I103" s="455">
        <v>9</v>
      </c>
      <c r="J103" s="447"/>
      <c r="K103" s="447"/>
      <c r="L103" s="447"/>
      <c r="M103" s="455">
        <f t="shared" si="4"/>
        <v>9</v>
      </c>
      <c r="N103" s="303">
        <f t="shared" ref="N103:N110" si="6">H103+M103</f>
        <v>4009</v>
      </c>
      <c r="O103" s="461" t="s">
        <v>3010</v>
      </c>
      <c r="P103" s="459" t="s">
        <v>197</v>
      </c>
      <c r="Q103" s="451"/>
    </row>
    <row r="104" spans="1:18" ht="12.75" customHeight="1" x14ac:dyDescent="0.25">
      <c r="A104" s="451"/>
      <c r="B104" s="249" t="s">
        <v>3007</v>
      </c>
      <c r="C104" s="452" t="s">
        <v>3009</v>
      </c>
      <c r="D104" s="452" t="s">
        <v>1245</v>
      </c>
      <c r="E104" s="454">
        <v>12400</v>
      </c>
      <c r="F104" s="454">
        <v>50</v>
      </c>
      <c r="G104" s="455">
        <v>161.4</v>
      </c>
      <c r="H104" s="457">
        <f t="shared" si="5"/>
        <v>8070</v>
      </c>
      <c r="I104" s="455">
        <v>18</v>
      </c>
      <c r="J104" s="447"/>
      <c r="K104" s="447"/>
      <c r="L104" s="447"/>
      <c r="M104" s="455">
        <f t="shared" si="4"/>
        <v>18</v>
      </c>
      <c r="N104" s="303">
        <f t="shared" si="6"/>
        <v>8088</v>
      </c>
      <c r="O104" s="461" t="s">
        <v>3010</v>
      </c>
      <c r="P104" s="459" t="s">
        <v>197</v>
      </c>
      <c r="Q104" s="451"/>
    </row>
    <row r="105" spans="1:18" ht="12.75" customHeight="1" x14ac:dyDescent="0.25">
      <c r="A105" s="451"/>
      <c r="B105" s="249" t="s">
        <v>3007</v>
      </c>
      <c r="C105" s="452" t="s">
        <v>3009</v>
      </c>
      <c r="D105" s="452" t="s">
        <v>1245</v>
      </c>
      <c r="E105" s="454">
        <v>12400</v>
      </c>
      <c r="F105" s="454">
        <v>25</v>
      </c>
      <c r="G105" s="455">
        <v>165</v>
      </c>
      <c r="H105" s="457">
        <f t="shared" si="5"/>
        <v>4125</v>
      </c>
      <c r="I105" s="455">
        <v>9</v>
      </c>
      <c r="J105" s="447"/>
      <c r="K105" s="447"/>
      <c r="L105" s="447"/>
      <c r="M105" s="455">
        <f t="shared" si="4"/>
        <v>9</v>
      </c>
      <c r="N105" s="303">
        <f t="shared" si="6"/>
        <v>4134</v>
      </c>
      <c r="O105" s="461" t="s">
        <v>3010</v>
      </c>
      <c r="P105" s="459" t="s">
        <v>197</v>
      </c>
      <c r="Q105" s="451"/>
    </row>
    <row r="106" spans="1:18" ht="12.75" customHeight="1" x14ac:dyDescent="0.25">
      <c r="A106" s="451"/>
      <c r="B106" s="249" t="s">
        <v>3007</v>
      </c>
      <c r="C106" s="452" t="s">
        <v>3009</v>
      </c>
      <c r="D106" s="452" t="s">
        <v>1245</v>
      </c>
      <c r="E106" s="454">
        <v>12400</v>
      </c>
      <c r="F106" s="454">
        <v>50</v>
      </c>
      <c r="G106" s="455">
        <v>165</v>
      </c>
      <c r="H106" s="457">
        <f t="shared" si="5"/>
        <v>8250</v>
      </c>
      <c r="I106" s="455">
        <v>18</v>
      </c>
      <c r="J106" s="458">
        <v>8.7799999999999994</v>
      </c>
      <c r="K106" s="458">
        <v>2</v>
      </c>
      <c r="L106" s="458">
        <v>17.11</v>
      </c>
      <c r="M106" s="455">
        <f t="shared" si="4"/>
        <v>45.89</v>
      </c>
      <c r="N106" s="303">
        <f t="shared" si="6"/>
        <v>8295.89</v>
      </c>
      <c r="O106" s="461" t="s">
        <v>3010</v>
      </c>
      <c r="P106" s="459" t="s">
        <v>197</v>
      </c>
      <c r="Q106" s="451"/>
    </row>
    <row r="107" spans="1:18" ht="13.2" x14ac:dyDescent="0.25">
      <c r="A107" s="451"/>
      <c r="B107" s="295" t="s">
        <v>3013</v>
      </c>
      <c r="C107" s="452" t="s">
        <v>3015</v>
      </c>
      <c r="D107" s="452" t="s">
        <v>1249</v>
      </c>
      <c r="E107" s="454">
        <v>6100</v>
      </c>
      <c r="F107" s="454">
        <v>100</v>
      </c>
      <c r="G107" s="455">
        <v>22.85</v>
      </c>
      <c r="H107" s="457">
        <f t="shared" si="5"/>
        <v>2285</v>
      </c>
      <c r="I107" s="455">
        <v>18</v>
      </c>
      <c r="J107" s="450"/>
      <c r="K107" s="450"/>
      <c r="L107" s="473"/>
      <c r="M107" s="455">
        <f t="shared" si="4"/>
        <v>18</v>
      </c>
      <c r="N107" s="303">
        <f t="shared" si="6"/>
        <v>2303</v>
      </c>
      <c r="O107" s="461" t="s">
        <v>3016</v>
      </c>
      <c r="P107" s="459" t="s">
        <v>197</v>
      </c>
      <c r="Q107" s="451"/>
      <c r="R107" s="247"/>
    </row>
    <row r="108" spans="1:18" ht="12.75" customHeight="1" x14ac:dyDescent="0.25">
      <c r="A108" s="451"/>
      <c r="B108" s="295" t="s">
        <v>3013</v>
      </c>
      <c r="C108" s="452" t="s">
        <v>3015</v>
      </c>
      <c r="D108" s="452" t="s">
        <v>1249</v>
      </c>
      <c r="E108" s="454">
        <v>6100</v>
      </c>
      <c r="F108" s="454">
        <v>150</v>
      </c>
      <c r="G108" s="455">
        <v>22.85</v>
      </c>
      <c r="H108" s="457">
        <f t="shared" si="5"/>
        <v>3427.5</v>
      </c>
      <c r="I108" s="455">
        <v>27</v>
      </c>
      <c r="J108" s="474"/>
      <c r="K108" s="447"/>
      <c r="L108" s="447"/>
      <c r="M108" s="455">
        <f t="shared" si="4"/>
        <v>27</v>
      </c>
      <c r="N108" s="303">
        <f t="shared" si="6"/>
        <v>3454.5</v>
      </c>
      <c r="O108" s="461" t="s">
        <v>3016</v>
      </c>
      <c r="P108" s="461" t="s">
        <v>197</v>
      </c>
      <c r="Q108" s="451"/>
    </row>
    <row r="109" spans="1:18" ht="12.75" customHeight="1" x14ac:dyDescent="0.25">
      <c r="A109" s="451"/>
      <c r="B109" s="295" t="s">
        <v>3013</v>
      </c>
      <c r="C109" s="452" t="s">
        <v>3015</v>
      </c>
      <c r="D109" s="452" t="s">
        <v>1249</v>
      </c>
      <c r="E109" s="454">
        <v>6100</v>
      </c>
      <c r="F109" s="454">
        <v>650</v>
      </c>
      <c r="G109" s="455">
        <v>22.9</v>
      </c>
      <c r="H109" s="457">
        <f t="shared" si="5"/>
        <v>14884.999999999998</v>
      </c>
      <c r="I109" s="455">
        <v>117</v>
      </c>
      <c r="J109" s="447"/>
      <c r="K109" s="447"/>
      <c r="L109" s="447"/>
      <c r="M109" s="455">
        <f t="shared" si="4"/>
        <v>117</v>
      </c>
      <c r="N109" s="303">
        <f t="shared" si="6"/>
        <v>15001.999999999998</v>
      </c>
      <c r="O109" s="461" t="s">
        <v>3016</v>
      </c>
      <c r="P109" s="461" t="s">
        <v>197</v>
      </c>
      <c r="Q109" s="451"/>
    </row>
    <row r="110" spans="1:18" ht="12.75" customHeight="1" x14ac:dyDescent="0.25">
      <c r="A110" s="451"/>
      <c r="B110" s="295" t="s">
        <v>3013</v>
      </c>
      <c r="C110" s="452" t="s">
        <v>3015</v>
      </c>
      <c r="D110" s="452" t="s">
        <v>1249</v>
      </c>
      <c r="E110" s="454">
        <v>6100</v>
      </c>
      <c r="F110" s="454">
        <v>100</v>
      </c>
      <c r="G110" s="455">
        <v>22.9</v>
      </c>
      <c r="H110" s="457">
        <f t="shared" si="5"/>
        <v>2290</v>
      </c>
      <c r="I110" s="455">
        <v>18</v>
      </c>
      <c r="J110" s="458">
        <v>24.23</v>
      </c>
      <c r="K110" s="458">
        <v>2</v>
      </c>
      <c r="L110" s="458">
        <v>16.02</v>
      </c>
      <c r="M110" s="455">
        <f t="shared" si="4"/>
        <v>60.25</v>
      </c>
      <c r="N110" s="303">
        <f t="shared" si="6"/>
        <v>2350.25</v>
      </c>
      <c r="O110" s="461" t="s">
        <v>3016</v>
      </c>
      <c r="P110" s="461" t="s">
        <v>197</v>
      </c>
      <c r="Q110" s="451"/>
    </row>
    <row r="111" spans="1:18" ht="12.75" customHeight="1" x14ac:dyDescent="0.25">
      <c r="A111" s="451"/>
      <c r="B111" s="295" t="s">
        <v>3021</v>
      </c>
      <c r="C111" s="452" t="s">
        <v>3022</v>
      </c>
      <c r="D111" s="452" t="s">
        <v>1249</v>
      </c>
      <c r="E111" s="454">
        <v>6100</v>
      </c>
      <c r="F111" s="454">
        <v>50</v>
      </c>
      <c r="G111" s="455">
        <v>30.35</v>
      </c>
      <c r="H111" s="457">
        <f t="shared" si="5"/>
        <v>1517.5</v>
      </c>
      <c r="I111" s="455">
        <v>9</v>
      </c>
      <c r="J111" s="447"/>
      <c r="K111" s="447"/>
      <c r="L111" s="447"/>
      <c r="M111" s="455">
        <f t="shared" ref="M111:M121" si="7">SUM(I111:L111)</f>
        <v>9</v>
      </c>
      <c r="N111" s="303">
        <f t="shared" ref="N111:N117" si="8">H111+M111</f>
        <v>1526.5</v>
      </c>
      <c r="O111" s="461" t="s">
        <v>3023</v>
      </c>
      <c r="P111" s="461" t="s">
        <v>197</v>
      </c>
      <c r="Q111" s="451"/>
    </row>
    <row r="112" spans="1:18" ht="12.75" customHeight="1" x14ac:dyDescent="0.25">
      <c r="A112" s="451"/>
      <c r="B112" s="295" t="s">
        <v>3021</v>
      </c>
      <c r="C112" s="452" t="s">
        <v>3022</v>
      </c>
      <c r="D112" s="452" t="s">
        <v>1249</v>
      </c>
      <c r="E112" s="454">
        <v>6100</v>
      </c>
      <c r="F112" s="454">
        <v>200</v>
      </c>
      <c r="G112" s="455">
        <v>30.35</v>
      </c>
      <c r="H112" s="457">
        <f t="shared" si="5"/>
        <v>6070</v>
      </c>
      <c r="I112" s="455">
        <v>36</v>
      </c>
      <c r="J112" s="447"/>
      <c r="K112" s="447"/>
      <c r="L112" s="447"/>
      <c r="M112" s="455">
        <f t="shared" si="7"/>
        <v>36</v>
      </c>
      <c r="N112" s="303">
        <f t="shared" si="8"/>
        <v>6106</v>
      </c>
      <c r="O112" s="461" t="s">
        <v>3023</v>
      </c>
      <c r="P112" s="461" t="s">
        <v>197</v>
      </c>
      <c r="Q112" s="451"/>
    </row>
    <row r="113" spans="1:18" ht="13.2" x14ac:dyDescent="0.25">
      <c r="A113" s="451"/>
      <c r="B113" s="295" t="s">
        <v>3021</v>
      </c>
      <c r="C113" s="452" t="s">
        <v>3022</v>
      </c>
      <c r="D113" s="452" t="s">
        <v>1249</v>
      </c>
      <c r="E113" s="454">
        <v>6100</v>
      </c>
      <c r="F113" s="454">
        <v>50</v>
      </c>
      <c r="G113" s="455">
        <v>30.35</v>
      </c>
      <c r="H113" s="457">
        <f t="shared" si="5"/>
        <v>1517.5</v>
      </c>
      <c r="I113" s="455">
        <v>9</v>
      </c>
      <c r="J113" s="450"/>
      <c r="K113" s="450"/>
      <c r="L113" s="473"/>
      <c r="M113" s="455">
        <f t="shared" si="7"/>
        <v>9</v>
      </c>
      <c r="N113" s="303">
        <f t="shared" si="8"/>
        <v>1526.5</v>
      </c>
      <c r="O113" s="461" t="s">
        <v>3023</v>
      </c>
      <c r="P113" s="459" t="s">
        <v>197</v>
      </c>
      <c r="Q113" s="451"/>
      <c r="R113" s="247"/>
    </row>
    <row r="114" spans="1:18" ht="12.75" customHeight="1" x14ac:dyDescent="0.25">
      <c r="A114" s="451"/>
      <c r="B114" s="295" t="s">
        <v>3021</v>
      </c>
      <c r="C114" s="452" t="s">
        <v>3022</v>
      </c>
      <c r="D114" s="452" t="s">
        <v>1249</v>
      </c>
      <c r="E114" s="454">
        <v>6100</v>
      </c>
      <c r="F114" s="454">
        <v>50</v>
      </c>
      <c r="G114" s="455">
        <v>30.35</v>
      </c>
      <c r="H114" s="457">
        <f t="shared" si="5"/>
        <v>1517.5</v>
      </c>
      <c r="I114" s="455">
        <v>9</v>
      </c>
      <c r="J114" s="474"/>
      <c r="K114" s="447"/>
      <c r="L114" s="447"/>
      <c r="M114" s="455">
        <f t="shared" si="7"/>
        <v>9</v>
      </c>
      <c r="N114" s="303">
        <f t="shared" si="8"/>
        <v>1526.5</v>
      </c>
      <c r="O114" s="461" t="s">
        <v>3023</v>
      </c>
      <c r="P114" s="461" t="s">
        <v>197</v>
      </c>
      <c r="Q114" s="451"/>
    </row>
    <row r="115" spans="1:18" ht="12.75" customHeight="1" x14ac:dyDescent="0.25">
      <c r="A115" s="451"/>
      <c r="B115" s="295" t="s">
        <v>3021</v>
      </c>
      <c r="C115" s="452" t="s">
        <v>3022</v>
      </c>
      <c r="D115" s="452" t="s">
        <v>1249</v>
      </c>
      <c r="E115" s="454">
        <v>6100</v>
      </c>
      <c r="F115" s="454">
        <v>50</v>
      </c>
      <c r="G115" s="455">
        <v>30.35</v>
      </c>
      <c r="H115" s="457">
        <f t="shared" si="5"/>
        <v>1517.5</v>
      </c>
      <c r="I115" s="455">
        <v>9</v>
      </c>
      <c r="J115" s="447"/>
      <c r="K115" s="447"/>
      <c r="L115" s="447"/>
      <c r="M115" s="455">
        <f t="shared" si="7"/>
        <v>9</v>
      </c>
      <c r="N115" s="303">
        <f t="shared" si="8"/>
        <v>1526.5</v>
      </c>
      <c r="O115" s="461" t="s">
        <v>3023</v>
      </c>
      <c r="P115" s="461" t="s">
        <v>197</v>
      </c>
      <c r="Q115" s="451"/>
    </row>
    <row r="116" spans="1:18" ht="13.2" x14ac:dyDescent="0.25">
      <c r="A116" s="451"/>
      <c r="B116" s="295" t="s">
        <v>3021</v>
      </c>
      <c r="C116" s="452" t="s">
        <v>3022</v>
      </c>
      <c r="D116" s="452" t="s">
        <v>1249</v>
      </c>
      <c r="E116" s="454">
        <v>6100</v>
      </c>
      <c r="F116" s="454">
        <v>400</v>
      </c>
      <c r="G116" s="455">
        <v>30.35</v>
      </c>
      <c r="H116" s="457">
        <f t="shared" si="5"/>
        <v>12140</v>
      </c>
      <c r="I116" s="455">
        <v>72</v>
      </c>
      <c r="J116" s="450"/>
      <c r="K116" s="450"/>
      <c r="L116" s="473"/>
      <c r="M116" s="455">
        <f t="shared" si="7"/>
        <v>72</v>
      </c>
      <c r="N116" s="303">
        <f t="shared" si="8"/>
        <v>12212</v>
      </c>
      <c r="O116" s="461" t="s">
        <v>3023</v>
      </c>
      <c r="P116" s="459" t="s">
        <v>197</v>
      </c>
      <c r="Q116" s="451"/>
      <c r="R116" s="247"/>
    </row>
    <row r="117" spans="1:18" ht="12.75" customHeight="1" x14ac:dyDescent="0.25">
      <c r="A117" s="451"/>
      <c r="B117" s="295" t="s">
        <v>3021</v>
      </c>
      <c r="C117" s="452" t="s">
        <v>3022</v>
      </c>
      <c r="D117" s="452" t="s">
        <v>1249</v>
      </c>
      <c r="E117" s="454">
        <v>6100</v>
      </c>
      <c r="F117" s="454">
        <v>200</v>
      </c>
      <c r="G117" s="455">
        <v>28.5</v>
      </c>
      <c r="H117" s="457">
        <f t="shared" si="5"/>
        <v>5700</v>
      </c>
      <c r="I117" s="455">
        <v>36</v>
      </c>
      <c r="J117" s="458">
        <v>24.84</v>
      </c>
      <c r="K117" s="458">
        <v>2</v>
      </c>
      <c r="L117" s="458">
        <v>20.99</v>
      </c>
      <c r="M117" s="455">
        <f t="shared" si="7"/>
        <v>83.83</v>
      </c>
      <c r="N117" s="303">
        <f t="shared" si="8"/>
        <v>5783.83</v>
      </c>
      <c r="O117" s="461" t="s">
        <v>3023</v>
      </c>
      <c r="P117" s="461" t="s">
        <v>197</v>
      </c>
      <c r="Q117" s="451"/>
    </row>
    <row r="118" spans="1:18" ht="12.75" customHeight="1" x14ac:dyDescent="0.25">
      <c r="A118" s="451"/>
      <c r="B118" s="295" t="s">
        <v>3030</v>
      </c>
      <c r="C118" s="452" t="s">
        <v>3022</v>
      </c>
      <c r="D118" s="452" t="s">
        <v>1249</v>
      </c>
      <c r="E118" s="454">
        <v>5900</v>
      </c>
      <c r="F118" s="454">
        <v>250</v>
      </c>
      <c r="G118" s="455">
        <v>21.25</v>
      </c>
      <c r="H118" s="457">
        <f t="shared" si="5"/>
        <v>5312.5</v>
      </c>
      <c r="I118" s="455">
        <v>45</v>
      </c>
      <c r="J118" s="458">
        <v>28.77</v>
      </c>
      <c r="K118" s="458">
        <v>2</v>
      </c>
      <c r="L118" s="458">
        <v>7.78</v>
      </c>
      <c r="M118" s="455">
        <f t="shared" si="7"/>
        <v>83.55</v>
      </c>
      <c r="N118" s="303">
        <f t="shared" ref="N118:N128" si="9">H118+M118</f>
        <v>5396.05</v>
      </c>
      <c r="O118" s="461" t="s">
        <v>2252</v>
      </c>
      <c r="P118" s="461" t="s">
        <v>197</v>
      </c>
      <c r="Q118" s="451"/>
    </row>
    <row r="119" spans="1:18" ht="12.75" customHeight="1" x14ac:dyDescent="0.25">
      <c r="A119" s="451"/>
      <c r="B119" s="295" t="s">
        <v>3037</v>
      </c>
      <c r="C119" s="452" t="s">
        <v>3035</v>
      </c>
      <c r="D119" s="452" t="s">
        <v>1249</v>
      </c>
      <c r="E119" s="454">
        <v>5900</v>
      </c>
      <c r="F119" s="454">
        <v>100</v>
      </c>
      <c r="G119" s="455">
        <v>50</v>
      </c>
      <c r="H119" s="457">
        <f t="shared" si="5"/>
        <v>5000</v>
      </c>
      <c r="I119" s="455">
        <v>18</v>
      </c>
      <c r="J119" s="447"/>
      <c r="K119" s="447"/>
      <c r="L119" s="447"/>
      <c r="M119" s="455">
        <f t="shared" si="7"/>
        <v>18</v>
      </c>
      <c r="N119" s="303">
        <f t="shared" si="9"/>
        <v>5018</v>
      </c>
      <c r="O119" s="461" t="s">
        <v>3036</v>
      </c>
      <c r="P119" s="461" t="s">
        <v>197</v>
      </c>
      <c r="Q119" s="451"/>
    </row>
    <row r="120" spans="1:18" ht="12.75" customHeight="1" x14ac:dyDescent="0.25">
      <c r="A120" s="451"/>
      <c r="B120" s="295" t="s">
        <v>3037</v>
      </c>
      <c r="C120" s="452" t="s">
        <v>3035</v>
      </c>
      <c r="D120" s="452" t="s">
        <v>1249</v>
      </c>
      <c r="E120" s="454">
        <v>5900</v>
      </c>
      <c r="F120" s="454">
        <v>50</v>
      </c>
      <c r="G120" s="455">
        <v>50</v>
      </c>
      <c r="H120" s="457">
        <f t="shared" si="5"/>
        <v>2500</v>
      </c>
      <c r="I120" s="455">
        <v>9</v>
      </c>
      <c r="J120" s="447"/>
      <c r="K120" s="447"/>
      <c r="L120" s="447"/>
      <c r="M120" s="455">
        <f t="shared" si="7"/>
        <v>9</v>
      </c>
      <c r="N120" s="303">
        <f t="shared" si="9"/>
        <v>2509</v>
      </c>
      <c r="O120" s="461" t="s">
        <v>3036</v>
      </c>
      <c r="P120" s="461" t="s">
        <v>197</v>
      </c>
      <c r="Q120" s="451"/>
    </row>
    <row r="121" spans="1:18" ht="12.75" customHeight="1" x14ac:dyDescent="0.25">
      <c r="A121" s="451"/>
      <c r="B121" s="295" t="s">
        <v>3037</v>
      </c>
      <c r="C121" s="452" t="s">
        <v>3035</v>
      </c>
      <c r="D121" s="452" t="s">
        <v>1249</v>
      </c>
      <c r="E121" s="454">
        <v>5900</v>
      </c>
      <c r="F121" s="454">
        <v>150</v>
      </c>
      <c r="G121" s="455">
        <v>50</v>
      </c>
      <c r="H121" s="457">
        <f t="shared" si="5"/>
        <v>7500</v>
      </c>
      <c r="I121" s="455">
        <v>27</v>
      </c>
      <c r="J121" s="458">
        <v>7.97</v>
      </c>
      <c r="K121" s="458">
        <v>1</v>
      </c>
      <c r="L121" s="458">
        <v>10.5</v>
      </c>
      <c r="M121" s="455">
        <f t="shared" si="7"/>
        <v>46.47</v>
      </c>
      <c r="N121" s="303">
        <f t="shared" si="9"/>
        <v>7546.47</v>
      </c>
      <c r="O121" s="461" t="s">
        <v>3036</v>
      </c>
      <c r="P121" s="461" t="s">
        <v>197</v>
      </c>
      <c r="Q121" s="451"/>
    </row>
    <row r="122" spans="1:18" ht="13.2" x14ac:dyDescent="0.25">
      <c r="A122" s="451"/>
      <c r="B122" s="295" t="s">
        <v>3039</v>
      </c>
      <c r="C122" s="452" t="s">
        <v>3035</v>
      </c>
      <c r="D122" s="452" t="s">
        <v>1249</v>
      </c>
      <c r="E122" s="454">
        <v>5900</v>
      </c>
      <c r="F122" s="454">
        <v>350</v>
      </c>
      <c r="G122" s="455">
        <v>14.6</v>
      </c>
      <c r="H122" s="457">
        <f t="shared" si="5"/>
        <v>5110</v>
      </c>
      <c r="I122" s="455">
        <v>63</v>
      </c>
      <c r="J122" s="450"/>
      <c r="K122" s="450"/>
      <c r="L122" s="473"/>
      <c r="M122" s="455">
        <f t="shared" ref="M122:M128" si="10">SUM(I122:L122)</f>
        <v>63</v>
      </c>
      <c r="N122" s="303">
        <f t="shared" si="9"/>
        <v>5173</v>
      </c>
      <c r="O122" s="461" t="s">
        <v>2488</v>
      </c>
      <c r="P122" s="459" t="s">
        <v>197</v>
      </c>
      <c r="Q122" s="451"/>
      <c r="R122" s="247"/>
    </row>
    <row r="123" spans="1:18" ht="12.75" customHeight="1" x14ac:dyDescent="0.25">
      <c r="A123" s="451"/>
      <c r="B123" s="295" t="s">
        <v>3039</v>
      </c>
      <c r="C123" s="452" t="s">
        <v>3035</v>
      </c>
      <c r="D123" s="452" t="s">
        <v>1249</v>
      </c>
      <c r="E123" s="454">
        <v>5900</v>
      </c>
      <c r="F123" s="454">
        <v>50</v>
      </c>
      <c r="G123" s="455">
        <v>14.6</v>
      </c>
      <c r="H123" s="457">
        <f t="shared" si="5"/>
        <v>730</v>
      </c>
      <c r="I123" s="455">
        <v>9</v>
      </c>
      <c r="J123" s="458">
        <v>9.41</v>
      </c>
      <c r="K123" s="458">
        <v>1</v>
      </c>
      <c r="L123" s="458">
        <v>4.09</v>
      </c>
      <c r="M123" s="455">
        <f t="shared" si="10"/>
        <v>23.5</v>
      </c>
      <c r="N123" s="303">
        <f t="shared" si="9"/>
        <v>753.5</v>
      </c>
      <c r="O123" s="461" t="s">
        <v>2488</v>
      </c>
      <c r="P123" s="459" t="s">
        <v>197</v>
      </c>
      <c r="Q123" s="451"/>
    </row>
    <row r="124" spans="1:18" ht="12.75" customHeight="1" x14ac:dyDescent="0.25">
      <c r="A124" s="451"/>
      <c r="B124" s="295" t="s">
        <v>3044</v>
      </c>
      <c r="C124" s="295" t="s">
        <v>3046</v>
      </c>
      <c r="D124" s="452" t="s">
        <v>1245</v>
      </c>
      <c r="E124" s="454">
        <v>1800</v>
      </c>
      <c r="F124" s="454">
        <v>250</v>
      </c>
      <c r="G124" s="455">
        <v>20</v>
      </c>
      <c r="H124" s="457">
        <f t="shared" si="5"/>
        <v>5000</v>
      </c>
      <c r="I124" s="455">
        <v>18</v>
      </c>
      <c r="J124" s="458">
        <v>2.65</v>
      </c>
      <c r="K124" s="458">
        <v>1</v>
      </c>
      <c r="L124" s="458">
        <v>3.5</v>
      </c>
      <c r="M124" s="455">
        <f t="shared" si="10"/>
        <v>25.15</v>
      </c>
      <c r="N124" s="303">
        <f t="shared" si="9"/>
        <v>5025.1499999999996</v>
      </c>
      <c r="O124" s="461" t="s">
        <v>3047</v>
      </c>
      <c r="P124" s="459" t="s">
        <v>197</v>
      </c>
      <c r="Q124" s="451"/>
    </row>
    <row r="125" spans="1:18" ht="12.75" customHeight="1" x14ac:dyDescent="0.25">
      <c r="A125" s="451"/>
      <c r="B125" s="295" t="s">
        <v>3054</v>
      </c>
      <c r="C125" s="295" t="s">
        <v>3060</v>
      </c>
      <c r="D125" s="452" t="s">
        <v>1245</v>
      </c>
      <c r="E125" s="454">
        <v>5600</v>
      </c>
      <c r="F125" s="454">
        <v>200</v>
      </c>
      <c r="G125" s="455">
        <v>24.45</v>
      </c>
      <c r="H125" s="457">
        <f t="shared" si="5"/>
        <v>4890</v>
      </c>
      <c r="I125" s="455">
        <v>36</v>
      </c>
      <c r="J125" s="447"/>
      <c r="K125" s="447"/>
      <c r="L125" s="447"/>
      <c r="M125" s="455">
        <f t="shared" si="10"/>
        <v>36</v>
      </c>
      <c r="N125" s="303">
        <f t="shared" si="9"/>
        <v>4926</v>
      </c>
      <c r="O125" s="461" t="s">
        <v>3061</v>
      </c>
      <c r="P125" s="459" t="s">
        <v>197</v>
      </c>
      <c r="Q125" s="451"/>
    </row>
    <row r="126" spans="1:18" ht="12.75" customHeight="1" x14ac:dyDescent="0.25">
      <c r="A126" s="451"/>
      <c r="B126" s="295" t="s">
        <v>3054</v>
      </c>
      <c r="C126" s="295" t="s">
        <v>3060</v>
      </c>
      <c r="D126" s="452" t="s">
        <v>1245</v>
      </c>
      <c r="E126" s="454">
        <v>5600</v>
      </c>
      <c r="F126" s="454">
        <v>500</v>
      </c>
      <c r="G126" s="455">
        <v>29.9</v>
      </c>
      <c r="H126" s="457">
        <f t="shared" si="5"/>
        <v>14950</v>
      </c>
      <c r="I126" s="455">
        <v>90</v>
      </c>
      <c r="J126" s="458">
        <v>17.29</v>
      </c>
      <c r="K126" s="458">
        <v>2</v>
      </c>
      <c r="L126" s="458">
        <v>13.89</v>
      </c>
      <c r="M126" s="455">
        <f t="shared" si="10"/>
        <v>123.17999999999999</v>
      </c>
      <c r="N126" s="303">
        <f t="shared" si="9"/>
        <v>15073.18</v>
      </c>
      <c r="O126" s="461" t="s">
        <v>3061</v>
      </c>
      <c r="P126" s="459" t="s">
        <v>197</v>
      </c>
      <c r="Q126" s="451"/>
    </row>
    <row r="127" spans="1:18" ht="12.75" customHeight="1" x14ac:dyDescent="0.25">
      <c r="A127" s="451"/>
      <c r="B127" s="295" t="s">
        <v>3063</v>
      </c>
      <c r="C127" s="295" t="s">
        <v>3060</v>
      </c>
      <c r="D127" s="325" t="s">
        <v>1245</v>
      </c>
      <c r="E127" s="2">
        <v>5700</v>
      </c>
      <c r="F127" s="2">
        <v>50</v>
      </c>
      <c r="G127" s="60">
        <v>15</v>
      </c>
      <c r="H127" s="457">
        <f t="shared" si="5"/>
        <v>750</v>
      </c>
      <c r="I127" s="60">
        <v>9</v>
      </c>
      <c r="J127" s="450"/>
      <c r="K127" s="450"/>
      <c r="L127" s="473"/>
      <c r="M127" s="455">
        <f t="shared" si="10"/>
        <v>9</v>
      </c>
      <c r="N127" s="303">
        <f t="shared" si="9"/>
        <v>759</v>
      </c>
      <c r="O127" s="461" t="s">
        <v>45</v>
      </c>
      <c r="P127" s="459" t="s">
        <v>197</v>
      </c>
      <c r="Q127" s="451"/>
    </row>
    <row r="128" spans="1:18" ht="12.75" customHeight="1" x14ac:dyDescent="0.25">
      <c r="A128" s="451"/>
      <c r="B128" s="295" t="s">
        <v>3063</v>
      </c>
      <c r="C128" s="325" t="s">
        <v>3060</v>
      </c>
      <c r="D128" s="325" t="s">
        <v>1245</v>
      </c>
      <c r="E128" s="2">
        <v>5700</v>
      </c>
      <c r="F128" s="2">
        <v>200</v>
      </c>
      <c r="G128" s="60">
        <v>15</v>
      </c>
      <c r="H128" s="457">
        <f t="shared" si="5"/>
        <v>3000</v>
      </c>
      <c r="I128" s="60">
        <v>36</v>
      </c>
      <c r="J128" s="299">
        <v>11.57</v>
      </c>
      <c r="K128" s="299">
        <v>1</v>
      </c>
      <c r="L128" s="299">
        <v>3.68</v>
      </c>
      <c r="M128" s="455">
        <f t="shared" si="10"/>
        <v>52.25</v>
      </c>
      <c r="N128" s="303">
        <f t="shared" si="9"/>
        <v>3052.25</v>
      </c>
      <c r="O128" s="461" t="s">
        <v>45</v>
      </c>
      <c r="P128" s="459" t="s">
        <v>197</v>
      </c>
      <c r="Q128" s="451"/>
    </row>
    <row r="129" spans="1:18" ht="13.2" x14ac:dyDescent="0.25">
      <c r="A129" s="451"/>
      <c r="B129" s="295" t="s">
        <v>3068</v>
      </c>
      <c r="C129" s="295" t="s">
        <v>3060</v>
      </c>
      <c r="D129" s="452" t="s">
        <v>1245</v>
      </c>
      <c r="E129" s="454">
        <v>5900</v>
      </c>
      <c r="F129" s="454">
        <v>250</v>
      </c>
      <c r="G129" s="455">
        <v>41</v>
      </c>
      <c r="H129" s="457">
        <f t="shared" si="5"/>
        <v>10250</v>
      </c>
      <c r="I129" s="455">
        <v>45</v>
      </c>
      <c r="J129" s="457">
        <v>6.45</v>
      </c>
      <c r="K129" s="457">
        <v>1</v>
      </c>
      <c r="L129" s="451">
        <v>7.18</v>
      </c>
      <c r="M129" s="455">
        <f t="shared" ref="M129:M140" si="11">SUM(I129:L129)</f>
        <v>59.63</v>
      </c>
      <c r="N129" s="303">
        <f t="shared" ref="N129:N140" si="12">H129+M129</f>
        <v>10309.629999999999</v>
      </c>
      <c r="O129" s="461" t="s">
        <v>49</v>
      </c>
      <c r="P129" s="459" t="s">
        <v>197</v>
      </c>
      <c r="Q129" s="451"/>
      <c r="R129" s="247"/>
    </row>
    <row r="130" spans="1:18" ht="12.75" customHeight="1" x14ac:dyDescent="0.25">
      <c r="A130" s="451"/>
      <c r="B130" s="295" t="s">
        <v>3071</v>
      </c>
      <c r="C130" s="295" t="s">
        <v>3060</v>
      </c>
      <c r="D130" s="452" t="s">
        <v>1249</v>
      </c>
      <c r="E130" s="454">
        <v>5900</v>
      </c>
      <c r="F130" s="454">
        <v>50</v>
      </c>
      <c r="G130" s="455">
        <v>19.8</v>
      </c>
      <c r="H130" s="457">
        <f t="shared" si="5"/>
        <v>990</v>
      </c>
      <c r="I130" s="455">
        <v>9</v>
      </c>
      <c r="J130" s="450"/>
      <c r="K130" s="450"/>
      <c r="L130" s="473"/>
      <c r="M130" s="455">
        <f t="shared" si="11"/>
        <v>9</v>
      </c>
      <c r="N130" s="303">
        <f t="shared" si="12"/>
        <v>999</v>
      </c>
      <c r="O130" s="461" t="s">
        <v>2067</v>
      </c>
      <c r="P130" s="459" t="s">
        <v>197</v>
      </c>
      <c r="Q130" s="451"/>
    </row>
    <row r="131" spans="1:18" ht="12.75" customHeight="1" x14ac:dyDescent="0.25">
      <c r="A131" s="451"/>
      <c r="B131" s="295" t="s">
        <v>3071</v>
      </c>
      <c r="C131" s="295" t="s">
        <v>3060</v>
      </c>
      <c r="D131" s="452" t="s">
        <v>1245</v>
      </c>
      <c r="E131" s="454">
        <v>5900</v>
      </c>
      <c r="F131" s="454">
        <v>100</v>
      </c>
      <c r="G131" s="455">
        <v>10.75</v>
      </c>
      <c r="H131" s="457">
        <f t="shared" si="5"/>
        <v>1075</v>
      </c>
      <c r="I131" s="455">
        <v>18</v>
      </c>
      <c r="J131" s="458">
        <v>5.86</v>
      </c>
      <c r="K131" s="458">
        <v>1</v>
      </c>
      <c r="L131" s="458">
        <v>2.44</v>
      </c>
      <c r="M131" s="455">
        <f t="shared" si="11"/>
        <v>27.3</v>
      </c>
      <c r="N131" s="303">
        <f t="shared" si="12"/>
        <v>1102.3</v>
      </c>
      <c r="O131" s="461" t="s">
        <v>2067</v>
      </c>
      <c r="P131" s="459" t="s">
        <v>197</v>
      </c>
      <c r="Q131" s="451"/>
    </row>
    <row r="132" spans="1:18" ht="12.75" customHeight="1" x14ac:dyDescent="0.25">
      <c r="A132" s="451"/>
      <c r="B132" s="295" t="s">
        <v>3076</v>
      </c>
      <c r="C132" s="452" t="s">
        <v>3075</v>
      </c>
      <c r="D132" s="452" t="s">
        <v>1245</v>
      </c>
      <c r="E132" s="454">
        <v>5600</v>
      </c>
      <c r="F132" s="454">
        <v>100</v>
      </c>
      <c r="G132" s="455">
        <v>51.35</v>
      </c>
      <c r="H132" s="457">
        <f t="shared" si="5"/>
        <v>5135</v>
      </c>
      <c r="I132" s="455">
        <v>18</v>
      </c>
      <c r="J132" s="450"/>
      <c r="K132" s="450"/>
      <c r="L132" s="473"/>
      <c r="M132" s="455">
        <f t="shared" si="11"/>
        <v>18</v>
      </c>
      <c r="N132" s="303">
        <f t="shared" si="12"/>
        <v>5153</v>
      </c>
      <c r="O132" s="461" t="s">
        <v>3077</v>
      </c>
      <c r="P132" s="459" t="s">
        <v>197</v>
      </c>
      <c r="Q132" s="451"/>
    </row>
    <row r="133" spans="1:18" ht="12.75" customHeight="1" x14ac:dyDescent="0.25">
      <c r="A133" s="451"/>
      <c r="B133" s="295" t="s">
        <v>3076</v>
      </c>
      <c r="C133" s="452" t="s">
        <v>3075</v>
      </c>
      <c r="D133" s="452" t="s">
        <v>1245</v>
      </c>
      <c r="E133" s="454">
        <v>5600</v>
      </c>
      <c r="F133" s="454">
        <v>200</v>
      </c>
      <c r="G133" s="455">
        <v>50</v>
      </c>
      <c r="H133" s="457">
        <f t="shared" si="5"/>
        <v>10000</v>
      </c>
      <c r="I133" s="455">
        <v>36</v>
      </c>
      <c r="J133" s="458">
        <v>7.98</v>
      </c>
      <c r="K133" s="458">
        <v>1</v>
      </c>
      <c r="L133" s="458">
        <v>10.59</v>
      </c>
      <c r="M133" s="455">
        <f t="shared" si="11"/>
        <v>55.570000000000007</v>
      </c>
      <c r="N133" s="303">
        <f t="shared" si="12"/>
        <v>10055.57</v>
      </c>
      <c r="O133" s="461" t="s">
        <v>3077</v>
      </c>
      <c r="P133" s="459" t="s">
        <v>197</v>
      </c>
      <c r="Q133" s="451"/>
    </row>
    <row r="134" spans="1:18" ht="12.75" customHeight="1" x14ac:dyDescent="0.25">
      <c r="A134" s="451"/>
      <c r="B134" s="295" t="s">
        <v>3078</v>
      </c>
      <c r="C134" s="452" t="s">
        <v>3075</v>
      </c>
      <c r="D134" s="452" t="s">
        <v>1245</v>
      </c>
      <c r="E134" s="454">
        <v>5600</v>
      </c>
      <c r="F134" s="454">
        <v>150</v>
      </c>
      <c r="G134" s="455">
        <v>52</v>
      </c>
      <c r="H134" s="457">
        <f t="shared" si="5"/>
        <v>7800</v>
      </c>
      <c r="I134" s="455">
        <v>27</v>
      </c>
      <c r="J134" s="447"/>
      <c r="K134" s="447"/>
      <c r="L134" s="447"/>
      <c r="M134" s="455">
        <f t="shared" si="11"/>
        <v>27</v>
      </c>
      <c r="N134" s="303">
        <f t="shared" si="12"/>
        <v>7827</v>
      </c>
      <c r="O134" s="461" t="s">
        <v>2280</v>
      </c>
      <c r="P134" s="459" t="s">
        <v>197</v>
      </c>
      <c r="Q134" s="451"/>
    </row>
    <row r="135" spans="1:18" ht="13.2" x14ac:dyDescent="0.25">
      <c r="A135" s="451"/>
      <c r="B135" s="295" t="s">
        <v>3078</v>
      </c>
      <c r="C135" s="452" t="s">
        <v>3075</v>
      </c>
      <c r="D135" s="452" t="s">
        <v>1245</v>
      </c>
      <c r="E135" s="454">
        <v>5600</v>
      </c>
      <c r="F135" s="454">
        <v>150</v>
      </c>
      <c r="G135" s="455">
        <v>50.1</v>
      </c>
      <c r="H135" s="457">
        <f t="shared" si="5"/>
        <v>7515</v>
      </c>
      <c r="I135" s="455">
        <v>27</v>
      </c>
      <c r="J135" s="450"/>
      <c r="K135" s="450"/>
      <c r="L135" s="473"/>
      <c r="M135" s="455">
        <f t="shared" si="11"/>
        <v>27</v>
      </c>
      <c r="N135" s="303">
        <f t="shared" si="12"/>
        <v>7542</v>
      </c>
      <c r="O135" s="461" t="s">
        <v>2280</v>
      </c>
      <c r="P135" s="459" t="s">
        <v>197</v>
      </c>
      <c r="Q135" s="451"/>
      <c r="R135" s="247"/>
    </row>
    <row r="136" spans="1:18" ht="13.2" x14ac:dyDescent="0.25">
      <c r="A136" s="451"/>
      <c r="B136" s="295" t="s">
        <v>3078</v>
      </c>
      <c r="C136" s="452" t="s">
        <v>3075</v>
      </c>
      <c r="D136" s="452" t="s">
        <v>1245</v>
      </c>
      <c r="E136" s="454">
        <v>5600</v>
      </c>
      <c r="F136" s="454">
        <v>200</v>
      </c>
      <c r="G136" s="455">
        <v>50.1</v>
      </c>
      <c r="H136" s="457">
        <f t="shared" si="5"/>
        <v>10020</v>
      </c>
      <c r="I136" s="455">
        <v>36</v>
      </c>
      <c r="J136" s="450"/>
      <c r="K136" s="450"/>
      <c r="L136" s="473"/>
      <c r="M136" s="455">
        <f t="shared" si="11"/>
        <v>36</v>
      </c>
      <c r="N136" s="303">
        <f t="shared" si="12"/>
        <v>10056</v>
      </c>
      <c r="O136" s="461" t="s">
        <v>2280</v>
      </c>
      <c r="P136" s="459" t="s">
        <v>197</v>
      </c>
      <c r="Q136" s="451"/>
      <c r="R136" s="247"/>
    </row>
    <row r="137" spans="1:18" ht="12.75" customHeight="1" x14ac:dyDescent="0.25">
      <c r="A137" s="451"/>
      <c r="B137" s="295" t="s">
        <v>3080</v>
      </c>
      <c r="C137" s="452" t="s">
        <v>3075</v>
      </c>
      <c r="D137" s="452" t="s">
        <v>1245</v>
      </c>
      <c r="E137" s="454">
        <v>5500</v>
      </c>
      <c r="F137" s="454">
        <v>200</v>
      </c>
      <c r="G137" s="455">
        <v>33.6</v>
      </c>
      <c r="H137" s="457">
        <f t="shared" si="5"/>
        <v>6720</v>
      </c>
      <c r="I137" s="455">
        <v>36</v>
      </c>
      <c r="J137" s="450"/>
      <c r="K137" s="450"/>
      <c r="L137" s="473"/>
      <c r="M137" s="455">
        <f t="shared" si="11"/>
        <v>36</v>
      </c>
      <c r="N137" s="303">
        <f t="shared" si="12"/>
        <v>6756</v>
      </c>
      <c r="O137" s="461" t="s">
        <v>1447</v>
      </c>
      <c r="P137" s="459" t="s">
        <v>197</v>
      </c>
      <c r="Q137" s="451"/>
    </row>
    <row r="138" spans="1:18" ht="12.75" customHeight="1" x14ac:dyDescent="0.25">
      <c r="A138" s="451"/>
      <c r="B138" s="295" t="s">
        <v>3080</v>
      </c>
      <c r="C138" s="452" t="s">
        <v>3075</v>
      </c>
      <c r="D138" s="452" t="s">
        <v>1245</v>
      </c>
      <c r="E138" s="454">
        <v>5500</v>
      </c>
      <c r="F138" s="454">
        <v>300</v>
      </c>
      <c r="G138" s="455">
        <v>33.65</v>
      </c>
      <c r="H138" s="457">
        <f t="shared" si="5"/>
        <v>10095</v>
      </c>
      <c r="I138" s="455">
        <v>54</v>
      </c>
      <c r="J138" s="450"/>
      <c r="K138" s="450"/>
      <c r="L138" s="473"/>
      <c r="M138" s="455">
        <f t="shared" si="11"/>
        <v>54</v>
      </c>
      <c r="N138" s="303">
        <f t="shared" si="12"/>
        <v>10149</v>
      </c>
      <c r="O138" s="461" t="s">
        <v>1447</v>
      </c>
      <c r="P138" s="459" t="s">
        <v>197</v>
      </c>
      <c r="Q138" s="451"/>
    </row>
    <row r="139" spans="1:18" ht="12.75" customHeight="1" x14ac:dyDescent="0.25">
      <c r="A139" s="451"/>
      <c r="B139" s="295" t="s">
        <v>3080</v>
      </c>
      <c r="C139" s="452" t="s">
        <v>3075</v>
      </c>
      <c r="D139" s="452" t="s">
        <v>1249</v>
      </c>
      <c r="E139" s="454">
        <v>6200</v>
      </c>
      <c r="F139" s="454">
        <v>350</v>
      </c>
      <c r="G139" s="455">
        <v>61.8</v>
      </c>
      <c r="H139" s="457">
        <f t="shared" si="5"/>
        <v>21630</v>
      </c>
      <c r="I139" s="455">
        <v>63</v>
      </c>
      <c r="J139" s="450"/>
      <c r="K139" s="450"/>
      <c r="L139" s="473"/>
      <c r="M139" s="455">
        <f t="shared" si="11"/>
        <v>63</v>
      </c>
      <c r="N139" s="303">
        <f t="shared" si="12"/>
        <v>21693</v>
      </c>
      <c r="O139" s="461" t="s">
        <v>1447</v>
      </c>
      <c r="P139" s="461" t="s">
        <v>197</v>
      </c>
      <c r="Q139" s="451"/>
    </row>
    <row r="140" spans="1:18" ht="12.75" customHeight="1" x14ac:dyDescent="0.25">
      <c r="A140" s="451"/>
      <c r="B140" s="295" t="s">
        <v>3081</v>
      </c>
      <c r="C140" s="452" t="s">
        <v>3075</v>
      </c>
      <c r="D140" s="452" t="s">
        <v>1249</v>
      </c>
      <c r="E140" s="454">
        <v>6300</v>
      </c>
      <c r="F140" s="454">
        <v>250</v>
      </c>
      <c r="G140" s="455">
        <v>43.95</v>
      </c>
      <c r="H140" s="457">
        <f t="shared" si="5"/>
        <v>10987.5</v>
      </c>
      <c r="I140" s="455">
        <v>45</v>
      </c>
      <c r="J140" s="450"/>
      <c r="K140" s="450"/>
      <c r="L140" s="473"/>
      <c r="M140" s="455">
        <f t="shared" si="11"/>
        <v>45</v>
      </c>
      <c r="N140" s="303">
        <f t="shared" si="12"/>
        <v>11032.5</v>
      </c>
      <c r="O140" s="459" t="s">
        <v>115</v>
      </c>
      <c r="P140" s="461" t="s">
        <v>197</v>
      </c>
      <c r="Q140" s="451"/>
    </row>
    <row r="141" spans="1:18" ht="12.75" customHeight="1" x14ac:dyDescent="0.25">
      <c r="A141" s="451"/>
      <c r="B141" s="295" t="s">
        <v>3082</v>
      </c>
      <c r="C141" s="452" t="s">
        <v>3075</v>
      </c>
      <c r="D141" s="452" t="s">
        <v>1249</v>
      </c>
      <c r="E141" s="454">
        <v>6300</v>
      </c>
      <c r="F141" s="454">
        <v>150</v>
      </c>
      <c r="G141" s="455">
        <v>45.7</v>
      </c>
      <c r="H141" s="457">
        <f t="shared" si="5"/>
        <v>6855</v>
      </c>
      <c r="I141" s="455">
        <v>27</v>
      </c>
      <c r="J141" s="450"/>
      <c r="K141" s="450"/>
      <c r="L141" s="473"/>
      <c r="M141" s="455">
        <f t="shared" ref="M141:M146" si="13">SUM(I141:L141)</f>
        <v>27</v>
      </c>
      <c r="N141" s="303">
        <f t="shared" ref="N141:N146" si="14">H141+M141</f>
        <v>6882</v>
      </c>
      <c r="O141" s="461" t="s">
        <v>2285</v>
      </c>
      <c r="P141" s="461" t="s">
        <v>197</v>
      </c>
      <c r="Q141" s="451"/>
    </row>
    <row r="142" spans="1:18" ht="12.75" customHeight="1" x14ac:dyDescent="0.25">
      <c r="A142" s="451"/>
      <c r="B142" s="295" t="s">
        <v>3082</v>
      </c>
      <c r="C142" s="452" t="s">
        <v>3075</v>
      </c>
      <c r="D142" s="452" t="s">
        <v>1245</v>
      </c>
      <c r="E142" s="454">
        <v>5600</v>
      </c>
      <c r="F142" s="454">
        <v>50</v>
      </c>
      <c r="G142" s="455">
        <v>38.6</v>
      </c>
      <c r="H142" s="457">
        <f t="shared" si="5"/>
        <v>1930</v>
      </c>
      <c r="I142" s="455">
        <v>9</v>
      </c>
      <c r="J142" s="450"/>
      <c r="K142" s="450"/>
      <c r="L142" s="473"/>
      <c r="M142" s="455">
        <f t="shared" si="13"/>
        <v>9</v>
      </c>
      <c r="N142" s="303">
        <f t="shared" si="14"/>
        <v>1939</v>
      </c>
      <c r="O142" s="461" t="s">
        <v>2285</v>
      </c>
      <c r="P142" s="461" t="s">
        <v>197</v>
      </c>
      <c r="Q142" s="451"/>
    </row>
    <row r="143" spans="1:18" ht="12.75" customHeight="1" x14ac:dyDescent="0.25">
      <c r="A143" s="451"/>
      <c r="B143" s="295" t="s">
        <v>3082</v>
      </c>
      <c r="C143" s="452" t="s">
        <v>3075</v>
      </c>
      <c r="D143" s="452" t="s">
        <v>1245</v>
      </c>
      <c r="E143" s="454">
        <v>5600</v>
      </c>
      <c r="F143" s="454">
        <v>50</v>
      </c>
      <c r="G143" s="455">
        <v>38.6</v>
      </c>
      <c r="H143" s="457">
        <f t="shared" si="5"/>
        <v>1930</v>
      </c>
      <c r="I143" s="455">
        <v>9</v>
      </c>
      <c r="J143" s="450"/>
      <c r="K143" s="450"/>
      <c r="L143" s="473"/>
      <c r="M143" s="455">
        <f t="shared" si="13"/>
        <v>9</v>
      </c>
      <c r="N143" s="303">
        <f t="shared" si="14"/>
        <v>1939</v>
      </c>
      <c r="O143" s="461" t="s">
        <v>2285</v>
      </c>
      <c r="P143" s="461" t="s">
        <v>197</v>
      </c>
      <c r="Q143" s="451"/>
    </row>
    <row r="144" spans="1:18" ht="12.75" customHeight="1" x14ac:dyDescent="0.25">
      <c r="A144" s="451"/>
      <c r="B144" s="295" t="s">
        <v>3082</v>
      </c>
      <c r="C144" s="452" t="s">
        <v>3075</v>
      </c>
      <c r="D144" s="452" t="s">
        <v>1245</v>
      </c>
      <c r="E144" s="454">
        <v>5600</v>
      </c>
      <c r="F144" s="454">
        <v>50</v>
      </c>
      <c r="G144" s="455">
        <v>38.6</v>
      </c>
      <c r="H144" s="457">
        <f t="shared" si="5"/>
        <v>1930</v>
      </c>
      <c r="I144" s="455">
        <v>9</v>
      </c>
      <c r="J144" s="450"/>
      <c r="K144" s="450"/>
      <c r="L144" s="473"/>
      <c r="M144" s="455">
        <f t="shared" si="13"/>
        <v>9</v>
      </c>
      <c r="N144" s="303">
        <f t="shared" si="14"/>
        <v>1939</v>
      </c>
      <c r="O144" s="461" t="s">
        <v>2285</v>
      </c>
      <c r="P144" s="461" t="s">
        <v>197</v>
      </c>
      <c r="Q144" s="451"/>
    </row>
    <row r="145" spans="1:17" ht="12.75" customHeight="1" x14ac:dyDescent="0.25">
      <c r="A145" s="451"/>
      <c r="B145" s="295" t="s">
        <v>3082</v>
      </c>
      <c r="C145" s="452" t="s">
        <v>3075</v>
      </c>
      <c r="D145" s="452" t="s">
        <v>1245</v>
      </c>
      <c r="E145" s="454">
        <v>5600</v>
      </c>
      <c r="F145" s="454">
        <v>50</v>
      </c>
      <c r="G145" s="455">
        <v>38.6</v>
      </c>
      <c r="H145" s="457">
        <f t="shared" si="5"/>
        <v>1930</v>
      </c>
      <c r="I145" s="455">
        <v>9</v>
      </c>
      <c r="J145" s="450"/>
      <c r="K145" s="450"/>
      <c r="L145" s="473"/>
      <c r="M145" s="455">
        <f t="shared" si="13"/>
        <v>9</v>
      </c>
      <c r="N145" s="303">
        <f t="shared" si="14"/>
        <v>1939</v>
      </c>
      <c r="O145" s="461" t="s">
        <v>2285</v>
      </c>
      <c r="P145" s="461" t="s">
        <v>197</v>
      </c>
      <c r="Q145" s="451"/>
    </row>
    <row r="146" spans="1:17" ht="12.75" customHeight="1" x14ac:dyDescent="0.25">
      <c r="A146" s="451"/>
      <c r="B146" s="295" t="s">
        <v>3082</v>
      </c>
      <c r="C146" s="452" t="s">
        <v>3075</v>
      </c>
      <c r="D146" s="452" t="s">
        <v>1245</v>
      </c>
      <c r="E146" s="454">
        <v>5600</v>
      </c>
      <c r="F146" s="454">
        <v>50</v>
      </c>
      <c r="G146" s="455">
        <v>38.6</v>
      </c>
      <c r="H146" s="457">
        <f t="shared" si="5"/>
        <v>1930</v>
      </c>
      <c r="I146" s="455">
        <v>9</v>
      </c>
      <c r="J146" s="450"/>
      <c r="K146" s="450"/>
      <c r="L146" s="473"/>
      <c r="M146" s="455">
        <f t="shared" si="13"/>
        <v>9</v>
      </c>
      <c r="N146" s="303">
        <f t="shared" si="14"/>
        <v>1939</v>
      </c>
      <c r="O146" s="461" t="s">
        <v>2285</v>
      </c>
      <c r="P146" s="461" t="s">
        <v>197</v>
      </c>
      <c r="Q146" s="451"/>
    </row>
    <row r="147" spans="1:17" ht="12.75" customHeight="1" x14ac:dyDescent="0.25">
      <c r="A147" s="451"/>
      <c r="B147" s="295" t="s">
        <v>3086</v>
      </c>
      <c r="C147" s="452" t="s">
        <v>3075</v>
      </c>
      <c r="D147" s="452" t="s">
        <v>1245</v>
      </c>
      <c r="E147" s="454">
        <v>5800</v>
      </c>
      <c r="F147" s="454">
        <v>50</v>
      </c>
      <c r="G147" s="455">
        <v>31.4</v>
      </c>
      <c r="H147" s="457">
        <f t="shared" si="5"/>
        <v>1570</v>
      </c>
      <c r="I147" s="455">
        <v>9</v>
      </c>
      <c r="J147" s="450"/>
      <c r="K147" s="450"/>
      <c r="L147" s="473"/>
      <c r="M147" s="455">
        <f t="shared" ref="M147:M153" si="15">SUM(I147:L147)</f>
        <v>9</v>
      </c>
      <c r="N147" s="303">
        <f t="shared" ref="N147:N153" si="16">H147+M147</f>
        <v>1579</v>
      </c>
      <c r="O147" s="463" t="s">
        <v>94</v>
      </c>
      <c r="P147" s="461" t="s">
        <v>197</v>
      </c>
      <c r="Q147" s="451"/>
    </row>
    <row r="148" spans="1:17" ht="12.75" customHeight="1" x14ac:dyDescent="0.25">
      <c r="A148" s="451"/>
      <c r="B148" s="295" t="s">
        <v>3086</v>
      </c>
      <c r="C148" s="452" t="s">
        <v>3075</v>
      </c>
      <c r="D148" s="452" t="s">
        <v>1245</v>
      </c>
      <c r="E148" s="454">
        <v>5800</v>
      </c>
      <c r="F148" s="454">
        <v>50</v>
      </c>
      <c r="G148" s="455">
        <v>31.4</v>
      </c>
      <c r="H148" s="457">
        <f t="shared" si="5"/>
        <v>1570</v>
      </c>
      <c r="I148" s="455">
        <v>9</v>
      </c>
      <c r="J148" s="450"/>
      <c r="K148" s="450"/>
      <c r="L148" s="473"/>
      <c r="M148" s="455">
        <f t="shared" si="15"/>
        <v>9</v>
      </c>
      <c r="N148" s="303">
        <f t="shared" si="16"/>
        <v>1579</v>
      </c>
      <c r="O148" s="463" t="s">
        <v>94</v>
      </c>
      <c r="P148" s="461" t="s">
        <v>197</v>
      </c>
      <c r="Q148" s="451"/>
    </row>
    <row r="149" spans="1:17" ht="13.2" x14ac:dyDescent="0.25">
      <c r="A149" s="451"/>
      <c r="B149" s="295" t="s">
        <v>3086</v>
      </c>
      <c r="C149" s="452" t="s">
        <v>3075</v>
      </c>
      <c r="D149" s="452" t="s">
        <v>1245</v>
      </c>
      <c r="E149" s="454">
        <v>5800</v>
      </c>
      <c r="F149" s="454">
        <v>100</v>
      </c>
      <c r="G149" s="455">
        <v>31.4</v>
      </c>
      <c r="H149" s="457">
        <f t="shared" si="5"/>
        <v>3140</v>
      </c>
      <c r="I149" s="455">
        <v>18</v>
      </c>
      <c r="J149" s="450"/>
      <c r="K149" s="450"/>
      <c r="L149" s="473"/>
      <c r="M149" s="455">
        <f t="shared" si="15"/>
        <v>18</v>
      </c>
      <c r="N149" s="303">
        <f t="shared" si="16"/>
        <v>3158</v>
      </c>
      <c r="O149" s="463" t="s">
        <v>94</v>
      </c>
      <c r="P149" s="461" t="s">
        <v>197</v>
      </c>
      <c r="Q149" s="451"/>
    </row>
    <row r="150" spans="1:17" ht="12.75" customHeight="1" x14ac:dyDescent="0.25">
      <c r="A150" s="451"/>
      <c r="B150" s="295" t="s">
        <v>3087</v>
      </c>
      <c r="C150" s="452" t="s">
        <v>3075</v>
      </c>
      <c r="D150" s="452" t="s">
        <v>1249</v>
      </c>
      <c r="E150" s="454">
        <v>6300</v>
      </c>
      <c r="F150" s="454">
        <v>150</v>
      </c>
      <c r="G150" s="455">
        <v>17.850000000000001</v>
      </c>
      <c r="H150" s="457">
        <f t="shared" si="5"/>
        <v>2677.5</v>
      </c>
      <c r="I150" s="455">
        <v>27</v>
      </c>
      <c r="J150" s="450"/>
      <c r="K150" s="450"/>
      <c r="L150" s="473"/>
      <c r="M150" s="455">
        <f t="shared" si="15"/>
        <v>27</v>
      </c>
      <c r="N150" s="303">
        <f t="shared" si="16"/>
        <v>2704.5</v>
      </c>
      <c r="O150" s="465" t="s">
        <v>1580</v>
      </c>
      <c r="P150" s="461" t="s">
        <v>197</v>
      </c>
      <c r="Q150" s="451"/>
    </row>
    <row r="151" spans="1:17" ht="12.75" customHeight="1" x14ac:dyDescent="0.25">
      <c r="A151" s="451"/>
      <c r="B151" s="295" t="s">
        <v>3087</v>
      </c>
      <c r="C151" s="452" t="s">
        <v>3075</v>
      </c>
      <c r="D151" s="452" t="s">
        <v>1249</v>
      </c>
      <c r="E151" s="454">
        <v>6300</v>
      </c>
      <c r="F151" s="454">
        <v>50</v>
      </c>
      <c r="G151" s="455">
        <v>27</v>
      </c>
      <c r="H151" s="457">
        <f t="shared" si="5"/>
        <v>1350</v>
      </c>
      <c r="I151" s="455">
        <v>9</v>
      </c>
      <c r="J151" s="450"/>
      <c r="K151" s="450"/>
      <c r="L151" s="473"/>
      <c r="M151" s="455">
        <f t="shared" si="15"/>
        <v>9</v>
      </c>
      <c r="N151" s="303">
        <f t="shared" si="16"/>
        <v>1359</v>
      </c>
      <c r="O151" s="465" t="s">
        <v>1580</v>
      </c>
      <c r="P151" s="461" t="s">
        <v>197</v>
      </c>
      <c r="Q151" s="451"/>
    </row>
    <row r="152" spans="1:17" ht="12.75" customHeight="1" x14ac:dyDescent="0.25">
      <c r="A152" s="451"/>
      <c r="B152" s="295" t="s">
        <v>3087</v>
      </c>
      <c r="C152" s="452" t="s">
        <v>3075</v>
      </c>
      <c r="D152" s="452" t="s">
        <v>1249</v>
      </c>
      <c r="E152" s="454">
        <v>6300</v>
      </c>
      <c r="F152" s="454">
        <v>350</v>
      </c>
      <c r="G152" s="455">
        <v>27</v>
      </c>
      <c r="H152" s="457">
        <f t="shared" si="5"/>
        <v>9450</v>
      </c>
      <c r="I152" s="455">
        <v>63</v>
      </c>
      <c r="J152" s="450"/>
      <c r="K152" s="450"/>
      <c r="L152" s="473"/>
      <c r="M152" s="455">
        <f t="shared" si="15"/>
        <v>63</v>
      </c>
      <c r="N152" s="303">
        <f t="shared" si="16"/>
        <v>9513</v>
      </c>
      <c r="O152" s="465" t="s">
        <v>1580</v>
      </c>
      <c r="P152" s="461" t="s">
        <v>197</v>
      </c>
      <c r="Q152" s="451"/>
    </row>
    <row r="153" spans="1:17" ht="12.75" customHeight="1" x14ac:dyDescent="0.25">
      <c r="A153" s="451"/>
      <c r="B153" s="295" t="s">
        <v>3087</v>
      </c>
      <c r="C153" s="452" t="s">
        <v>3075</v>
      </c>
      <c r="D153" s="452" t="s">
        <v>1249</v>
      </c>
      <c r="E153" s="454">
        <v>6300</v>
      </c>
      <c r="F153" s="454">
        <v>150</v>
      </c>
      <c r="G153" s="455">
        <v>24</v>
      </c>
      <c r="H153" s="457">
        <f t="shared" si="5"/>
        <v>3600</v>
      </c>
      <c r="I153" s="455">
        <v>27</v>
      </c>
      <c r="J153" s="450"/>
      <c r="K153" s="450"/>
      <c r="L153" s="473"/>
      <c r="M153" s="455">
        <f t="shared" si="15"/>
        <v>27</v>
      </c>
      <c r="N153" s="303">
        <f t="shared" si="16"/>
        <v>3627</v>
      </c>
      <c r="O153" s="465" t="s">
        <v>1580</v>
      </c>
      <c r="P153" s="461" t="s">
        <v>197</v>
      </c>
      <c r="Q153" s="451"/>
    </row>
    <row r="154" spans="1:17" ht="12.75" customHeight="1" x14ac:dyDescent="0.25">
      <c r="A154" s="451"/>
      <c r="B154" s="295" t="s">
        <v>3093</v>
      </c>
      <c r="C154" s="452" t="s">
        <v>3075</v>
      </c>
      <c r="D154" s="452" t="s">
        <v>1249</v>
      </c>
      <c r="E154" s="454">
        <v>6400</v>
      </c>
      <c r="F154" s="454">
        <v>1450</v>
      </c>
      <c r="G154" s="455">
        <v>15.7</v>
      </c>
      <c r="H154" s="457">
        <f t="shared" si="5"/>
        <v>22765</v>
      </c>
      <c r="I154" s="455">
        <v>261</v>
      </c>
      <c r="J154" s="447"/>
      <c r="K154" s="447"/>
      <c r="L154" s="447"/>
      <c r="M154" s="455">
        <f>SUM(I154:L154)</f>
        <v>261</v>
      </c>
      <c r="N154" s="303">
        <f>H154+M154</f>
        <v>23026</v>
      </c>
      <c r="O154" s="461" t="s">
        <v>722</v>
      </c>
      <c r="P154" s="461" t="s">
        <v>197</v>
      </c>
      <c r="Q154" s="451"/>
    </row>
    <row r="155" spans="1:17" ht="12.75" customHeight="1" x14ac:dyDescent="0.25">
      <c r="A155" s="451"/>
      <c r="B155" s="295" t="s">
        <v>3093</v>
      </c>
      <c r="C155" s="452" t="s">
        <v>3075</v>
      </c>
      <c r="D155" s="452" t="s">
        <v>1249</v>
      </c>
      <c r="E155" s="454">
        <v>6400</v>
      </c>
      <c r="F155" s="454">
        <v>350</v>
      </c>
      <c r="G155" s="455">
        <v>15.7</v>
      </c>
      <c r="H155" s="457">
        <f t="shared" si="5"/>
        <v>5495</v>
      </c>
      <c r="I155" s="455">
        <v>63</v>
      </c>
      <c r="J155" s="458">
        <v>60.51</v>
      </c>
      <c r="K155" s="458">
        <f>5+4</f>
        <v>9</v>
      </c>
      <c r="L155" s="458">
        <v>39.549999999999997</v>
      </c>
      <c r="M155" s="455">
        <f>SUM(I155:L155)</f>
        <v>172.06</v>
      </c>
      <c r="N155" s="303">
        <f>H155+M155</f>
        <v>5667.06</v>
      </c>
      <c r="O155" s="461" t="s">
        <v>722</v>
      </c>
      <c r="P155" s="461" t="s">
        <v>197</v>
      </c>
      <c r="Q155" s="451"/>
    </row>
    <row r="156" spans="1:17" ht="12.75" customHeight="1" x14ac:dyDescent="0.25">
      <c r="A156" s="451"/>
      <c r="B156" s="295" t="s">
        <v>3095</v>
      </c>
      <c r="C156" s="452" t="s">
        <v>3075</v>
      </c>
      <c r="D156" s="452" t="s">
        <v>1245</v>
      </c>
      <c r="E156" s="454">
        <v>6100</v>
      </c>
      <c r="F156" s="454">
        <v>200</v>
      </c>
      <c r="G156" s="455">
        <v>32.6</v>
      </c>
      <c r="H156" s="457">
        <f t="shared" si="5"/>
        <v>6520</v>
      </c>
      <c r="I156" s="455">
        <v>36</v>
      </c>
      <c r="J156" s="447"/>
      <c r="K156" s="447"/>
      <c r="L156" s="447"/>
      <c r="M156" s="455">
        <f>SUM(I156:L156)</f>
        <v>36</v>
      </c>
      <c r="N156" s="303">
        <f>H156+M156</f>
        <v>6556</v>
      </c>
      <c r="O156" s="465" t="s">
        <v>3094</v>
      </c>
      <c r="P156" s="461" t="s">
        <v>197</v>
      </c>
      <c r="Q156" s="451"/>
    </row>
    <row r="157" spans="1:17" ht="12.75" customHeight="1" x14ac:dyDescent="0.25">
      <c r="A157" s="451"/>
      <c r="B157" s="295" t="s">
        <v>3095</v>
      </c>
      <c r="C157" s="452" t="s">
        <v>3075</v>
      </c>
      <c r="D157" s="452" t="s">
        <v>1245</v>
      </c>
      <c r="E157" s="454">
        <v>6100</v>
      </c>
      <c r="F157" s="454">
        <v>300</v>
      </c>
      <c r="G157" s="455">
        <v>33.200000000000003</v>
      </c>
      <c r="H157" s="457">
        <f t="shared" si="5"/>
        <v>9960</v>
      </c>
      <c r="I157" s="455">
        <v>54</v>
      </c>
      <c r="J157" s="447"/>
      <c r="K157" s="447"/>
      <c r="L157" s="447"/>
      <c r="M157" s="455">
        <f>SUM(I157:L157)</f>
        <v>54</v>
      </c>
      <c r="N157" s="303">
        <f>H157+M157</f>
        <v>10014</v>
      </c>
      <c r="O157" s="465" t="s">
        <v>3094</v>
      </c>
      <c r="P157" s="461" t="s">
        <v>197</v>
      </c>
      <c r="Q157" s="451"/>
    </row>
    <row r="158" spans="1:17" ht="12.75" customHeight="1" x14ac:dyDescent="0.25">
      <c r="A158" s="451"/>
      <c r="B158" s="295" t="s">
        <v>3096</v>
      </c>
      <c r="C158" s="452" t="s">
        <v>3075</v>
      </c>
      <c r="D158" s="452" t="s">
        <v>1249</v>
      </c>
      <c r="E158" s="454">
        <v>6300</v>
      </c>
      <c r="F158" s="454">
        <v>300</v>
      </c>
      <c r="G158" s="455">
        <v>21.55</v>
      </c>
      <c r="H158" s="457">
        <f t="shared" si="5"/>
        <v>6465</v>
      </c>
      <c r="I158" s="455">
        <v>54</v>
      </c>
      <c r="J158" s="447"/>
      <c r="K158" s="447"/>
      <c r="L158" s="447"/>
      <c r="M158" s="455">
        <f t="shared" ref="M158:M169" si="17">SUM(I158:L158)</f>
        <v>54</v>
      </c>
      <c r="N158" s="303">
        <f t="shared" ref="N158:N169" si="18">H158+M158</f>
        <v>6519</v>
      </c>
      <c r="O158" s="463" t="s">
        <v>1497</v>
      </c>
      <c r="P158" s="463" t="s">
        <v>197</v>
      </c>
      <c r="Q158" s="451"/>
    </row>
    <row r="159" spans="1:17" ht="12.75" customHeight="1" x14ac:dyDescent="0.25">
      <c r="A159" s="451"/>
      <c r="B159" s="295" t="s">
        <v>3096</v>
      </c>
      <c r="C159" s="452" t="s">
        <v>3075</v>
      </c>
      <c r="D159" s="452" t="s">
        <v>1249</v>
      </c>
      <c r="E159" s="454">
        <v>6300</v>
      </c>
      <c r="F159" s="454">
        <v>300</v>
      </c>
      <c r="G159" s="455">
        <v>21.55</v>
      </c>
      <c r="H159" s="457">
        <f t="shared" si="5"/>
        <v>6465</v>
      </c>
      <c r="I159" s="455">
        <v>54</v>
      </c>
      <c r="J159" s="447"/>
      <c r="K159" s="447"/>
      <c r="L159" s="447"/>
      <c r="M159" s="455">
        <f t="shared" si="17"/>
        <v>54</v>
      </c>
      <c r="N159" s="303">
        <f t="shared" si="18"/>
        <v>6519</v>
      </c>
      <c r="O159" s="463" t="s">
        <v>1497</v>
      </c>
      <c r="P159" s="463" t="s">
        <v>197</v>
      </c>
      <c r="Q159" s="451"/>
    </row>
    <row r="160" spans="1:17" ht="12.75" customHeight="1" x14ac:dyDescent="0.25">
      <c r="A160" s="451"/>
      <c r="B160" s="295" t="s">
        <v>3096</v>
      </c>
      <c r="C160" s="452" t="s">
        <v>3075</v>
      </c>
      <c r="D160" s="452" t="s">
        <v>1249</v>
      </c>
      <c r="E160" s="454">
        <v>6300</v>
      </c>
      <c r="F160" s="454">
        <v>100</v>
      </c>
      <c r="G160" s="455">
        <v>21.55</v>
      </c>
      <c r="H160" s="457">
        <f t="shared" si="5"/>
        <v>2155</v>
      </c>
      <c r="I160" s="455">
        <v>18</v>
      </c>
      <c r="J160" s="447"/>
      <c r="K160" s="447"/>
      <c r="L160" s="447"/>
      <c r="M160" s="455">
        <f t="shared" si="17"/>
        <v>18</v>
      </c>
      <c r="N160" s="303">
        <f t="shared" si="18"/>
        <v>2173</v>
      </c>
      <c r="O160" s="463" t="s">
        <v>1497</v>
      </c>
      <c r="P160" s="463" t="s">
        <v>197</v>
      </c>
      <c r="Q160" s="451"/>
    </row>
    <row r="161" spans="1:18" ht="12.75" customHeight="1" x14ac:dyDescent="0.25">
      <c r="A161" s="451"/>
      <c r="B161" s="295" t="s">
        <v>3096</v>
      </c>
      <c r="C161" s="452" t="s">
        <v>3075</v>
      </c>
      <c r="D161" s="452" t="s">
        <v>1249</v>
      </c>
      <c r="E161" s="454">
        <v>6300</v>
      </c>
      <c r="F161" s="454">
        <v>100</v>
      </c>
      <c r="G161" s="455">
        <v>21.55</v>
      </c>
      <c r="H161" s="457">
        <f t="shared" si="5"/>
        <v>2155</v>
      </c>
      <c r="I161" s="455">
        <v>18</v>
      </c>
      <c r="J161" s="447"/>
      <c r="K161" s="447"/>
      <c r="L161" s="447"/>
      <c r="M161" s="455">
        <f t="shared" si="17"/>
        <v>18</v>
      </c>
      <c r="N161" s="303">
        <f t="shared" si="18"/>
        <v>2173</v>
      </c>
      <c r="O161" s="463" t="s">
        <v>1497</v>
      </c>
      <c r="P161" s="463" t="s">
        <v>197</v>
      </c>
      <c r="Q161" s="451"/>
    </row>
    <row r="162" spans="1:18" ht="12.75" customHeight="1" x14ac:dyDescent="0.25">
      <c r="A162" s="451"/>
      <c r="B162" s="295" t="s">
        <v>3096</v>
      </c>
      <c r="C162" s="452" t="s">
        <v>3075</v>
      </c>
      <c r="D162" s="452" t="s">
        <v>1249</v>
      </c>
      <c r="E162" s="454">
        <v>6300</v>
      </c>
      <c r="F162" s="454">
        <v>50</v>
      </c>
      <c r="G162" s="455">
        <v>21.4</v>
      </c>
      <c r="H162" s="457">
        <f t="shared" si="5"/>
        <v>1070</v>
      </c>
      <c r="I162" s="455">
        <v>9</v>
      </c>
      <c r="J162" s="447"/>
      <c r="K162" s="447"/>
      <c r="L162" s="447"/>
      <c r="M162" s="455">
        <f t="shared" si="17"/>
        <v>9</v>
      </c>
      <c r="N162" s="303">
        <f t="shared" si="18"/>
        <v>1079</v>
      </c>
      <c r="O162" s="463" t="s">
        <v>1497</v>
      </c>
      <c r="P162" s="461" t="s">
        <v>197</v>
      </c>
      <c r="Q162" s="451"/>
    </row>
    <row r="163" spans="1:18" ht="12.75" customHeight="1" x14ac:dyDescent="0.25">
      <c r="A163" s="451"/>
      <c r="B163" s="295" t="s">
        <v>3096</v>
      </c>
      <c r="C163" s="452" t="s">
        <v>3075</v>
      </c>
      <c r="D163" s="452" t="s">
        <v>1249</v>
      </c>
      <c r="E163" s="454">
        <v>6300</v>
      </c>
      <c r="F163" s="454">
        <v>150</v>
      </c>
      <c r="G163" s="455">
        <v>21.4</v>
      </c>
      <c r="H163" s="457">
        <f t="shared" si="5"/>
        <v>3210</v>
      </c>
      <c r="I163" s="455">
        <v>27</v>
      </c>
      <c r="J163" s="447"/>
      <c r="K163" s="447"/>
      <c r="L163" s="447"/>
      <c r="M163" s="455">
        <f t="shared" si="17"/>
        <v>27</v>
      </c>
      <c r="N163" s="303">
        <f t="shared" si="18"/>
        <v>3237</v>
      </c>
      <c r="O163" s="463" t="s">
        <v>1497</v>
      </c>
      <c r="P163" s="461" t="s">
        <v>197</v>
      </c>
      <c r="Q163" s="451"/>
    </row>
    <row r="164" spans="1:18" ht="12.75" customHeight="1" x14ac:dyDescent="0.25">
      <c r="A164" s="451"/>
      <c r="B164" s="295" t="s">
        <v>3096</v>
      </c>
      <c r="C164" s="452" t="s">
        <v>3075</v>
      </c>
      <c r="D164" s="452" t="s">
        <v>1249</v>
      </c>
      <c r="E164" s="454">
        <v>6300</v>
      </c>
      <c r="F164" s="454">
        <v>150</v>
      </c>
      <c r="G164" s="455">
        <v>21.4</v>
      </c>
      <c r="H164" s="457">
        <f t="shared" ref="H164:H227" si="19">F164*G164</f>
        <v>3210</v>
      </c>
      <c r="I164" s="455">
        <v>27</v>
      </c>
      <c r="J164" s="447"/>
      <c r="K164" s="447"/>
      <c r="L164" s="447"/>
      <c r="M164" s="455">
        <f t="shared" si="17"/>
        <v>27</v>
      </c>
      <c r="N164" s="303">
        <f t="shared" si="18"/>
        <v>3237</v>
      </c>
      <c r="O164" s="463" t="s">
        <v>1497</v>
      </c>
      <c r="P164" s="461" t="s">
        <v>197</v>
      </c>
      <c r="Q164" s="451"/>
    </row>
    <row r="165" spans="1:18" ht="12.75" customHeight="1" x14ac:dyDescent="0.25">
      <c r="A165" s="451"/>
      <c r="B165" s="295" t="s">
        <v>3096</v>
      </c>
      <c r="C165" s="452" t="s">
        <v>3075</v>
      </c>
      <c r="D165" s="452" t="s">
        <v>1249</v>
      </c>
      <c r="E165" s="454">
        <v>6300</v>
      </c>
      <c r="F165" s="454">
        <v>100</v>
      </c>
      <c r="G165" s="455">
        <v>21.4</v>
      </c>
      <c r="H165" s="457">
        <f t="shared" si="19"/>
        <v>2140</v>
      </c>
      <c r="I165" s="455">
        <v>18</v>
      </c>
      <c r="J165" s="447"/>
      <c r="K165" s="447"/>
      <c r="L165" s="447"/>
      <c r="M165" s="455">
        <f t="shared" si="17"/>
        <v>18</v>
      </c>
      <c r="N165" s="303">
        <f t="shared" si="18"/>
        <v>2158</v>
      </c>
      <c r="O165" s="463" t="s">
        <v>1497</v>
      </c>
      <c r="P165" s="461" t="s">
        <v>197</v>
      </c>
      <c r="Q165" s="451"/>
    </row>
    <row r="166" spans="1:18" ht="13.2" x14ac:dyDescent="0.25">
      <c r="A166" s="451"/>
      <c r="B166" s="295" t="s">
        <v>3096</v>
      </c>
      <c r="C166" s="452" t="s">
        <v>3075</v>
      </c>
      <c r="D166" s="452" t="s">
        <v>1249</v>
      </c>
      <c r="E166" s="454">
        <v>6300</v>
      </c>
      <c r="F166" s="454">
        <v>100</v>
      </c>
      <c r="G166" s="455">
        <v>21.4</v>
      </c>
      <c r="H166" s="457">
        <f t="shared" si="19"/>
        <v>2140</v>
      </c>
      <c r="I166" s="455">
        <v>18</v>
      </c>
      <c r="J166" s="447"/>
      <c r="K166" s="447"/>
      <c r="L166" s="447"/>
      <c r="M166" s="455">
        <f t="shared" si="17"/>
        <v>18</v>
      </c>
      <c r="N166" s="303">
        <f t="shared" si="18"/>
        <v>2158</v>
      </c>
      <c r="O166" s="463" t="s">
        <v>1497</v>
      </c>
      <c r="P166" s="461" t="s">
        <v>197</v>
      </c>
      <c r="Q166" s="451"/>
    </row>
    <row r="167" spans="1:18" ht="12.75" customHeight="1" x14ac:dyDescent="0.25">
      <c r="A167" s="451"/>
      <c r="B167" s="295" t="s">
        <v>3096</v>
      </c>
      <c r="C167" s="452" t="s">
        <v>3075</v>
      </c>
      <c r="D167" s="452" t="s">
        <v>1249</v>
      </c>
      <c r="E167" s="454">
        <v>6300</v>
      </c>
      <c r="F167" s="454">
        <v>150</v>
      </c>
      <c r="G167" s="455">
        <v>21.4</v>
      </c>
      <c r="H167" s="457">
        <f t="shared" si="19"/>
        <v>3210</v>
      </c>
      <c r="I167" s="455">
        <v>27</v>
      </c>
      <c r="J167" s="447"/>
      <c r="K167" s="447"/>
      <c r="L167" s="447"/>
      <c r="M167" s="455">
        <f t="shared" si="17"/>
        <v>27</v>
      </c>
      <c r="N167" s="303">
        <f t="shared" si="18"/>
        <v>3237</v>
      </c>
      <c r="O167" s="463" t="s">
        <v>1497</v>
      </c>
      <c r="P167" s="461" t="s">
        <v>197</v>
      </c>
      <c r="Q167" s="451"/>
    </row>
    <row r="168" spans="1:18" ht="12.75" customHeight="1" x14ac:dyDescent="0.25">
      <c r="A168" s="451"/>
      <c r="B168" s="295" t="s">
        <v>3096</v>
      </c>
      <c r="C168" s="452" t="s">
        <v>3075</v>
      </c>
      <c r="D168" s="452" t="s">
        <v>1249</v>
      </c>
      <c r="E168" s="454">
        <v>6300</v>
      </c>
      <c r="F168" s="454">
        <v>50</v>
      </c>
      <c r="G168" s="455">
        <v>21.4</v>
      </c>
      <c r="H168" s="457">
        <f t="shared" si="19"/>
        <v>1070</v>
      </c>
      <c r="I168" s="455">
        <v>9</v>
      </c>
      <c r="J168" s="447"/>
      <c r="K168" s="447"/>
      <c r="L168" s="447"/>
      <c r="M168" s="455">
        <f t="shared" si="17"/>
        <v>9</v>
      </c>
      <c r="N168" s="303">
        <f t="shared" si="18"/>
        <v>1079</v>
      </c>
      <c r="O168" s="463" t="s">
        <v>1497</v>
      </c>
      <c r="P168" s="461" t="s">
        <v>197</v>
      </c>
      <c r="Q168" s="451"/>
    </row>
    <row r="169" spans="1:18" ht="12.75" customHeight="1" x14ac:dyDescent="0.25">
      <c r="A169" s="451"/>
      <c r="B169" s="295" t="s">
        <v>3096</v>
      </c>
      <c r="C169" s="452" t="s">
        <v>3075</v>
      </c>
      <c r="D169" s="452" t="s">
        <v>1249</v>
      </c>
      <c r="E169" s="454">
        <v>6300</v>
      </c>
      <c r="F169" s="454">
        <v>50</v>
      </c>
      <c r="G169" s="455">
        <v>21.4</v>
      </c>
      <c r="H169" s="457">
        <f t="shared" si="19"/>
        <v>1070</v>
      </c>
      <c r="I169" s="455">
        <v>9</v>
      </c>
      <c r="J169" s="457">
        <v>51.99</v>
      </c>
      <c r="K169" s="458">
        <f>5+4</f>
        <v>9</v>
      </c>
      <c r="L169" s="458">
        <v>42.6</v>
      </c>
      <c r="M169" s="455">
        <f t="shared" si="17"/>
        <v>112.59</v>
      </c>
      <c r="N169" s="303">
        <f t="shared" si="18"/>
        <v>1182.5899999999999</v>
      </c>
      <c r="O169" s="463" t="s">
        <v>1497</v>
      </c>
      <c r="P169" s="461" t="s">
        <v>197</v>
      </c>
      <c r="Q169" s="451"/>
    </row>
    <row r="170" spans="1:18" ht="12.75" customHeight="1" x14ac:dyDescent="0.25">
      <c r="A170" s="451"/>
      <c r="B170" s="295" t="s">
        <v>3097</v>
      </c>
      <c r="C170" s="452" t="s">
        <v>3075</v>
      </c>
      <c r="D170" s="452" t="s">
        <v>1249</v>
      </c>
      <c r="E170" s="454">
        <v>6300</v>
      </c>
      <c r="F170" s="454">
        <v>100</v>
      </c>
      <c r="G170" s="455">
        <v>8.8000000000000007</v>
      </c>
      <c r="H170" s="457">
        <f t="shared" si="19"/>
        <v>880.00000000000011</v>
      </c>
      <c r="I170" s="455">
        <v>18</v>
      </c>
      <c r="J170" s="458">
        <v>2.2999999999999998</v>
      </c>
      <c r="K170" s="458">
        <v>1</v>
      </c>
      <c r="L170" s="458">
        <v>0.62</v>
      </c>
      <c r="M170" s="455">
        <f>SUM(I170:L170)</f>
        <v>21.92</v>
      </c>
      <c r="N170" s="303">
        <f>H170+M170</f>
        <v>901.92000000000007</v>
      </c>
      <c r="O170" s="463" t="s">
        <v>729</v>
      </c>
      <c r="P170" s="461" t="s">
        <v>197</v>
      </c>
      <c r="Q170" s="451"/>
    </row>
    <row r="171" spans="1:18" ht="12.75" customHeight="1" x14ac:dyDescent="0.25">
      <c r="A171" s="451"/>
      <c r="B171" s="295" t="s">
        <v>3099</v>
      </c>
      <c r="C171" s="452" t="s">
        <v>3098</v>
      </c>
      <c r="D171" s="452" t="s">
        <v>1249</v>
      </c>
      <c r="E171" s="454">
        <v>11400</v>
      </c>
      <c r="F171" s="454">
        <v>50</v>
      </c>
      <c r="G171" s="455">
        <v>21.45</v>
      </c>
      <c r="H171" s="457">
        <f t="shared" si="19"/>
        <v>1072.5</v>
      </c>
      <c r="I171" s="455">
        <v>18</v>
      </c>
      <c r="J171" s="447"/>
      <c r="K171" s="447"/>
      <c r="L171" s="447"/>
      <c r="M171" s="455">
        <f t="shared" ref="M171:M180" si="20">SUM(I171:L171)</f>
        <v>18</v>
      </c>
      <c r="N171" s="303">
        <f t="shared" ref="N171:N183" si="21">H171+M171</f>
        <v>1090.5</v>
      </c>
      <c r="O171" s="463" t="s">
        <v>734</v>
      </c>
      <c r="P171" s="461" t="s">
        <v>197</v>
      </c>
      <c r="Q171" s="451"/>
    </row>
    <row r="172" spans="1:18" ht="12.75" customHeight="1" x14ac:dyDescent="0.25">
      <c r="A172" s="451"/>
      <c r="B172" s="295" t="s">
        <v>3099</v>
      </c>
      <c r="C172" s="452" t="s">
        <v>3098</v>
      </c>
      <c r="D172" s="452" t="s">
        <v>1249</v>
      </c>
      <c r="E172" s="454">
        <v>11400</v>
      </c>
      <c r="F172" s="454">
        <v>50</v>
      </c>
      <c r="G172" s="455">
        <v>21.45</v>
      </c>
      <c r="H172" s="457">
        <f t="shared" si="19"/>
        <v>1072.5</v>
      </c>
      <c r="I172" s="455">
        <v>18</v>
      </c>
      <c r="J172" s="447"/>
      <c r="K172" s="447"/>
      <c r="L172" s="447"/>
      <c r="M172" s="455">
        <f t="shared" si="20"/>
        <v>18</v>
      </c>
      <c r="N172" s="303">
        <f t="shared" si="21"/>
        <v>1090.5</v>
      </c>
      <c r="O172" s="463" t="s">
        <v>734</v>
      </c>
      <c r="P172" s="461" t="s">
        <v>197</v>
      </c>
      <c r="Q172" s="451"/>
    </row>
    <row r="173" spans="1:18" ht="12.75" customHeight="1" x14ac:dyDescent="0.25">
      <c r="A173" s="451"/>
      <c r="B173" s="295" t="s">
        <v>3099</v>
      </c>
      <c r="C173" s="452" t="s">
        <v>3098</v>
      </c>
      <c r="D173" s="452" t="s">
        <v>1249</v>
      </c>
      <c r="E173" s="454">
        <v>11400</v>
      </c>
      <c r="F173" s="454">
        <v>25</v>
      </c>
      <c r="G173" s="455">
        <v>21.45</v>
      </c>
      <c r="H173" s="457">
        <f t="shared" si="19"/>
        <v>536.25</v>
      </c>
      <c r="I173" s="455">
        <v>9</v>
      </c>
      <c r="J173" s="447"/>
      <c r="K173" s="447"/>
      <c r="L173" s="447"/>
      <c r="M173" s="455">
        <f t="shared" si="20"/>
        <v>9</v>
      </c>
      <c r="N173" s="303">
        <f t="shared" si="21"/>
        <v>545.25</v>
      </c>
      <c r="O173" s="463" t="s">
        <v>734</v>
      </c>
      <c r="P173" s="461" t="s">
        <v>197</v>
      </c>
      <c r="Q173" s="451"/>
    </row>
    <row r="174" spans="1:18" ht="13.2" x14ac:dyDescent="0.25">
      <c r="A174" s="451"/>
      <c r="B174" s="295" t="s">
        <v>3099</v>
      </c>
      <c r="C174" s="452" t="s">
        <v>3098</v>
      </c>
      <c r="D174" s="452" t="s">
        <v>1249</v>
      </c>
      <c r="E174" s="454">
        <v>11400</v>
      </c>
      <c r="F174" s="454">
        <v>25</v>
      </c>
      <c r="G174" s="455">
        <v>21.45</v>
      </c>
      <c r="H174" s="457">
        <f t="shared" si="19"/>
        <v>536.25</v>
      </c>
      <c r="I174" s="455">
        <v>9</v>
      </c>
      <c r="J174" s="447"/>
      <c r="K174" s="447"/>
      <c r="L174" s="447"/>
      <c r="M174" s="455">
        <f t="shared" si="20"/>
        <v>9</v>
      </c>
      <c r="N174" s="303">
        <f t="shared" si="21"/>
        <v>545.25</v>
      </c>
      <c r="O174" s="463" t="s">
        <v>734</v>
      </c>
      <c r="P174" s="459" t="s">
        <v>197</v>
      </c>
      <c r="Q174" s="451"/>
      <c r="R174" s="247"/>
    </row>
    <row r="175" spans="1:18" ht="12.75" customHeight="1" x14ac:dyDescent="0.25">
      <c r="A175" s="451"/>
      <c r="B175" s="295" t="s">
        <v>3099</v>
      </c>
      <c r="C175" s="452" t="s">
        <v>3098</v>
      </c>
      <c r="D175" s="452" t="s">
        <v>1249</v>
      </c>
      <c r="E175" s="454">
        <v>11400</v>
      </c>
      <c r="F175" s="454">
        <v>25</v>
      </c>
      <c r="G175" s="455">
        <v>21.45</v>
      </c>
      <c r="H175" s="457">
        <f t="shared" si="19"/>
        <v>536.25</v>
      </c>
      <c r="I175" s="455">
        <v>9</v>
      </c>
      <c r="J175" s="447"/>
      <c r="K175" s="447"/>
      <c r="L175" s="447"/>
      <c r="M175" s="455">
        <f t="shared" si="20"/>
        <v>9</v>
      </c>
      <c r="N175" s="303">
        <f t="shared" si="21"/>
        <v>545.25</v>
      </c>
      <c r="O175" s="463" t="s">
        <v>734</v>
      </c>
      <c r="P175" s="459" t="s">
        <v>197</v>
      </c>
      <c r="Q175" s="451"/>
    </row>
    <row r="176" spans="1:18" ht="12.75" customHeight="1" x14ac:dyDescent="0.25">
      <c r="A176" s="451"/>
      <c r="B176" s="295" t="s">
        <v>3099</v>
      </c>
      <c r="C176" s="452" t="s">
        <v>3098</v>
      </c>
      <c r="D176" s="452" t="s">
        <v>1249</v>
      </c>
      <c r="E176" s="454">
        <v>11400</v>
      </c>
      <c r="F176" s="454">
        <v>75</v>
      </c>
      <c r="G176" s="455">
        <v>21.45</v>
      </c>
      <c r="H176" s="457">
        <f t="shared" si="19"/>
        <v>1608.75</v>
      </c>
      <c r="I176" s="455">
        <v>27</v>
      </c>
      <c r="J176" s="447"/>
      <c r="K176" s="447"/>
      <c r="L176" s="447"/>
      <c r="M176" s="455">
        <f t="shared" si="20"/>
        <v>27</v>
      </c>
      <c r="N176" s="303">
        <f t="shared" si="21"/>
        <v>1635.75</v>
      </c>
      <c r="O176" s="463" t="s">
        <v>734</v>
      </c>
      <c r="P176" s="459" t="s">
        <v>197</v>
      </c>
      <c r="Q176" s="451"/>
    </row>
    <row r="177" spans="1:18" ht="12.75" customHeight="1" x14ac:dyDescent="0.25">
      <c r="A177" s="451"/>
      <c r="B177" s="295" t="s">
        <v>3099</v>
      </c>
      <c r="C177" s="452" t="s">
        <v>3098</v>
      </c>
      <c r="D177" s="452" t="s">
        <v>1249</v>
      </c>
      <c r="E177" s="454">
        <v>11400</v>
      </c>
      <c r="F177" s="454">
        <v>25</v>
      </c>
      <c r="G177" s="455">
        <v>21.45</v>
      </c>
      <c r="H177" s="457">
        <f t="shared" si="19"/>
        <v>536.25</v>
      </c>
      <c r="I177" s="455">
        <v>9</v>
      </c>
      <c r="J177" s="447"/>
      <c r="K177" s="447"/>
      <c r="L177" s="447"/>
      <c r="M177" s="455">
        <f t="shared" si="20"/>
        <v>9</v>
      </c>
      <c r="N177" s="303">
        <f t="shared" si="21"/>
        <v>545.25</v>
      </c>
      <c r="O177" s="463" t="s">
        <v>734</v>
      </c>
      <c r="P177" s="459" t="s">
        <v>197</v>
      </c>
      <c r="Q177" s="451"/>
    </row>
    <row r="178" spans="1:18" ht="12.75" customHeight="1" x14ac:dyDescent="0.25">
      <c r="A178" s="451"/>
      <c r="B178" s="295" t="s">
        <v>3099</v>
      </c>
      <c r="C178" s="452" t="s">
        <v>3098</v>
      </c>
      <c r="D178" s="452" t="s">
        <v>1249</v>
      </c>
      <c r="E178" s="454">
        <v>11400</v>
      </c>
      <c r="F178" s="454">
        <v>25</v>
      </c>
      <c r="G178" s="455">
        <v>21.45</v>
      </c>
      <c r="H178" s="457">
        <f t="shared" si="19"/>
        <v>536.25</v>
      </c>
      <c r="I178" s="455">
        <v>9</v>
      </c>
      <c r="J178" s="447"/>
      <c r="K178" s="447"/>
      <c r="L178" s="447"/>
      <c r="M178" s="455">
        <f t="shared" si="20"/>
        <v>9</v>
      </c>
      <c r="N178" s="303">
        <f t="shared" si="21"/>
        <v>545.25</v>
      </c>
      <c r="O178" s="463" t="s">
        <v>734</v>
      </c>
      <c r="P178" s="459" t="s">
        <v>197</v>
      </c>
      <c r="Q178" s="451"/>
    </row>
    <row r="179" spans="1:18" ht="12.75" customHeight="1" x14ac:dyDescent="0.25">
      <c r="A179" s="451"/>
      <c r="B179" s="295" t="s">
        <v>3099</v>
      </c>
      <c r="C179" s="452" t="s">
        <v>3098</v>
      </c>
      <c r="D179" s="452" t="s">
        <v>1249</v>
      </c>
      <c r="E179" s="454">
        <v>11400</v>
      </c>
      <c r="F179" s="454">
        <v>25</v>
      </c>
      <c r="G179" s="455">
        <v>21.45</v>
      </c>
      <c r="H179" s="457">
        <f t="shared" si="19"/>
        <v>536.25</v>
      </c>
      <c r="I179" s="455">
        <v>9</v>
      </c>
      <c r="J179" s="447"/>
      <c r="K179" s="447"/>
      <c r="L179" s="447"/>
      <c r="M179" s="455">
        <f t="shared" si="20"/>
        <v>9</v>
      </c>
      <c r="N179" s="303">
        <f t="shared" si="21"/>
        <v>545.25</v>
      </c>
      <c r="O179" s="463" t="s">
        <v>734</v>
      </c>
      <c r="P179" s="459" t="s">
        <v>197</v>
      </c>
      <c r="Q179" s="451"/>
    </row>
    <row r="180" spans="1:18" ht="12.75" customHeight="1" x14ac:dyDescent="0.25">
      <c r="A180" s="451"/>
      <c r="B180" s="295" t="s">
        <v>3099</v>
      </c>
      <c r="C180" s="452" t="s">
        <v>3098</v>
      </c>
      <c r="D180" s="452" t="s">
        <v>1249</v>
      </c>
      <c r="E180" s="454">
        <v>11400</v>
      </c>
      <c r="F180" s="454">
        <v>25</v>
      </c>
      <c r="G180" s="455">
        <v>21.45</v>
      </c>
      <c r="H180" s="457">
        <f t="shared" si="19"/>
        <v>536.25</v>
      </c>
      <c r="I180" s="455">
        <v>9</v>
      </c>
      <c r="J180" s="447"/>
      <c r="K180" s="447"/>
      <c r="L180" s="447"/>
      <c r="M180" s="455">
        <f t="shared" si="20"/>
        <v>9</v>
      </c>
      <c r="N180" s="303">
        <f t="shared" si="21"/>
        <v>545.25</v>
      </c>
      <c r="O180" s="463" t="s">
        <v>734</v>
      </c>
      <c r="P180" s="459" t="s">
        <v>197</v>
      </c>
      <c r="Q180" s="451"/>
    </row>
    <row r="181" spans="1:18" ht="12.75" customHeight="1" x14ac:dyDescent="0.25">
      <c r="A181" s="451"/>
      <c r="B181" s="295" t="s">
        <v>3100</v>
      </c>
      <c r="C181" s="452" t="s">
        <v>3075</v>
      </c>
      <c r="D181" s="452" t="s">
        <v>1249</v>
      </c>
      <c r="E181" s="454">
        <v>6300</v>
      </c>
      <c r="F181" s="454">
        <v>50</v>
      </c>
      <c r="G181" s="455">
        <v>11.7</v>
      </c>
      <c r="H181" s="457">
        <f t="shared" si="19"/>
        <v>585</v>
      </c>
      <c r="I181" s="455">
        <v>9</v>
      </c>
      <c r="J181" s="447"/>
      <c r="K181" s="447"/>
      <c r="L181" s="447"/>
      <c r="M181" s="455">
        <f t="shared" ref="M181:M198" si="22">SUM(I181:L181)</f>
        <v>9</v>
      </c>
      <c r="N181" s="303">
        <f t="shared" si="21"/>
        <v>594</v>
      </c>
      <c r="O181" s="463" t="s">
        <v>3101</v>
      </c>
      <c r="P181" s="461" t="s">
        <v>197</v>
      </c>
      <c r="Q181" s="451"/>
    </row>
    <row r="182" spans="1:18" ht="12.75" customHeight="1" x14ac:dyDescent="0.25">
      <c r="A182" s="451"/>
      <c r="B182" s="295" t="s">
        <v>3100</v>
      </c>
      <c r="C182" s="452" t="s">
        <v>3075</v>
      </c>
      <c r="D182" s="452" t="s">
        <v>1249</v>
      </c>
      <c r="E182" s="454">
        <v>6300</v>
      </c>
      <c r="F182" s="454">
        <v>50</v>
      </c>
      <c r="G182" s="455">
        <v>11.7</v>
      </c>
      <c r="H182" s="457">
        <f t="shared" si="19"/>
        <v>585</v>
      </c>
      <c r="I182" s="455">
        <v>9</v>
      </c>
      <c r="J182" s="447"/>
      <c r="K182" s="447"/>
      <c r="L182" s="447"/>
      <c r="M182" s="455">
        <f t="shared" si="22"/>
        <v>9</v>
      </c>
      <c r="N182" s="303">
        <f t="shared" si="21"/>
        <v>594</v>
      </c>
      <c r="O182" s="463" t="s">
        <v>3101</v>
      </c>
      <c r="P182" s="461" t="s">
        <v>197</v>
      </c>
      <c r="Q182" s="451"/>
    </row>
    <row r="183" spans="1:18" ht="12.75" customHeight="1" x14ac:dyDescent="0.25">
      <c r="A183" s="451"/>
      <c r="B183" s="295" t="s">
        <v>3100</v>
      </c>
      <c r="C183" s="452" t="s">
        <v>3075</v>
      </c>
      <c r="D183" s="452" t="s">
        <v>1249</v>
      </c>
      <c r="E183" s="454">
        <v>6300</v>
      </c>
      <c r="F183" s="454">
        <v>1500</v>
      </c>
      <c r="G183" s="455">
        <v>11.8</v>
      </c>
      <c r="H183" s="457">
        <f t="shared" si="19"/>
        <v>17700</v>
      </c>
      <c r="I183" s="455">
        <v>270</v>
      </c>
      <c r="J183" s="447"/>
      <c r="K183" s="447"/>
      <c r="L183" s="447"/>
      <c r="M183" s="455">
        <f t="shared" si="22"/>
        <v>270</v>
      </c>
      <c r="N183" s="303">
        <f t="shared" si="21"/>
        <v>17970</v>
      </c>
      <c r="O183" s="463" t="s">
        <v>3101</v>
      </c>
      <c r="P183" s="461" t="s">
        <v>197</v>
      </c>
      <c r="Q183" s="451"/>
    </row>
    <row r="184" spans="1:18" ht="12.75" customHeight="1" x14ac:dyDescent="0.25">
      <c r="A184" s="451"/>
      <c r="B184" s="295" t="s">
        <v>3103</v>
      </c>
      <c r="C184" s="452" t="s">
        <v>3075</v>
      </c>
      <c r="D184" s="452" t="s">
        <v>1249</v>
      </c>
      <c r="E184" s="454">
        <v>6300</v>
      </c>
      <c r="F184" s="454">
        <v>50</v>
      </c>
      <c r="G184" s="455">
        <v>10.45</v>
      </c>
      <c r="H184" s="457">
        <f t="shared" si="19"/>
        <v>522.5</v>
      </c>
      <c r="I184" s="455">
        <v>9</v>
      </c>
      <c r="J184" s="457">
        <v>1.1599999999999999</v>
      </c>
      <c r="K184" s="458">
        <v>1</v>
      </c>
      <c r="L184" s="458">
        <v>0.37</v>
      </c>
      <c r="M184" s="455">
        <f t="shared" si="22"/>
        <v>11.53</v>
      </c>
      <c r="N184" s="303">
        <f t="shared" ref="N184:N198" si="23">H184+M184</f>
        <v>534.03</v>
      </c>
      <c r="O184" s="463" t="s">
        <v>3104</v>
      </c>
      <c r="P184" s="461" t="s">
        <v>197</v>
      </c>
      <c r="Q184" s="451"/>
    </row>
    <row r="185" spans="1:18" ht="12.75" customHeight="1" x14ac:dyDescent="0.25">
      <c r="A185" s="451"/>
      <c r="B185" s="295" t="s">
        <v>3105</v>
      </c>
      <c r="C185" s="452" t="s">
        <v>3107</v>
      </c>
      <c r="D185" s="452" t="s">
        <v>1249</v>
      </c>
      <c r="E185" s="454">
        <v>155</v>
      </c>
      <c r="F185" s="454">
        <v>2000</v>
      </c>
      <c r="G185" s="455">
        <v>3</v>
      </c>
      <c r="H185" s="457">
        <f t="shared" si="19"/>
        <v>6000</v>
      </c>
      <c r="I185" s="455">
        <v>9</v>
      </c>
      <c r="J185" s="447"/>
      <c r="K185" s="447"/>
      <c r="L185" s="447"/>
      <c r="M185" s="455">
        <f t="shared" si="22"/>
        <v>9</v>
      </c>
      <c r="N185" s="303">
        <f t="shared" si="23"/>
        <v>6009</v>
      </c>
      <c r="O185" s="463" t="s">
        <v>739</v>
      </c>
      <c r="P185" s="461" t="s">
        <v>197</v>
      </c>
      <c r="Q185" s="451"/>
    </row>
    <row r="186" spans="1:18" ht="12.75" customHeight="1" x14ac:dyDescent="0.25">
      <c r="A186" s="451"/>
      <c r="B186" s="295" t="s">
        <v>3105</v>
      </c>
      <c r="C186" s="452" t="s">
        <v>3108</v>
      </c>
      <c r="D186" s="452" t="s">
        <v>1245</v>
      </c>
      <c r="E186" s="454">
        <v>6100</v>
      </c>
      <c r="F186" s="454">
        <v>200</v>
      </c>
      <c r="G186" s="455">
        <v>45.8</v>
      </c>
      <c r="H186" s="457">
        <f t="shared" si="19"/>
        <v>9160</v>
      </c>
      <c r="I186" s="455">
        <v>36</v>
      </c>
      <c r="J186" s="458">
        <v>6.87</v>
      </c>
      <c r="K186" s="458">
        <v>1</v>
      </c>
      <c r="L186" s="458">
        <v>10.61</v>
      </c>
      <c r="M186" s="455">
        <f t="shared" si="22"/>
        <v>54.48</v>
      </c>
      <c r="N186" s="303">
        <f t="shared" si="23"/>
        <v>9214.48</v>
      </c>
      <c r="O186" s="463" t="s">
        <v>739</v>
      </c>
      <c r="P186" s="461" t="s">
        <v>197</v>
      </c>
      <c r="Q186" s="451"/>
    </row>
    <row r="187" spans="1:18" ht="13.2" x14ac:dyDescent="0.25">
      <c r="A187" s="451"/>
      <c r="B187" s="295" t="s">
        <v>3110</v>
      </c>
      <c r="C187" s="452" t="s">
        <v>3109</v>
      </c>
      <c r="D187" s="452" t="s">
        <v>1245</v>
      </c>
      <c r="E187" s="454">
        <v>360</v>
      </c>
      <c r="F187" s="454">
        <v>1000</v>
      </c>
      <c r="G187" s="455">
        <v>5.2</v>
      </c>
      <c r="H187" s="457">
        <f t="shared" si="19"/>
        <v>5200</v>
      </c>
      <c r="I187" s="455">
        <v>9</v>
      </c>
      <c r="J187" s="447"/>
      <c r="K187" s="447"/>
      <c r="L187" s="447"/>
      <c r="M187" s="455">
        <f t="shared" si="22"/>
        <v>9</v>
      </c>
      <c r="N187" s="303">
        <f t="shared" si="23"/>
        <v>5209</v>
      </c>
      <c r="O187" s="463" t="s">
        <v>744</v>
      </c>
      <c r="P187" s="461" t="s">
        <v>197</v>
      </c>
      <c r="Q187" s="451"/>
    </row>
    <row r="188" spans="1:18" ht="13.2" x14ac:dyDescent="0.25">
      <c r="A188" s="451"/>
      <c r="B188" s="295" t="s">
        <v>3112</v>
      </c>
      <c r="C188" s="452" t="s">
        <v>3108</v>
      </c>
      <c r="D188" s="452" t="s">
        <v>1245</v>
      </c>
      <c r="E188" s="454">
        <v>6100</v>
      </c>
      <c r="F188" s="454">
        <v>200</v>
      </c>
      <c r="G188" s="455">
        <v>50</v>
      </c>
      <c r="H188" s="457">
        <f t="shared" si="19"/>
        <v>10000</v>
      </c>
      <c r="I188" s="455">
        <v>36</v>
      </c>
      <c r="J188" s="447"/>
      <c r="K188" s="447"/>
      <c r="L188" s="447"/>
      <c r="M188" s="455">
        <f t="shared" si="22"/>
        <v>36</v>
      </c>
      <c r="N188" s="303">
        <f t="shared" si="23"/>
        <v>10036</v>
      </c>
      <c r="O188" s="463" t="s">
        <v>1486</v>
      </c>
      <c r="P188" s="459" t="s">
        <v>197</v>
      </c>
      <c r="Q188" s="451"/>
      <c r="R188" s="247"/>
    </row>
    <row r="189" spans="1:18" ht="12.75" customHeight="1" x14ac:dyDescent="0.25">
      <c r="A189" s="451"/>
      <c r="B189" s="295" t="s">
        <v>3112</v>
      </c>
      <c r="C189" s="452" t="s">
        <v>3111</v>
      </c>
      <c r="D189" s="452" t="s">
        <v>1249</v>
      </c>
      <c r="E189" s="454">
        <v>22.5</v>
      </c>
      <c r="F189" s="454">
        <v>16000</v>
      </c>
      <c r="G189" s="455">
        <v>0.3</v>
      </c>
      <c r="H189" s="457">
        <f t="shared" si="19"/>
        <v>4800</v>
      </c>
      <c r="I189" s="455">
        <v>18</v>
      </c>
      <c r="J189" s="458">
        <v>14.73</v>
      </c>
      <c r="K189" s="458">
        <f>2+2</f>
        <v>4</v>
      </c>
      <c r="L189" s="458">
        <v>20.149999999999999</v>
      </c>
      <c r="M189" s="455">
        <f t="shared" si="22"/>
        <v>56.88</v>
      </c>
      <c r="N189" s="303">
        <f t="shared" si="23"/>
        <v>4856.88</v>
      </c>
      <c r="O189" s="463" t="s">
        <v>1486</v>
      </c>
      <c r="P189" s="461" t="s">
        <v>197</v>
      </c>
      <c r="Q189" s="451"/>
    </row>
    <row r="190" spans="1:18" ht="12.75" customHeight="1" x14ac:dyDescent="0.25">
      <c r="A190" s="451"/>
      <c r="B190" s="295" t="s">
        <v>3112</v>
      </c>
      <c r="C190" s="452" t="s">
        <v>3108</v>
      </c>
      <c r="D190" s="452" t="s">
        <v>1245</v>
      </c>
      <c r="E190" s="454">
        <v>6100</v>
      </c>
      <c r="F190" s="454">
        <v>100</v>
      </c>
      <c r="G190" s="455">
        <v>44.85</v>
      </c>
      <c r="H190" s="457">
        <f t="shared" si="19"/>
        <v>4485</v>
      </c>
      <c r="I190" s="455">
        <v>18</v>
      </c>
      <c r="J190" s="447"/>
      <c r="K190" s="447"/>
      <c r="L190" s="447"/>
      <c r="M190" s="455">
        <f t="shared" si="22"/>
        <v>18</v>
      </c>
      <c r="N190" s="303">
        <f t="shared" si="23"/>
        <v>4503</v>
      </c>
      <c r="O190" s="463" t="s">
        <v>1486</v>
      </c>
      <c r="P190" s="461" t="s">
        <v>197</v>
      </c>
      <c r="Q190" s="451"/>
    </row>
    <row r="191" spans="1:18" ht="12.75" customHeight="1" x14ac:dyDescent="0.25">
      <c r="A191" s="451"/>
      <c r="B191" s="295" t="s">
        <v>3113</v>
      </c>
      <c r="C191" s="452" t="s">
        <v>3107</v>
      </c>
      <c r="D191" s="452" t="s">
        <v>1249</v>
      </c>
      <c r="E191" s="454">
        <v>160</v>
      </c>
      <c r="F191" s="454">
        <v>2000</v>
      </c>
      <c r="G191" s="455">
        <v>2.2999999999999998</v>
      </c>
      <c r="H191" s="457">
        <f t="shared" si="19"/>
        <v>4600</v>
      </c>
      <c r="I191" s="455">
        <v>9</v>
      </c>
      <c r="J191" s="447"/>
      <c r="K191" s="447"/>
      <c r="L191" s="447"/>
      <c r="M191" s="455">
        <f t="shared" si="22"/>
        <v>9</v>
      </c>
      <c r="N191" s="303">
        <f t="shared" si="23"/>
        <v>4609</v>
      </c>
      <c r="O191" s="463" t="s">
        <v>1487</v>
      </c>
      <c r="P191" s="459" t="s">
        <v>197</v>
      </c>
      <c r="Q191" s="451"/>
    </row>
    <row r="192" spans="1:18" ht="12.75" customHeight="1" x14ac:dyDescent="0.25">
      <c r="A192" s="451"/>
      <c r="B192" s="295" t="s">
        <v>3115</v>
      </c>
      <c r="C192" s="452" t="s">
        <v>3114</v>
      </c>
      <c r="D192" s="452" t="s">
        <v>1249</v>
      </c>
      <c r="E192" s="454">
        <v>50</v>
      </c>
      <c r="F192" s="454">
        <v>4000</v>
      </c>
      <c r="G192" s="455">
        <v>1.65</v>
      </c>
      <c r="H192" s="457">
        <f t="shared" si="19"/>
        <v>6600</v>
      </c>
      <c r="I192" s="455">
        <v>9</v>
      </c>
      <c r="J192" s="447"/>
      <c r="K192" s="447"/>
      <c r="L192" s="447"/>
      <c r="M192" s="455">
        <f t="shared" si="22"/>
        <v>9</v>
      </c>
      <c r="N192" s="303">
        <f t="shared" si="23"/>
        <v>6609</v>
      </c>
      <c r="O192" s="463" t="s">
        <v>1490</v>
      </c>
      <c r="P192" s="459" t="s">
        <v>197</v>
      </c>
      <c r="Q192" s="451"/>
    </row>
    <row r="193" spans="1:17" ht="12.75" customHeight="1" x14ac:dyDescent="0.25">
      <c r="A193" s="451"/>
      <c r="B193" s="295" t="s">
        <v>3117</v>
      </c>
      <c r="C193" s="452" t="s">
        <v>3108</v>
      </c>
      <c r="D193" s="452" t="s">
        <v>1249</v>
      </c>
      <c r="E193" s="454">
        <v>6400</v>
      </c>
      <c r="F193" s="454">
        <v>300</v>
      </c>
      <c r="G193" s="455">
        <v>25</v>
      </c>
      <c r="H193" s="457">
        <f t="shared" si="19"/>
        <v>7500</v>
      </c>
      <c r="I193" s="455">
        <v>54</v>
      </c>
      <c r="J193" s="447"/>
      <c r="K193" s="447"/>
      <c r="L193" s="447"/>
      <c r="M193" s="455">
        <f t="shared" si="22"/>
        <v>54</v>
      </c>
      <c r="N193" s="303">
        <f t="shared" si="23"/>
        <v>7554</v>
      </c>
      <c r="O193" s="463" t="s">
        <v>2398</v>
      </c>
      <c r="P193" s="459" t="s">
        <v>197</v>
      </c>
      <c r="Q193" s="451"/>
    </row>
    <row r="194" spans="1:17" ht="12.75" customHeight="1" x14ac:dyDescent="0.25">
      <c r="A194" s="451"/>
      <c r="B194" s="295" t="s">
        <v>3120</v>
      </c>
      <c r="C194" s="452" t="s">
        <v>3108</v>
      </c>
      <c r="D194" s="452" t="s">
        <v>1249</v>
      </c>
      <c r="E194" s="454">
        <v>6400</v>
      </c>
      <c r="F194" s="454">
        <v>100</v>
      </c>
      <c r="G194" s="455">
        <v>11.95</v>
      </c>
      <c r="H194" s="457">
        <f t="shared" si="19"/>
        <v>1195</v>
      </c>
      <c r="I194" s="455">
        <v>18</v>
      </c>
      <c r="J194" s="447"/>
      <c r="K194" s="447"/>
      <c r="L194" s="447"/>
      <c r="M194" s="455">
        <f t="shared" si="22"/>
        <v>18</v>
      </c>
      <c r="N194" s="303">
        <f t="shared" si="23"/>
        <v>1213</v>
      </c>
      <c r="O194" s="463" t="s">
        <v>2406</v>
      </c>
      <c r="P194" s="459" t="s">
        <v>197</v>
      </c>
      <c r="Q194" s="451"/>
    </row>
    <row r="195" spans="1:17" ht="12.75" customHeight="1" x14ac:dyDescent="0.25">
      <c r="A195" s="451"/>
      <c r="B195" s="295" t="s">
        <v>3120</v>
      </c>
      <c r="C195" s="452" t="s">
        <v>3108</v>
      </c>
      <c r="D195" s="452" t="s">
        <v>1249</v>
      </c>
      <c r="E195" s="454">
        <v>6400</v>
      </c>
      <c r="F195" s="454">
        <v>150</v>
      </c>
      <c r="G195" s="455">
        <v>17.899999999999999</v>
      </c>
      <c r="H195" s="457">
        <f t="shared" si="19"/>
        <v>2685</v>
      </c>
      <c r="I195" s="455">
        <v>27</v>
      </c>
      <c r="J195" s="447"/>
      <c r="K195" s="447"/>
      <c r="L195" s="447"/>
      <c r="M195" s="455">
        <f t="shared" si="22"/>
        <v>27</v>
      </c>
      <c r="N195" s="303">
        <f t="shared" si="23"/>
        <v>2712</v>
      </c>
      <c r="O195" s="463" t="s">
        <v>2406</v>
      </c>
      <c r="P195" s="459" t="s">
        <v>197</v>
      </c>
      <c r="Q195" s="451"/>
    </row>
    <row r="196" spans="1:17" ht="12.75" customHeight="1" x14ac:dyDescent="0.25">
      <c r="A196" s="451"/>
      <c r="B196" s="295" t="s">
        <v>3120</v>
      </c>
      <c r="C196" s="452" t="s">
        <v>3108</v>
      </c>
      <c r="D196" s="452" t="s">
        <v>1249</v>
      </c>
      <c r="E196" s="454">
        <v>6400</v>
      </c>
      <c r="F196" s="454">
        <v>50</v>
      </c>
      <c r="G196" s="455">
        <v>17.899999999999999</v>
      </c>
      <c r="H196" s="457">
        <f t="shared" si="19"/>
        <v>894.99999999999989</v>
      </c>
      <c r="I196" s="455">
        <v>9</v>
      </c>
      <c r="J196" s="447"/>
      <c r="K196" s="447"/>
      <c r="L196" s="447"/>
      <c r="M196" s="455">
        <f t="shared" si="22"/>
        <v>9</v>
      </c>
      <c r="N196" s="303">
        <f t="shared" si="23"/>
        <v>903.99999999999989</v>
      </c>
      <c r="O196" s="463" t="s">
        <v>2406</v>
      </c>
      <c r="P196" s="459" t="s">
        <v>197</v>
      </c>
      <c r="Q196" s="451"/>
    </row>
    <row r="197" spans="1:17" ht="12.75" customHeight="1" x14ac:dyDescent="0.25">
      <c r="A197" s="451"/>
      <c r="B197" s="295" t="s">
        <v>3120</v>
      </c>
      <c r="C197" s="452" t="s">
        <v>3108</v>
      </c>
      <c r="D197" s="452" t="s">
        <v>1249</v>
      </c>
      <c r="E197" s="454">
        <v>6400</v>
      </c>
      <c r="F197" s="454">
        <v>50</v>
      </c>
      <c r="G197" s="455">
        <v>17.899999999999999</v>
      </c>
      <c r="H197" s="457">
        <f t="shared" si="19"/>
        <v>894.99999999999989</v>
      </c>
      <c r="I197" s="455">
        <v>9</v>
      </c>
      <c r="J197" s="458">
        <v>8.2799999999999994</v>
      </c>
      <c r="K197" s="458">
        <v>1</v>
      </c>
      <c r="L197" s="458">
        <v>3.97</v>
      </c>
      <c r="M197" s="455">
        <f t="shared" si="22"/>
        <v>22.25</v>
      </c>
      <c r="N197" s="303">
        <f t="shared" si="23"/>
        <v>917.24999999999989</v>
      </c>
      <c r="O197" s="463" t="s">
        <v>2406</v>
      </c>
      <c r="P197" s="459" t="s">
        <v>197</v>
      </c>
      <c r="Q197" s="451"/>
    </row>
    <row r="198" spans="1:17" ht="12.75" customHeight="1" x14ac:dyDescent="0.25">
      <c r="A198" s="451"/>
      <c r="B198" s="295" t="s">
        <v>3121</v>
      </c>
      <c r="C198" s="452" t="s">
        <v>3108</v>
      </c>
      <c r="D198" s="452" t="s">
        <v>1249</v>
      </c>
      <c r="E198" s="454">
        <v>6400</v>
      </c>
      <c r="F198" s="454">
        <v>450</v>
      </c>
      <c r="G198" s="455">
        <v>8.35</v>
      </c>
      <c r="H198" s="457">
        <f t="shared" si="19"/>
        <v>3757.5</v>
      </c>
      <c r="I198" s="455">
        <v>81</v>
      </c>
      <c r="J198" s="458">
        <v>10.34</v>
      </c>
      <c r="K198" s="458">
        <v>1</v>
      </c>
      <c r="L198" s="458">
        <v>2.63</v>
      </c>
      <c r="M198" s="455">
        <f t="shared" si="22"/>
        <v>94.97</v>
      </c>
      <c r="N198" s="303">
        <f t="shared" si="23"/>
        <v>3852.47</v>
      </c>
      <c r="O198" s="463" t="s">
        <v>3122</v>
      </c>
      <c r="P198" s="459" t="s">
        <v>197</v>
      </c>
      <c r="Q198" s="451"/>
    </row>
    <row r="199" spans="1:17" ht="12.75" customHeight="1" x14ac:dyDescent="0.25">
      <c r="A199" s="451"/>
      <c r="B199" s="295" t="s">
        <v>3126</v>
      </c>
      <c r="C199" s="299" t="s">
        <v>3108</v>
      </c>
      <c r="D199" s="452" t="s">
        <v>1249</v>
      </c>
      <c r="E199" s="454">
        <v>6400</v>
      </c>
      <c r="F199" s="454">
        <v>300</v>
      </c>
      <c r="G199" s="455">
        <v>4.55</v>
      </c>
      <c r="H199" s="457">
        <f t="shared" si="19"/>
        <v>1365</v>
      </c>
      <c r="I199" s="455">
        <v>54</v>
      </c>
      <c r="J199" s="447"/>
      <c r="K199" s="447"/>
      <c r="L199" s="447"/>
      <c r="M199" s="455">
        <f t="shared" ref="M199:M214" si="24">SUM(I199:L199)</f>
        <v>54</v>
      </c>
      <c r="N199" s="303">
        <f t="shared" ref="N199:N214" si="25">H199+M199</f>
        <v>1419</v>
      </c>
      <c r="O199" s="463" t="s">
        <v>2407</v>
      </c>
      <c r="P199" s="459" t="s">
        <v>197</v>
      </c>
      <c r="Q199" s="451"/>
    </row>
    <row r="200" spans="1:17" ht="12.75" customHeight="1" x14ac:dyDescent="0.25">
      <c r="A200" s="451"/>
      <c r="B200" s="295" t="s">
        <v>3126</v>
      </c>
      <c r="C200" s="452" t="s">
        <v>3108</v>
      </c>
      <c r="D200" s="452" t="s">
        <v>1249</v>
      </c>
      <c r="E200" s="454">
        <v>6400</v>
      </c>
      <c r="F200" s="454">
        <v>200</v>
      </c>
      <c r="G200" s="455">
        <v>4.4000000000000004</v>
      </c>
      <c r="H200" s="457">
        <f t="shared" si="19"/>
        <v>880.00000000000011</v>
      </c>
      <c r="I200" s="455">
        <v>36</v>
      </c>
      <c r="J200" s="458">
        <v>11.31</v>
      </c>
      <c r="K200" s="458">
        <v>1</v>
      </c>
      <c r="L200" s="458">
        <v>1.57</v>
      </c>
      <c r="M200" s="455">
        <f t="shared" si="24"/>
        <v>49.88</v>
      </c>
      <c r="N200" s="303">
        <f t="shared" si="25"/>
        <v>929.88000000000011</v>
      </c>
      <c r="O200" s="463" t="s">
        <v>2407</v>
      </c>
      <c r="P200" s="459" t="s">
        <v>197</v>
      </c>
      <c r="Q200" s="451"/>
    </row>
    <row r="201" spans="1:17" ht="12.75" customHeight="1" x14ac:dyDescent="0.25">
      <c r="A201" s="451"/>
      <c r="B201" s="295" t="s">
        <v>3132</v>
      </c>
      <c r="C201" s="452" t="s">
        <v>3108</v>
      </c>
      <c r="D201" s="452" t="s">
        <v>1249</v>
      </c>
      <c r="E201" s="454">
        <v>6400</v>
      </c>
      <c r="F201" s="454">
        <v>350</v>
      </c>
      <c r="G201" s="455">
        <v>6.5</v>
      </c>
      <c r="H201" s="457">
        <f t="shared" si="19"/>
        <v>2275</v>
      </c>
      <c r="I201" s="455">
        <v>63</v>
      </c>
      <c r="J201" s="447"/>
      <c r="K201" s="447"/>
      <c r="L201" s="447"/>
      <c r="M201" s="455">
        <f t="shared" si="24"/>
        <v>63</v>
      </c>
      <c r="N201" s="303">
        <f t="shared" si="25"/>
        <v>2338</v>
      </c>
      <c r="O201" s="463" t="s">
        <v>3133</v>
      </c>
      <c r="P201" s="459" t="s">
        <v>197</v>
      </c>
      <c r="Q201" s="451"/>
    </row>
    <row r="202" spans="1:17" ht="12.75" customHeight="1" x14ac:dyDescent="0.25">
      <c r="A202" s="451"/>
      <c r="B202" s="295" t="s">
        <v>3132</v>
      </c>
      <c r="C202" s="452" t="s">
        <v>3108</v>
      </c>
      <c r="D202" s="452" t="s">
        <v>1249</v>
      </c>
      <c r="E202" s="454">
        <v>6400</v>
      </c>
      <c r="F202" s="454">
        <v>50</v>
      </c>
      <c r="G202" s="455">
        <v>6.5</v>
      </c>
      <c r="H202" s="457">
        <f t="shared" si="19"/>
        <v>325</v>
      </c>
      <c r="I202" s="455">
        <v>9</v>
      </c>
      <c r="J202" s="458">
        <v>9.1199999999999992</v>
      </c>
      <c r="K202" s="458">
        <v>1</v>
      </c>
      <c r="L202" s="458">
        <v>1.82</v>
      </c>
      <c r="M202" s="455">
        <f t="shared" si="24"/>
        <v>20.939999999999998</v>
      </c>
      <c r="N202" s="303">
        <f t="shared" si="25"/>
        <v>345.94</v>
      </c>
      <c r="O202" s="463" t="s">
        <v>3133</v>
      </c>
      <c r="P202" s="459" t="s">
        <v>197</v>
      </c>
      <c r="Q202" s="451"/>
    </row>
    <row r="203" spans="1:17" ht="12.75" customHeight="1" x14ac:dyDescent="0.25">
      <c r="A203" s="451"/>
      <c r="B203" s="295" t="s">
        <v>3140</v>
      </c>
      <c r="C203" s="452" t="s">
        <v>3114</v>
      </c>
      <c r="D203" s="452" t="s">
        <v>1249</v>
      </c>
      <c r="E203" s="454">
        <v>52.5</v>
      </c>
      <c r="F203" s="454">
        <v>4000</v>
      </c>
      <c r="G203" s="455">
        <v>0.8</v>
      </c>
      <c r="H203" s="457">
        <f t="shared" si="19"/>
        <v>3200</v>
      </c>
      <c r="I203" s="455">
        <v>9</v>
      </c>
      <c r="J203" s="447"/>
      <c r="K203" s="447"/>
      <c r="L203" s="447"/>
      <c r="M203" s="455">
        <f t="shared" si="24"/>
        <v>9</v>
      </c>
      <c r="N203" s="303">
        <f t="shared" si="25"/>
        <v>3209</v>
      </c>
      <c r="O203" s="463" t="s">
        <v>3139</v>
      </c>
      <c r="P203" s="459" t="s">
        <v>197</v>
      </c>
      <c r="Q203" s="451"/>
    </row>
    <row r="204" spans="1:17" ht="12.75" customHeight="1" x14ac:dyDescent="0.25">
      <c r="A204" s="451"/>
      <c r="B204" s="295" t="s">
        <v>3140</v>
      </c>
      <c r="C204" s="452" t="s">
        <v>3114</v>
      </c>
      <c r="D204" s="452" t="s">
        <v>1249</v>
      </c>
      <c r="E204" s="454">
        <v>52.5</v>
      </c>
      <c r="F204" s="454">
        <v>4000</v>
      </c>
      <c r="G204" s="455">
        <v>1</v>
      </c>
      <c r="H204" s="457">
        <f t="shared" si="19"/>
        <v>4000</v>
      </c>
      <c r="I204" s="455">
        <v>9</v>
      </c>
      <c r="J204" s="447"/>
      <c r="K204" s="447"/>
      <c r="L204" s="447"/>
      <c r="M204" s="455">
        <f t="shared" si="24"/>
        <v>9</v>
      </c>
      <c r="N204" s="303">
        <f t="shared" si="25"/>
        <v>4009</v>
      </c>
      <c r="O204" s="463" t="s">
        <v>3139</v>
      </c>
      <c r="P204" s="459" t="s">
        <v>197</v>
      </c>
      <c r="Q204" s="451"/>
    </row>
    <row r="205" spans="1:17" ht="13.2" x14ac:dyDescent="0.25">
      <c r="A205" s="451"/>
      <c r="B205" s="295" t="s">
        <v>3140</v>
      </c>
      <c r="C205" s="452" t="s">
        <v>3114</v>
      </c>
      <c r="D205" s="452" t="s">
        <v>1249</v>
      </c>
      <c r="E205" s="454">
        <v>52.5</v>
      </c>
      <c r="F205" s="454">
        <v>4000</v>
      </c>
      <c r="G205" s="455">
        <v>1</v>
      </c>
      <c r="H205" s="457">
        <f t="shared" si="19"/>
        <v>4000</v>
      </c>
      <c r="I205" s="455">
        <v>9</v>
      </c>
      <c r="J205" s="447"/>
      <c r="K205" s="447"/>
      <c r="L205" s="447"/>
      <c r="M205" s="455">
        <f t="shared" si="24"/>
        <v>9</v>
      </c>
      <c r="N205" s="303">
        <f t="shared" si="25"/>
        <v>4009</v>
      </c>
      <c r="O205" s="463" t="s">
        <v>3139</v>
      </c>
      <c r="P205" s="459" t="s">
        <v>197</v>
      </c>
      <c r="Q205" s="451"/>
    </row>
    <row r="206" spans="1:17" ht="12.75" customHeight="1" x14ac:dyDescent="0.25">
      <c r="A206" s="451"/>
      <c r="B206" s="295" t="s">
        <v>3140</v>
      </c>
      <c r="C206" s="452" t="s">
        <v>3114</v>
      </c>
      <c r="D206" s="452" t="s">
        <v>1249</v>
      </c>
      <c r="E206" s="454">
        <v>52.5</v>
      </c>
      <c r="F206" s="454">
        <v>4000</v>
      </c>
      <c r="G206" s="455">
        <v>0.75</v>
      </c>
      <c r="H206" s="457">
        <f t="shared" si="19"/>
        <v>3000</v>
      </c>
      <c r="I206" s="455">
        <v>9</v>
      </c>
      <c r="J206" s="447"/>
      <c r="K206" s="447"/>
      <c r="L206" s="447"/>
      <c r="M206" s="455">
        <f t="shared" si="24"/>
        <v>9</v>
      </c>
      <c r="N206" s="303">
        <f t="shared" si="25"/>
        <v>3009</v>
      </c>
      <c r="O206" s="463" t="s">
        <v>3139</v>
      </c>
      <c r="P206" s="459" t="s">
        <v>197</v>
      </c>
      <c r="Q206" s="451"/>
    </row>
    <row r="207" spans="1:17" ht="12.75" customHeight="1" x14ac:dyDescent="0.25">
      <c r="A207" s="451"/>
      <c r="B207" s="295" t="s">
        <v>3140</v>
      </c>
      <c r="C207" s="452" t="s">
        <v>3114</v>
      </c>
      <c r="D207" s="452" t="s">
        <v>1249</v>
      </c>
      <c r="E207" s="454">
        <v>52.5</v>
      </c>
      <c r="F207" s="454">
        <v>4000</v>
      </c>
      <c r="G207" s="455">
        <v>0.75</v>
      </c>
      <c r="H207" s="457">
        <f t="shared" si="19"/>
        <v>3000</v>
      </c>
      <c r="I207" s="455">
        <v>9</v>
      </c>
      <c r="J207" s="447"/>
      <c r="K207" s="447"/>
      <c r="L207" s="447"/>
      <c r="M207" s="455">
        <f t="shared" si="24"/>
        <v>9</v>
      </c>
      <c r="N207" s="303">
        <f t="shared" si="25"/>
        <v>3009</v>
      </c>
      <c r="O207" s="463" t="s">
        <v>3139</v>
      </c>
      <c r="P207" s="459" t="s">
        <v>197</v>
      </c>
      <c r="Q207" s="451"/>
    </row>
    <row r="208" spans="1:17" ht="12.75" customHeight="1" x14ac:dyDescent="0.25">
      <c r="A208" s="451"/>
      <c r="B208" s="295" t="s">
        <v>3142</v>
      </c>
      <c r="C208" s="452" t="s">
        <v>3108</v>
      </c>
      <c r="D208" s="452" t="s">
        <v>1245</v>
      </c>
      <c r="E208" s="454">
        <v>5900</v>
      </c>
      <c r="F208" s="454">
        <v>600</v>
      </c>
      <c r="G208" s="455">
        <v>20</v>
      </c>
      <c r="H208" s="457">
        <f t="shared" si="19"/>
        <v>12000</v>
      </c>
      <c r="I208" s="455">
        <v>108</v>
      </c>
      <c r="J208" s="458">
        <v>14.39</v>
      </c>
      <c r="K208" s="458">
        <v>1</v>
      </c>
      <c r="L208" s="458">
        <v>8.4</v>
      </c>
      <c r="M208" s="455">
        <f t="shared" si="24"/>
        <v>131.79</v>
      </c>
      <c r="N208" s="303">
        <f t="shared" si="25"/>
        <v>12131.79</v>
      </c>
      <c r="O208" s="463" t="s">
        <v>2421</v>
      </c>
      <c r="P208" s="459" t="s">
        <v>197</v>
      </c>
      <c r="Q208" s="451"/>
    </row>
    <row r="209" spans="1:17" ht="12.75" customHeight="1" x14ac:dyDescent="0.25">
      <c r="A209" s="451"/>
      <c r="B209" s="295" t="s">
        <v>3143</v>
      </c>
      <c r="C209" s="452" t="s">
        <v>3108</v>
      </c>
      <c r="D209" s="452" t="s">
        <v>1249</v>
      </c>
      <c r="E209" s="454">
        <v>6200</v>
      </c>
      <c r="F209" s="454">
        <v>50</v>
      </c>
      <c r="G209" s="455">
        <v>9.5</v>
      </c>
      <c r="H209" s="457">
        <f t="shared" si="19"/>
        <v>475</v>
      </c>
      <c r="I209" s="455">
        <v>9</v>
      </c>
      <c r="J209" s="447"/>
      <c r="K209" s="447"/>
      <c r="L209" s="447"/>
      <c r="M209" s="455">
        <f t="shared" si="24"/>
        <v>9</v>
      </c>
      <c r="N209" s="303">
        <f t="shared" si="25"/>
        <v>484</v>
      </c>
      <c r="O209" s="463" t="s">
        <v>763</v>
      </c>
      <c r="P209" s="459" t="s">
        <v>197</v>
      </c>
      <c r="Q209" s="451"/>
    </row>
    <row r="210" spans="1:17" ht="12.75" customHeight="1" x14ac:dyDescent="0.25">
      <c r="A210" s="451"/>
      <c r="B210" s="295" t="s">
        <v>3143</v>
      </c>
      <c r="C210" s="452" t="s">
        <v>3108</v>
      </c>
      <c r="D210" s="452" t="s">
        <v>1249</v>
      </c>
      <c r="E210" s="454">
        <v>6200</v>
      </c>
      <c r="F210" s="454">
        <v>350</v>
      </c>
      <c r="G210" s="455">
        <v>9.5</v>
      </c>
      <c r="H210" s="457">
        <f t="shared" si="19"/>
        <v>3325</v>
      </c>
      <c r="I210" s="455">
        <v>63</v>
      </c>
      <c r="J210" s="447"/>
      <c r="K210" s="447"/>
      <c r="L210" s="447"/>
      <c r="M210" s="455">
        <f t="shared" si="24"/>
        <v>63</v>
      </c>
      <c r="N210" s="303">
        <f t="shared" si="25"/>
        <v>3388</v>
      </c>
      <c r="O210" s="463" t="s">
        <v>763</v>
      </c>
      <c r="P210" s="459" t="s">
        <v>197</v>
      </c>
      <c r="Q210" s="451"/>
    </row>
    <row r="211" spans="1:17" ht="12.75" customHeight="1" x14ac:dyDescent="0.25">
      <c r="A211" s="451"/>
      <c r="B211" s="295" t="s">
        <v>3144</v>
      </c>
      <c r="C211" s="295" t="s">
        <v>3108</v>
      </c>
      <c r="D211" s="452" t="s">
        <v>1249</v>
      </c>
      <c r="E211" s="454">
        <v>6200</v>
      </c>
      <c r="F211" s="454">
        <v>300</v>
      </c>
      <c r="G211" s="455">
        <v>6.2</v>
      </c>
      <c r="H211" s="457">
        <f t="shared" si="19"/>
        <v>1860</v>
      </c>
      <c r="I211" s="455">
        <v>54</v>
      </c>
      <c r="J211" s="447"/>
      <c r="K211" s="447"/>
      <c r="L211" s="447"/>
      <c r="M211" s="455">
        <f t="shared" si="24"/>
        <v>54</v>
      </c>
      <c r="N211" s="303">
        <f t="shared" si="25"/>
        <v>1914</v>
      </c>
      <c r="O211" s="463" t="s">
        <v>2070</v>
      </c>
      <c r="P211" s="459" t="s">
        <v>197</v>
      </c>
      <c r="Q211" s="451"/>
    </row>
    <row r="212" spans="1:17" ht="12.75" customHeight="1" x14ac:dyDescent="0.25">
      <c r="A212" s="451"/>
      <c r="B212" s="295" t="s">
        <v>3144</v>
      </c>
      <c r="C212" s="452" t="s">
        <v>3108</v>
      </c>
      <c r="D212" s="452" t="s">
        <v>1249</v>
      </c>
      <c r="E212" s="454">
        <v>6200</v>
      </c>
      <c r="F212" s="454">
        <v>300</v>
      </c>
      <c r="G212" s="455">
        <v>7.6</v>
      </c>
      <c r="H212" s="457">
        <f t="shared" si="19"/>
        <v>2280</v>
      </c>
      <c r="I212" s="455">
        <v>54</v>
      </c>
      <c r="J212" s="458">
        <v>13.71</v>
      </c>
      <c r="K212" s="458">
        <v>1</v>
      </c>
      <c r="L212" s="458">
        <v>2.9</v>
      </c>
      <c r="M212" s="455">
        <f t="shared" si="24"/>
        <v>71.610000000000014</v>
      </c>
      <c r="N212" s="303">
        <f t="shared" si="25"/>
        <v>2351.61</v>
      </c>
      <c r="O212" s="463" t="s">
        <v>2070</v>
      </c>
      <c r="P212" s="459" t="s">
        <v>197</v>
      </c>
      <c r="Q212" s="451"/>
    </row>
    <row r="213" spans="1:17" ht="12.75" customHeight="1" x14ac:dyDescent="0.25">
      <c r="A213" s="451"/>
      <c r="B213" s="295" t="s">
        <v>3148</v>
      </c>
      <c r="C213" s="452" t="s">
        <v>3108</v>
      </c>
      <c r="D213" s="452" t="s">
        <v>1249</v>
      </c>
      <c r="E213" s="454">
        <v>6100</v>
      </c>
      <c r="F213" s="454">
        <v>100</v>
      </c>
      <c r="G213" s="455">
        <v>7</v>
      </c>
      <c r="H213" s="457">
        <f t="shared" si="19"/>
        <v>700</v>
      </c>
      <c r="I213" s="455">
        <v>18</v>
      </c>
      <c r="J213" s="447"/>
      <c r="K213" s="447"/>
      <c r="L213" s="447"/>
      <c r="M213" s="455">
        <f t="shared" si="24"/>
        <v>18</v>
      </c>
      <c r="N213" s="456">
        <f t="shared" si="25"/>
        <v>718</v>
      </c>
      <c r="O213" s="461" t="s">
        <v>3149</v>
      </c>
      <c r="P213" s="461" t="s">
        <v>197</v>
      </c>
      <c r="Q213" s="451"/>
    </row>
    <row r="214" spans="1:17" ht="13.2" x14ac:dyDescent="0.25">
      <c r="A214" s="451"/>
      <c r="B214" s="295" t="s">
        <v>3160</v>
      </c>
      <c r="C214" s="452" t="s">
        <v>3161</v>
      </c>
      <c r="D214" s="452" t="s">
        <v>1245</v>
      </c>
      <c r="E214" s="454">
        <v>6200</v>
      </c>
      <c r="F214" s="454">
        <v>350</v>
      </c>
      <c r="G214" s="455">
        <v>39.9</v>
      </c>
      <c r="H214" s="457">
        <f t="shared" si="19"/>
        <v>13965</v>
      </c>
      <c r="I214" s="455">
        <v>63</v>
      </c>
      <c r="J214" s="458">
        <v>9</v>
      </c>
      <c r="K214" s="458">
        <v>1</v>
      </c>
      <c r="L214" s="458">
        <v>9.7799999999999994</v>
      </c>
      <c r="M214" s="455">
        <f t="shared" si="24"/>
        <v>82.78</v>
      </c>
      <c r="N214" s="456">
        <f t="shared" si="25"/>
        <v>14047.78</v>
      </c>
      <c r="O214" s="461" t="s">
        <v>3162</v>
      </c>
      <c r="P214" s="459" t="s">
        <v>197</v>
      </c>
      <c r="Q214" s="451"/>
    </row>
    <row r="215" spans="1:17" ht="12.75" customHeight="1" x14ac:dyDescent="0.25">
      <c r="A215" s="451"/>
      <c r="B215" s="295" t="s">
        <v>3167</v>
      </c>
      <c r="C215" s="452" t="s">
        <v>3161</v>
      </c>
      <c r="D215" s="452" t="s">
        <v>1249</v>
      </c>
      <c r="E215" s="454">
        <v>6200</v>
      </c>
      <c r="F215" s="454">
        <v>100</v>
      </c>
      <c r="G215" s="455">
        <v>65</v>
      </c>
      <c r="H215" s="457">
        <f t="shared" si="19"/>
        <v>6500</v>
      </c>
      <c r="I215" s="455">
        <v>18</v>
      </c>
      <c r="J215" s="447"/>
      <c r="K215" s="447"/>
      <c r="L215" s="447"/>
      <c r="M215" s="455">
        <f t="shared" ref="M215:M223" si="26">SUM(I215:L215)</f>
        <v>18</v>
      </c>
      <c r="N215" s="456">
        <f t="shared" ref="N215:N223" si="27">H215+M215</f>
        <v>6518</v>
      </c>
      <c r="O215" s="463" t="s">
        <v>703</v>
      </c>
      <c r="P215" s="459" t="s">
        <v>197</v>
      </c>
      <c r="Q215" s="451"/>
    </row>
    <row r="216" spans="1:17" ht="12.75" customHeight="1" x14ac:dyDescent="0.25">
      <c r="A216" s="451"/>
      <c r="B216" s="295" t="s">
        <v>3167</v>
      </c>
      <c r="C216" s="452" t="s">
        <v>3161</v>
      </c>
      <c r="D216" s="452" t="s">
        <v>1249</v>
      </c>
      <c r="E216" s="454">
        <v>6200</v>
      </c>
      <c r="F216" s="454">
        <v>250</v>
      </c>
      <c r="G216" s="455">
        <v>65</v>
      </c>
      <c r="H216" s="457">
        <f t="shared" si="19"/>
        <v>16250</v>
      </c>
      <c r="I216" s="455">
        <v>45</v>
      </c>
      <c r="J216" s="458">
        <v>9.76</v>
      </c>
      <c r="K216" s="458">
        <v>2</v>
      </c>
      <c r="L216" s="458">
        <v>15.93</v>
      </c>
      <c r="M216" s="455">
        <f t="shared" si="26"/>
        <v>72.69</v>
      </c>
      <c r="N216" s="456">
        <f t="shared" si="27"/>
        <v>16322.69</v>
      </c>
      <c r="O216" s="463" t="s">
        <v>703</v>
      </c>
      <c r="P216" s="459" t="s">
        <v>197</v>
      </c>
      <c r="Q216" s="451"/>
    </row>
    <row r="217" spans="1:17" ht="12.75" customHeight="1" x14ac:dyDescent="0.25">
      <c r="A217" s="451"/>
      <c r="B217" s="295" t="s">
        <v>3171</v>
      </c>
      <c r="C217" s="295" t="s">
        <v>3161</v>
      </c>
      <c r="D217" s="452" t="s">
        <v>1245</v>
      </c>
      <c r="E217" s="454">
        <v>6300</v>
      </c>
      <c r="F217" s="454">
        <v>100</v>
      </c>
      <c r="G217" s="455">
        <v>30</v>
      </c>
      <c r="H217" s="457">
        <f t="shared" si="19"/>
        <v>3000</v>
      </c>
      <c r="I217" s="455">
        <v>18</v>
      </c>
      <c r="J217" s="447"/>
      <c r="K217" s="447"/>
      <c r="L217" s="447"/>
      <c r="M217" s="455">
        <f t="shared" si="26"/>
        <v>18</v>
      </c>
      <c r="N217" s="456">
        <f t="shared" si="27"/>
        <v>3018</v>
      </c>
      <c r="O217" s="463" t="s">
        <v>709</v>
      </c>
      <c r="P217" s="459" t="s">
        <v>197</v>
      </c>
      <c r="Q217" s="451"/>
    </row>
    <row r="218" spans="1:17" ht="12.75" customHeight="1" x14ac:dyDescent="0.25">
      <c r="A218" s="451"/>
      <c r="B218" s="295" t="s">
        <v>3171</v>
      </c>
      <c r="C218" s="452" t="s">
        <v>3161</v>
      </c>
      <c r="D218" s="452" t="s">
        <v>1245</v>
      </c>
      <c r="E218" s="454">
        <v>6300</v>
      </c>
      <c r="F218" s="454">
        <v>400</v>
      </c>
      <c r="G218" s="455">
        <v>29</v>
      </c>
      <c r="H218" s="457">
        <f t="shared" si="19"/>
        <v>11600</v>
      </c>
      <c r="I218" s="455">
        <v>72</v>
      </c>
      <c r="J218" s="458">
        <v>12.38</v>
      </c>
      <c r="K218" s="458">
        <v>1</v>
      </c>
      <c r="L218" s="458">
        <v>10.220000000000001</v>
      </c>
      <c r="M218" s="455">
        <f t="shared" si="26"/>
        <v>95.6</v>
      </c>
      <c r="N218" s="456">
        <f t="shared" si="27"/>
        <v>11695.6</v>
      </c>
      <c r="O218" s="463" t="s">
        <v>709</v>
      </c>
      <c r="P218" s="459" t="s">
        <v>197</v>
      </c>
      <c r="Q218" s="451"/>
    </row>
    <row r="219" spans="1:17" ht="12.75" customHeight="1" x14ac:dyDescent="0.25">
      <c r="A219" s="451"/>
      <c r="B219" s="295" t="s">
        <v>3177</v>
      </c>
      <c r="C219" s="295" t="s">
        <v>3179</v>
      </c>
      <c r="D219" s="452" t="s">
        <v>1249</v>
      </c>
      <c r="E219" s="454">
        <v>6500</v>
      </c>
      <c r="F219" s="454">
        <v>400</v>
      </c>
      <c r="G219" s="455">
        <v>42</v>
      </c>
      <c r="H219" s="457">
        <f t="shared" si="19"/>
        <v>16800</v>
      </c>
      <c r="I219" s="455">
        <v>72</v>
      </c>
      <c r="J219" s="458">
        <v>10.35</v>
      </c>
      <c r="K219" s="458">
        <v>2</v>
      </c>
      <c r="L219" s="458">
        <v>11.76</v>
      </c>
      <c r="M219" s="455">
        <f t="shared" si="26"/>
        <v>96.11</v>
      </c>
      <c r="N219" s="456">
        <f t="shared" si="27"/>
        <v>16896.11</v>
      </c>
      <c r="O219" s="463" t="s">
        <v>3180</v>
      </c>
      <c r="P219" s="459" t="s">
        <v>197</v>
      </c>
      <c r="Q219" s="451"/>
    </row>
    <row r="220" spans="1:17" ht="12.75" customHeight="1" x14ac:dyDescent="0.25">
      <c r="A220" s="451"/>
      <c r="B220" s="295" t="s">
        <v>3181</v>
      </c>
      <c r="C220" s="452" t="s">
        <v>3179</v>
      </c>
      <c r="D220" s="452" t="s">
        <v>1249</v>
      </c>
      <c r="E220" s="454">
        <v>6300</v>
      </c>
      <c r="F220" s="454">
        <v>50</v>
      </c>
      <c r="G220" s="455">
        <v>64</v>
      </c>
      <c r="H220" s="457">
        <f t="shared" si="19"/>
        <v>3200</v>
      </c>
      <c r="I220" s="455">
        <v>9</v>
      </c>
      <c r="J220" s="447"/>
      <c r="K220" s="447"/>
      <c r="L220" s="447"/>
      <c r="M220" s="455">
        <f t="shared" si="26"/>
        <v>9</v>
      </c>
      <c r="N220" s="456">
        <f t="shared" si="27"/>
        <v>3209</v>
      </c>
      <c r="O220" s="463" t="s">
        <v>556</v>
      </c>
      <c r="P220" s="459" t="s">
        <v>197</v>
      </c>
      <c r="Q220" s="451"/>
    </row>
    <row r="221" spans="1:17" ht="12.75" customHeight="1" x14ac:dyDescent="0.25">
      <c r="A221" s="451"/>
      <c r="B221" s="295" t="s">
        <v>3181</v>
      </c>
      <c r="C221" s="452" t="s">
        <v>3179</v>
      </c>
      <c r="D221" s="452" t="s">
        <v>1249</v>
      </c>
      <c r="E221" s="454">
        <v>6300</v>
      </c>
      <c r="F221" s="454">
        <v>50</v>
      </c>
      <c r="G221" s="455">
        <v>64</v>
      </c>
      <c r="H221" s="457">
        <f t="shared" si="19"/>
        <v>3200</v>
      </c>
      <c r="I221" s="455">
        <v>9</v>
      </c>
      <c r="J221" s="447"/>
      <c r="K221" s="447"/>
      <c r="L221" s="447"/>
      <c r="M221" s="455">
        <f t="shared" si="26"/>
        <v>9</v>
      </c>
      <c r="N221" s="456">
        <f t="shared" si="27"/>
        <v>3209</v>
      </c>
      <c r="O221" s="463" t="s">
        <v>556</v>
      </c>
      <c r="P221" s="459" t="s">
        <v>197</v>
      </c>
      <c r="Q221" s="451"/>
    </row>
    <row r="222" spans="1:17" ht="13.2" x14ac:dyDescent="0.25">
      <c r="A222" s="451"/>
      <c r="B222" s="295" t="s">
        <v>3183</v>
      </c>
      <c r="C222" s="452" t="s">
        <v>3179</v>
      </c>
      <c r="D222" s="452" t="s">
        <v>1249</v>
      </c>
      <c r="E222" s="454">
        <v>6300</v>
      </c>
      <c r="F222" s="454">
        <v>200</v>
      </c>
      <c r="G222" s="455">
        <v>45</v>
      </c>
      <c r="H222" s="457">
        <f t="shared" si="19"/>
        <v>9000</v>
      </c>
      <c r="I222" s="455">
        <v>36</v>
      </c>
      <c r="J222" s="458">
        <v>5.23</v>
      </c>
      <c r="K222" s="458">
        <v>1</v>
      </c>
      <c r="L222" s="458">
        <v>6.3</v>
      </c>
      <c r="M222" s="455">
        <f t="shared" si="26"/>
        <v>48.53</v>
      </c>
      <c r="N222" s="456">
        <f t="shared" si="27"/>
        <v>9048.5300000000007</v>
      </c>
      <c r="O222" s="463" t="s">
        <v>558</v>
      </c>
      <c r="P222" s="459" t="s">
        <v>197</v>
      </c>
      <c r="Q222" s="451"/>
    </row>
    <row r="223" spans="1:17" ht="12.75" customHeight="1" x14ac:dyDescent="0.25">
      <c r="A223" s="451"/>
      <c r="B223" s="295" t="s">
        <v>3184</v>
      </c>
      <c r="C223" s="452" t="s">
        <v>3179</v>
      </c>
      <c r="D223" s="452" t="s">
        <v>1249</v>
      </c>
      <c r="E223" s="454">
        <v>6300</v>
      </c>
      <c r="F223" s="454">
        <v>300</v>
      </c>
      <c r="G223" s="455">
        <v>36</v>
      </c>
      <c r="H223" s="457">
        <f t="shared" si="19"/>
        <v>10800</v>
      </c>
      <c r="I223" s="455">
        <v>54</v>
      </c>
      <c r="J223" s="458">
        <v>7.6</v>
      </c>
      <c r="K223" s="458">
        <v>1</v>
      </c>
      <c r="L223" s="458">
        <v>7.56</v>
      </c>
      <c r="M223" s="455">
        <f t="shared" si="26"/>
        <v>70.16</v>
      </c>
      <c r="N223" s="456">
        <f t="shared" si="27"/>
        <v>10870.16</v>
      </c>
      <c r="O223" s="463" t="s">
        <v>584</v>
      </c>
      <c r="P223" s="459" t="s">
        <v>197</v>
      </c>
      <c r="Q223" s="451"/>
    </row>
    <row r="224" spans="1:17" ht="12.75" customHeight="1" x14ac:dyDescent="0.25">
      <c r="A224" s="451"/>
      <c r="B224" s="295" t="s">
        <v>3190</v>
      </c>
      <c r="C224" s="452" t="s">
        <v>3179</v>
      </c>
      <c r="D224" s="452" t="s">
        <v>1249</v>
      </c>
      <c r="E224" s="454">
        <v>6400</v>
      </c>
      <c r="F224" s="455">
        <v>100</v>
      </c>
      <c r="G224" s="455">
        <v>20</v>
      </c>
      <c r="H224" s="457">
        <f t="shared" si="19"/>
        <v>2000</v>
      </c>
      <c r="I224" s="455">
        <v>18</v>
      </c>
      <c r="J224" s="447"/>
      <c r="K224" s="447"/>
      <c r="L224" s="447"/>
      <c r="M224" s="455">
        <f t="shared" ref="M224:M231" si="28">SUM(I224:L224)</f>
        <v>18</v>
      </c>
      <c r="N224" s="456">
        <f t="shared" ref="N224:N231" si="29">H224+M224</f>
        <v>2018</v>
      </c>
      <c r="O224" s="463" t="s">
        <v>1312</v>
      </c>
      <c r="P224" s="459" t="s">
        <v>197</v>
      </c>
      <c r="Q224" s="451"/>
    </row>
    <row r="225" spans="1:17" ht="12.75" customHeight="1" x14ac:dyDescent="0.25">
      <c r="A225" s="451"/>
      <c r="B225" s="295" t="s">
        <v>3190</v>
      </c>
      <c r="C225" s="452" t="s">
        <v>3179</v>
      </c>
      <c r="D225" s="452" t="s">
        <v>1249</v>
      </c>
      <c r="E225" s="454">
        <v>6400</v>
      </c>
      <c r="F225" s="454">
        <v>150</v>
      </c>
      <c r="G225" s="455">
        <v>20</v>
      </c>
      <c r="H225" s="457">
        <f t="shared" si="19"/>
        <v>3000</v>
      </c>
      <c r="I225" s="455">
        <v>27</v>
      </c>
      <c r="J225" s="447"/>
      <c r="K225" s="447"/>
      <c r="L225" s="447"/>
      <c r="M225" s="455">
        <f t="shared" si="28"/>
        <v>27</v>
      </c>
      <c r="N225" s="456">
        <f t="shared" si="29"/>
        <v>3027</v>
      </c>
      <c r="O225" s="463" t="s">
        <v>1312</v>
      </c>
      <c r="P225" s="459" t="s">
        <v>197</v>
      </c>
      <c r="Q225" s="451"/>
    </row>
    <row r="226" spans="1:17" ht="12.75" customHeight="1" x14ac:dyDescent="0.25">
      <c r="A226" s="451"/>
      <c r="B226" s="295" t="s">
        <v>3190</v>
      </c>
      <c r="C226" s="452" t="s">
        <v>3179</v>
      </c>
      <c r="D226" s="452" t="s">
        <v>1249</v>
      </c>
      <c r="E226" s="454">
        <v>6400</v>
      </c>
      <c r="F226" s="454">
        <v>100</v>
      </c>
      <c r="G226" s="455">
        <v>20</v>
      </c>
      <c r="H226" s="457">
        <f t="shared" si="19"/>
        <v>2000</v>
      </c>
      <c r="I226" s="455">
        <v>18</v>
      </c>
      <c r="J226" s="447"/>
      <c r="K226" s="447"/>
      <c r="L226" s="447"/>
      <c r="M226" s="455">
        <f t="shared" si="28"/>
        <v>18</v>
      </c>
      <c r="N226" s="456">
        <f t="shared" si="29"/>
        <v>2018</v>
      </c>
      <c r="O226" s="463" t="s">
        <v>1312</v>
      </c>
      <c r="P226" s="459" t="s">
        <v>197</v>
      </c>
      <c r="Q226" s="451"/>
    </row>
    <row r="227" spans="1:17" ht="12.75" customHeight="1" x14ac:dyDescent="0.25">
      <c r="A227" s="451"/>
      <c r="B227" s="295" t="s">
        <v>3190</v>
      </c>
      <c r="C227" s="452" t="s">
        <v>3179</v>
      </c>
      <c r="D227" s="452" t="s">
        <v>1249</v>
      </c>
      <c r="E227" s="454">
        <v>6400</v>
      </c>
      <c r="F227" s="454">
        <v>100</v>
      </c>
      <c r="G227" s="455">
        <v>20</v>
      </c>
      <c r="H227" s="457">
        <f t="shared" si="19"/>
        <v>2000</v>
      </c>
      <c r="I227" s="455">
        <v>18</v>
      </c>
      <c r="J227" s="447"/>
      <c r="K227" s="447"/>
      <c r="L227" s="447"/>
      <c r="M227" s="455">
        <f t="shared" si="28"/>
        <v>18</v>
      </c>
      <c r="N227" s="456">
        <f t="shared" si="29"/>
        <v>2018</v>
      </c>
      <c r="O227" s="463" t="s">
        <v>1312</v>
      </c>
      <c r="P227" s="459" t="s">
        <v>197</v>
      </c>
      <c r="Q227" s="451"/>
    </row>
    <row r="228" spans="1:17" ht="12.75" customHeight="1" x14ac:dyDescent="0.25">
      <c r="A228" s="451"/>
      <c r="B228" s="295" t="s">
        <v>3190</v>
      </c>
      <c r="C228" s="452" t="s">
        <v>3179</v>
      </c>
      <c r="D228" s="452" t="s">
        <v>1249</v>
      </c>
      <c r="E228" s="454">
        <v>6400</v>
      </c>
      <c r="F228" s="454">
        <v>100</v>
      </c>
      <c r="G228" s="455">
        <v>20</v>
      </c>
      <c r="H228" s="457">
        <f>F228*G228</f>
        <v>2000</v>
      </c>
      <c r="I228" s="455">
        <v>18</v>
      </c>
      <c r="J228" s="447"/>
      <c r="K228" s="447"/>
      <c r="L228" s="447"/>
      <c r="M228" s="455">
        <f t="shared" si="28"/>
        <v>18</v>
      </c>
      <c r="N228" s="456">
        <f t="shared" si="29"/>
        <v>2018</v>
      </c>
      <c r="O228" s="463" t="s">
        <v>1312</v>
      </c>
      <c r="P228" s="459" t="s">
        <v>197</v>
      </c>
      <c r="Q228" s="451"/>
    </row>
    <row r="229" spans="1:17" ht="12.75" customHeight="1" x14ac:dyDescent="0.25">
      <c r="A229" s="451"/>
      <c r="B229" s="295" t="s">
        <v>3190</v>
      </c>
      <c r="C229" s="452" t="s">
        <v>3179</v>
      </c>
      <c r="D229" s="452" t="s">
        <v>1249</v>
      </c>
      <c r="E229" s="454">
        <v>6400</v>
      </c>
      <c r="F229" s="454">
        <v>100</v>
      </c>
      <c r="G229" s="455">
        <v>20</v>
      </c>
      <c r="H229" s="457">
        <f>F229*G229</f>
        <v>2000</v>
      </c>
      <c r="I229" s="455">
        <v>18</v>
      </c>
      <c r="J229" s="447"/>
      <c r="K229" s="447"/>
      <c r="L229" s="447"/>
      <c r="M229" s="455">
        <f t="shared" si="28"/>
        <v>18</v>
      </c>
      <c r="N229" s="456">
        <f t="shared" si="29"/>
        <v>2018</v>
      </c>
      <c r="O229" s="463" t="s">
        <v>1312</v>
      </c>
      <c r="P229" s="459" t="s">
        <v>197</v>
      </c>
      <c r="Q229" s="451"/>
    </row>
    <row r="230" spans="1:17" ht="12.75" customHeight="1" x14ac:dyDescent="0.25">
      <c r="A230" s="451"/>
      <c r="B230" s="295" t="s">
        <v>3190</v>
      </c>
      <c r="C230" s="452" t="s">
        <v>3179</v>
      </c>
      <c r="D230" s="452" t="s">
        <v>1249</v>
      </c>
      <c r="E230" s="454">
        <v>6400</v>
      </c>
      <c r="F230" s="454">
        <v>50</v>
      </c>
      <c r="G230" s="455">
        <v>20</v>
      </c>
      <c r="H230" s="457">
        <f>F230*G230</f>
        <v>1000</v>
      </c>
      <c r="I230" s="455">
        <v>9</v>
      </c>
      <c r="J230" s="447"/>
      <c r="K230" s="447"/>
      <c r="L230" s="447"/>
      <c r="M230" s="455">
        <f t="shared" si="28"/>
        <v>9</v>
      </c>
      <c r="N230" s="456">
        <f t="shared" si="29"/>
        <v>1009</v>
      </c>
      <c r="O230" s="463" t="s">
        <v>1312</v>
      </c>
      <c r="P230" s="459" t="s">
        <v>197</v>
      </c>
      <c r="Q230" s="451"/>
    </row>
    <row r="231" spans="1:17" ht="12.75" customHeight="1" x14ac:dyDescent="0.25">
      <c r="A231" s="451"/>
      <c r="B231" s="295" t="s">
        <v>3190</v>
      </c>
      <c r="C231" s="452" t="s">
        <v>3179</v>
      </c>
      <c r="D231" s="452" t="s">
        <v>1249</v>
      </c>
      <c r="E231" s="454">
        <v>6400</v>
      </c>
      <c r="F231" s="454">
        <v>300</v>
      </c>
      <c r="G231" s="455">
        <v>20</v>
      </c>
      <c r="H231" s="457">
        <f>F231*G231</f>
        <v>6000</v>
      </c>
      <c r="I231" s="455">
        <v>54</v>
      </c>
      <c r="J231" s="458">
        <v>23.98</v>
      </c>
      <c r="K231" s="458">
        <v>2</v>
      </c>
      <c r="L231" s="458">
        <v>14</v>
      </c>
      <c r="M231" s="455">
        <f t="shared" si="28"/>
        <v>93.98</v>
      </c>
      <c r="N231" s="456">
        <f t="shared" si="29"/>
        <v>6093.98</v>
      </c>
      <c r="O231" s="463" t="s">
        <v>1312</v>
      </c>
      <c r="P231" s="459" t="s">
        <v>197</v>
      </c>
      <c r="Q231" s="451"/>
    </row>
    <row r="232" spans="1:17" ht="12.75" customHeight="1" x14ac:dyDescent="0.25">
      <c r="A232" s="451"/>
      <c r="B232" s="295" t="s">
        <v>3197</v>
      </c>
      <c r="C232" s="452" t="s">
        <v>3199</v>
      </c>
      <c r="D232" s="452" t="s">
        <v>1245</v>
      </c>
      <c r="E232" s="454">
        <v>6000</v>
      </c>
      <c r="F232" s="454">
        <v>50</v>
      </c>
      <c r="G232" s="455">
        <v>65.150000000000006</v>
      </c>
      <c r="H232" s="457">
        <f t="shared" ref="H232:H256" si="30">F232*G232</f>
        <v>3257.5000000000005</v>
      </c>
      <c r="I232" s="455">
        <v>9</v>
      </c>
      <c r="J232" s="447"/>
      <c r="K232" s="447"/>
      <c r="L232" s="447"/>
      <c r="M232" s="455">
        <f t="shared" ref="M232:M242" si="31">SUM(I232:L232)</f>
        <v>9</v>
      </c>
      <c r="N232" s="456">
        <f t="shared" ref="N232:N242" si="32">H232+M232</f>
        <v>3266.5000000000005</v>
      </c>
      <c r="O232" s="463" t="s">
        <v>43</v>
      </c>
      <c r="P232" s="459" t="s">
        <v>197</v>
      </c>
      <c r="Q232" s="451"/>
    </row>
    <row r="233" spans="1:17" ht="12.75" customHeight="1" x14ac:dyDescent="0.25">
      <c r="A233" s="451"/>
      <c r="B233" s="295" t="s">
        <v>3197</v>
      </c>
      <c r="C233" s="452" t="s">
        <v>3199</v>
      </c>
      <c r="D233" s="452" t="s">
        <v>1245</v>
      </c>
      <c r="E233" s="454">
        <v>6000</v>
      </c>
      <c r="F233" s="454">
        <v>50</v>
      </c>
      <c r="G233" s="455">
        <v>65.150000000000006</v>
      </c>
      <c r="H233" s="457">
        <f t="shared" si="30"/>
        <v>3257.5000000000005</v>
      </c>
      <c r="I233" s="455">
        <v>9</v>
      </c>
      <c r="J233" s="447"/>
      <c r="K233" s="447"/>
      <c r="L233" s="447"/>
      <c r="M233" s="455">
        <f t="shared" si="31"/>
        <v>9</v>
      </c>
      <c r="N233" s="456">
        <f t="shared" si="32"/>
        <v>3266.5000000000005</v>
      </c>
      <c r="O233" s="463" t="s">
        <v>43</v>
      </c>
      <c r="P233" s="459" t="s">
        <v>197</v>
      </c>
      <c r="Q233" s="451"/>
    </row>
    <row r="234" spans="1:17" ht="12.75" customHeight="1" x14ac:dyDescent="0.25">
      <c r="A234" s="451"/>
      <c r="B234" s="295" t="s">
        <v>3197</v>
      </c>
      <c r="C234" s="452" t="s">
        <v>3199</v>
      </c>
      <c r="D234" s="452" t="s">
        <v>1245</v>
      </c>
      <c r="E234" s="454">
        <v>6000</v>
      </c>
      <c r="F234" s="454">
        <v>50</v>
      </c>
      <c r="G234" s="455">
        <v>63</v>
      </c>
      <c r="H234" s="457">
        <f t="shared" si="30"/>
        <v>3150</v>
      </c>
      <c r="I234" s="455">
        <v>9</v>
      </c>
      <c r="J234" s="447"/>
      <c r="K234" s="447"/>
      <c r="L234" s="447"/>
      <c r="M234" s="455">
        <f t="shared" si="31"/>
        <v>9</v>
      </c>
      <c r="N234" s="456">
        <f t="shared" si="32"/>
        <v>3159</v>
      </c>
      <c r="O234" s="463" t="s">
        <v>43</v>
      </c>
      <c r="P234" s="459" t="s">
        <v>197</v>
      </c>
      <c r="Q234" s="451"/>
    </row>
    <row r="235" spans="1:17" ht="12.75" customHeight="1" x14ac:dyDescent="0.25">
      <c r="A235" s="451"/>
      <c r="B235" s="295" t="s">
        <v>3204</v>
      </c>
      <c r="C235" s="452" t="s">
        <v>3199</v>
      </c>
      <c r="D235" s="452" t="s">
        <v>1249</v>
      </c>
      <c r="E235" s="454">
        <v>6100</v>
      </c>
      <c r="F235" s="454">
        <v>150</v>
      </c>
      <c r="G235" s="455">
        <v>60.9</v>
      </c>
      <c r="H235" s="457">
        <f t="shared" si="30"/>
        <v>9135</v>
      </c>
      <c r="I235" s="455">
        <v>27</v>
      </c>
      <c r="J235" s="458">
        <v>4.13</v>
      </c>
      <c r="K235" s="458">
        <v>1</v>
      </c>
      <c r="L235" s="458">
        <v>6.39</v>
      </c>
      <c r="M235" s="455">
        <f t="shared" si="31"/>
        <v>38.519999999999996</v>
      </c>
      <c r="N235" s="456">
        <f t="shared" si="32"/>
        <v>9173.52</v>
      </c>
      <c r="O235" s="463" t="s">
        <v>3200</v>
      </c>
      <c r="P235" s="459" t="s">
        <v>197</v>
      </c>
      <c r="Q235" s="451"/>
    </row>
    <row r="236" spans="1:17" ht="12.75" customHeight="1" x14ac:dyDescent="0.25">
      <c r="A236" s="451"/>
      <c r="B236" s="295" t="s">
        <v>3201</v>
      </c>
      <c r="C236" s="452" t="s">
        <v>3199</v>
      </c>
      <c r="D236" s="452" t="s">
        <v>1249</v>
      </c>
      <c r="E236" s="454">
        <v>6100</v>
      </c>
      <c r="F236" s="454">
        <v>50</v>
      </c>
      <c r="G236" s="455">
        <v>65</v>
      </c>
      <c r="H236" s="457">
        <f t="shared" si="30"/>
        <v>3250</v>
      </c>
      <c r="I236" s="455">
        <v>9</v>
      </c>
      <c r="J236" s="458">
        <v>1.39</v>
      </c>
      <c r="K236" s="458">
        <v>1</v>
      </c>
      <c r="L236" s="458">
        <v>2.2799999999999998</v>
      </c>
      <c r="M236" s="455">
        <f t="shared" si="31"/>
        <v>13.67</v>
      </c>
      <c r="N236" s="456">
        <f t="shared" si="32"/>
        <v>3263.67</v>
      </c>
      <c r="O236" s="463" t="s">
        <v>2857</v>
      </c>
      <c r="P236" s="459" t="s">
        <v>197</v>
      </c>
      <c r="Q236" s="451"/>
    </row>
    <row r="237" spans="1:17" ht="12.75" customHeight="1" x14ac:dyDescent="0.25">
      <c r="A237" s="451"/>
      <c r="B237" s="295" t="s">
        <v>3206</v>
      </c>
      <c r="C237" s="452" t="s">
        <v>3199</v>
      </c>
      <c r="D237" s="452" t="s">
        <v>1245</v>
      </c>
      <c r="E237">
        <v>6000</v>
      </c>
      <c r="F237" s="454">
        <v>150</v>
      </c>
      <c r="G237" s="455">
        <v>75.8</v>
      </c>
      <c r="H237" s="457">
        <f t="shared" si="30"/>
        <v>11370</v>
      </c>
      <c r="I237" s="455">
        <v>27</v>
      </c>
      <c r="J237" s="447"/>
      <c r="K237" s="447"/>
      <c r="L237" s="447"/>
      <c r="M237" s="455">
        <f t="shared" si="31"/>
        <v>27</v>
      </c>
      <c r="N237" s="456">
        <f t="shared" si="32"/>
        <v>11397</v>
      </c>
      <c r="O237" s="463" t="s">
        <v>55</v>
      </c>
      <c r="P237" s="459" t="s">
        <v>197</v>
      </c>
      <c r="Q237" s="451"/>
    </row>
    <row r="238" spans="1:17" ht="12.75" customHeight="1" x14ac:dyDescent="0.25">
      <c r="A238" s="451"/>
      <c r="B238" s="295" t="s">
        <v>3206</v>
      </c>
      <c r="C238" s="452" t="s">
        <v>3199</v>
      </c>
      <c r="D238" s="452" t="s">
        <v>1245</v>
      </c>
      <c r="E238" s="454">
        <v>6000</v>
      </c>
      <c r="F238" s="454">
        <v>50</v>
      </c>
      <c r="G238" s="455">
        <v>73.95</v>
      </c>
      <c r="H238" s="457">
        <f t="shared" si="30"/>
        <v>3697.5</v>
      </c>
      <c r="I238" s="455">
        <v>9</v>
      </c>
      <c r="J238" s="447"/>
      <c r="K238" s="447"/>
      <c r="L238" s="447"/>
      <c r="M238" s="455">
        <f t="shared" si="31"/>
        <v>9</v>
      </c>
      <c r="N238" s="456">
        <f t="shared" si="32"/>
        <v>3706.5</v>
      </c>
      <c r="O238" s="463" t="s">
        <v>55</v>
      </c>
      <c r="P238" s="459" t="s">
        <v>197</v>
      </c>
      <c r="Q238" s="451"/>
    </row>
    <row r="239" spans="1:17" ht="12.75" customHeight="1" x14ac:dyDescent="0.25">
      <c r="A239" s="451"/>
      <c r="B239" s="295" t="s">
        <v>3206</v>
      </c>
      <c r="C239" s="452" t="s">
        <v>3205</v>
      </c>
      <c r="D239" s="452" t="s">
        <v>1249</v>
      </c>
      <c r="E239" s="454">
        <v>1600</v>
      </c>
      <c r="F239" s="454">
        <v>500</v>
      </c>
      <c r="G239" s="455">
        <v>28.8</v>
      </c>
      <c r="H239" s="457">
        <f t="shared" si="30"/>
        <v>14400</v>
      </c>
      <c r="I239" s="455">
        <v>36</v>
      </c>
      <c r="J239" s="447"/>
      <c r="K239" s="447"/>
      <c r="L239" s="447"/>
      <c r="M239" s="455">
        <f t="shared" si="31"/>
        <v>36</v>
      </c>
      <c r="N239" s="456">
        <f t="shared" si="32"/>
        <v>14436</v>
      </c>
      <c r="O239" s="463" t="s">
        <v>55</v>
      </c>
      <c r="P239" s="459" t="s">
        <v>197</v>
      </c>
      <c r="Q239" s="451"/>
    </row>
    <row r="240" spans="1:17" ht="13.2" x14ac:dyDescent="0.25">
      <c r="A240" s="451"/>
      <c r="B240" s="295" t="s">
        <v>3208</v>
      </c>
      <c r="C240" s="452" t="s">
        <v>3205</v>
      </c>
      <c r="D240" s="452" t="s">
        <v>1249</v>
      </c>
      <c r="E240" s="454">
        <v>1600</v>
      </c>
      <c r="F240" s="454">
        <v>125</v>
      </c>
      <c r="G240" s="455">
        <v>11</v>
      </c>
      <c r="H240" s="457">
        <f t="shared" si="30"/>
        <v>1375</v>
      </c>
      <c r="I240" s="455">
        <v>9</v>
      </c>
      <c r="J240" s="447"/>
      <c r="K240" s="447"/>
      <c r="L240" s="447"/>
      <c r="M240" s="455">
        <f t="shared" si="31"/>
        <v>9</v>
      </c>
      <c r="N240" s="456">
        <f t="shared" si="32"/>
        <v>1384</v>
      </c>
      <c r="O240" s="463" t="s">
        <v>66</v>
      </c>
      <c r="P240" s="459" t="s">
        <v>197</v>
      </c>
      <c r="Q240" s="451"/>
    </row>
    <row r="241" spans="1:17" ht="12.75" customHeight="1" x14ac:dyDescent="0.25">
      <c r="A241" s="451"/>
      <c r="B241" s="295" t="s">
        <v>3208</v>
      </c>
      <c r="C241" s="452" t="s">
        <v>3205</v>
      </c>
      <c r="D241" s="452" t="s">
        <v>1249</v>
      </c>
      <c r="E241" s="454">
        <v>1600</v>
      </c>
      <c r="F241" s="454">
        <v>125</v>
      </c>
      <c r="G241" s="455">
        <v>11.05</v>
      </c>
      <c r="H241" s="457">
        <f t="shared" si="30"/>
        <v>1381.25</v>
      </c>
      <c r="I241" s="455">
        <v>9</v>
      </c>
      <c r="J241" s="458">
        <v>2.46</v>
      </c>
      <c r="K241" s="458">
        <v>1</v>
      </c>
      <c r="L241" s="458">
        <v>1.93</v>
      </c>
      <c r="M241" s="455">
        <f t="shared" si="31"/>
        <v>14.39</v>
      </c>
      <c r="N241" s="456">
        <f t="shared" si="32"/>
        <v>1395.64</v>
      </c>
      <c r="O241" s="463" t="s">
        <v>66</v>
      </c>
      <c r="P241" s="459" t="s">
        <v>197</v>
      </c>
      <c r="Q241" s="451"/>
    </row>
    <row r="242" spans="1:17" ht="12.75" customHeight="1" x14ac:dyDescent="0.25">
      <c r="A242" s="451"/>
      <c r="B242" s="295" t="s">
        <v>3213</v>
      </c>
      <c r="C242" s="452" t="s">
        <v>3205</v>
      </c>
      <c r="D242" s="452" t="s">
        <v>1249</v>
      </c>
      <c r="E242" s="454">
        <v>1600</v>
      </c>
      <c r="F242" s="454">
        <v>250</v>
      </c>
      <c r="G242" s="455">
        <v>5.5</v>
      </c>
      <c r="H242" s="457">
        <f t="shared" si="30"/>
        <v>1375</v>
      </c>
      <c r="I242" s="455">
        <v>18</v>
      </c>
      <c r="J242" s="458">
        <v>2.34</v>
      </c>
      <c r="K242" s="458">
        <v>1</v>
      </c>
      <c r="L242" s="458">
        <v>0.96</v>
      </c>
      <c r="M242" s="455">
        <f t="shared" si="31"/>
        <v>22.3</v>
      </c>
      <c r="N242" s="456">
        <f t="shared" si="32"/>
        <v>1397.3</v>
      </c>
      <c r="O242" s="463" t="s">
        <v>71</v>
      </c>
      <c r="P242" s="459" t="s">
        <v>197</v>
      </c>
      <c r="Q242" s="451"/>
    </row>
    <row r="243" spans="1:17" ht="12.75" customHeight="1" x14ac:dyDescent="0.25">
      <c r="A243" s="451"/>
      <c r="B243" s="295" t="s">
        <v>3215</v>
      </c>
      <c r="C243" s="452" t="s">
        <v>3205</v>
      </c>
      <c r="D243" s="452" t="s">
        <v>1249</v>
      </c>
      <c r="E243" s="454">
        <v>1600</v>
      </c>
      <c r="F243" s="454">
        <v>125</v>
      </c>
      <c r="G243" s="455">
        <v>4.5</v>
      </c>
      <c r="H243" s="457">
        <f t="shared" si="30"/>
        <v>562.5</v>
      </c>
      <c r="I243" s="455">
        <v>9</v>
      </c>
      <c r="J243" s="447"/>
      <c r="K243" s="447"/>
      <c r="L243" s="447"/>
      <c r="M243" s="455">
        <f t="shared" ref="M243:M248" si="33">SUM(I243:L243)</f>
        <v>9</v>
      </c>
      <c r="N243" s="456">
        <f t="shared" ref="N243:N248" si="34">H243+M243</f>
        <v>571.5</v>
      </c>
      <c r="O243" s="463" t="s">
        <v>564</v>
      </c>
      <c r="P243" s="459" t="s">
        <v>197</v>
      </c>
      <c r="Q243" s="451"/>
    </row>
    <row r="244" spans="1:17" ht="12.75" customHeight="1" x14ac:dyDescent="0.25">
      <c r="A244" s="451"/>
      <c r="B244" s="295" t="s">
        <v>3215</v>
      </c>
      <c r="C244" s="452" t="s">
        <v>3205</v>
      </c>
      <c r="D244" s="452" t="s">
        <v>1249</v>
      </c>
      <c r="E244" s="454">
        <v>1600</v>
      </c>
      <c r="F244" s="454">
        <v>125</v>
      </c>
      <c r="G244" s="455">
        <v>4.5</v>
      </c>
      <c r="H244" s="457">
        <f t="shared" si="30"/>
        <v>562.5</v>
      </c>
      <c r="I244" s="455">
        <v>9</v>
      </c>
      <c r="J244" s="447"/>
      <c r="K244" s="447"/>
      <c r="L244" s="447"/>
      <c r="M244" s="455">
        <f t="shared" si="33"/>
        <v>9</v>
      </c>
      <c r="N244" s="456">
        <f t="shared" si="34"/>
        <v>571.5</v>
      </c>
      <c r="O244" s="463" t="s">
        <v>564</v>
      </c>
      <c r="P244" s="459" t="s">
        <v>197</v>
      </c>
      <c r="Q244" s="451"/>
    </row>
    <row r="245" spans="1:17" ht="12.75" customHeight="1" x14ac:dyDescent="0.25">
      <c r="A245" s="451"/>
      <c r="B245" s="295" t="s">
        <v>3215</v>
      </c>
      <c r="C245" s="452" t="s">
        <v>3205</v>
      </c>
      <c r="D245" s="452" t="s">
        <v>1249</v>
      </c>
      <c r="E245" s="454">
        <v>1600</v>
      </c>
      <c r="F245" s="454">
        <v>125</v>
      </c>
      <c r="G245" s="455">
        <v>3.25</v>
      </c>
      <c r="H245" s="457">
        <f t="shared" si="30"/>
        <v>406.25</v>
      </c>
      <c r="I245" s="455">
        <v>9</v>
      </c>
      <c r="J245" s="447"/>
      <c r="K245" s="447"/>
      <c r="L245" s="447"/>
      <c r="M245" s="455">
        <f t="shared" si="33"/>
        <v>9</v>
      </c>
      <c r="N245" s="456">
        <f t="shared" si="34"/>
        <v>415.25</v>
      </c>
      <c r="O245" s="463" t="s">
        <v>564</v>
      </c>
      <c r="P245" s="459" t="s">
        <v>197</v>
      </c>
      <c r="Q245" s="451"/>
    </row>
    <row r="246" spans="1:17" ht="12.75" customHeight="1" x14ac:dyDescent="0.25">
      <c r="A246" s="451"/>
      <c r="B246" s="295" t="s">
        <v>3215</v>
      </c>
      <c r="C246" s="452" t="s">
        <v>3205</v>
      </c>
      <c r="D246" s="452" t="s">
        <v>1249</v>
      </c>
      <c r="E246" s="454">
        <v>1600</v>
      </c>
      <c r="F246" s="454">
        <v>125</v>
      </c>
      <c r="G246" s="455">
        <v>3.25</v>
      </c>
      <c r="H246" s="457">
        <f t="shared" si="30"/>
        <v>406.25</v>
      </c>
      <c r="I246" s="455">
        <v>9</v>
      </c>
      <c r="J246" s="447"/>
      <c r="K246" s="447"/>
      <c r="L246" s="447"/>
      <c r="M246" s="455">
        <f t="shared" si="33"/>
        <v>9</v>
      </c>
      <c r="N246" s="456">
        <f t="shared" si="34"/>
        <v>415.25</v>
      </c>
      <c r="O246" s="463" t="s">
        <v>564</v>
      </c>
      <c r="P246" s="459" t="s">
        <v>197</v>
      </c>
      <c r="Q246" s="451"/>
    </row>
    <row r="247" spans="1:17" ht="12.75" customHeight="1" x14ac:dyDescent="0.25">
      <c r="A247" s="451"/>
      <c r="B247" s="295" t="s">
        <v>3215</v>
      </c>
      <c r="C247" s="452" t="s">
        <v>3205</v>
      </c>
      <c r="D247" s="452" t="s">
        <v>1249</v>
      </c>
      <c r="E247" s="454">
        <v>1600</v>
      </c>
      <c r="F247" s="454">
        <v>375</v>
      </c>
      <c r="G247" s="455">
        <v>3.1</v>
      </c>
      <c r="H247" s="457">
        <f t="shared" si="30"/>
        <v>1162.5</v>
      </c>
      <c r="I247" s="455">
        <v>27</v>
      </c>
      <c r="J247" s="447"/>
      <c r="K247" s="447"/>
      <c r="L247" s="447"/>
      <c r="M247" s="455">
        <f t="shared" si="33"/>
        <v>27</v>
      </c>
      <c r="N247" s="456">
        <f t="shared" si="34"/>
        <v>1189.5</v>
      </c>
      <c r="O247" s="463" t="s">
        <v>564</v>
      </c>
      <c r="P247" s="459" t="s">
        <v>197</v>
      </c>
      <c r="Q247" s="451"/>
    </row>
    <row r="248" spans="1:17" ht="12.75" customHeight="1" x14ac:dyDescent="0.25">
      <c r="A248" s="451"/>
      <c r="B248" s="295" t="s">
        <v>3215</v>
      </c>
      <c r="C248" s="452" t="s">
        <v>3205</v>
      </c>
      <c r="D248" s="452" t="s">
        <v>1249</v>
      </c>
      <c r="E248" s="454">
        <v>1600</v>
      </c>
      <c r="F248" s="454">
        <v>125</v>
      </c>
      <c r="G248" s="455">
        <v>3.1</v>
      </c>
      <c r="H248" s="457">
        <f t="shared" si="30"/>
        <v>387.5</v>
      </c>
      <c r="I248" s="455">
        <v>9</v>
      </c>
      <c r="J248" s="458">
        <v>9.1999999999999993</v>
      </c>
      <c r="K248" s="458">
        <v>1</v>
      </c>
      <c r="L248" s="458">
        <v>2.44</v>
      </c>
      <c r="M248" s="455">
        <f t="shared" si="33"/>
        <v>21.64</v>
      </c>
      <c r="N248" s="456">
        <f t="shared" si="34"/>
        <v>409.14</v>
      </c>
      <c r="O248" s="463" t="s">
        <v>564</v>
      </c>
      <c r="P248" s="459" t="s">
        <v>197</v>
      </c>
      <c r="Q248" s="451"/>
    </row>
    <row r="249" spans="1:17" ht="12.75" customHeight="1" x14ac:dyDescent="0.25">
      <c r="A249" s="451"/>
      <c r="B249" s="295" t="s">
        <v>3222</v>
      </c>
      <c r="C249" s="452" t="s">
        <v>3199</v>
      </c>
      <c r="D249" s="452" t="s">
        <v>1249</v>
      </c>
      <c r="E249" s="454">
        <v>6200</v>
      </c>
      <c r="F249" s="454">
        <v>300</v>
      </c>
      <c r="G249" s="455">
        <v>9.4</v>
      </c>
      <c r="H249" s="457">
        <f t="shared" si="30"/>
        <v>2820</v>
      </c>
      <c r="I249" s="455">
        <v>54</v>
      </c>
      <c r="J249" s="447"/>
      <c r="K249" s="447"/>
      <c r="L249" s="447"/>
      <c r="M249" s="455">
        <f t="shared" ref="M249:M255" si="35">SUM(I249:L249)</f>
        <v>54</v>
      </c>
      <c r="N249" s="456">
        <f t="shared" ref="N249:N255" si="36">H249+M249</f>
        <v>2874</v>
      </c>
      <c r="O249" s="463" t="s">
        <v>2879</v>
      </c>
      <c r="P249" s="459" t="s">
        <v>197</v>
      </c>
      <c r="Q249" s="451"/>
    </row>
    <row r="250" spans="1:17" ht="13.2" x14ac:dyDescent="0.25">
      <c r="A250" s="451"/>
      <c r="B250" s="295" t="s">
        <v>3223</v>
      </c>
      <c r="C250" s="295" t="s">
        <v>3199</v>
      </c>
      <c r="D250" s="452" t="s">
        <v>1245</v>
      </c>
      <c r="E250" s="454">
        <v>6200</v>
      </c>
      <c r="F250" s="454">
        <v>300</v>
      </c>
      <c r="G250" s="455">
        <v>16.75</v>
      </c>
      <c r="H250" s="457">
        <f t="shared" si="30"/>
        <v>5025</v>
      </c>
      <c r="I250" s="455">
        <v>54</v>
      </c>
      <c r="J250" s="447"/>
      <c r="K250" s="447"/>
      <c r="L250" s="447"/>
      <c r="M250" s="455">
        <f t="shared" si="35"/>
        <v>54</v>
      </c>
      <c r="N250" s="456">
        <f t="shared" si="36"/>
        <v>5079</v>
      </c>
      <c r="O250" s="463" t="s">
        <v>2882</v>
      </c>
      <c r="P250" s="459" t="s">
        <v>197</v>
      </c>
      <c r="Q250" s="451"/>
    </row>
    <row r="251" spans="1:17" ht="12.75" customHeight="1" x14ac:dyDescent="0.25">
      <c r="A251" s="451"/>
      <c r="B251" s="295" t="s">
        <v>3244</v>
      </c>
      <c r="C251" s="295" t="s">
        <v>3252</v>
      </c>
      <c r="D251" s="452" t="s">
        <v>1245</v>
      </c>
      <c r="E251" s="454">
        <v>6200</v>
      </c>
      <c r="F251" s="454">
        <v>150</v>
      </c>
      <c r="G251" s="455">
        <v>52.45</v>
      </c>
      <c r="H251" s="457">
        <f t="shared" si="30"/>
        <v>7867.5</v>
      </c>
      <c r="I251" s="455">
        <v>27</v>
      </c>
      <c r="J251" s="458">
        <v>4.0199999999999996</v>
      </c>
      <c r="K251" s="458">
        <v>1</v>
      </c>
      <c r="L251" s="458">
        <v>5.51</v>
      </c>
      <c r="M251" s="455">
        <f t="shared" si="35"/>
        <v>37.529999999999994</v>
      </c>
      <c r="N251" s="456">
        <f t="shared" si="36"/>
        <v>7905.03</v>
      </c>
      <c r="O251" s="463" t="s">
        <v>3253</v>
      </c>
      <c r="P251" s="459" t="s">
        <v>197</v>
      </c>
      <c r="Q251" s="451"/>
    </row>
    <row r="252" spans="1:17" ht="12.75" customHeight="1" x14ac:dyDescent="0.25">
      <c r="A252" s="451"/>
      <c r="B252" s="295" t="s">
        <v>3249</v>
      </c>
      <c r="C252" s="295" t="s">
        <v>3252</v>
      </c>
      <c r="D252" s="295" t="s">
        <v>1245</v>
      </c>
      <c r="E252" s="454">
        <v>6200</v>
      </c>
      <c r="F252" s="454">
        <v>100</v>
      </c>
      <c r="G252" s="455">
        <v>55</v>
      </c>
      <c r="H252" s="457">
        <f t="shared" si="30"/>
        <v>5500</v>
      </c>
      <c r="I252" s="455">
        <v>18</v>
      </c>
      <c r="J252" s="447"/>
      <c r="K252" s="447"/>
      <c r="L252" s="447"/>
      <c r="M252" s="455">
        <f t="shared" si="35"/>
        <v>18</v>
      </c>
      <c r="N252" s="456">
        <f t="shared" si="36"/>
        <v>5518</v>
      </c>
      <c r="O252" s="463" t="s">
        <v>3254</v>
      </c>
      <c r="P252" s="459" t="s">
        <v>197</v>
      </c>
      <c r="Q252" s="451"/>
    </row>
    <row r="253" spans="1:17" ht="12.75" customHeight="1" x14ac:dyDescent="0.25">
      <c r="A253" s="451"/>
      <c r="B253" s="295" t="s">
        <v>3249</v>
      </c>
      <c r="C253" s="295" t="s">
        <v>3252</v>
      </c>
      <c r="D253" s="452" t="s">
        <v>1245</v>
      </c>
      <c r="E253" s="454">
        <v>6200</v>
      </c>
      <c r="F253" s="454">
        <v>100</v>
      </c>
      <c r="G253" s="455">
        <v>55</v>
      </c>
      <c r="H253" s="457">
        <f t="shared" si="30"/>
        <v>5500</v>
      </c>
      <c r="I253" s="455">
        <v>18</v>
      </c>
      <c r="J253" s="458">
        <v>5.4</v>
      </c>
      <c r="K253" s="458">
        <v>1</v>
      </c>
      <c r="L253" s="458">
        <v>7.7</v>
      </c>
      <c r="M253" s="455">
        <f t="shared" si="35"/>
        <v>32.1</v>
      </c>
      <c r="N253" s="456">
        <f t="shared" si="36"/>
        <v>5532.1</v>
      </c>
      <c r="O253" s="463" t="s">
        <v>3254</v>
      </c>
      <c r="P253" s="459" t="s">
        <v>197</v>
      </c>
      <c r="Q253" s="451"/>
    </row>
    <row r="254" spans="1:17" ht="12.75" customHeight="1" x14ac:dyDescent="0.25">
      <c r="A254" s="451"/>
      <c r="B254" s="295" t="s">
        <v>3255</v>
      </c>
      <c r="C254" s="295" t="s">
        <v>3252</v>
      </c>
      <c r="D254" s="452" t="s">
        <v>1245</v>
      </c>
      <c r="E254" s="454">
        <v>6200</v>
      </c>
      <c r="F254" s="454">
        <v>150</v>
      </c>
      <c r="G254" s="455">
        <v>59.8</v>
      </c>
      <c r="H254" s="457">
        <f t="shared" si="30"/>
        <v>8970</v>
      </c>
      <c r="I254" s="455">
        <v>27</v>
      </c>
      <c r="J254" s="447"/>
      <c r="K254" s="447"/>
      <c r="L254" s="447"/>
      <c r="M254" s="455">
        <f t="shared" si="35"/>
        <v>27</v>
      </c>
      <c r="N254" s="456">
        <f t="shared" si="36"/>
        <v>8997</v>
      </c>
      <c r="O254" s="463" t="s">
        <v>2892</v>
      </c>
      <c r="P254" s="459" t="s">
        <v>197</v>
      </c>
      <c r="Q254" s="451"/>
    </row>
    <row r="255" spans="1:17" ht="12.75" customHeight="1" x14ac:dyDescent="0.25">
      <c r="A255" s="451"/>
      <c r="B255" s="295" t="s">
        <v>3255</v>
      </c>
      <c r="C255" s="295" t="s">
        <v>3252</v>
      </c>
      <c r="D255" s="452" t="s">
        <v>1245</v>
      </c>
      <c r="E255" s="454">
        <v>6200</v>
      </c>
      <c r="F255" s="454">
        <v>50</v>
      </c>
      <c r="G255" s="455">
        <v>47.1</v>
      </c>
      <c r="H255" s="457">
        <f t="shared" si="30"/>
        <v>2355</v>
      </c>
      <c r="I255" s="455">
        <v>9</v>
      </c>
      <c r="J255" s="447"/>
      <c r="K255" s="447"/>
      <c r="L255" s="447"/>
      <c r="M255" s="455">
        <f t="shared" si="35"/>
        <v>9</v>
      </c>
      <c r="N255" s="456">
        <f t="shared" si="36"/>
        <v>2364</v>
      </c>
      <c r="O255" s="463" t="s">
        <v>2892</v>
      </c>
      <c r="P255" s="459" t="s">
        <v>197</v>
      </c>
      <c r="Q255" s="451"/>
    </row>
    <row r="256" spans="1:17" ht="12.75" customHeight="1" x14ac:dyDescent="0.25">
      <c r="A256" s="451"/>
      <c r="B256" s="295" t="s">
        <v>3255</v>
      </c>
      <c r="C256" s="295" t="s">
        <v>3252</v>
      </c>
      <c r="D256" s="452" t="s">
        <v>1245</v>
      </c>
      <c r="E256" s="454">
        <v>6200</v>
      </c>
      <c r="F256" s="454">
        <v>50</v>
      </c>
      <c r="G256" s="455">
        <v>47.1</v>
      </c>
      <c r="H256" s="457">
        <f t="shared" si="30"/>
        <v>2355</v>
      </c>
      <c r="I256" s="455">
        <v>9</v>
      </c>
      <c r="J256" s="458">
        <v>6.74</v>
      </c>
      <c r="K256" s="458">
        <v>1</v>
      </c>
      <c r="L256" s="458">
        <v>9.58</v>
      </c>
      <c r="M256" s="455">
        <f t="shared" ref="M256:M264" si="37">SUM(I256:L256)</f>
        <v>26.32</v>
      </c>
      <c r="N256" s="456">
        <f t="shared" ref="N256:N264" si="38">H256+M256</f>
        <v>2381.3200000000002</v>
      </c>
      <c r="O256" s="463" t="s">
        <v>2892</v>
      </c>
      <c r="P256" s="459" t="s">
        <v>197</v>
      </c>
      <c r="Q256" s="451"/>
    </row>
    <row r="257" spans="1:17" ht="12.75" customHeight="1" x14ac:dyDescent="0.25">
      <c r="A257" s="451"/>
      <c r="B257" s="295" t="s">
        <v>3258</v>
      </c>
      <c r="C257" s="452" t="s">
        <v>3252</v>
      </c>
      <c r="D257" s="452" t="s">
        <v>1249</v>
      </c>
      <c r="E257" s="454">
        <v>6400</v>
      </c>
      <c r="F257" s="454">
        <v>450</v>
      </c>
      <c r="G257" s="455">
        <v>43</v>
      </c>
      <c r="H257" s="457">
        <f t="shared" ref="H257:H276" si="39">F257*G257</f>
        <v>19350</v>
      </c>
      <c r="I257" s="455">
        <v>81</v>
      </c>
      <c r="J257" s="447"/>
      <c r="K257" s="447"/>
      <c r="L257" s="447"/>
      <c r="M257" s="455">
        <f t="shared" si="37"/>
        <v>81</v>
      </c>
      <c r="N257" s="456">
        <f t="shared" si="38"/>
        <v>19431</v>
      </c>
      <c r="O257" s="461" t="s">
        <v>2507</v>
      </c>
      <c r="P257" s="461" t="s">
        <v>197</v>
      </c>
      <c r="Q257" s="451"/>
    </row>
    <row r="258" spans="1:17" ht="12.75" customHeight="1" x14ac:dyDescent="0.25">
      <c r="A258" s="451"/>
      <c r="B258" s="295" t="s">
        <v>3258</v>
      </c>
      <c r="C258" s="452" t="s">
        <v>3252</v>
      </c>
      <c r="D258" s="452" t="s">
        <v>1249</v>
      </c>
      <c r="E258" s="454">
        <v>6400</v>
      </c>
      <c r="F258" s="454">
        <v>50</v>
      </c>
      <c r="G258" s="455">
        <v>46.3</v>
      </c>
      <c r="H258" s="457">
        <f t="shared" si="39"/>
        <v>2315</v>
      </c>
      <c r="I258" s="455">
        <v>9</v>
      </c>
      <c r="J258" s="474"/>
      <c r="K258" s="447"/>
      <c r="L258" s="447"/>
      <c r="M258" s="455">
        <f t="shared" si="37"/>
        <v>9</v>
      </c>
      <c r="N258" s="456">
        <f t="shared" si="38"/>
        <v>2324</v>
      </c>
      <c r="O258" s="461" t="s">
        <v>2507</v>
      </c>
      <c r="P258" s="461" t="s">
        <v>197</v>
      </c>
      <c r="Q258" s="451"/>
    </row>
    <row r="259" spans="1:17" ht="12.75" customHeight="1" x14ac:dyDescent="0.25">
      <c r="A259" s="451"/>
      <c r="B259" s="295" t="s">
        <v>3258</v>
      </c>
      <c r="C259" s="452" t="s">
        <v>3252</v>
      </c>
      <c r="D259" s="452" t="s">
        <v>1249</v>
      </c>
      <c r="E259" s="454">
        <v>6400</v>
      </c>
      <c r="F259" s="454">
        <v>50</v>
      </c>
      <c r="G259" s="455">
        <v>44.85</v>
      </c>
      <c r="H259" s="457">
        <f t="shared" si="39"/>
        <v>2242.5</v>
      </c>
      <c r="I259" s="455">
        <v>9</v>
      </c>
      <c r="J259" s="447"/>
      <c r="K259" s="447"/>
      <c r="L259" s="447"/>
      <c r="M259" s="455">
        <f t="shared" si="37"/>
        <v>9</v>
      </c>
      <c r="N259" s="456">
        <f t="shared" si="38"/>
        <v>2251.5</v>
      </c>
      <c r="O259" s="461" t="s">
        <v>2507</v>
      </c>
      <c r="P259" s="459" t="s">
        <v>197</v>
      </c>
      <c r="Q259" s="451"/>
    </row>
    <row r="260" spans="1:17" ht="12.75" customHeight="1" x14ac:dyDescent="0.25">
      <c r="A260" s="451"/>
      <c r="B260" s="295" t="s">
        <v>3258</v>
      </c>
      <c r="C260" s="452" t="s">
        <v>3252</v>
      </c>
      <c r="D260" s="452" t="s">
        <v>1249</v>
      </c>
      <c r="E260" s="454">
        <v>6400</v>
      </c>
      <c r="F260" s="454">
        <v>400</v>
      </c>
      <c r="G260" s="455">
        <v>44.85</v>
      </c>
      <c r="H260" s="457">
        <f t="shared" si="39"/>
        <v>17940</v>
      </c>
      <c r="I260" s="455">
        <v>72</v>
      </c>
      <c r="J260" s="458">
        <v>51.58</v>
      </c>
      <c r="K260" s="458">
        <f>7+5</f>
        <v>12</v>
      </c>
      <c r="L260" s="458">
        <v>57.29</v>
      </c>
      <c r="M260" s="455">
        <f t="shared" si="37"/>
        <v>192.86999999999998</v>
      </c>
      <c r="N260" s="456">
        <f t="shared" si="38"/>
        <v>18132.87</v>
      </c>
      <c r="O260" s="461" t="s">
        <v>2507</v>
      </c>
      <c r="P260" s="459" t="s">
        <v>197</v>
      </c>
      <c r="Q260" s="451"/>
    </row>
    <row r="261" spans="1:17" ht="12.75" customHeight="1" x14ac:dyDescent="0.25">
      <c r="A261" s="451"/>
      <c r="B261" s="295" t="s">
        <v>3264</v>
      </c>
      <c r="C261" s="325" t="s">
        <v>3252</v>
      </c>
      <c r="D261" s="325" t="s">
        <v>1245</v>
      </c>
      <c r="E261" s="2">
        <v>6400</v>
      </c>
      <c r="F261" s="2">
        <v>150</v>
      </c>
      <c r="G261" s="60">
        <v>42</v>
      </c>
      <c r="H261" s="303">
        <f t="shared" si="39"/>
        <v>6300</v>
      </c>
      <c r="I261" s="60">
        <v>27</v>
      </c>
      <c r="J261" s="447"/>
      <c r="K261" s="447"/>
      <c r="L261" s="447"/>
      <c r="M261" s="455">
        <f t="shared" si="37"/>
        <v>27</v>
      </c>
      <c r="N261" s="456">
        <f t="shared" si="38"/>
        <v>6327</v>
      </c>
      <c r="O261" s="463" t="s">
        <v>3266</v>
      </c>
      <c r="P261" s="459" t="s">
        <v>197</v>
      </c>
      <c r="Q261" s="451"/>
    </row>
    <row r="262" spans="1:17" ht="12.75" customHeight="1" x14ac:dyDescent="0.25">
      <c r="B262" s="295" t="s">
        <v>3264</v>
      </c>
      <c r="C262" s="325" t="s">
        <v>3252</v>
      </c>
      <c r="D262" s="325" t="s">
        <v>1245</v>
      </c>
      <c r="E262" s="2">
        <v>6400</v>
      </c>
      <c r="F262" s="2">
        <v>250</v>
      </c>
      <c r="G262" s="60">
        <v>42</v>
      </c>
      <c r="H262" s="303">
        <f t="shared" si="39"/>
        <v>10500</v>
      </c>
      <c r="I262" s="60">
        <v>45</v>
      </c>
      <c r="J262" s="450"/>
      <c r="K262" s="450"/>
      <c r="L262" s="447"/>
      <c r="M262" s="455">
        <f t="shared" si="37"/>
        <v>45</v>
      </c>
      <c r="N262" s="456">
        <f t="shared" si="38"/>
        <v>10545</v>
      </c>
      <c r="O262" s="463" t="s">
        <v>3266</v>
      </c>
      <c r="P262" s="263" t="s">
        <v>197</v>
      </c>
    </row>
    <row r="263" spans="1:17" ht="13.2" x14ac:dyDescent="0.25">
      <c r="A263" s="451"/>
      <c r="B263" s="295" t="s">
        <v>3264</v>
      </c>
      <c r="C263" s="325" t="s">
        <v>3252</v>
      </c>
      <c r="D263" s="325" t="s">
        <v>1245</v>
      </c>
      <c r="E263" s="2">
        <v>6400</v>
      </c>
      <c r="F263" s="2">
        <v>100</v>
      </c>
      <c r="G263" s="60">
        <v>40.950000000000003</v>
      </c>
      <c r="H263" s="303">
        <f t="shared" si="39"/>
        <v>4095.0000000000005</v>
      </c>
      <c r="I263" s="60">
        <v>18</v>
      </c>
      <c r="J263" s="447"/>
      <c r="K263" s="447"/>
      <c r="L263" s="447"/>
      <c r="M263" s="455">
        <f t="shared" si="37"/>
        <v>18</v>
      </c>
      <c r="N263" s="456">
        <f t="shared" si="38"/>
        <v>4113</v>
      </c>
      <c r="O263" s="463" t="s">
        <v>3266</v>
      </c>
      <c r="P263" s="459" t="s">
        <v>197</v>
      </c>
      <c r="Q263" s="451"/>
    </row>
    <row r="264" spans="1:17" ht="12.75" customHeight="1" x14ac:dyDescent="0.25">
      <c r="A264" s="451"/>
      <c r="B264" s="295" t="s">
        <v>3264</v>
      </c>
      <c r="C264" s="325" t="s">
        <v>3252</v>
      </c>
      <c r="D264" s="325" t="s">
        <v>1245</v>
      </c>
      <c r="E264" s="2">
        <v>6400</v>
      </c>
      <c r="F264" s="2">
        <v>300</v>
      </c>
      <c r="G264" s="60">
        <v>35.450000000000003</v>
      </c>
      <c r="H264" s="303">
        <f t="shared" si="39"/>
        <v>10635</v>
      </c>
      <c r="I264" s="60">
        <v>54</v>
      </c>
      <c r="J264" s="458">
        <v>20.53</v>
      </c>
      <c r="K264" s="458">
        <v>2</v>
      </c>
      <c r="L264" s="458">
        <v>22.07</v>
      </c>
      <c r="M264" s="455">
        <f t="shared" si="37"/>
        <v>98.6</v>
      </c>
      <c r="N264" s="456">
        <f t="shared" si="38"/>
        <v>10733.6</v>
      </c>
      <c r="O264" s="463" t="s">
        <v>3266</v>
      </c>
      <c r="P264" s="459" t="s">
        <v>197</v>
      </c>
      <c r="Q264" s="451"/>
    </row>
    <row r="265" spans="1:17" ht="12.75" customHeight="1" x14ac:dyDescent="0.25">
      <c r="A265" s="451"/>
      <c r="B265" s="295" t="s">
        <v>3273</v>
      </c>
      <c r="C265" s="295" t="s">
        <v>3252</v>
      </c>
      <c r="D265" s="325" t="s">
        <v>1245</v>
      </c>
      <c r="E265" s="2">
        <v>6400</v>
      </c>
      <c r="F265" s="2">
        <v>200</v>
      </c>
      <c r="G265" s="60">
        <v>29</v>
      </c>
      <c r="H265" s="303">
        <f t="shared" si="39"/>
        <v>5800</v>
      </c>
      <c r="I265" s="60">
        <v>36</v>
      </c>
      <c r="J265" s="458">
        <v>4.95</v>
      </c>
      <c r="K265" s="458">
        <v>1</v>
      </c>
      <c r="L265" s="458">
        <v>4.0599999999999996</v>
      </c>
      <c r="M265" s="455">
        <f>SUM(I265:L265)</f>
        <v>46.010000000000005</v>
      </c>
      <c r="N265" s="456">
        <f>H265+M265</f>
        <v>5846.01</v>
      </c>
      <c r="O265" s="463" t="s">
        <v>2902</v>
      </c>
      <c r="P265" s="459" t="s">
        <v>197</v>
      </c>
      <c r="Q265" s="451"/>
    </row>
    <row r="266" spans="1:17" ht="12.75" customHeight="1" x14ac:dyDescent="0.25">
      <c r="A266" s="451"/>
      <c r="B266" s="295" t="s">
        <v>3274</v>
      </c>
      <c r="C266" s="295" t="s">
        <v>3252</v>
      </c>
      <c r="D266" s="325" t="s">
        <v>1249</v>
      </c>
      <c r="E266" s="2">
        <v>6600</v>
      </c>
      <c r="F266" s="2">
        <v>300</v>
      </c>
      <c r="G266" s="60">
        <v>63.95</v>
      </c>
      <c r="H266" s="303">
        <f t="shared" si="39"/>
        <v>19185</v>
      </c>
      <c r="I266" s="60">
        <v>54</v>
      </c>
      <c r="J266" s="447"/>
      <c r="K266" s="447"/>
      <c r="L266" s="447"/>
      <c r="M266" s="455">
        <f t="shared" ref="M266:M274" si="40">SUM(I266:L266)</f>
        <v>54</v>
      </c>
      <c r="N266" s="456">
        <f t="shared" ref="N266:N279" si="41">H266+M266</f>
        <v>19239</v>
      </c>
      <c r="O266" s="463" t="s">
        <v>2906</v>
      </c>
      <c r="P266" s="459" t="s">
        <v>197</v>
      </c>
      <c r="Q266" s="451"/>
    </row>
    <row r="267" spans="1:17" ht="12.75" customHeight="1" x14ac:dyDescent="0.25">
      <c r="A267" s="451"/>
      <c r="B267" s="295" t="s">
        <v>3274</v>
      </c>
      <c r="C267" s="295" t="s">
        <v>3252</v>
      </c>
      <c r="D267" s="452" t="s">
        <v>1245</v>
      </c>
      <c r="E267" s="454">
        <v>6400</v>
      </c>
      <c r="F267" s="454">
        <v>300</v>
      </c>
      <c r="G267" s="455">
        <v>22</v>
      </c>
      <c r="H267" s="303">
        <f t="shared" si="39"/>
        <v>6600</v>
      </c>
      <c r="I267" s="455">
        <v>54</v>
      </c>
      <c r="J267" s="447"/>
      <c r="K267" s="447"/>
      <c r="L267" s="447"/>
      <c r="M267" s="455">
        <f t="shared" si="40"/>
        <v>54</v>
      </c>
      <c r="N267" s="456">
        <f t="shared" si="41"/>
        <v>6654</v>
      </c>
      <c r="O267" s="463" t="s">
        <v>2906</v>
      </c>
      <c r="P267" s="459" t="s">
        <v>197</v>
      </c>
      <c r="Q267" s="451"/>
    </row>
    <row r="268" spans="1:17" ht="13.2" x14ac:dyDescent="0.25">
      <c r="A268" s="451"/>
      <c r="B268" s="295" t="s">
        <v>3274</v>
      </c>
      <c r="C268" s="295" t="s">
        <v>3252</v>
      </c>
      <c r="D268" s="452" t="s">
        <v>1245</v>
      </c>
      <c r="E268" s="454">
        <v>6400</v>
      </c>
      <c r="F268" s="454">
        <v>200</v>
      </c>
      <c r="G268" s="455">
        <v>22</v>
      </c>
      <c r="H268" s="303">
        <f t="shared" si="39"/>
        <v>4400</v>
      </c>
      <c r="I268" s="455">
        <v>36</v>
      </c>
      <c r="J268" s="447"/>
      <c r="K268" s="447"/>
      <c r="L268" s="447"/>
      <c r="M268" s="455">
        <f t="shared" si="40"/>
        <v>36</v>
      </c>
      <c r="N268" s="456">
        <f t="shared" si="41"/>
        <v>4436</v>
      </c>
      <c r="O268" s="463" t="s">
        <v>2906</v>
      </c>
      <c r="P268" s="459" t="s">
        <v>197</v>
      </c>
      <c r="Q268" s="451"/>
    </row>
    <row r="269" spans="1:17" ht="12.75" customHeight="1" x14ac:dyDescent="0.25">
      <c r="A269" s="451"/>
      <c r="B269" s="295" t="s">
        <v>3274</v>
      </c>
      <c r="C269" s="295" t="s">
        <v>3252</v>
      </c>
      <c r="D269" s="452" t="s">
        <v>1245</v>
      </c>
      <c r="E269" s="454">
        <v>6400</v>
      </c>
      <c r="F269" s="454">
        <v>100</v>
      </c>
      <c r="G269" s="455">
        <v>22</v>
      </c>
      <c r="H269" s="303">
        <f t="shared" si="39"/>
        <v>2200</v>
      </c>
      <c r="I269" s="455">
        <v>18</v>
      </c>
      <c r="J269" s="447"/>
      <c r="K269" s="447"/>
      <c r="L269" s="447"/>
      <c r="M269" s="455">
        <f t="shared" si="40"/>
        <v>18</v>
      </c>
      <c r="N269" s="456">
        <f t="shared" si="41"/>
        <v>2218</v>
      </c>
      <c r="O269" s="463" t="s">
        <v>2906</v>
      </c>
      <c r="P269" s="459" t="s">
        <v>197</v>
      </c>
      <c r="Q269" s="451"/>
    </row>
    <row r="270" spans="1:17" ht="12.75" customHeight="1" x14ac:dyDescent="0.25">
      <c r="A270" s="451"/>
      <c r="B270" s="295" t="s">
        <v>3274</v>
      </c>
      <c r="C270" s="295" t="s">
        <v>3252</v>
      </c>
      <c r="D270" s="452" t="s">
        <v>1245</v>
      </c>
      <c r="E270" s="454">
        <v>6400</v>
      </c>
      <c r="F270" s="454">
        <v>100</v>
      </c>
      <c r="G270" s="455">
        <v>22</v>
      </c>
      <c r="H270" s="303">
        <f t="shared" si="39"/>
        <v>2200</v>
      </c>
      <c r="I270" s="455">
        <v>18</v>
      </c>
      <c r="J270" s="447"/>
      <c r="K270" s="447"/>
      <c r="L270" s="447"/>
      <c r="M270" s="455">
        <f t="shared" si="40"/>
        <v>18</v>
      </c>
      <c r="N270" s="456">
        <f t="shared" si="41"/>
        <v>2218</v>
      </c>
      <c r="O270" s="463" t="s">
        <v>2906</v>
      </c>
      <c r="P270" s="459" t="s">
        <v>197</v>
      </c>
      <c r="Q270" s="451"/>
    </row>
    <row r="271" spans="1:17" ht="12.75" customHeight="1" x14ac:dyDescent="0.25">
      <c r="A271" s="451"/>
      <c r="B271" s="295" t="s">
        <v>3274</v>
      </c>
      <c r="C271" s="295" t="s">
        <v>3252</v>
      </c>
      <c r="D271" s="452" t="s">
        <v>1245</v>
      </c>
      <c r="E271" s="454">
        <v>6400</v>
      </c>
      <c r="F271" s="454">
        <v>50</v>
      </c>
      <c r="G271" s="455">
        <v>22</v>
      </c>
      <c r="H271" s="303">
        <f t="shared" si="39"/>
        <v>1100</v>
      </c>
      <c r="I271" s="455">
        <v>9</v>
      </c>
      <c r="J271" s="447"/>
      <c r="K271" s="447"/>
      <c r="L271" s="447"/>
      <c r="M271" s="455">
        <f t="shared" si="40"/>
        <v>9</v>
      </c>
      <c r="N271" s="456">
        <f t="shared" si="41"/>
        <v>1109</v>
      </c>
      <c r="O271" s="463" t="s">
        <v>2906</v>
      </c>
      <c r="P271" s="459" t="s">
        <v>197</v>
      </c>
      <c r="Q271" s="451"/>
    </row>
    <row r="272" spans="1:17" ht="12.75" customHeight="1" x14ac:dyDescent="0.25">
      <c r="A272" s="451"/>
      <c r="B272" s="295" t="s">
        <v>3274</v>
      </c>
      <c r="C272" s="295" t="s">
        <v>3252</v>
      </c>
      <c r="D272" s="452" t="s">
        <v>1245</v>
      </c>
      <c r="E272" s="454">
        <v>6400</v>
      </c>
      <c r="F272" s="454">
        <v>50</v>
      </c>
      <c r="G272" s="455">
        <v>22</v>
      </c>
      <c r="H272" s="303">
        <f t="shared" si="39"/>
        <v>1100</v>
      </c>
      <c r="I272" s="455">
        <v>9</v>
      </c>
      <c r="J272" s="447"/>
      <c r="K272" s="447"/>
      <c r="L272" s="447"/>
      <c r="M272" s="455">
        <f t="shared" si="40"/>
        <v>9</v>
      </c>
      <c r="N272" s="456">
        <f t="shared" si="41"/>
        <v>1109</v>
      </c>
      <c r="O272" s="463" t="s">
        <v>2906</v>
      </c>
      <c r="P272" s="459" t="s">
        <v>197</v>
      </c>
      <c r="Q272" s="451"/>
    </row>
    <row r="273" spans="1:18" ht="12.75" customHeight="1" x14ac:dyDescent="0.25">
      <c r="A273" s="451"/>
      <c r="B273" s="295" t="s">
        <v>3274</v>
      </c>
      <c r="C273" s="295" t="s">
        <v>3252</v>
      </c>
      <c r="D273" s="452" t="s">
        <v>1245</v>
      </c>
      <c r="E273" s="454">
        <v>6400</v>
      </c>
      <c r="F273" s="454">
        <v>50</v>
      </c>
      <c r="G273" s="455">
        <v>20.65</v>
      </c>
      <c r="H273" s="303">
        <f t="shared" si="39"/>
        <v>1032.5</v>
      </c>
      <c r="I273" s="455">
        <v>9</v>
      </c>
      <c r="J273" s="447"/>
      <c r="K273" s="447"/>
      <c r="L273" s="447"/>
      <c r="M273" s="455">
        <f t="shared" si="40"/>
        <v>9</v>
      </c>
      <c r="N273" s="456">
        <f t="shared" si="41"/>
        <v>1041.5</v>
      </c>
      <c r="O273" s="463" t="s">
        <v>2906</v>
      </c>
      <c r="P273" s="459" t="s">
        <v>197</v>
      </c>
      <c r="Q273" s="451"/>
    </row>
    <row r="274" spans="1:18" ht="12.75" customHeight="1" x14ac:dyDescent="0.25">
      <c r="A274" s="451"/>
      <c r="B274" s="295" t="s">
        <v>3274</v>
      </c>
      <c r="C274" s="295" t="s">
        <v>3252</v>
      </c>
      <c r="D274" s="452" t="s">
        <v>1245</v>
      </c>
      <c r="E274" s="454">
        <v>6400</v>
      </c>
      <c r="F274" s="454">
        <v>150</v>
      </c>
      <c r="G274" s="455">
        <v>20.65</v>
      </c>
      <c r="H274" s="303">
        <f t="shared" si="39"/>
        <v>3097.5</v>
      </c>
      <c r="I274" s="455">
        <v>27</v>
      </c>
      <c r="J274" s="458">
        <v>64.569999999999993</v>
      </c>
      <c r="K274" s="458">
        <f>6+5</f>
        <v>11</v>
      </c>
      <c r="L274" s="458">
        <v>54.46</v>
      </c>
      <c r="M274" s="455">
        <f t="shared" si="40"/>
        <v>157.03</v>
      </c>
      <c r="N274" s="456">
        <f t="shared" si="41"/>
        <v>3254.53</v>
      </c>
      <c r="O274" s="463" t="s">
        <v>2906</v>
      </c>
      <c r="P274" s="459" t="s">
        <v>197</v>
      </c>
      <c r="Q274" s="451"/>
    </row>
    <row r="275" spans="1:18" ht="12.75" customHeight="1" x14ac:dyDescent="0.25">
      <c r="A275" s="451"/>
      <c r="B275" s="295" t="s">
        <v>3278</v>
      </c>
      <c r="C275" s="295" t="s">
        <v>3252</v>
      </c>
      <c r="D275" s="452" t="s">
        <v>1245</v>
      </c>
      <c r="E275" s="454">
        <v>6400</v>
      </c>
      <c r="F275" s="454">
        <v>500</v>
      </c>
      <c r="G275" s="455">
        <v>11.5</v>
      </c>
      <c r="H275" s="303">
        <f t="shared" si="39"/>
        <v>5750</v>
      </c>
      <c r="I275" s="455">
        <v>90</v>
      </c>
      <c r="J275" s="458">
        <v>11.62</v>
      </c>
      <c r="K275" s="458">
        <v>1</v>
      </c>
      <c r="L275" s="458">
        <v>4.03</v>
      </c>
      <c r="M275" s="455">
        <f t="shared" ref="M275:M282" si="42">SUM(I275:L275)</f>
        <v>106.65</v>
      </c>
      <c r="N275" s="456">
        <f t="shared" si="41"/>
        <v>5856.65</v>
      </c>
      <c r="O275" s="463" t="s">
        <v>2910</v>
      </c>
      <c r="P275" s="459" t="s">
        <v>197</v>
      </c>
      <c r="Q275" s="451"/>
    </row>
    <row r="276" spans="1:18" ht="12.75" customHeight="1" x14ac:dyDescent="0.25">
      <c r="B276" s="295" t="s">
        <v>3281</v>
      </c>
      <c r="C276" s="295" t="s">
        <v>3252</v>
      </c>
      <c r="D276" s="325" t="s">
        <v>1245</v>
      </c>
      <c r="E276" s="2">
        <v>6400</v>
      </c>
      <c r="F276" s="2">
        <v>350</v>
      </c>
      <c r="G276" s="60">
        <v>10.7</v>
      </c>
      <c r="H276" s="303">
        <f t="shared" si="39"/>
        <v>3744.9999999999995</v>
      </c>
      <c r="I276" s="60">
        <v>63</v>
      </c>
      <c r="J276" s="299">
        <v>8.11</v>
      </c>
      <c r="K276" s="299">
        <v>1</v>
      </c>
      <c r="L276" s="247">
        <v>2.62</v>
      </c>
      <c r="M276" s="455">
        <f t="shared" si="42"/>
        <v>74.73</v>
      </c>
      <c r="N276" s="456">
        <f t="shared" si="41"/>
        <v>3819.7299999999996</v>
      </c>
      <c r="O276" s="249" t="s">
        <v>2912</v>
      </c>
      <c r="P276" s="263" t="s">
        <v>197</v>
      </c>
    </row>
    <row r="277" spans="1:18" ht="13.2" x14ac:dyDescent="0.25">
      <c r="A277" s="451"/>
      <c r="B277" s="295" t="s">
        <v>3283</v>
      </c>
      <c r="C277" s="452" t="s">
        <v>3252</v>
      </c>
      <c r="D277" s="452" t="s">
        <v>1249</v>
      </c>
      <c r="E277" s="454">
        <v>6600</v>
      </c>
      <c r="F277" s="454">
        <v>150</v>
      </c>
      <c r="G277" s="455">
        <v>39.6</v>
      </c>
      <c r="H277" s="303">
        <f t="shared" ref="H277:H282" si="43">F277*G277</f>
        <v>5940</v>
      </c>
      <c r="I277" s="455">
        <v>27</v>
      </c>
      <c r="J277" s="457">
        <v>45.61</v>
      </c>
      <c r="K277" s="457">
        <f>1+1</f>
        <v>2</v>
      </c>
      <c r="L277" s="451">
        <v>8.9499999999999993</v>
      </c>
      <c r="M277" s="455">
        <f t="shared" si="42"/>
        <v>83.56</v>
      </c>
      <c r="N277" s="456">
        <f t="shared" si="41"/>
        <v>6023.56</v>
      </c>
      <c r="O277" s="461" t="s">
        <v>3284</v>
      </c>
      <c r="P277" s="459" t="s">
        <v>197</v>
      </c>
      <c r="Q277" s="451"/>
      <c r="R277" s="247"/>
    </row>
    <row r="278" spans="1:18" ht="12.75" customHeight="1" x14ac:dyDescent="0.25">
      <c r="A278" s="451"/>
      <c r="B278" s="295" t="s">
        <v>3288</v>
      </c>
      <c r="C278" s="452" t="s">
        <v>3252</v>
      </c>
      <c r="D278" s="452" t="s">
        <v>1249</v>
      </c>
      <c r="E278" s="454">
        <v>6650</v>
      </c>
      <c r="F278" s="454">
        <v>500</v>
      </c>
      <c r="G278" s="455">
        <v>4.95</v>
      </c>
      <c r="H278" s="303">
        <f t="shared" si="43"/>
        <v>2475</v>
      </c>
      <c r="I278" s="455">
        <v>90</v>
      </c>
      <c r="J278" s="447"/>
      <c r="K278" s="447"/>
      <c r="L278" s="447"/>
      <c r="M278" s="455">
        <f t="shared" si="42"/>
        <v>90</v>
      </c>
      <c r="N278" s="456">
        <f t="shared" si="41"/>
        <v>2565</v>
      </c>
      <c r="O278" s="463" t="s">
        <v>3289</v>
      </c>
      <c r="P278" s="459" t="s">
        <v>197</v>
      </c>
      <c r="Q278" s="451"/>
    </row>
    <row r="279" spans="1:18" ht="12.75" customHeight="1" x14ac:dyDescent="0.25">
      <c r="A279" s="451"/>
      <c r="B279" s="295" t="s">
        <v>3288</v>
      </c>
      <c r="C279" s="452" t="s">
        <v>3252</v>
      </c>
      <c r="D279" s="452" t="s">
        <v>1249</v>
      </c>
      <c r="E279" s="454">
        <v>6650</v>
      </c>
      <c r="F279" s="454">
        <v>500</v>
      </c>
      <c r="G279" s="455">
        <v>5</v>
      </c>
      <c r="H279" s="303">
        <f t="shared" si="43"/>
        <v>2500</v>
      </c>
      <c r="I279" s="455">
        <v>90</v>
      </c>
      <c r="J279" s="458">
        <v>26.65</v>
      </c>
      <c r="K279" s="458">
        <f>1+1</f>
        <v>2</v>
      </c>
      <c r="L279" s="458">
        <v>8.6</v>
      </c>
      <c r="M279" s="455">
        <f t="shared" si="42"/>
        <v>127.25</v>
      </c>
      <c r="N279" s="456">
        <f t="shared" si="41"/>
        <v>2627.25</v>
      </c>
      <c r="O279" s="463" t="s">
        <v>3289</v>
      </c>
      <c r="P279" s="459" t="s">
        <v>197</v>
      </c>
      <c r="Q279" s="451"/>
    </row>
    <row r="280" spans="1:18" ht="12.75" customHeight="1" x14ac:dyDescent="0.25">
      <c r="A280" s="451"/>
      <c r="B280" s="295" t="s">
        <v>3291</v>
      </c>
      <c r="C280" s="452" t="s">
        <v>3297</v>
      </c>
      <c r="D280" s="452" t="s">
        <v>1245</v>
      </c>
      <c r="E280" s="454">
        <v>6500</v>
      </c>
      <c r="F280" s="454">
        <v>300</v>
      </c>
      <c r="G280" s="455">
        <v>40</v>
      </c>
      <c r="H280" s="303">
        <f t="shared" si="43"/>
        <v>12000</v>
      </c>
      <c r="I280" s="455">
        <v>54</v>
      </c>
      <c r="J280" s="447"/>
      <c r="K280" s="447"/>
      <c r="L280" s="447"/>
      <c r="M280" s="455">
        <f t="shared" si="42"/>
        <v>54</v>
      </c>
      <c r="N280" s="456">
        <f>H280+M280</f>
        <v>12054</v>
      </c>
      <c r="O280" s="463" t="s">
        <v>3298</v>
      </c>
      <c r="P280" s="459" t="s">
        <v>197</v>
      </c>
      <c r="Q280" s="451"/>
    </row>
    <row r="281" spans="1:18" ht="12.75" customHeight="1" x14ac:dyDescent="0.25">
      <c r="A281" s="451"/>
      <c r="B281" s="295" t="s">
        <v>3291</v>
      </c>
      <c r="C281" s="452" t="s">
        <v>3297</v>
      </c>
      <c r="D281" s="452" t="s">
        <v>1245</v>
      </c>
      <c r="E281" s="454">
        <v>6500</v>
      </c>
      <c r="F281" s="454">
        <v>200</v>
      </c>
      <c r="G281" s="455">
        <v>38.9</v>
      </c>
      <c r="H281" s="303">
        <f t="shared" si="43"/>
        <v>7780</v>
      </c>
      <c r="I281" s="455">
        <v>36</v>
      </c>
      <c r="J281" s="447"/>
      <c r="K281" s="447"/>
      <c r="L281" s="447"/>
      <c r="M281" s="455">
        <f t="shared" si="42"/>
        <v>36</v>
      </c>
      <c r="N281" s="456">
        <f>H281+M281</f>
        <v>7816</v>
      </c>
      <c r="O281" s="463" t="s">
        <v>3298</v>
      </c>
      <c r="P281" s="459" t="s">
        <v>197</v>
      </c>
      <c r="Q281" s="451"/>
    </row>
    <row r="282" spans="1:18" ht="12.75" customHeight="1" x14ac:dyDescent="0.25">
      <c r="A282" s="451"/>
      <c r="B282" s="295" t="s">
        <v>3291</v>
      </c>
      <c r="C282" s="452" t="s">
        <v>3297</v>
      </c>
      <c r="D282" s="452" t="s">
        <v>1245</v>
      </c>
      <c r="E282" s="454">
        <v>6500</v>
      </c>
      <c r="F282" s="454">
        <v>50</v>
      </c>
      <c r="G282" s="455">
        <v>38.950000000000003</v>
      </c>
      <c r="H282" s="303">
        <f t="shared" si="43"/>
        <v>1947.5000000000002</v>
      </c>
      <c r="I282" s="455">
        <v>9</v>
      </c>
      <c r="J282" s="458">
        <v>14.12</v>
      </c>
      <c r="K282" s="458">
        <v>2</v>
      </c>
      <c r="L282" s="458">
        <v>15.21</v>
      </c>
      <c r="M282" s="455">
        <f t="shared" si="42"/>
        <v>40.33</v>
      </c>
      <c r="N282" s="456">
        <f>H282+M282</f>
        <v>1987.8300000000002</v>
      </c>
      <c r="O282" s="463" t="s">
        <v>3298</v>
      </c>
      <c r="P282" s="459" t="s">
        <v>197</v>
      </c>
      <c r="Q282" s="451"/>
    </row>
    <row r="283" spans="1:18" ht="12.75" customHeight="1" x14ac:dyDescent="0.25">
      <c r="A283" s="451"/>
      <c r="C283" s="452"/>
      <c r="D283" s="452"/>
      <c r="E283" s="454"/>
      <c r="F283" s="454"/>
      <c r="G283" s="455"/>
      <c r="H283" s="456"/>
      <c r="I283" s="455"/>
      <c r="J283" s="458"/>
      <c r="K283" s="458"/>
      <c r="L283" s="458"/>
      <c r="M283" s="455"/>
      <c r="N283" s="456"/>
      <c r="O283" s="463"/>
      <c r="P283" s="459"/>
      <c r="Q283" s="451"/>
    </row>
    <row r="284" spans="1:18" ht="12.75" customHeight="1" x14ac:dyDescent="0.25">
      <c r="A284" s="451"/>
      <c r="C284" s="452"/>
      <c r="D284" s="452"/>
      <c r="E284" s="454"/>
      <c r="F284" s="454"/>
      <c r="G284" s="455"/>
      <c r="H284" s="456"/>
      <c r="I284" s="455"/>
      <c r="J284" s="458"/>
      <c r="K284" s="458"/>
      <c r="L284" s="458"/>
      <c r="M284" s="455"/>
      <c r="N284" s="456"/>
      <c r="O284" s="463"/>
      <c r="P284" s="459"/>
      <c r="Q284" s="451"/>
    </row>
    <row r="285" spans="1:18" ht="12.75" customHeight="1" x14ac:dyDescent="0.25">
      <c r="A285" s="451"/>
      <c r="C285" s="452"/>
      <c r="D285" s="452"/>
      <c r="E285" s="454"/>
      <c r="F285" s="454"/>
      <c r="G285" s="455"/>
      <c r="H285" s="456"/>
      <c r="I285" s="455"/>
      <c r="J285" s="458"/>
      <c r="K285" s="458"/>
      <c r="L285" s="458"/>
      <c r="M285" s="455"/>
      <c r="N285" s="456"/>
      <c r="O285" s="463"/>
      <c r="P285" s="463"/>
      <c r="Q285" s="451"/>
    </row>
    <row r="286" spans="1:18" ht="12.75" customHeight="1" x14ac:dyDescent="0.25">
      <c r="A286" s="451"/>
      <c r="C286" s="452"/>
      <c r="D286" s="452"/>
      <c r="E286" s="454"/>
      <c r="F286" s="454"/>
      <c r="G286" s="455"/>
      <c r="H286" s="456"/>
      <c r="I286" s="455"/>
      <c r="J286" s="458"/>
      <c r="K286" s="458"/>
      <c r="L286" s="458"/>
      <c r="M286" s="455"/>
      <c r="N286" s="456"/>
      <c r="O286" s="463"/>
      <c r="P286" s="459"/>
      <c r="Q286" s="451"/>
    </row>
    <row r="287" spans="1:18" ht="13.2" x14ac:dyDescent="0.25">
      <c r="A287" s="451"/>
      <c r="C287" s="452"/>
      <c r="D287" s="452"/>
      <c r="E287" s="454"/>
      <c r="F287" s="454"/>
      <c r="G287" s="455"/>
      <c r="H287" s="456"/>
      <c r="I287" s="455"/>
      <c r="J287" s="458"/>
      <c r="K287" s="458"/>
      <c r="L287" s="458"/>
      <c r="M287" s="455"/>
      <c r="N287" s="456"/>
      <c r="O287" s="463"/>
      <c r="P287" s="459"/>
      <c r="Q287" s="451"/>
    </row>
    <row r="288" spans="1:18" ht="12.75" customHeight="1" x14ac:dyDescent="0.25">
      <c r="A288" s="451"/>
      <c r="C288" s="452"/>
      <c r="D288" s="452"/>
      <c r="E288" s="454"/>
      <c r="F288" s="454"/>
      <c r="G288" s="455"/>
      <c r="H288" s="456"/>
      <c r="I288" s="455"/>
      <c r="J288" s="458"/>
      <c r="K288" s="458"/>
      <c r="L288" s="458"/>
      <c r="M288" s="455"/>
      <c r="N288" s="456"/>
      <c r="O288" s="463"/>
      <c r="P288" s="459"/>
      <c r="Q288" s="451"/>
    </row>
    <row r="289" spans="1:18" ht="12.75" customHeight="1" x14ac:dyDescent="0.25">
      <c r="A289" s="451"/>
      <c r="C289" s="452"/>
      <c r="D289" s="452"/>
      <c r="E289" s="454"/>
      <c r="F289" s="454"/>
      <c r="G289" s="455"/>
      <c r="H289" s="456"/>
      <c r="I289" s="455"/>
      <c r="J289" s="458"/>
      <c r="K289" s="458"/>
      <c r="L289" s="458"/>
      <c r="M289" s="455"/>
      <c r="N289" s="456"/>
      <c r="O289" s="463"/>
      <c r="P289" s="459"/>
      <c r="Q289" s="451"/>
    </row>
    <row r="290" spans="1:18" ht="12.75" customHeight="1" x14ac:dyDescent="0.25">
      <c r="A290" s="451"/>
      <c r="B290" s="452"/>
      <c r="C290" s="452"/>
      <c r="D290" s="452"/>
      <c r="E290" s="454"/>
      <c r="F290" s="454"/>
      <c r="G290" s="455"/>
      <c r="H290" s="456"/>
      <c r="I290" s="455"/>
      <c r="J290" s="458"/>
      <c r="K290" s="458"/>
      <c r="L290" s="458"/>
      <c r="M290" s="455"/>
      <c r="N290" s="456"/>
      <c r="O290" s="463"/>
      <c r="P290" s="459"/>
      <c r="Q290" s="451"/>
    </row>
    <row r="291" spans="1:18" ht="12.75" customHeight="1" x14ac:dyDescent="0.25">
      <c r="A291" s="451"/>
      <c r="B291" s="452"/>
      <c r="C291" s="452"/>
      <c r="D291" s="452"/>
      <c r="E291" s="454"/>
      <c r="F291" s="454"/>
      <c r="G291" s="455"/>
      <c r="H291" s="456"/>
      <c r="I291" s="455"/>
      <c r="J291" s="458"/>
      <c r="K291" s="458"/>
      <c r="L291" s="458"/>
      <c r="M291" s="455"/>
      <c r="N291" s="456"/>
      <c r="O291" s="463"/>
      <c r="P291" s="459"/>
      <c r="Q291" s="451"/>
    </row>
    <row r="292" spans="1:18" ht="12.75" customHeight="1" x14ac:dyDescent="0.25">
      <c r="A292" s="451"/>
      <c r="B292" s="452"/>
      <c r="C292" s="452"/>
      <c r="D292" s="452"/>
      <c r="E292" s="454"/>
      <c r="F292" s="454"/>
      <c r="G292" s="455"/>
      <c r="H292" s="456"/>
      <c r="I292" s="455"/>
      <c r="J292" s="458"/>
      <c r="K292" s="458"/>
      <c r="L292" s="458"/>
      <c r="M292" s="455"/>
      <c r="N292" s="456"/>
      <c r="O292" s="463"/>
      <c r="P292" s="459"/>
      <c r="Q292" s="451"/>
    </row>
    <row r="293" spans="1:18" ht="12.75" customHeight="1" x14ac:dyDescent="0.25">
      <c r="A293" s="451"/>
      <c r="B293" s="452"/>
      <c r="C293" s="452"/>
      <c r="D293" s="452"/>
      <c r="E293" s="454"/>
      <c r="F293" s="454"/>
      <c r="G293" s="455"/>
      <c r="H293" s="456"/>
      <c r="I293" s="455"/>
      <c r="J293" s="458"/>
      <c r="K293" s="458"/>
      <c r="L293" s="458"/>
      <c r="M293" s="455"/>
      <c r="N293" s="456"/>
      <c r="O293" s="463"/>
      <c r="P293" s="459"/>
      <c r="Q293" s="451"/>
    </row>
    <row r="294" spans="1:18" ht="12.75" customHeight="1" x14ac:dyDescent="0.25">
      <c r="A294" s="451"/>
      <c r="B294" s="452"/>
      <c r="C294" s="452"/>
      <c r="D294" s="452"/>
      <c r="E294" s="454"/>
      <c r="F294" s="454"/>
      <c r="G294" s="455"/>
      <c r="H294" s="456"/>
      <c r="I294" s="455"/>
      <c r="J294" s="458"/>
      <c r="K294" s="458"/>
      <c r="L294" s="458"/>
      <c r="M294" s="455"/>
      <c r="N294" s="456"/>
      <c r="O294" s="463"/>
      <c r="P294" s="459"/>
      <c r="Q294" s="451"/>
    </row>
    <row r="295" spans="1:18" ht="12.75" customHeight="1" x14ac:dyDescent="0.25">
      <c r="A295" s="451"/>
      <c r="B295" s="452"/>
      <c r="C295" s="452"/>
      <c r="D295" s="452"/>
      <c r="E295" s="454"/>
      <c r="F295" s="454"/>
      <c r="G295" s="455"/>
      <c r="H295" s="456"/>
      <c r="I295" s="455"/>
      <c r="J295" s="458"/>
      <c r="K295" s="458"/>
      <c r="L295" s="458"/>
      <c r="M295" s="455"/>
      <c r="N295" s="456"/>
      <c r="O295" s="463"/>
      <c r="P295" s="459"/>
      <c r="Q295" s="451"/>
    </row>
    <row r="296" spans="1:18" ht="12.75" customHeight="1" x14ac:dyDescent="0.25">
      <c r="A296" s="451"/>
      <c r="B296" s="452"/>
      <c r="C296" s="452"/>
      <c r="D296" s="452"/>
      <c r="E296" s="454"/>
      <c r="F296" s="454"/>
      <c r="G296" s="455"/>
      <c r="H296" s="456"/>
      <c r="I296" s="455"/>
      <c r="J296" s="458"/>
      <c r="K296" s="458"/>
      <c r="L296" s="458"/>
      <c r="M296" s="455"/>
      <c r="N296" s="456"/>
      <c r="O296" s="463"/>
      <c r="P296" s="459"/>
      <c r="Q296" s="451"/>
    </row>
    <row r="297" spans="1:18" ht="12.75" customHeight="1" x14ac:dyDescent="0.25">
      <c r="A297" s="451"/>
      <c r="B297" s="460"/>
      <c r="C297" s="452"/>
      <c r="D297" s="452"/>
      <c r="E297" s="454"/>
      <c r="F297" s="454"/>
      <c r="G297" s="455"/>
      <c r="H297" s="456"/>
      <c r="I297" s="455"/>
      <c r="J297" s="458"/>
      <c r="K297" s="458"/>
      <c r="L297" s="458"/>
      <c r="M297" s="455"/>
      <c r="N297" s="456"/>
      <c r="O297" s="463"/>
      <c r="P297" s="459"/>
      <c r="Q297" s="451"/>
    </row>
    <row r="298" spans="1:18" ht="12.75" customHeight="1" x14ac:dyDescent="0.25">
      <c r="A298" s="451"/>
      <c r="B298" s="460"/>
      <c r="C298" s="452"/>
      <c r="D298" s="452"/>
      <c r="E298" s="454"/>
      <c r="F298" s="454"/>
      <c r="G298" s="455"/>
      <c r="H298" s="456"/>
      <c r="I298" s="455"/>
      <c r="J298" s="458"/>
      <c r="K298" s="458"/>
      <c r="L298" s="458"/>
      <c r="M298" s="455"/>
      <c r="N298" s="456"/>
      <c r="O298" s="463"/>
      <c r="P298" s="459"/>
      <c r="Q298" s="451"/>
    </row>
    <row r="299" spans="1:18" ht="12.75" customHeight="1" x14ac:dyDescent="0.25">
      <c r="A299" s="451"/>
      <c r="B299" s="460"/>
      <c r="C299" s="452"/>
      <c r="D299" s="452"/>
      <c r="E299" s="454"/>
      <c r="F299" s="454"/>
      <c r="G299" s="455"/>
      <c r="H299" s="456"/>
      <c r="I299" s="455"/>
      <c r="J299" s="458"/>
      <c r="K299" s="458"/>
      <c r="L299" s="458"/>
      <c r="M299" s="455"/>
      <c r="N299" s="456"/>
      <c r="O299" s="463"/>
      <c r="P299" s="459"/>
      <c r="Q299" s="451"/>
    </row>
    <row r="300" spans="1:18" ht="12.75" customHeight="1" x14ac:dyDescent="0.25">
      <c r="A300" s="451"/>
      <c r="B300" s="460"/>
      <c r="C300" s="452"/>
      <c r="D300" s="452"/>
      <c r="E300" s="454"/>
      <c r="F300" s="454"/>
      <c r="G300" s="455"/>
      <c r="H300" s="456"/>
      <c r="I300" s="455"/>
      <c r="J300" s="458"/>
      <c r="K300" s="458"/>
      <c r="L300" s="458"/>
      <c r="M300" s="455"/>
      <c r="N300" s="456"/>
      <c r="O300" s="463"/>
      <c r="P300" s="459"/>
      <c r="Q300" s="451"/>
    </row>
    <row r="301" spans="1:18" ht="12.75" customHeight="1" x14ac:dyDescent="0.25">
      <c r="A301" s="451"/>
      <c r="B301" s="460"/>
      <c r="C301" s="452"/>
      <c r="D301" s="452"/>
      <c r="E301" s="454"/>
      <c r="F301" s="454"/>
      <c r="G301" s="455"/>
      <c r="H301" s="456"/>
      <c r="I301" s="455"/>
      <c r="J301" s="458"/>
      <c r="K301" s="458"/>
      <c r="L301" s="458"/>
      <c r="M301" s="455"/>
      <c r="N301" s="456"/>
      <c r="O301" s="463"/>
      <c r="P301" s="459"/>
      <c r="Q301" s="451"/>
    </row>
    <row r="302" spans="1:18" ht="12.75" customHeight="1" x14ac:dyDescent="0.25">
      <c r="A302" s="451"/>
      <c r="B302" s="460"/>
      <c r="C302" s="452"/>
      <c r="D302" s="452"/>
      <c r="E302" s="454"/>
      <c r="F302" s="454"/>
      <c r="G302" s="455"/>
      <c r="H302" s="456"/>
      <c r="I302" s="455"/>
      <c r="J302" s="458"/>
      <c r="K302" s="458"/>
      <c r="L302" s="458"/>
      <c r="M302" s="455"/>
      <c r="N302" s="456"/>
      <c r="O302" s="463"/>
      <c r="P302" s="459"/>
      <c r="Q302" s="451"/>
    </row>
    <row r="303" spans="1:18" ht="12.75" customHeight="1" x14ac:dyDescent="0.25">
      <c r="A303" s="451"/>
      <c r="B303" s="460"/>
      <c r="C303" s="452"/>
      <c r="D303" s="452"/>
      <c r="E303" s="454"/>
      <c r="F303" s="454"/>
      <c r="G303" s="455"/>
      <c r="H303" s="456"/>
      <c r="I303" s="455"/>
      <c r="J303" s="458"/>
      <c r="K303" s="458"/>
      <c r="L303" s="458"/>
      <c r="M303" s="455"/>
      <c r="N303" s="456"/>
      <c r="O303" s="463"/>
      <c r="P303" s="459"/>
      <c r="Q303" s="451"/>
    </row>
    <row r="304" spans="1:18" ht="13.2" x14ac:dyDescent="0.25">
      <c r="A304" s="451"/>
      <c r="B304" s="460"/>
      <c r="C304" s="452"/>
      <c r="D304" s="452"/>
      <c r="E304" s="454"/>
      <c r="F304" s="454"/>
      <c r="G304" s="455"/>
      <c r="H304" s="456"/>
      <c r="I304" s="455"/>
      <c r="J304" s="458"/>
      <c r="K304" s="458"/>
      <c r="L304" s="458"/>
      <c r="M304" s="455"/>
      <c r="N304" s="456"/>
      <c r="O304" s="463"/>
      <c r="P304" s="459"/>
      <c r="Q304" s="451"/>
      <c r="R304" s="247"/>
    </row>
    <row r="305" spans="1:18" ht="12.75" customHeight="1" x14ac:dyDescent="0.25">
      <c r="A305" s="451"/>
      <c r="B305" s="460"/>
      <c r="C305" s="452"/>
      <c r="D305" s="452"/>
      <c r="E305" s="454"/>
      <c r="F305" s="454"/>
      <c r="G305" s="455"/>
      <c r="H305" s="456"/>
      <c r="I305" s="455"/>
      <c r="J305" s="458"/>
      <c r="K305" s="458"/>
      <c r="L305" s="458"/>
      <c r="M305" s="455"/>
      <c r="N305" s="456"/>
      <c r="O305" s="463"/>
      <c r="P305" s="459"/>
      <c r="Q305" s="451"/>
    </row>
    <row r="306" spans="1:18" ht="12.75" customHeight="1" x14ac:dyDescent="0.25">
      <c r="A306" s="451"/>
      <c r="B306" s="460"/>
      <c r="C306" s="452"/>
      <c r="D306" s="452"/>
      <c r="E306" s="454"/>
      <c r="F306" s="454"/>
      <c r="G306" s="455"/>
      <c r="H306" s="456"/>
      <c r="I306" s="455"/>
      <c r="J306" s="458"/>
      <c r="K306" s="458"/>
      <c r="L306" s="458"/>
      <c r="M306" s="455"/>
      <c r="N306" s="456"/>
      <c r="O306" s="463"/>
      <c r="P306" s="459"/>
      <c r="Q306" s="451"/>
    </row>
    <row r="307" spans="1:18" ht="12.75" customHeight="1" x14ac:dyDescent="0.25">
      <c r="A307" s="451"/>
      <c r="B307" s="460"/>
      <c r="C307" s="452"/>
      <c r="D307" s="452"/>
      <c r="E307" s="454"/>
      <c r="F307" s="454"/>
      <c r="G307" s="455"/>
      <c r="H307" s="456"/>
      <c r="I307" s="455"/>
      <c r="J307" s="458"/>
      <c r="K307" s="458"/>
      <c r="L307" s="458"/>
      <c r="M307" s="455"/>
      <c r="N307" s="456"/>
      <c r="O307" s="463"/>
      <c r="P307" s="459"/>
      <c r="Q307" s="451"/>
    </row>
    <row r="308" spans="1:18" ht="12.75" customHeight="1" x14ac:dyDescent="0.25">
      <c r="A308" s="451"/>
      <c r="B308" s="460"/>
      <c r="C308" s="452"/>
      <c r="D308" s="452"/>
      <c r="E308" s="454"/>
      <c r="F308" s="454"/>
      <c r="G308" s="455"/>
      <c r="H308" s="456"/>
      <c r="I308" s="455"/>
      <c r="J308" s="458"/>
      <c r="K308" s="458"/>
      <c r="L308" s="458"/>
      <c r="M308" s="455"/>
      <c r="N308" s="456"/>
      <c r="O308" s="463"/>
      <c r="P308" s="459"/>
      <c r="Q308" s="451"/>
    </row>
    <row r="309" spans="1:18" ht="12.75" customHeight="1" x14ac:dyDescent="0.25">
      <c r="A309" s="451"/>
      <c r="B309" s="460"/>
      <c r="C309" s="452"/>
      <c r="D309" s="452"/>
      <c r="E309" s="454"/>
      <c r="F309" s="454"/>
      <c r="G309" s="455"/>
      <c r="H309" s="456"/>
      <c r="I309" s="455"/>
      <c r="J309" s="458"/>
      <c r="K309" s="458"/>
      <c r="L309" s="458"/>
      <c r="M309" s="455"/>
      <c r="N309" s="456"/>
      <c r="O309" s="463"/>
      <c r="P309" s="459"/>
      <c r="Q309" s="451"/>
    </row>
    <row r="310" spans="1:18" ht="12.75" customHeight="1" x14ac:dyDescent="0.25">
      <c r="A310" s="451"/>
      <c r="B310" s="460"/>
      <c r="C310" s="452"/>
      <c r="D310" s="452"/>
      <c r="E310" s="454"/>
      <c r="F310" s="454"/>
      <c r="G310" s="455"/>
      <c r="H310" s="456"/>
      <c r="I310" s="455"/>
      <c r="J310" s="458"/>
      <c r="K310" s="458"/>
      <c r="L310" s="458"/>
      <c r="M310" s="455"/>
      <c r="N310" s="456"/>
      <c r="O310" s="463"/>
      <c r="P310" s="459"/>
      <c r="Q310" s="451"/>
    </row>
    <row r="311" spans="1:18" ht="12.75" customHeight="1" x14ac:dyDescent="0.25">
      <c r="A311" s="451"/>
      <c r="B311" s="460"/>
      <c r="C311" s="452"/>
      <c r="D311" s="452"/>
      <c r="E311" s="454"/>
      <c r="F311" s="454"/>
      <c r="G311" s="455"/>
      <c r="H311" s="456"/>
      <c r="I311" s="455"/>
      <c r="J311" s="458"/>
      <c r="K311" s="458"/>
      <c r="L311" s="458"/>
      <c r="M311" s="455"/>
      <c r="N311" s="456"/>
      <c r="O311" s="463"/>
      <c r="P311" s="459"/>
      <c r="Q311" s="451"/>
    </row>
    <row r="312" spans="1:18" ht="13.2" x14ac:dyDescent="0.25">
      <c r="A312" s="451"/>
      <c r="B312" s="460"/>
      <c r="C312" s="452"/>
      <c r="D312" s="452"/>
      <c r="E312" s="454"/>
      <c r="F312" s="454"/>
      <c r="G312" s="455"/>
      <c r="H312" s="456"/>
      <c r="I312" s="455"/>
      <c r="J312" s="464"/>
      <c r="K312" s="464"/>
      <c r="L312" s="464"/>
      <c r="M312" s="455"/>
      <c r="N312" s="456"/>
      <c r="O312" s="463"/>
      <c r="P312" s="459"/>
      <c r="Q312" s="451"/>
      <c r="R312" s="247"/>
    </row>
    <row r="313" spans="1:18" ht="12.75" customHeight="1" x14ac:dyDescent="0.25">
      <c r="A313" s="451"/>
      <c r="B313" s="460"/>
      <c r="C313" s="452"/>
      <c r="D313" s="452"/>
      <c r="E313" s="454"/>
      <c r="F313" s="454"/>
      <c r="G313" s="455"/>
      <c r="H313" s="456"/>
      <c r="I313" s="455"/>
      <c r="J313" s="464"/>
      <c r="K313" s="464"/>
      <c r="L313" s="464"/>
      <c r="M313" s="455"/>
      <c r="N313" s="456"/>
      <c r="O313" s="463"/>
      <c r="P313" s="459"/>
      <c r="Q313" s="451"/>
    </row>
    <row r="314" spans="1:18" ht="12.75" customHeight="1" x14ac:dyDescent="0.25">
      <c r="A314" s="451"/>
      <c r="B314" s="460"/>
      <c r="C314" s="452"/>
      <c r="D314" s="452"/>
      <c r="E314" s="454"/>
      <c r="F314" s="454"/>
      <c r="G314" s="455"/>
      <c r="H314" s="456"/>
      <c r="I314" s="455"/>
      <c r="J314" s="464"/>
      <c r="K314" s="464"/>
      <c r="L314" s="464"/>
      <c r="M314" s="455"/>
      <c r="N314" s="456"/>
      <c r="O314" s="463"/>
      <c r="P314" s="459"/>
      <c r="Q314" s="451"/>
    </row>
    <row r="315" spans="1:18" ht="12.75" customHeight="1" x14ac:dyDescent="0.25">
      <c r="A315" s="451"/>
      <c r="B315" s="460"/>
      <c r="C315" s="452"/>
      <c r="D315" s="452"/>
      <c r="E315" s="454"/>
      <c r="F315" s="454"/>
      <c r="G315" s="455"/>
      <c r="H315" s="456"/>
      <c r="I315" s="455"/>
      <c r="J315" s="464"/>
      <c r="K315" s="464"/>
      <c r="L315" s="464"/>
      <c r="M315" s="455"/>
      <c r="N315" s="456"/>
      <c r="O315" s="463"/>
      <c r="P315" s="459"/>
      <c r="Q315" s="451"/>
    </row>
    <row r="316" spans="1:18" ht="12.75" customHeight="1" x14ac:dyDescent="0.25">
      <c r="A316" s="451"/>
      <c r="B316" s="460"/>
      <c r="C316" s="452"/>
      <c r="D316" s="452"/>
      <c r="E316" s="454"/>
      <c r="F316" s="454"/>
      <c r="G316" s="455"/>
      <c r="H316" s="456"/>
      <c r="I316" s="455"/>
      <c r="J316" s="464"/>
      <c r="K316" s="464"/>
      <c r="L316" s="464"/>
      <c r="M316" s="455"/>
      <c r="N316" s="456"/>
      <c r="O316" s="463"/>
      <c r="P316" s="459"/>
      <c r="Q316" s="451"/>
    </row>
    <row r="317" spans="1:18" ht="12.75" customHeight="1" x14ac:dyDescent="0.25">
      <c r="A317" s="451"/>
      <c r="B317" s="460"/>
      <c r="C317" s="452"/>
      <c r="D317" s="452"/>
      <c r="E317" s="454"/>
      <c r="F317" s="454"/>
      <c r="G317" s="455"/>
      <c r="H317" s="456"/>
      <c r="I317" s="455"/>
      <c r="J317" s="458"/>
      <c r="K317" s="458"/>
      <c r="L317" s="458"/>
      <c r="M317" s="455"/>
      <c r="N317" s="456"/>
      <c r="O317" s="463"/>
      <c r="P317" s="463"/>
      <c r="Q317" s="451"/>
    </row>
    <row r="318" spans="1:18" ht="12.75" customHeight="1" x14ac:dyDescent="0.25">
      <c r="A318" s="451"/>
      <c r="B318" s="460"/>
      <c r="C318" s="452"/>
      <c r="D318" s="452"/>
      <c r="E318" s="454"/>
      <c r="F318" s="454"/>
      <c r="G318" s="455"/>
      <c r="H318" s="456"/>
      <c r="I318" s="455"/>
      <c r="J318" s="464"/>
      <c r="K318" s="464"/>
      <c r="L318" s="464"/>
      <c r="M318" s="455"/>
      <c r="N318" s="456"/>
      <c r="O318" s="463"/>
      <c r="P318" s="463"/>
      <c r="Q318" s="451"/>
    </row>
    <row r="319" spans="1:18" ht="12.75" customHeight="1" x14ac:dyDescent="0.25">
      <c r="A319" s="451"/>
      <c r="B319" s="460"/>
      <c r="C319" s="452"/>
      <c r="D319" s="452"/>
      <c r="E319" s="454"/>
      <c r="F319" s="454"/>
      <c r="G319" s="455"/>
      <c r="H319" s="456"/>
      <c r="I319" s="455"/>
      <c r="J319" s="464"/>
      <c r="K319" s="464"/>
      <c r="L319" s="464"/>
      <c r="M319" s="455"/>
      <c r="N319" s="456"/>
      <c r="O319" s="463"/>
      <c r="P319" s="463"/>
      <c r="Q319" s="451"/>
    </row>
    <row r="320" spans="1:18" ht="12.75" customHeight="1" x14ac:dyDescent="0.25">
      <c r="A320" s="451"/>
      <c r="B320" s="460"/>
      <c r="C320" s="452"/>
      <c r="D320" s="452"/>
      <c r="E320" s="454"/>
      <c r="F320" s="454"/>
      <c r="G320" s="455"/>
      <c r="H320" s="456"/>
      <c r="I320" s="455"/>
      <c r="J320" s="464"/>
      <c r="K320" s="464"/>
      <c r="L320" s="464"/>
      <c r="M320" s="455"/>
      <c r="N320" s="456"/>
      <c r="O320" s="463"/>
      <c r="P320" s="463"/>
      <c r="Q320" s="451"/>
    </row>
    <row r="321" spans="1:18" ht="13.2" x14ac:dyDescent="0.25">
      <c r="A321" s="451"/>
      <c r="B321" s="460"/>
      <c r="C321" s="452"/>
      <c r="D321" s="452"/>
      <c r="E321" s="454"/>
      <c r="F321" s="454"/>
      <c r="G321" s="455"/>
      <c r="H321" s="456"/>
      <c r="I321" s="455"/>
      <c r="J321" s="464"/>
      <c r="K321" s="464"/>
      <c r="L321" s="464"/>
      <c r="M321" s="455"/>
      <c r="N321" s="456"/>
      <c r="O321" s="463"/>
      <c r="P321" s="459"/>
      <c r="Q321" s="451"/>
      <c r="R321" s="247"/>
    </row>
    <row r="322" spans="1:18" ht="12.75" customHeight="1" x14ac:dyDescent="0.25">
      <c r="A322" s="451"/>
      <c r="B322" s="460"/>
      <c r="C322" s="452"/>
      <c r="D322" s="452"/>
      <c r="E322" s="454"/>
      <c r="F322" s="454"/>
      <c r="G322" s="455"/>
      <c r="H322" s="456"/>
      <c r="I322" s="455"/>
      <c r="J322" s="464"/>
      <c r="K322" s="464"/>
      <c r="L322" s="464"/>
      <c r="M322" s="455"/>
      <c r="N322" s="456"/>
      <c r="O322" s="463"/>
      <c r="P322" s="463"/>
      <c r="Q322" s="451"/>
    </row>
    <row r="323" spans="1:18" ht="12.75" customHeight="1" x14ac:dyDescent="0.25">
      <c r="A323" s="451"/>
      <c r="B323" s="460"/>
      <c r="C323" s="452"/>
      <c r="D323" s="452"/>
      <c r="E323" s="454"/>
      <c r="F323" s="454"/>
      <c r="G323" s="455"/>
      <c r="H323" s="456"/>
      <c r="I323" s="455"/>
      <c r="J323" s="464"/>
      <c r="K323" s="464"/>
      <c r="L323" s="464"/>
      <c r="M323" s="455"/>
      <c r="N323" s="456"/>
      <c r="O323" s="463"/>
      <c r="P323" s="463"/>
      <c r="Q323" s="451"/>
    </row>
    <row r="324" spans="1:18" ht="12.75" customHeight="1" x14ac:dyDescent="0.25">
      <c r="A324" s="451"/>
      <c r="B324" s="460"/>
      <c r="C324" s="452"/>
      <c r="D324" s="452"/>
      <c r="E324" s="454"/>
      <c r="F324" s="454"/>
      <c r="G324" s="455"/>
      <c r="H324" s="456"/>
      <c r="I324" s="455"/>
      <c r="J324" s="458"/>
      <c r="K324" s="458"/>
      <c r="L324" s="458"/>
      <c r="M324" s="455"/>
      <c r="N324" s="456"/>
      <c r="O324" s="463"/>
      <c r="P324" s="463"/>
      <c r="Q324" s="451"/>
    </row>
    <row r="325" spans="1:18" ht="13.2" x14ac:dyDescent="0.25">
      <c r="A325" s="451"/>
      <c r="B325" s="460"/>
      <c r="C325" s="452"/>
      <c r="D325" s="452"/>
      <c r="E325" s="454"/>
      <c r="F325" s="454"/>
      <c r="G325" s="455"/>
      <c r="H325" s="456"/>
      <c r="I325" s="455"/>
      <c r="J325" s="457"/>
      <c r="K325" s="457"/>
      <c r="L325" s="451"/>
      <c r="M325" s="455"/>
      <c r="N325" s="456"/>
      <c r="O325" s="463"/>
      <c r="P325" s="463"/>
      <c r="Q325" s="451"/>
      <c r="R325" s="247"/>
    </row>
    <row r="326" spans="1:18" ht="12.75" customHeight="1" x14ac:dyDescent="0.25">
      <c r="A326" s="451"/>
      <c r="B326" s="460"/>
      <c r="C326" s="452"/>
      <c r="D326" s="452"/>
      <c r="E326" s="454"/>
      <c r="F326" s="454"/>
      <c r="G326" s="455"/>
      <c r="H326" s="456"/>
      <c r="I326" s="455"/>
      <c r="J326" s="462"/>
      <c r="K326" s="458"/>
      <c r="L326" s="458"/>
      <c r="M326" s="455"/>
      <c r="N326" s="456"/>
      <c r="O326" s="463"/>
      <c r="P326" s="463"/>
      <c r="Q326" s="451"/>
    </row>
    <row r="327" spans="1:18" ht="12.75" customHeight="1" x14ac:dyDescent="0.25">
      <c r="A327" s="451"/>
      <c r="B327" s="460"/>
      <c r="C327" s="452"/>
      <c r="D327" s="452"/>
      <c r="E327" s="454"/>
      <c r="F327" s="454"/>
      <c r="G327" s="455"/>
      <c r="H327" s="456"/>
      <c r="I327" s="455"/>
      <c r="J327" s="458"/>
      <c r="K327" s="458"/>
      <c r="L327" s="458"/>
      <c r="M327" s="455"/>
      <c r="N327" s="456"/>
      <c r="O327" s="463"/>
      <c r="P327" s="463"/>
      <c r="Q327" s="451"/>
    </row>
    <row r="328" spans="1:18" ht="12.75" customHeight="1" x14ac:dyDescent="0.25">
      <c r="A328" s="451"/>
      <c r="B328" s="460"/>
      <c r="C328" s="452"/>
      <c r="D328" s="452"/>
      <c r="E328" s="454"/>
      <c r="F328" s="454"/>
      <c r="G328" s="455"/>
      <c r="H328" s="456"/>
      <c r="I328" s="455"/>
      <c r="J328" s="458"/>
      <c r="K328" s="458"/>
      <c r="L328" s="458"/>
      <c r="M328" s="455"/>
      <c r="N328" s="456"/>
      <c r="O328" s="463"/>
      <c r="P328" s="463"/>
      <c r="Q328" s="451"/>
    </row>
    <row r="329" spans="1:18" ht="12.75" customHeight="1" x14ac:dyDescent="0.25">
      <c r="A329" s="451"/>
      <c r="B329" s="460"/>
      <c r="C329" s="452"/>
      <c r="D329" s="452"/>
      <c r="E329" s="454"/>
      <c r="F329" s="454"/>
      <c r="G329" s="455"/>
      <c r="H329" s="456"/>
      <c r="I329" s="455"/>
      <c r="J329" s="458"/>
      <c r="K329" s="458"/>
      <c r="L329" s="458"/>
      <c r="M329" s="455"/>
      <c r="N329" s="456"/>
      <c r="O329" s="463"/>
      <c r="P329" s="463"/>
      <c r="Q329" s="451"/>
    </row>
    <row r="330" spans="1:18" ht="12.75" customHeight="1" x14ac:dyDescent="0.25">
      <c r="A330" s="451"/>
      <c r="B330" s="460"/>
      <c r="C330" s="452"/>
      <c r="D330" s="452"/>
      <c r="E330" s="454"/>
      <c r="F330" s="454"/>
      <c r="G330" s="455"/>
      <c r="H330" s="456"/>
      <c r="I330" s="455"/>
      <c r="J330" s="458"/>
      <c r="K330" s="458"/>
      <c r="L330" s="458"/>
      <c r="M330" s="455"/>
      <c r="N330" s="456"/>
      <c r="O330" s="463"/>
      <c r="P330" s="463"/>
      <c r="Q330" s="451"/>
    </row>
    <row r="331" spans="1:18" ht="12.75" customHeight="1" x14ac:dyDescent="0.25">
      <c r="A331" s="451"/>
      <c r="B331" s="460"/>
      <c r="C331" s="452"/>
      <c r="D331" s="452"/>
      <c r="E331" s="454"/>
      <c r="F331" s="454"/>
      <c r="G331" s="455"/>
      <c r="H331" s="456"/>
      <c r="I331" s="455"/>
      <c r="J331" s="458"/>
      <c r="K331" s="458"/>
      <c r="L331" s="458"/>
      <c r="M331" s="455"/>
      <c r="N331" s="456"/>
      <c r="O331" s="463"/>
      <c r="P331" s="463"/>
      <c r="Q331" s="451"/>
    </row>
    <row r="332" spans="1:18" ht="12.75" customHeight="1" x14ac:dyDescent="0.25">
      <c r="A332" s="451"/>
      <c r="B332" s="460"/>
      <c r="C332" s="452"/>
      <c r="D332" s="452"/>
      <c r="E332" s="454"/>
      <c r="F332" s="454"/>
      <c r="G332" s="455"/>
      <c r="H332" s="456"/>
      <c r="I332" s="455"/>
      <c r="J332" s="458"/>
      <c r="K332" s="458"/>
      <c r="L332" s="458"/>
      <c r="M332" s="455"/>
      <c r="N332" s="456"/>
      <c r="O332" s="465"/>
      <c r="P332" s="463"/>
      <c r="Q332" s="451"/>
    </row>
    <row r="333" spans="1:18" ht="12.75" customHeight="1" x14ac:dyDescent="0.25">
      <c r="A333" s="451"/>
      <c r="B333" s="460"/>
      <c r="C333" s="460"/>
      <c r="D333" s="452"/>
      <c r="E333" s="454"/>
      <c r="F333" s="454"/>
      <c r="G333" s="455"/>
      <c r="H333" s="456"/>
      <c r="I333" s="455"/>
      <c r="J333" s="458"/>
      <c r="K333" s="458"/>
      <c r="L333" s="458"/>
      <c r="M333" s="455"/>
      <c r="N333" s="456"/>
      <c r="O333" s="465"/>
      <c r="P333" s="463"/>
      <c r="Q333" s="451"/>
    </row>
    <row r="334" spans="1:18" ht="12.75" customHeight="1" x14ac:dyDescent="0.25">
      <c r="A334" s="451"/>
      <c r="B334" s="460"/>
      <c r="C334" s="460"/>
      <c r="D334" s="452"/>
      <c r="E334" s="454"/>
      <c r="F334" s="454"/>
      <c r="G334" s="455"/>
      <c r="H334" s="456"/>
      <c r="I334" s="455"/>
      <c r="J334" s="458"/>
      <c r="K334" s="458"/>
      <c r="L334" s="458"/>
      <c r="M334" s="455"/>
      <c r="N334" s="456"/>
      <c r="O334" s="465"/>
      <c r="P334" s="463"/>
      <c r="Q334" s="451"/>
    </row>
    <row r="335" spans="1:18" ht="12.75" customHeight="1" x14ac:dyDescent="0.25">
      <c r="A335" s="451"/>
      <c r="B335" s="460"/>
      <c r="C335" s="460"/>
      <c r="D335" s="452"/>
      <c r="E335" s="454"/>
      <c r="F335" s="454"/>
      <c r="G335" s="455"/>
      <c r="H335" s="456"/>
      <c r="I335" s="455"/>
      <c r="J335" s="458"/>
      <c r="K335" s="458"/>
      <c r="L335" s="458"/>
      <c r="M335" s="455"/>
      <c r="N335" s="456"/>
      <c r="O335" s="465"/>
      <c r="P335" s="463"/>
      <c r="Q335" s="451"/>
    </row>
    <row r="336" spans="1:18" ht="12.75" customHeight="1" x14ac:dyDescent="0.25">
      <c r="A336" s="451"/>
      <c r="B336" s="460"/>
      <c r="C336" s="460"/>
      <c r="D336" s="452"/>
      <c r="E336" s="454"/>
      <c r="F336" s="454"/>
      <c r="G336" s="455"/>
      <c r="H336" s="456"/>
      <c r="I336" s="455"/>
      <c r="J336" s="458"/>
      <c r="K336" s="458"/>
      <c r="L336" s="458"/>
      <c r="M336" s="455"/>
      <c r="N336" s="456"/>
      <c r="O336" s="465"/>
      <c r="P336" s="463"/>
      <c r="Q336" s="451"/>
    </row>
    <row r="337" spans="1:18" ht="12.75" customHeight="1" x14ac:dyDescent="0.25">
      <c r="A337" s="451"/>
      <c r="B337" s="460"/>
      <c r="C337" s="452"/>
      <c r="D337" s="452"/>
      <c r="E337" s="454"/>
      <c r="F337" s="454"/>
      <c r="G337" s="455"/>
      <c r="H337" s="456"/>
      <c r="I337" s="455"/>
      <c r="J337" s="458"/>
      <c r="K337" s="458"/>
      <c r="L337" s="458"/>
      <c r="M337" s="455"/>
      <c r="N337" s="456"/>
      <c r="O337" s="463"/>
      <c r="P337" s="463"/>
      <c r="Q337" s="451"/>
    </row>
    <row r="338" spans="1:18" ht="13.2" x14ac:dyDescent="0.25">
      <c r="A338" s="451"/>
      <c r="B338" s="460"/>
      <c r="C338" s="452"/>
      <c r="D338" s="452"/>
      <c r="E338" s="454"/>
      <c r="F338" s="454"/>
      <c r="G338" s="455"/>
      <c r="H338" s="456"/>
      <c r="I338" s="455"/>
      <c r="J338" s="458"/>
      <c r="K338" s="458"/>
      <c r="L338" s="458"/>
      <c r="M338" s="455"/>
      <c r="N338" s="456"/>
      <c r="O338" s="463"/>
      <c r="P338" s="463"/>
      <c r="Q338" s="451"/>
      <c r="R338" s="247"/>
    </row>
    <row r="339" spans="1:18" ht="12.75" customHeight="1" x14ac:dyDescent="0.25">
      <c r="A339" s="451"/>
      <c r="B339" s="460"/>
      <c r="C339" s="460"/>
      <c r="D339" s="452"/>
      <c r="E339" s="454"/>
      <c r="F339" s="454"/>
      <c r="G339" s="455"/>
      <c r="H339" s="456"/>
      <c r="I339" s="455"/>
      <c r="J339" s="458"/>
      <c r="K339" s="458"/>
      <c r="L339" s="458"/>
      <c r="M339" s="455"/>
      <c r="N339" s="456"/>
      <c r="O339" s="463"/>
      <c r="P339" s="463"/>
      <c r="Q339" s="451"/>
    </row>
    <row r="340" spans="1:18" ht="13.2" x14ac:dyDescent="0.25">
      <c r="A340" s="451"/>
      <c r="B340" s="460"/>
      <c r="C340" s="460"/>
      <c r="D340" s="460"/>
      <c r="E340" s="454"/>
      <c r="F340" s="454"/>
      <c r="G340" s="455"/>
      <c r="H340" s="456"/>
      <c r="I340" s="455"/>
      <c r="J340" s="458"/>
      <c r="K340" s="458"/>
      <c r="L340" s="458"/>
      <c r="M340" s="455"/>
      <c r="N340" s="456"/>
      <c r="O340" s="459"/>
      <c r="P340" s="463"/>
      <c r="Q340" s="451"/>
      <c r="R340" s="247"/>
    </row>
    <row r="341" spans="1:18" ht="12.75" customHeight="1" x14ac:dyDescent="0.25">
      <c r="A341" s="451"/>
      <c r="B341" s="460"/>
      <c r="C341" s="460"/>
      <c r="D341" s="452"/>
      <c r="E341" s="454"/>
      <c r="F341" s="454"/>
      <c r="G341" s="455"/>
      <c r="H341" s="456"/>
      <c r="I341" s="455"/>
      <c r="J341" s="458"/>
      <c r="K341" s="458"/>
      <c r="L341" s="458"/>
      <c r="M341" s="455"/>
      <c r="N341" s="456"/>
      <c r="O341" s="459"/>
      <c r="P341" s="463"/>
      <c r="Q341" s="451"/>
    </row>
    <row r="342" spans="1:18" ht="13.2" x14ac:dyDescent="0.25">
      <c r="A342" s="451"/>
      <c r="B342" s="460"/>
      <c r="C342" s="460"/>
      <c r="D342" s="452"/>
      <c r="E342" s="454"/>
      <c r="F342" s="454"/>
      <c r="G342" s="455"/>
      <c r="H342" s="456"/>
      <c r="I342" s="455"/>
      <c r="J342" s="457"/>
      <c r="K342" s="457"/>
      <c r="L342" s="451"/>
      <c r="M342" s="455"/>
      <c r="N342" s="456"/>
      <c r="O342" s="459"/>
      <c r="P342" s="463"/>
      <c r="Q342" s="451"/>
      <c r="R342" s="247"/>
    </row>
    <row r="343" spans="1:18" ht="12.75" customHeight="1" x14ac:dyDescent="0.25">
      <c r="A343" s="451"/>
      <c r="B343" s="460"/>
      <c r="C343" s="452"/>
      <c r="D343" s="452"/>
      <c r="E343" s="454"/>
      <c r="F343" s="454"/>
      <c r="G343" s="455"/>
      <c r="H343" s="456"/>
      <c r="I343" s="455"/>
      <c r="J343" s="458"/>
      <c r="K343" s="458"/>
      <c r="L343" s="458"/>
      <c r="M343" s="455"/>
      <c r="N343" s="456"/>
      <c r="O343" s="463"/>
      <c r="P343" s="463"/>
      <c r="Q343" s="451"/>
    </row>
    <row r="344" spans="1:18" ht="12.75" customHeight="1" x14ac:dyDescent="0.25">
      <c r="A344" s="451"/>
      <c r="B344" s="460"/>
      <c r="C344" s="452"/>
      <c r="D344" s="452"/>
      <c r="E344" s="454"/>
      <c r="F344" s="454"/>
      <c r="G344" s="455"/>
      <c r="H344" s="456"/>
      <c r="I344" s="455"/>
      <c r="J344" s="458"/>
      <c r="K344" s="458"/>
      <c r="L344" s="458"/>
      <c r="M344" s="455"/>
      <c r="N344" s="456"/>
      <c r="O344" s="463"/>
      <c r="P344" s="463"/>
      <c r="Q344" s="451"/>
    </row>
    <row r="345" spans="1:18" ht="12.75" customHeight="1" x14ac:dyDescent="0.25">
      <c r="A345" s="451"/>
      <c r="B345" s="460"/>
      <c r="C345" s="452"/>
      <c r="D345" s="452"/>
      <c r="E345" s="454"/>
      <c r="F345" s="454"/>
      <c r="G345" s="455"/>
      <c r="H345" s="456"/>
      <c r="I345" s="455"/>
      <c r="J345" s="458"/>
      <c r="K345" s="458"/>
      <c r="L345" s="458"/>
      <c r="M345" s="455"/>
      <c r="N345" s="456"/>
      <c r="O345" s="463"/>
      <c r="P345" s="463"/>
      <c r="Q345" s="451"/>
    </row>
    <row r="346" spans="1:18" ht="13.2" x14ac:dyDescent="0.25">
      <c r="A346" s="451"/>
      <c r="B346" s="460"/>
      <c r="C346" s="460"/>
      <c r="D346" s="452"/>
      <c r="E346" s="454"/>
      <c r="F346" s="454"/>
      <c r="G346" s="455"/>
      <c r="H346" s="456"/>
      <c r="I346" s="455"/>
      <c r="J346" s="458"/>
      <c r="K346" s="458"/>
      <c r="L346" s="458"/>
      <c r="M346" s="455"/>
      <c r="N346" s="456"/>
      <c r="O346" s="459"/>
      <c r="P346" s="463"/>
      <c r="Q346" s="451"/>
      <c r="R346" s="247"/>
    </row>
    <row r="347" spans="1:18" ht="12.75" customHeight="1" x14ac:dyDescent="0.25">
      <c r="A347" s="451"/>
      <c r="B347" s="460"/>
      <c r="C347" s="452"/>
      <c r="D347" s="452"/>
      <c r="E347" s="454"/>
      <c r="F347" s="454"/>
      <c r="G347" s="455"/>
      <c r="H347" s="456"/>
      <c r="I347" s="455"/>
      <c r="J347" s="458"/>
      <c r="K347" s="458"/>
      <c r="L347" s="458"/>
      <c r="M347" s="455"/>
      <c r="N347" s="456"/>
      <c r="O347" s="459"/>
      <c r="P347" s="463"/>
      <c r="Q347" s="451"/>
    </row>
    <row r="348" spans="1:18" ht="12.75" customHeight="1" x14ac:dyDescent="0.25">
      <c r="A348" s="451"/>
      <c r="B348" s="460"/>
      <c r="C348" s="452"/>
      <c r="D348" s="452"/>
      <c r="E348" s="454"/>
      <c r="F348" s="454"/>
      <c r="G348" s="455"/>
      <c r="H348" s="456"/>
      <c r="I348" s="455"/>
      <c r="J348" s="458"/>
      <c r="K348" s="458"/>
      <c r="L348" s="458"/>
      <c r="M348" s="455"/>
      <c r="N348" s="456"/>
      <c r="O348" s="459"/>
      <c r="P348" s="463"/>
      <c r="Q348" s="451"/>
    </row>
    <row r="349" spans="1:18" ht="12.75" customHeight="1" x14ac:dyDescent="0.25">
      <c r="A349" s="451"/>
      <c r="B349" s="460"/>
      <c r="C349" s="452"/>
      <c r="D349" s="452"/>
      <c r="E349" s="454"/>
      <c r="F349" s="454"/>
      <c r="G349" s="455"/>
      <c r="H349" s="456"/>
      <c r="I349" s="455"/>
      <c r="J349" s="458"/>
      <c r="K349" s="458"/>
      <c r="L349" s="458"/>
      <c r="M349" s="455"/>
      <c r="N349" s="456"/>
      <c r="O349" s="463"/>
      <c r="P349" s="463"/>
      <c r="Q349" s="451"/>
    </row>
    <row r="350" spans="1:18" ht="12.75" customHeight="1" x14ac:dyDescent="0.25">
      <c r="A350" s="451"/>
      <c r="B350" s="460"/>
      <c r="C350" s="452"/>
      <c r="D350" s="452"/>
      <c r="E350" s="454"/>
      <c r="F350" s="454"/>
      <c r="G350" s="455"/>
      <c r="H350" s="456"/>
      <c r="I350" s="455"/>
      <c r="J350" s="458"/>
      <c r="K350" s="458"/>
      <c r="L350" s="458"/>
      <c r="M350" s="455"/>
      <c r="N350" s="456"/>
      <c r="O350" s="463"/>
      <c r="P350" s="463"/>
      <c r="Q350" s="451"/>
    </row>
    <row r="351" spans="1:18" ht="13.2" x14ac:dyDescent="0.25">
      <c r="A351" s="451"/>
      <c r="B351" s="460"/>
      <c r="C351" s="460"/>
      <c r="D351" s="452"/>
      <c r="E351" s="454"/>
      <c r="F351" s="454"/>
      <c r="G351" s="455"/>
      <c r="H351" s="456"/>
      <c r="I351" s="455"/>
      <c r="J351" s="457"/>
      <c r="K351" s="457"/>
      <c r="L351" s="451"/>
      <c r="M351" s="455"/>
      <c r="N351" s="456"/>
      <c r="O351" s="459"/>
      <c r="P351" s="459"/>
      <c r="Q351" s="451"/>
      <c r="R351" s="247"/>
    </row>
    <row r="352" spans="1:18" ht="12.75" customHeight="1" x14ac:dyDescent="0.25">
      <c r="A352" s="451"/>
      <c r="B352" s="460"/>
      <c r="C352" s="452"/>
      <c r="D352" s="452"/>
      <c r="E352" s="454"/>
      <c r="F352" s="454"/>
      <c r="G352" s="455"/>
      <c r="H352" s="456"/>
      <c r="I352" s="455"/>
      <c r="J352" s="462"/>
      <c r="K352" s="458"/>
      <c r="L352" s="458"/>
      <c r="M352" s="455"/>
      <c r="N352" s="456"/>
      <c r="O352" s="459"/>
      <c r="P352" s="463"/>
      <c r="Q352" s="451"/>
    </row>
    <row r="353" spans="1:18" ht="12.75" customHeight="1" x14ac:dyDescent="0.25">
      <c r="A353" s="451"/>
      <c r="B353" s="460"/>
      <c r="C353" s="452"/>
      <c r="D353" s="452"/>
      <c r="E353" s="454"/>
      <c r="F353" s="454"/>
      <c r="G353" s="455"/>
      <c r="H353" s="456"/>
      <c r="I353" s="455"/>
      <c r="J353" s="458"/>
      <c r="K353" s="458"/>
      <c r="L353" s="458"/>
      <c r="M353" s="455"/>
      <c r="N353" s="456"/>
      <c r="O353" s="459"/>
      <c r="P353" s="463"/>
      <c r="Q353" s="451"/>
    </row>
    <row r="354" spans="1:18" ht="12.75" customHeight="1" x14ac:dyDescent="0.25">
      <c r="A354" s="451"/>
      <c r="B354" s="460"/>
      <c r="C354" s="452"/>
      <c r="D354" s="452"/>
      <c r="E354" s="454"/>
      <c r="F354" s="454"/>
      <c r="G354" s="455"/>
      <c r="H354" s="456"/>
      <c r="I354" s="455"/>
      <c r="J354" s="458"/>
      <c r="K354" s="458"/>
      <c r="L354" s="458"/>
      <c r="M354" s="455"/>
      <c r="N354" s="456"/>
      <c r="O354" s="459"/>
      <c r="P354" s="463"/>
      <c r="Q354" s="451"/>
    </row>
    <row r="355" spans="1:18" ht="12.75" customHeight="1" x14ac:dyDescent="0.25">
      <c r="A355" s="451"/>
      <c r="B355" s="460"/>
      <c r="C355" s="452"/>
      <c r="D355" s="452"/>
      <c r="E355" s="454"/>
      <c r="F355" s="454"/>
      <c r="G355" s="455"/>
      <c r="H355" s="456"/>
      <c r="I355" s="455"/>
      <c r="J355" s="458"/>
      <c r="K355" s="458"/>
      <c r="L355" s="458"/>
      <c r="M355" s="455"/>
      <c r="N355" s="456"/>
      <c r="O355" s="459"/>
      <c r="P355" s="463"/>
      <c r="Q355" s="451"/>
    </row>
    <row r="356" spans="1:18" ht="12.75" customHeight="1" x14ac:dyDescent="0.25">
      <c r="A356" s="451"/>
      <c r="B356" s="460"/>
      <c r="C356" s="452"/>
      <c r="D356" s="452"/>
      <c r="E356" s="454"/>
      <c r="F356" s="454"/>
      <c r="G356" s="455"/>
      <c r="H356" s="456"/>
      <c r="I356" s="455"/>
      <c r="J356" s="458"/>
      <c r="K356" s="458"/>
      <c r="L356" s="458"/>
      <c r="M356" s="455"/>
      <c r="N356" s="456"/>
      <c r="O356" s="459"/>
      <c r="P356" s="463"/>
      <c r="Q356" s="451"/>
    </row>
    <row r="357" spans="1:18" ht="12.75" customHeight="1" x14ac:dyDescent="0.25">
      <c r="A357" s="451"/>
      <c r="B357" s="460"/>
      <c r="C357" s="452"/>
      <c r="D357" s="452"/>
      <c r="E357" s="454"/>
      <c r="F357" s="454"/>
      <c r="G357" s="455"/>
      <c r="H357" s="456"/>
      <c r="I357" s="455"/>
      <c r="J357" s="458"/>
      <c r="K357" s="458"/>
      <c r="L357" s="458"/>
      <c r="M357" s="455"/>
      <c r="N357" s="456"/>
      <c r="O357" s="459"/>
      <c r="P357" s="463"/>
      <c r="Q357" s="451"/>
    </row>
    <row r="358" spans="1:18" ht="12.75" customHeight="1" x14ac:dyDescent="0.25">
      <c r="A358" s="451"/>
      <c r="B358" s="460"/>
      <c r="C358" s="452"/>
      <c r="D358" s="452"/>
      <c r="E358" s="454"/>
      <c r="F358" s="454"/>
      <c r="G358" s="455"/>
      <c r="H358" s="456"/>
      <c r="I358" s="455"/>
      <c r="J358" s="458"/>
      <c r="K358" s="458"/>
      <c r="L358" s="458"/>
      <c r="M358" s="455"/>
      <c r="N358" s="456"/>
      <c r="O358" s="459"/>
      <c r="P358" s="463"/>
      <c r="Q358" s="451"/>
    </row>
    <row r="359" spans="1:18" ht="12.75" customHeight="1" x14ac:dyDescent="0.25">
      <c r="A359" s="451"/>
      <c r="B359" s="460"/>
      <c r="C359" s="452"/>
      <c r="D359" s="452"/>
      <c r="E359" s="454"/>
      <c r="F359" s="454"/>
      <c r="G359" s="455"/>
      <c r="H359" s="456"/>
      <c r="I359" s="455"/>
      <c r="J359" s="458"/>
      <c r="K359" s="458"/>
      <c r="L359" s="458"/>
      <c r="M359" s="455"/>
      <c r="N359" s="456"/>
      <c r="O359" s="459"/>
      <c r="P359" s="463"/>
      <c r="Q359" s="451"/>
    </row>
    <row r="360" spans="1:18" ht="13.2" x14ac:dyDescent="0.25">
      <c r="A360" s="451"/>
      <c r="B360" s="460"/>
      <c r="C360" s="452"/>
      <c r="D360" s="452"/>
      <c r="E360" s="454"/>
      <c r="F360" s="454"/>
      <c r="G360" s="455"/>
      <c r="H360" s="456"/>
      <c r="I360" s="455"/>
      <c r="J360" s="458"/>
      <c r="K360" s="458"/>
      <c r="L360" s="458"/>
      <c r="M360" s="455"/>
      <c r="N360" s="456"/>
      <c r="O360" s="459"/>
      <c r="P360" s="459"/>
      <c r="Q360" s="451"/>
      <c r="R360" s="247"/>
    </row>
    <row r="361" spans="1:18" ht="12.75" customHeight="1" x14ac:dyDescent="0.25">
      <c r="A361" s="451"/>
      <c r="B361" s="463"/>
      <c r="C361" s="452"/>
      <c r="D361" s="452"/>
      <c r="E361" s="454"/>
      <c r="F361" s="454"/>
      <c r="G361" s="455"/>
      <c r="H361" s="456"/>
      <c r="I361" s="455"/>
      <c r="J361" s="458"/>
      <c r="K361" s="458"/>
      <c r="L361" s="458"/>
      <c r="M361" s="455"/>
      <c r="N361" s="456"/>
      <c r="O361" s="463"/>
      <c r="P361" s="463"/>
      <c r="Q361" s="451"/>
    </row>
    <row r="362" spans="1:18" ht="12.75" customHeight="1" x14ac:dyDescent="0.25">
      <c r="A362" s="451"/>
      <c r="B362" s="463"/>
      <c r="C362" s="452"/>
      <c r="D362" s="452"/>
      <c r="E362" s="454"/>
      <c r="F362" s="454"/>
      <c r="G362" s="455"/>
      <c r="H362" s="456"/>
      <c r="I362" s="455"/>
      <c r="J362" s="458"/>
      <c r="K362" s="458"/>
      <c r="L362" s="458"/>
      <c r="M362" s="455"/>
      <c r="N362" s="456"/>
      <c r="O362" s="463"/>
      <c r="P362" s="463"/>
      <c r="Q362" s="451"/>
    </row>
    <row r="363" spans="1:18" ht="12.75" customHeight="1" x14ac:dyDescent="0.25">
      <c r="A363" s="451"/>
      <c r="B363" s="463"/>
      <c r="C363" s="452"/>
      <c r="D363" s="452"/>
      <c r="E363" s="454"/>
      <c r="F363" s="454"/>
      <c r="G363" s="455"/>
      <c r="H363" s="456"/>
      <c r="I363" s="455"/>
      <c r="J363" s="458"/>
      <c r="K363" s="458"/>
      <c r="L363" s="458"/>
      <c r="M363" s="455"/>
      <c r="N363" s="456"/>
      <c r="O363" s="463"/>
      <c r="P363" s="463"/>
      <c r="Q363" s="451"/>
    </row>
    <row r="364" spans="1:18" ht="12.75" customHeight="1" x14ac:dyDescent="0.25">
      <c r="A364" s="451"/>
      <c r="B364" s="463"/>
      <c r="C364" s="452"/>
      <c r="D364" s="452"/>
      <c r="E364" s="454"/>
      <c r="F364" s="454"/>
      <c r="G364" s="455"/>
      <c r="H364" s="456"/>
      <c r="I364" s="455"/>
      <c r="J364" s="458"/>
      <c r="K364" s="458"/>
      <c r="L364" s="458"/>
      <c r="M364" s="455"/>
      <c r="N364" s="456"/>
      <c r="O364" s="463"/>
      <c r="P364" s="463"/>
      <c r="Q364" s="451"/>
    </row>
    <row r="365" spans="1:18" ht="12.75" customHeight="1" x14ac:dyDescent="0.25">
      <c r="A365" s="451"/>
      <c r="B365" s="463"/>
      <c r="C365" s="452"/>
      <c r="D365" s="452"/>
      <c r="E365" s="454"/>
      <c r="F365" s="454"/>
      <c r="G365" s="455"/>
      <c r="H365" s="456"/>
      <c r="I365" s="455"/>
      <c r="J365" s="458"/>
      <c r="K365" s="458"/>
      <c r="L365" s="458"/>
      <c r="M365" s="455"/>
      <c r="N365" s="456"/>
      <c r="O365" s="463"/>
      <c r="P365" s="463"/>
      <c r="Q365" s="451"/>
    </row>
    <row r="366" spans="1:18" ht="12.75" customHeight="1" x14ac:dyDescent="0.25">
      <c r="A366" s="451"/>
      <c r="B366" s="460"/>
      <c r="C366" s="452"/>
      <c r="D366" s="452"/>
      <c r="E366" s="454"/>
      <c r="F366" s="454"/>
      <c r="G366" s="455"/>
      <c r="H366" s="456"/>
      <c r="I366" s="455"/>
      <c r="J366" s="458"/>
      <c r="K366" s="458"/>
      <c r="L366" s="458"/>
      <c r="M366" s="455"/>
      <c r="N366" s="456"/>
      <c r="O366" s="463"/>
      <c r="P366" s="463"/>
      <c r="Q366" s="451"/>
    </row>
    <row r="367" spans="1:18" ht="12.75" customHeight="1" x14ac:dyDescent="0.25">
      <c r="A367" s="451"/>
      <c r="B367" s="460"/>
      <c r="C367" s="452"/>
      <c r="D367" s="452"/>
      <c r="E367" s="454"/>
      <c r="F367" s="454"/>
      <c r="G367" s="455"/>
      <c r="H367" s="456"/>
      <c r="I367" s="455"/>
      <c r="J367" s="458"/>
      <c r="K367" s="458"/>
      <c r="L367" s="458"/>
      <c r="M367" s="455"/>
      <c r="N367" s="456"/>
      <c r="O367" s="463"/>
      <c r="P367" s="463"/>
      <c r="Q367" s="451"/>
    </row>
    <row r="368" spans="1:18" ht="12.75" customHeight="1" x14ac:dyDescent="0.25">
      <c r="A368" s="451"/>
      <c r="B368" s="460"/>
      <c r="C368" s="452"/>
      <c r="D368" s="452"/>
      <c r="E368" s="454"/>
      <c r="F368" s="454"/>
      <c r="G368" s="455"/>
      <c r="H368" s="456"/>
      <c r="I368" s="455"/>
      <c r="J368" s="458"/>
      <c r="K368" s="458"/>
      <c r="L368" s="458"/>
      <c r="M368" s="455"/>
      <c r="N368" s="456"/>
      <c r="O368" s="463"/>
      <c r="P368" s="463"/>
      <c r="Q368" s="451"/>
    </row>
    <row r="369" spans="1:17" ht="12.75" customHeight="1" x14ac:dyDescent="0.25">
      <c r="A369" s="451"/>
      <c r="B369" s="460"/>
      <c r="C369" s="452"/>
      <c r="D369" s="452"/>
      <c r="E369" s="454"/>
      <c r="F369" s="454"/>
      <c r="G369" s="455"/>
      <c r="H369" s="456"/>
      <c r="I369" s="455"/>
      <c r="J369" s="458"/>
      <c r="K369" s="458"/>
      <c r="L369" s="458"/>
      <c r="M369" s="455"/>
      <c r="N369" s="456"/>
      <c r="O369" s="463"/>
      <c r="P369" s="463"/>
      <c r="Q369" s="451"/>
    </row>
    <row r="370" spans="1:17" ht="12.75" customHeight="1" x14ac:dyDescent="0.25">
      <c r="A370" s="451"/>
      <c r="B370" s="460"/>
      <c r="C370" s="452"/>
      <c r="D370" s="452"/>
      <c r="E370" s="454"/>
      <c r="F370" s="454"/>
      <c r="G370" s="455"/>
      <c r="H370" s="456"/>
      <c r="I370" s="455"/>
      <c r="J370" s="462"/>
      <c r="K370" s="458"/>
      <c r="L370" s="458"/>
      <c r="M370" s="455"/>
      <c r="N370" s="456"/>
      <c r="O370" s="463"/>
      <c r="P370" s="463"/>
      <c r="Q370" s="451"/>
    </row>
    <row r="371" spans="1:17" ht="12.75" customHeight="1" x14ac:dyDescent="0.25">
      <c r="A371" s="451"/>
      <c r="B371" s="460"/>
      <c r="C371" s="452"/>
      <c r="D371" s="452"/>
      <c r="E371" s="454"/>
      <c r="F371" s="454"/>
      <c r="G371" s="455"/>
      <c r="H371" s="456"/>
      <c r="I371" s="455"/>
      <c r="J371" s="458"/>
      <c r="K371" s="458"/>
      <c r="L371" s="458"/>
      <c r="M371" s="455"/>
      <c r="N371" s="456"/>
      <c r="O371" s="463"/>
      <c r="P371" s="463"/>
      <c r="Q371" s="451"/>
    </row>
    <row r="372" spans="1:17" ht="12.75" customHeight="1" x14ac:dyDescent="0.25">
      <c r="A372" s="451"/>
      <c r="B372" s="460"/>
      <c r="C372" s="452"/>
      <c r="D372" s="452"/>
      <c r="E372" s="454"/>
      <c r="F372" s="454"/>
      <c r="G372" s="455"/>
      <c r="H372" s="456"/>
      <c r="I372" s="455"/>
      <c r="J372" s="458"/>
      <c r="K372" s="458"/>
      <c r="L372" s="458"/>
      <c r="M372" s="455"/>
      <c r="N372" s="456"/>
      <c r="O372" s="463"/>
      <c r="P372" s="463"/>
      <c r="Q372" s="451"/>
    </row>
    <row r="373" spans="1:17" ht="12.75" customHeight="1" x14ac:dyDescent="0.25">
      <c r="A373" s="451"/>
      <c r="B373" s="460"/>
      <c r="C373" s="452"/>
      <c r="D373" s="452"/>
      <c r="E373" s="454"/>
      <c r="F373" s="454"/>
      <c r="G373" s="455"/>
      <c r="H373" s="456"/>
      <c r="I373" s="455"/>
      <c r="J373" s="458"/>
      <c r="K373" s="458"/>
      <c r="L373" s="458"/>
      <c r="M373" s="455"/>
      <c r="N373" s="456"/>
      <c r="O373" s="463"/>
      <c r="P373" s="463"/>
      <c r="Q373" s="451"/>
    </row>
    <row r="374" spans="1:17" ht="12.75" customHeight="1" x14ac:dyDescent="0.25">
      <c r="A374" s="451"/>
      <c r="B374" s="460"/>
      <c r="C374" s="452"/>
      <c r="D374" s="452"/>
      <c r="E374" s="454"/>
      <c r="F374" s="454"/>
      <c r="G374" s="455"/>
      <c r="H374" s="456"/>
      <c r="I374" s="455"/>
      <c r="J374" s="458"/>
      <c r="K374" s="458"/>
      <c r="L374" s="458"/>
      <c r="M374" s="455"/>
      <c r="N374" s="456"/>
      <c r="O374" s="463"/>
      <c r="P374" s="463"/>
      <c r="Q374" s="451"/>
    </row>
    <row r="375" spans="1:17" ht="12.75" customHeight="1" x14ac:dyDescent="0.25">
      <c r="A375" s="451"/>
      <c r="B375" s="460"/>
      <c r="C375" s="452"/>
      <c r="D375" s="452"/>
      <c r="E375" s="454"/>
      <c r="F375" s="454"/>
      <c r="G375" s="455"/>
      <c r="H375" s="456"/>
      <c r="I375" s="455"/>
      <c r="J375" s="458"/>
      <c r="K375" s="458"/>
      <c r="L375" s="458"/>
      <c r="M375" s="455"/>
      <c r="N375" s="456"/>
      <c r="O375" s="463"/>
      <c r="P375" s="463"/>
      <c r="Q375" s="451"/>
    </row>
    <row r="376" spans="1:17" ht="12.75" customHeight="1" x14ac:dyDescent="0.25">
      <c r="A376" s="451"/>
      <c r="B376" s="460"/>
      <c r="C376" s="452"/>
      <c r="D376" s="452"/>
      <c r="E376" s="454"/>
      <c r="F376" s="454"/>
      <c r="G376" s="455"/>
      <c r="H376" s="456"/>
      <c r="I376" s="455"/>
      <c r="J376" s="458"/>
      <c r="K376" s="458"/>
      <c r="L376" s="458"/>
      <c r="M376" s="455"/>
      <c r="N376" s="456"/>
      <c r="O376" s="463"/>
      <c r="P376" s="463"/>
      <c r="Q376" s="451"/>
    </row>
    <row r="377" spans="1:17" ht="12.75" customHeight="1" x14ac:dyDescent="0.25">
      <c r="A377" s="451"/>
      <c r="B377" s="452"/>
      <c r="C377" s="452"/>
      <c r="D377" s="452"/>
      <c r="E377" s="454"/>
      <c r="F377" s="454"/>
      <c r="G377" s="455"/>
      <c r="H377" s="456"/>
      <c r="I377" s="455"/>
      <c r="J377" s="458"/>
      <c r="K377" s="458"/>
      <c r="L377" s="458"/>
      <c r="M377" s="458"/>
      <c r="N377" s="451"/>
      <c r="O377" s="463"/>
      <c r="P377" s="463"/>
      <c r="Q377" s="451"/>
    </row>
    <row r="378" spans="1:17" ht="12.75" customHeight="1" x14ac:dyDescent="0.25">
      <c r="A378" s="451"/>
      <c r="B378" s="452"/>
      <c r="C378" s="452"/>
      <c r="D378" s="452"/>
      <c r="E378" s="454"/>
      <c r="F378" s="454"/>
      <c r="G378" s="455"/>
      <c r="H378" s="456"/>
      <c r="I378" s="455"/>
      <c r="J378" s="458"/>
      <c r="K378" s="458"/>
      <c r="L378" s="458"/>
      <c r="M378" s="458"/>
      <c r="N378" s="451"/>
      <c r="O378" s="463"/>
      <c r="P378" s="463"/>
      <c r="Q378" s="451"/>
    </row>
    <row r="379" spans="1:17" ht="12.75" customHeight="1" x14ac:dyDescent="0.25">
      <c r="A379" s="451"/>
      <c r="B379" s="452"/>
      <c r="C379" s="452"/>
      <c r="D379" s="452"/>
      <c r="E379" s="454"/>
      <c r="F379" s="454"/>
      <c r="G379" s="455"/>
      <c r="H379" s="456"/>
      <c r="I379" s="455"/>
      <c r="J379" s="458"/>
      <c r="K379" s="458"/>
      <c r="L379" s="458"/>
      <c r="M379" s="458"/>
      <c r="N379" s="451"/>
      <c r="O379" s="463"/>
      <c r="P379" s="463"/>
      <c r="Q379" s="451"/>
    </row>
    <row r="380" spans="1:17" ht="12.75" customHeight="1" x14ac:dyDescent="0.25">
      <c r="A380" s="451"/>
      <c r="B380" s="452"/>
      <c r="C380" s="452"/>
      <c r="D380" s="452"/>
      <c r="E380" s="454"/>
      <c r="F380" s="454"/>
      <c r="G380" s="455"/>
      <c r="H380" s="456"/>
      <c r="I380" s="455"/>
      <c r="J380" s="458"/>
      <c r="K380" s="458"/>
      <c r="L380" s="458"/>
      <c r="M380" s="458"/>
      <c r="N380" s="451"/>
      <c r="O380" s="463"/>
      <c r="P380" s="463"/>
      <c r="Q380" s="451"/>
    </row>
    <row r="381" spans="1:17" ht="12.75" customHeight="1" x14ac:dyDescent="0.25">
      <c r="A381" s="451"/>
      <c r="B381" s="452"/>
      <c r="C381" s="452"/>
      <c r="D381" s="452"/>
      <c r="E381" s="454"/>
      <c r="F381" s="454"/>
      <c r="G381" s="455"/>
      <c r="H381" s="456"/>
      <c r="I381" s="455"/>
      <c r="J381" s="458"/>
      <c r="K381" s="458"/>
      <c r="L381" s="458"/>
      <c r="M381" s="458"/>
      <c r="N381" s="451"/>
      <c r="O381" s="463"/>
      <c r="P381" s="463"/>
      <c r="Q381" s="451"/>
    </row>
    <row r="382" spans="1:17" ht="12.75" customHeight="1" x14ac:dyDescent="0.25">
      <c r="A382" s="451"/>
      <c r="B382" s="452"/>
      <c r="C382" s="452"/>
      <c r="D382" s="452"/>
      <c r="E382" s="454"/>
      <c r="F382" s="454"/>
      <c r="G382" s="455"/>
      <c r="H382" s="456"/>
      <c r="I382" s="455"/>
      <c r="J382" s="458"/>
      <c r="K382" s="458"/>
      <c r="L382" s="458"/>
      <c r="M382" s="458"/>
      <c r="N382" s="451"/>
      <c r="O382" s="463"/>
      <c r="P382" s="463"/>
      <c r="Q382" s="451"/>
    </row>
    <row r="383" spans="1:17" ht="12.75" customHeight="1" x14ac:dyDescent="0.25">
      <c r="A383" s="451"/>
      <c r="B383" s="452"/>
      <c r="C383" s="452"/>
      <c r="D383" s="452"/>
      <c r="E383" s="454"/>
      <c r="F383" s="454"/>
      <c r="G383" s="455"/>
      <c r="H383" s="456"/>
      <c r="I383" s="455"/>
      <c r="J383" s="458"/>
      <c r="K383" s="458"/>
      <c r="L383" s="458"/>
      <c r="M383" s="458"/>
      <c r="N383" s="451"/>
      <c r="O383" s="463"/>
      <c r="P383" s="463"/>
      <c r="Q383" s="451"/>
    </row>
    <row r="384" spans="1:17" ht="12.75" customHeight="1" x14ac:dyDescent="0.25">
      <c r="A384" s="451"/>
      <c r="B384" s="452"/>
      <c r="C384" s="452"/>
      <c r="D384" s="452"/>
      <c r="E384" s="454"/>
      <c r="F384" s="454"/>
      <c r="G384" s="455"/>
      <c r="H384" s="456"/>
      <c r="I384" s="455"/>
      <c r="J384" s="458"/>
      <c r="K384" s="458"/>
      <c r="L384" s="458"/>
      <c r="M384" s="458"/>
      <c r="N384" s="451"/>
      <c r="O384" s="463"/>
      <c r="P384" s="463"/>
      <c r="Q384" s="451"/>
    </row>
    <row r="385" spans="1:19" ht="12.75" customHeight="1" x14ac:dyDescent="0.25">
      <c r="A385" s="451"/>
      <c r="B385" s="452"/>
      <c r="C385" s="452"/>
      <c r="D385" s="452"/>
      <c r="E385" s="454"/>
      <c r="F385" s="454"/>
      <c r="G385" s="455"/>
      <c r="H385" s="456"/>
      <c r="I385" s="455"/>
      <c r="J385" s="458"/>
      <c r="K385" s="458"/>
      <c r="L385" s="458"/>
      <c r="M385" s="458"/>
      <c r="N385" s="451"/>
      <c r="O385" s="463"/>
      <c r="P385" s="463"/>
      <c r="Q385" s="451"/>
    </row>
    <row r="386" spans="1:19" ht="12.75" customHeight="1" x14ac:dyDescent="0.25">
      <c r="A386" s="451"/>
      <c r="B386" s="452"/>
      <c r="C386" s="452"/>
      <c r="D386" s="452"/>
      <c r="E386" s="454"/>
      <c r="F386" s="454"/>
      <c r="G386" s="455"/>
      <c r="H386" s="456"/>
      <c r="I386" s="455"/>
      <c r="J386" s="458"/>
      <c r="K386" s="458"/>
      <c r="L386" s="458"/>
      <c r="M386" s="458"/>
      <c r="N386" s="451"/>
      <c r="O386" s="463"/>
      <c r="P386" s="463"/>
      <c r="Q386" s="451"/>
    </row>
    <row r="387" spans="1:19" ht="12.75" customHeight="1" x14ac:dyDescent="0.25">
      <c r="A387" s="451"/>
      <c r="B387" s="452"/>
      <c r="C387" s="452"/>
      <c r="D387" s="452"/>
      <c r="E387" s="454"/>
      <c r="F387" s="454"/>
      <c r="G387" s="455"/>
      <c r="H387" s="456"/>
      <c r="I387" s="455"/>
      <c r="J387" s="458"/>
      <c r="K387" s="458"/>
      <c r="L387" s="458"/>
      <c r="M387" s="458"/>
      <c r="N387" s="451"/>
      <c r="O387" s="463"/>
      <c r="P387" s="463"/>
      <c r="Q387" s="451"/>
    </row>
    <row r="388" spans="1:19" ht="13.2" x14ac:dyDescent="0.25">
      <c r="A388" s="451"/>
      <c r="C388" s="452"/>
      <c r="D388" s="452"/>
      <c r="E388" s="454"/>
      <c r="F388" s="456"/>
      <c r="G388" s="456"/>
      <c r="H388" s="456"/>
      <c r="I388" s="455"/>
      <c r="J388" s="458"/>
      <c r="K388" s="458"/>
      <c r="L388" s="458"/>
      <c r="M388" s="455"/>
      <c r="N388" s="456"/>
      <c r="O388" s="456"/>
      <c r="P388" s="459"/>
      <c r="Q388" s="451"/>
    </row>
    <row r="389" spans="1:19" ht="12.75" customHeight="1" x14ac:dyDescent="0.25">
      <c r="A389" s="451"/>
      <c r="C389" s="452"/>
      <c r="D389" s="452"/>
      <c r="E389" s="454"/>
      <c r="F389" s="454"/>
      <c r="G389" s="455"/>
      <c r="H389" s="456"/>
      <c r="I389" s="455"/>
      <c r="J389" s="458"/>
      <c r="K389" s="458"/>
      <c r="L389" s="458"/>
      <c r="M389" s="455"/>
      <c r="N389" s="456"/>
      <c r="O389" s="463"/>
      <c r="P389" s="459"/>
      <c r="Q389" s="451"/>
    </row>
    <row r="390" spans="1:19" ht="12.75" customHeight="1" x14ac:dyDescent="0.25">
      <c r="A390" s="451"/>
      <c r="C390" s="452"/>
      <c r="D390" s="452"/>
      <c r="E390" s="454"/>
      <c r="F390" s="456"/>
      <c r="G390" s="456"/>
      <c r="H390" s="456"/>
      <c r="I390" s="455"/>
      <c r="J390" s="458"/>
      <c r="K390" s="458"/>
      <c r="L390" s="458"/>
      <c r="M390" s="455"/>
      <c r="N390" s="456"/>
      <c r="O390" s="463"/>
      <c r="P390" s="459"/>
      <c r="Q390" s="451"/>
    </row>
    <row r="391" spans="1:19" ht="12.75" customHeight="1" x14ac:dyDescent="0.25">
      <c r="A391" s="451"/>
      <c r="C391" s="452"/>
      <c r="D391" s="452"/>
      <c r="E391" s="454"/>
      <c r="F391" s="454"/>
      <c r="G391" s="455"/>
      <c r="H391" s="456"/>
      <c r="I391" s="455"/>
      <c r="J391" s="458"/>
      <c r="K391" s="458"/>
      <c r="L391" s="458"/>
      <c r="M391" s="455"/>
      <c r="N391" s="456"/>
      <c r="O391" s="463"/>
      <c r="P391" s="459"/>
      <c r="Q391" s="451"/>
    </row>
    <row r="392" spans="1:19" ht="12.75" customHeight="1" x14ac:dyDescent="0.25">
      <c r="A392" s="451"/>
      <c r="C392" s="452"/>
      <c r="D392" s="452"/>
      <c r="E392" s="454"/>
      <c r="F392" s="454"/>
      <c r="G392" s="455"/>
      <c r="H392" s="456"/>
      <c r="I392" s="455"/>
      <c r="J392" s="458"/>
      <c r="K392" s="458"/>
      <c r="L392" s="458"/>
      <c r="M392" s="455"/>
      <c r="N392" s="456"/>
      <c r="O392" s="463"/>
      <c r="P392" s="459"/>
      <c r="Q392" s="451"/>
    </row>
    <row r="393" spans="1:19" ht="12.75" customHeight="1" x14ac:dyDescent="0.25">
      <c r="A393" s="451"/>
      <c r="C393" s="452"/>
      <c r="D393" s="452"/>
      <c r="E393" s="454"/>
      <c r="F393" s="454"/>
      <c r="G393" s="455"/>
      <c r="H393" s="456"/>
      <c r="I393" s="455"/>
      <c r="J393" s="458"/>
      <c r="K393" s="458"/>
      <c r="L393" s="458"/>
      <c r="M393" s="455"/>
      <c r="N393" s="456"/>
      <c r="O393" s="463"/>
      <c r="P393" s="459"/>
      <c r="Q393" s="451"/>
    </row>
    <row r="394" spans="1:19" ht="12.75" customHeight="1" x14ac:dyDescent="0.25">
      <c r="A394" s="451"/>
      <c r="C394" s="452"/>
      <c r="D394" s="452"/>
      <c r="E394" s="454"/>
      <c r="F394" s="454"/>
      <c r="G394" s="455"/>
      <c r="H394" s="456"/>
      <c r="I394" s="455"/>
      <c r="J394" s="458"/>
      <c r="K394" s="458"/>
      <c r="L394" s="458"/>
      <c r="M394" s="455"/>
      <c r="N394" s="456"/>
      <c r="O394" s="463"/>
      <c r="P394" s="459"/>
      <c r="Q394" s="451"/>
    </row>
    <row r="395" spans="1:19" ht="12.75" customHeight="1" x14ac:dyDescent="0.25">
      <c r="A395" s="451"/>
      <c r="C395" s="452"/>
      <c r="D395" s="452"/>
      <c r="E395" s="454"/>
      <c r="F395" s="454"/>
      <c r="G395" s="455"/>
      <c r="H395" s="456"/>
      <c r="I395" s="455"/>
      <c r="J395" s="458"/>
      <c r="K395" s="458"/>
      <c r="L395" s="458"/>
      <c r="M395" s="455"/>
      <c r="N395" s="456"/>
      <c r="O395" s="463"/>
      <c r="P395" s="459"/>
      <c r="Q395" s="451"/>
    </row>
    <row r="396" spans="1:19" ht="12.75" customHeight="1" x14ac:dyDescent="0.25">
      <c r="C396" s="325"/>
      <c r="D396" s="16"/>
      <c r="E396" s="2"/>
      <c r="F396" s="2"/>
      <c r="G396" s="60"/>
      <c r="H396" s="303"/>
      <c r="I396" s="60"/>
      <c r="J396" s="299"/>
      <c r="K396" s="299"/>
      <c r="M396" s="60"/>
      <c r="N396" s="299"/>
      <c r="P396" s="263"/>
    </row>
    <row r="397" spans="1:19" ht="13.2" x14ac:dyDescent="0.25">
      <c r="C397" s="325"/>
      <c r="D397" s="16"/>
      <c r="E397" s="2"/>
      <c r="F397" s="2"/>
      <c r="G397" s="60"/>
      <c r="H397" s="303"/>
      <c r="I397" s="60"/>
      <c r="J397" s="60"/>
      <c r="K397" s="263"/>
      <c r="L397" s="60"/>
      <c r="M397" s="60"/>
      <c r="N397" s="299"/>
      <c r="O397" s="304"/>
      <c r="P397" s="263"/>
    </row>
    <row r="398" spans="1:19" ht="12.75" customHeight="1" x14ac:dyDescent="0.25">
      <c r="C398" s="2"/>
      <c r="D398" s="2"/>
      <c r="E398" s="2"/>
      <c r="F398" s="60"/>
      <c r="G398" s="299"/>
      <c r="H398" s="299"/>
      <c r="I398" s="60"/>
      <c r="M398" s="257" t="s">
        <v>2121</v>
      </c>
      <c r="N398" s="257">
        <f>SUM(N70:N397)</f>
        <v>1018331.64</v>
      </c>
    </row>
    <row r="399" spans="1:19" ht="12.75" customHeight="1" x14ac:dyDescent="0.25">
      <c r="B399" s="325"/>
      <c r="C399" s="2"/>
      <c r="D399" s="2"/>
      <c r="E399" s="2"/>
      <c r="F399" s="60"/>
      <c r="G399" s="299"/>
      <c r="H399" s="299"/>
      <c r="I399" s="60"/>
      <c r="M399" s="257"/>
      <c r="N399" s="262"/>
      <c r="S399" s="247"/>
    </row>
    <row r="400" spans="1:19" ht="12.75" customHeight="1" x14ac:dyDescent="0.25">
      <c r="B400" s="325"/>
      <c r="I400" s="235"/>
      <c r="M400" s="260"/>
      <c r="N400" s="260"/>
    </row>
    <row r="401" spans="1:18" ht="12.75" customHeight="1" x14ac:dyDescent="0.25">
      <c r="B401" s="411" t="s">
        <v>184</v>
      </c>
      <c r="C401" s="204" t="s">
        <v>2079</v>
      </c>
      <c r="D401" s="204" t="s">
        <v>1258</v>
      </c>
      <c r="E401" s="412" t="s">
        <v>1257</v>
      </c>
      <c r="F401" s="204" t="s">
        <v>469</v>
      </c>
      <c r="G401" s="412" t="s">
        <v>188</v>
      </c>
      <c r="H401" s="412" t="s">
        <v>470</v>
      </c>
      <c r="I401" s="412" t="s">
        <v>1839</v>
      </c>
      <c r="J401" s="412" t="s">
        <v>1840</v>
      </c>
      <c r="K401" s="412" t="s">
        <v>2254</v>
      </c>
      <c r="L401" s="412" t="s">
        <v>1251</v>
      </c>
      <c r="M401" s="412" t="s">
        <v>1216</v>
      </c>
      <c r="N401" s="412" t="s">
        <v>667</v>
      </c>
      <c r="O401" s="204" t="s">
        <v>1212</v>
      </c>
      <c r="P401" s="204" t="s">
        <v>186</v>
      </c>
    </row>
    <row r="402" spans="1:18" ht="12.75" customHeight="1" x14ac:dyDescent="0.25">
      <c r="A402" s="451"/>
      <c r="B402" s="295" t="s">
        <v>2926</v>
      </c>
      <c r="C402" s="466" t="s">
        <v>2924</v>
      </c>
      <c r="D402" s="453" t="s">
        <v>1249</v>
      </c>
      <c r="E402" s="454">
        <v>5800</v>
      </c>
      <c r="F402" s="454">
        <v>150</v>
      </c>
      <c r="G402" s="455">
        <v>18</v>
      </c>
      <c r="H402" s="457">
        <f t="shared" ref="H402:H407" si="44">F402*G402</f>
        <v>2700</v>
      </c>
      <c r="I402" s="455">
        <v>27</v>
      </c>
      <c r="J402" s="448"/>
      <c r="K402" s="448"/>
      <c r="L402" s="448"/>
      <c r="M402" s="455">
        <f t="shared" ref="M402:M425" si="45">SUM(I402:L402)</f>
        <v>27</v>
      </c>
      <c r="N402" s="303">
        <f>H402-M402</f>
        <v>2673</v>
      </c>
      <c r="O402" s="461" t="s">
        <v>2927</v>
      </c>
      <c r="P402" s="461" t="s">
        <v>369</v>
      </c>
      <c r="Q402" s="451"/>
    </row>
    <row r="403" spans="1:18" ht="13.2" x14ac:dyDescent="0.25">
      <c r="A403" s="451"/>
      <c r="B403" s="295" t="s">
        <v>2926</v>
      </c>
      <c r="C403" s="452" t="s">
        <v>2924</v>
      </c>
      <c r="D403" s="460" t="s">
        <v>1249</v>
      </c>
      <c r="E403" s="454">
        <v>5800</v>
      </c>
      <c r="F403" s="454">
        <v>100</v>
      </c>
      <c r="G403" s="455">
        <v>18</v>
      </c>
      <c r="H403" s="457">
        <f t="shared" si="44"/>
        <v>1800</v>
      </c>
      <c r="I403" s="455">
        <v>18</v>
      </c>
      <c r="J403" s="447"/>
      <c r="K403" s="447"/>
      <c r="L403" s="447"/>
      <c r="M403" s="455">
        <f t="shared" si="45"/>
        <v>18</v>
      </c>
      <c r="N403" s="303">
        <f t="shared" ref="N403:N415" si="46">H403-M403</f>
        <v>1782</v>
      </c>
      <c r="O403" s="461" t="s">
        <v>2927</v>
      </c>
      <c r="P403" s="459" t="s">
        <v>369</v>
      </c>
      <c r="Q403" s="451"/>
      <c r="R403" s="247"/>
    </row>
    <row r="404" spans="1:18" ht="12.75" customHeight="1" x14ac:dyDescent="0.25">
      <c r="A404" s="451"/>
      <c r="B404" s="295" t="s">
        <v>2926</v>
      </c>
      <c r="C404" s="452" t="s">
        <v>2924</v>
      </c>
      <c r="D404" s="453" t="s">
        <v>1249</v>
      </c>
      <c r="E404" s="454">
        <v>5800</v>
      </c>
      <c r="F404" s="454">
        <v>200</v>
      </c>
      <c r="G404" s="455">
        <v>18</v>
      </c>
      <c r="H404" s="457">
        <f t="shared" si="44"/>
        <v>3600</v>
      </c>
      <c r="I404" s="455">
        <v>36</v>
      </c>
      <c r="J404" s="472"/>
      <c r="K404" s="447"/>
      <c r="L404" s="447"/>
      <c r="M404" s="455">
        <f t="shared" si="45"/>
        <v>36</v>
      </c>
      <c r="N404" s="303">
        <f t="shared" si="46"/>
        <v>3564</v>
      </c>
      <c r="O404" s="461" t="s">
        <v>2927</v>
      </c>
      <c r="P404" s="461" t="s">
        <v>369</v>
      </c>
      <c r="Q404" s="451"/>
    </row>
    <row r="405" spans="1:18" ht="13.2" x14ac:dyDescent="0.25">
      <c r="A405" s="451"/>
      <c r="B405" s="295" t="s">
        <v>2926</v>
      </c>
      <c r="C405" s="452" t="s">
        <v>2924</v>
      </c>
      <c r="D405" s="453" t="s">
        <v>1249</v>
      </c>
      <c r="E405" s="454">
        <v>5800</v>
      </c>
      <c r="F405" s="454">
        <v>250</v>
      </c>
      <c r="G405" s="455">
        <v>18</v>
      </c>
      <c r="H405" s="457">
        <f t="shared" si="44"/>
        <v>4500</v>
      </c>
      <c r="I405" s="455">
        <v>45</v>
      </c>
      <c r="J405" s="467">
        <v>40.31</v>
      </c>
      <c r="K405" s="458">
        <f>2+2</f>
        <v>4</v>
      </c>
      <c r="L405" s="458">
        <v>20.149999999999999</v>
      </c>
      <c r="M405" s="455">
        <f t="shared" si="45"/>
        <v>109.46000000000001</v>
      </c>
      <c r="N405" s="303">
        <f t="shared" si="46"/>
        <v>4390.54</v>
      </c>
      <c r="O405" s="461" t="s">
        <v>2927</v>
      </c>
      <c r="P405" s="459" t="s">
        <v>369</v>
      </c>
      <c r="Q405" s="451"/>
      <c r="R405" s="247"/>
    </row>
    <row r="406" spans="1:18" ht="12.75" customHeight="1" x14ac:dyDescent="0.25">
      <c r="A406" s="451"/>
      <c r="B406" s="295" t="s">
        <v>2929</v>
      </c>
      <c r="C406" s="452" t="s">
        <v>2928</v>
      </c>
      <c r="D406" s="452" t="s">
        <v>1249</v>
      </c>
      <c r="E406" s="454">
        <v>90</v>
      </c>
      <c r="F406" s="454">
        <v>2000</v>
      </c>
      <c r="G406" s="455">
        <v>2.7</v>
      </c>
      <c r="H406" s="457">
        <f t="shared" si="44"/>
        <v>5400</v>
      </c>
      <c r="I406" s="455">
        <v>9</v>
      </c>
      <c r="J406" s="447"/>
      <c r="K406" s="447"/>
      <c r="L406" s="447"/>
      <c r="M406" s="455">
        <f t="shared" si="45"/>
        <v>9</v>
      </c>
      <c r="N406" s="303">
        <f t="shared" si="46"/>
        <v>5391</v>
      </c>
      <c r="O406" s="461" t="s">
        <v>2930</v>
      </c>
      <c r="P406" s="461" t="s">
        <v>369</v>
      </c>
      <c r="Q406" s="451"/>
    </row>
    <row r="407" spans="1:18" ht="12.75" customHeight="1" x14ac:dyDescent="0.25">
      <c r="A407" s="451"/>
      <c r="B407" s="295" t="s">
        <v>2929</v>
      </c>
      <c r="C407" s="452" t="s">
        <v>2924</v>
      </c>
      <c r="D407" s="452" t="s">
        <v>1245</v>
      </c>
      <c r="E407" s="454">
        <v>5500</v>
      </c>
      <c r="F407" s="454">
        <v>150</v>
      </c>
      <c r="G407" s="455">
        <v>48.8</v>
      </c>
      <c r="H407" s="457">
        <f t="shared" si="44"/>
        <v>7320</v>
      </c>
      <c r="I407" s="455">
        <v>27</v>
      </c>
      <c r="J407" s="447"/>
      <c r="K407" s="447"/>
      <c r="L407" s="447"/>
      <c r="M407" s="455">
        <f t="shared" si="45"/>
        <v>27</v>
      </c>
      <c r="N407" s="303">
        <f t="shared" si="46"/>
        <v>7293</v>
      </c>
      <c r="O407" s="461" t="s">
        <v>2930</v>
      </c>
      <c r="P407" s="461" t="s">
        <v>369</v>
      </c>
      <c r="Q407" s="451"/>
    </row>
    <row r="408" spans="1:18" ht="12.75" customHeight="1" x14ac:dyDescent="0.25">
      <c r="A408" s="451"/>
      <c r="B408" s="295" t="s">
        <v>2929</v>
      </c>
      <c r="C408" s="452" t="s">
        <v>2924</v>
      </c>
      <c r="D408" s="452" t="s">
        <v>1249</v>
      </c>
      <c r="E408" s="454">
        <v>5800</v>
      </c>
      <c r="F408" s="454">
        <v>350</v>
      </c>
      <c r="G408" s="455">
        <v>13.4</v>
      </c>
      <c r="H408" s="457">
        <f t="shared" ref="H408:H418" si="47">F408*G408</f>
        <v>4690</v>
      </c>
      <c r="I408" s="455">
        <v>63</v>
      </c>
      <c r="J408" s="448"/>
      <c r="K408" s="448"/>
      <c r="L408" s="447"/>
      <c r="M408" s="455">
        <f t="shared" si="45"/>
        <v>63</v>
      </c>
      <c r="N408" s="303">
        <f t="shared" si="46"/>
        <v>4627</v>
      </c>
      <c r="O408" s="461" t="s">
        <v>2930</v>
      </c>
      <c r="P408" s="461" t="s">
        <v>369</v>
      </c>
      <c r="Q408" s="451"/>
    </row>
    <row r="409" spans="1:18" ht="12.75" customHeight="1" x14ac:dyDescent="0.25">
      <c r="A409" s="451"/>
      <c r="B409" s="295" t="s">
        <v>2929</v>
      </c>
      <c r="C409" s="452" t="s">
        <v>2924</v>
      </c>
      <c r="D409" s="452" t="s">
        <v>1249</v>
      </c>
      <c r="E409" s="454">
        <v>5800</v>
      </c>
      <c r="F409" s="454">
        <v>450</v>
      </c>
      <c r="G409" s="455">
        <v>13.35</v>
      </c>
      <c r="H409" s="457">
        <f t="shared" si="47"/>
        <v>6007.5</v>
      </c>
      <c r="I409" s="455">
        <v>81</v>
      </c>
      <c r="J409" s="455">
        <v>29.95</v>
      </c>
      <c r="K409" s="455">
        <f>4+3</f>
        <v>7</v>
      </c>
      <c r="L409" s="458">
        <v>26.33</v>
      </c>
      <c r="M409" s="455">
        <f t="shared" si="45"/>
        <v>144.28</v>
      </c>
      <c r="N409" s="303">
        <f t="shared" si="46"/>
        <v>5863.22</v>
      </c>
      <c r="O409" s="461" t="s">
        <v>2930</v>
      </c>
      <c r="P409" s="461" t="s">
        <v>369</v>
      </c>
      <c r="Q409" s="451"/>
    </row>
    <row r="410" spans="1:18" ht="13.2" x14ac:dyDescent="0.25">
      <c r="A410" s="451"/>
      <c r="B410" s="295" t="s">
        <v>2933</v>
      </c>
      <c r="C410" s="452" t="s">
        <v>2924</v>
      </c>
      <c r="D410" s="452" t="s">
        <v>1249</v>
      </c>
      <c r="E410" s="454">
        <v>5600</v>
      </c>
      <c r="F410" s="454">
        <v>50</v>
      </c>
      <c r="G410" s="455">
        <v>61</v>
      </c>
      <c r="H410" s="457">
        <f t="shared" si="47"/>
        <v>3050</v>
      </c>
      <c r="I410" s="455">
        <v>9</v>
      </c>
      <c r="J410" s="450"/>
      <c r="K410" s="450"/>
      <c r="L410" s="473"/>
      <c r="M410" s="455">
        <f t="shared" si="45"/>
        <v>9</v>
      </c>
      <c r="N410" s="303">
        <f t="shared" si="46"/>
        <v>3041</v>
      </c>
      <c r="O410" s="461" t="s">
        <v>2934</v>
      </c>
      <c r="P410" s="461" t="s">
        <v>369</v>
      </c>
      <c r="Q410" s="451"/>
      <c r="R410" s="247"/>
    </row>
    <row r="411" spans="1:18" ht="12.75" customHeight="1" x14ac:dyDescent="0.25">
      <c r="A411" s="451"/>
      <c r="B411" s="295" t="s">
        <v>2933</v>
      </c>
      <c r="C411" s="452" t="s">
        <v>2924</v>
      </c>
      <c r="D411" s="452" t="s">
        <v>1249</v>
      </c>
      <c r="E411" s="454">
        <v>5600</v>
      </c>
      <c r="F411" s="454">
        <v>100</v>
      </c>
      <c r="G411" s="455">
        <v>61</v>
      </c>
      <c r="H411" s="457">
        <f t="shared" si="47"/>
        <v>6100</v>
      </c>
      <c r="I411" s="455">
        <v>18</v>
      </c>
      <c r="J411" s="474"/>
      <c r="K411" s="447"/>
      <c r="L411" s="447"/>
      <c r="M411" s="455">
        <f t="shared" si="45"/>
        <v>18</v>
      </c>
      <c r="N411" s="303">
        <f t="shared" si="46"/>
        <v>6082</v>
      </c>
      <c r="O411" s="461" t="s">
        <v>2934</v>
      </c>
      <c r="P411" s="461" t="s">
        <v>369</v>
      </c>
      <c r="Q411" s="451"/>
    </row>
    <row r="412" spans="1:18" ht="12.75" customHeight="1" x14ac:dyDescent="0.25">
      <c r="A412" s="451"/>
      <c r="B412" s="295" t="s">
        <v>2933</v>
      </c>
      <c r="C412" s="452" t="s">
        <v>2931</v>
      </c>
      <c r="D412" s="452" t="s">
        <v>1245</v>
      </c>
      <c r="E412" s="454">
        <v>11000</v>
      </c>
      <c r="F412" s="454">
        <v>50</v>
      </c>
      <c r="G412" s="455">
        <v>158</v>
      </c>
      <c r="H412" s="457">
        <f t="shared" si="47"/>
        <v>7900</v>
      </c>
      <c r="I412" s="455">
        <v>18</v>
      </c>
      <c r="J412" s="447"/>
      <c r="K412" s="447"/>
      <c r="L412" s="447"/>
      <c r="M412" s="455">
        <f t="shared" si="45"/>
        <v>18</v>
      </c>
      <c r="N412" s="303">
        <f t="shared" si="46"/>
        <v>7882</v>
      </c>
      <c r="O412" s="461" t="s">
        <v>2934</v>
      </c>
      <c r="P412" s="461" t="s">
        <v>369</v>
      </c>
      <c r="Q412" s="451"/>
    </row>
    <row r="413" spans="1:18" ht="12.75" customHeight="1" x14ac:dyDescent="0.25">
      <c r="A413" s="451"/>
      <c r="B413" s="295" t="s">
        <v>2933</v>
      </c>
      <c r="C413" s="452" t="s">
        <v>2924</v>
      </c>
      <c r="D413" s="452" t="s">
        <v>1249</v>
      </c>
      <c r="E413" s="454">
        <v>5700</v>
      </c>
      <c r="F413" s="454">
        <v>150</v>
      </c>
      <c r="G413" s="455">
        <v>24.75</v>
      </c>
      <c r="H413" s="457">
        <f t="shared" si="47"/>
        <v>3712.5</v>
      </c>
      <c r="I413" s="455">
        <v>27</v>
      </c>
      <c r="J413" s="447"/>
      <c r="K413" s="447"/>
      <c r="L413" s="447"/>
      <c r="M413" s="455">
        <f t="shared" si="45"/>
        <v>27</v>
      </c>
      <c r="N413" s="303">
        <f t="shared" si="46"/>
        <v>3685.5</v>
      </c>
      <c r="O413" s="461" t="s">
        <v>2934</v>
      </c>
      <c r="P413" s="461" t="s">
        <v>369</v>
      </c>
      <c r="Q413" s="451"/>
    </row>
    <row r="414" spans="1:18" ht="13.2" x14ac:dyDescent="0.25">
      <c r="A414" s="451"/>
      <c r="B414" s="295" t="s">
        <v>2935</v>
      </c>
      <c r="C414" s="452" t="s">
        <v>2924</v>
      </c>
      <c r="D414" s="452" t="s">
        <v>1249</v>
      </c>
      <c r="E414" s="454">
        <v>5600</v>
      </c>
      <c r="F414" s="454">
        <v>50</v>
      </c>
      <c r="G414" s="455">
        <v>58.75</v>
      </c>
      <c r="H414" s="457">
        <f t="shared" si="47"/>
        <v>2937.5</v>
      </c>
      <c r="I414" s="455">
        <v>9</v>
      </c>
      <c r="J414" s="450"/>
      <c r="K414" s="450"/>
      <c r="L414" s="473"/>
      <c r="M414" s="455">
        <f t="shared" si="45"/>
        <v>9</v>
      </c>
      <c r="N414" s="303">
        <f t="shared" si="46"/>
        <v>2928.5</v>
      </c>
      <c r="O414" s="461" t="s">
        <v>2936</v>
      </c>
      <c r="P414" s="461" t="s">
        <v>369</v>
      </c>
      <c r="Q414" s="451"/>
      <c r="R414" s="247"/>
    </row>
    <row r="415" spans="1:18" ht="12.75" customHeight="1" x14ac:dyDescent="0.25">
      <c r="A415" s="451"/>
      <c r="B415" s="295" t="s">
        <v>2935</v>
      </c>
      <c r="C415" s="452" t="s">
        <v>2932</v>
      </c>
      <c r="D415" s="452" t="s">
        <v>1249</v>
      </c>
      <c r="E415" s="454">
        <v>185</v>
      </c>
      <c r="F415" s="454">
        <v>1000</v>
      </c>
      <c r="G415" s="455">
        <v>3.1</v>
      </c>
      <c r="H415" s="457">
        <f t="shared" si="47"/>
        <v>3100</v>
      </c>
      <c r="I415" s="455">
        <v>9</v>
      </c>
      <c r="J415" s="458">
        <v>9.1999999999999993</v>
      </c>
      <c r="K415" s="458">
        <f>1+1</f>
        <v>2</v>
      </c>
      <c r="L415" s="458">
        <v>11.43</v>
      </c>
      <c r="M415" s="455">
        <f t="shared" si="45"/>
        <v>31.63</v>
      </c>
      <c r="N415" s="303">
        <f t="shared" si="46"/>
        <v>3068.37</v>
      </c>
      <c r="O415" s="461" t="s">
        <v>2936</v>
      </c>
      <c r="P415" s="461" t="s">
        <v>369</v>
      </c>
      <c r="Q415" s="451"/>
    </row>
    <row r="416" spans="1:18" ht="12.75" customHeight="1" x14ac:dyDescent="0.25">
      <c r="A416" s="451"/>
      <c r="B416" s="295" t="s">
        <v>2946</v>
      </c>
      <c r="C416" s="452" t="s">
        <v>2924</v>
      </c>
      <c r="D416" s="452" t="s">
        <v>1245</v>
      </c>
      <c r="E416" s="454">
        <v>5400</v>
      </c>
      <c r="F416" s="454">
        <v>200</v>
      </c>
      <c r="G416" s="455">
        <v>28</v>
      </c>
      <c r="H416" s="457">
        <f t="shared" si="47"/>
        <v>5600</v>
      </c>
      <c r="I416" s="455">
        <v>36</v>
      </c>
      <c r="J416" s="474"/>
      <c r="K416" s="447"/>
      <c r="L416" s="447"/>
      <c r="M416" s="455">
        <f t="shared" si="45"/>
        <v>36</v>
      </c>
      <c r="N416" s="303">
        <f>H416-M416</f>
        <v>5564</v>
      </c>
      <c r="O416" s="461" t="s">
        <v>2945</v>
      </c>
      <c r="P416" s="461" t="s">
        <v>369</v>
      </c>
      <c r="Q416" s="451"/>
    </row>
    <row r="417" spans="1:17" ht="12.75" customHeight="1" x14ac:dyDescent="0.25">
      <c r="A417" s="451"/>
      <c r="B417" s="295" t="s">
        <v>2946</v>
      </c>
      <c r="C417" s="452" t="s">
        <v>2924</v>
      </c>
      <c r="D417" s="452" t="s">
        <v>1249</v>
      </c>
      <c r="E417" s="454">
        <v>5600</v>
      </c>
      <c r="F417" s="454">
        <v>50</v>
      </c>
      <c r="G417" s="455">
        <v>56.85</v>
      </c>
      <c r="H417" s="457">
        <f t="shared" si="47"/>
        <v>2842.5</v>
      </c>
      <c r="I417" s="455">
        <v>9</v>
      </c>
      <c r="J417" s="447"/>
      <c r="K417" s="447"/>
      <c r="L417" s="447"/>
      <c r="M417" s="455">
        <f t="shared" si="45"/>
        <v>9</v>
      </c>
      <c r="N417" s="303">
        <f>H417-M417</f>
        <v>2833.5</v>
      </c>
      <c r="O417" s="461" t="s">
        <v>2945</v>
      </c>
      <c r="P417" s="461" t="s">
        <v>369</v>
      </c>
      <c r="Q417" s="451"/>
    </row>
    <row r="418" spans="1:17" ht="12.75" customHeight="1" x14ac:dyDescent="0.25">
      <c r="A418" s="451"/>
      <c r="B418" s="295" t="s">
        <v>2946</v>
      </c>
      <c r="C418" s="452" t="s">
        <v>2924</v>
      </c>
      <c r="D418" s="452" t="s">
        <v>1249</v>
      </c>
      <c r="E418" s="454">
        <v>5600</v>
      </c>
      <c r="F418" s="454">
        <v>50</v>
      </c>
      <c r="G418" s="455">
        <v>56.8</v>
      </c>
      <c r="H418" s="457">
        <f t="shared" si="47"/>
        <v>2840</v>
      </c>
      <c r="I418" s="455">
        <v>9</v>
      </c>
      <c r="J418" s="447"/>
      <c r="K418" s="447"/>
      <c r="L418" s="447"/>
      <c r="M418" s="455">
        <f t="shared" si="45"/>
        <v>9</v>
      </c>
      <c r="N418" s="303">
        <f>H418-M418</f>
        <v>2831</v>
      </c>
      <c r="O418" s="461" t="s">
        <v>2945</v>
      </c>
      <c r="P418" s="461" t="s">
        <v>369</v>
      </c>
      <c r="Q418" s="451"/>
    </row>
    <row r="419" spans="1:17" ht="12.75" customHeight="1" x14ac:dyDescent="0.25">
      <c r="A419" s="451"/>
      <c r="B419" s="295" t="s">
        <v>2943</v>
      </c>
      <c r="C419" s="452" t="s">
        <v>2947</v>
      </c>
      <c r="D419" s="452" t="s">
        <v>1249</v>
      </c>
      <c r="E419" s="454">
        <v>170</v>
      </c>
      <c r="F419" s="454">
        <v>4000</v>
      </c>
      <c r="G419" s="455">
        <v>0.55000000000000004</v>
      </c>
      <c r="H419" s="457">
        <f t="shared" ref="H419:H425" si="48">F419*G419</f>
        <v>2200</v>
      </c>
      <c r="I419" s="455">
        <v>18</v>
      </c>
      <c r="J419" s="447"/>
      <c r="K419" s="447"/>
      <c r="L419" s="447"/>
      <c r="M419" s="455">
        <f t="shared" si="45"/>
        <v>18</v>
      </c>
      <c r="N419" s="303">
        <f>H419-M419</f>
        <v>2182</v>
      </c>
      <c r="O419" s="461" t="s">
        <v>2948</v>
      </c>
      <c r="P419" s="461" t="s">
        <v>369</v>
      </c>
      <c r="Q419" s="451"/>
    </row>
    <row r="420" spans="1:17" ht="12.75" customHeight="1" x14ac:dyDescent="0.25">
      <c r="A420" s="451"/>
      <c r="B420" s="295" t="s">
        <v>2943</v>
      </c>
      <c r="C420" s="452" t="s">
        <v>2924</v>
      </c>
      <c r="D420" s="452" t="s">
        <v>1245</v>
      </c>
      <c r="E420" s="454">
        <v>5300</v>
      </c>
      <c r="F420" s="454">
        <v>150</v>
      </c>
      <c r="G420" s="455">
        <v>12.9</v>
      </c>
      <c r="H420" s="457">
        <f t="shared" si="48"/>
        <v>1935</v>
      </c>
      <c r="I420" s="455">
        <v>27</v>
      </c>
      <c r="J420" s="447"/>
      <c r="K420" s="447"/>
      <c r="L420" s="447"/>
      <c r="M420" s="455">
        <f t="shared" si="45"/>
        <v>27</v>
      </c>
      <c r="N420" s="303">
        <f t="shared" ref="N420:N429" si="49">H420-M420</f>
        <v>1908</v>
      </c>
      <c r="O420" s="461" t="s">
        <v>2948</v>
      </c>
      <c r="P420" s="461" t="s">
        <v>369</v>
      </c>
      <c r="Q420" s="451"/>
    </row>
    <row r="421" spans="1:17" ht="12.75" customHeight="1" x14ac:dyDescent="0.25">
      <c r="A421" s="451"/>
      <c r="B421" s="295" t="s">
        <v>2943</v>
      </c>
      <c r="C421" s="452" t="s">
        <v>2924</v>
      </c>
      <c r="D421" s="452" t="s">
        <v>1245</v>
      </c>
      <c r="E421" s="454">
        <v>5200</v>
      </c>
      <c r="F421" s="454">
        <v>400</v>
      </c>
      <c r="G421" s="455">
        <v>3.6</v>
      </c>
      <c r="H421" s="457">
        <f t="shared" si="48"/>
        <v>1440</v>
      </c>
      <c r="I421" s="455">
        <v>72</v>
      </c>
      <c r="J421" s="447"/>
      <c r="K421" s="447"/>
      <c r="L421" s="447"/>
      <c r="M421" s="455">
        <f t="shared" si="45"/>
        <v>72</v>
      </c>
      <c r="N421" s="303">
        <f t="shared" si="49"/>
        <v>1368</v>
      </c>
      <c r="O421" s="461" t="s">
        <v>2948</v>
      </c>
      <c r="P421" s="461" t="s">
        <v>369</v>
      </c>
      <c r="Q421" s="451"/>
    </row>
    <row r="422" spans="1:17" ht="12.75" customHeight="1" x14ac:dyDescent="0.25">
      <c r="A422" s="451"/>
      <c r="B422" s="295" t="s">
        <v>2955</v>
      </c>
      <c r="C422" s="452" t="s">
        <v>2924</v>
      </c>
      <c r="D422" s="452" t="s">
        <v>1249</v>
      </c>
      <c r="E422" s="454">
        <v>5800</v>
      </c>
      <c r="F422" s="454">
        <v>1000</v>
      </c>
      <c r="G422" s="455">
        <v>12.5</v>
      </c>
      <c r="H422" s="457">
        <f t="shared" si="48"/>
        <v>12500</v>
      </c>
      <c r="I422" s="455">
        <v>180</v>
      </c>
      <c r="J422" s="447"/>
      <c r="K422" s="447"/>
      <c r="L422" s="447"/>
      <c r="M422" s="455">
        <f t="shared" si="45"/>
        <v>180</v>
      </c>
      <c r="N422" s="303">
        <f t="shared" si="49"/>
        <v>12320</v>
      </c>
      <c r="O422" s="461" t="s">
        <v>2954</v>
      </c>
      <c r="P422" s="461" t="s">
        <v>369</v>
      </c>
      <c r="Q422" s="451"/>
    </row>
    <row r="423" spans="1:17" ht="12.75" customHeight="1" x14ac:dyDescent="0.25">
      <c r="A423" s="451"/>
      <c r="B423" s="295" t="s">
        <v>2955</v>
      </c>
      <c r="C423" s="452" t="s">
        <v>2931</v>
      </c>
      <c r="D423" s="452" t="s">
        <v>1245</v>
      </c>
      <c r="E423" s="454">
        <v>11600</v>
      </c>
      <c r="F423" s="454">
        <v>50</v>
      </c>
      <c r="G423" s="455">
        <v>31.75</v>
      </c>
      <c r="H423" s="457">
        <f t="shared" si="48"/>
        <v>1587.5</v>
      </c>
      <c r="I423" s="455">
        <v>18</v>
      </c>
      <c r="J423" s="447"/>
      <c r="K423" s="447"/>
      <c r="L423" s="447"/>
      <c r="M423" s="455">
        <f t="shared" si="45"/>
        <v>18</v>
      </c>
      <c r="N423" s="303">
        <f t="shared" si="49"/>
        <v>1569.5</v>
      </c>
      <c r="O423" s="461" t="s">
        <v>2954</v>
      </c>
      <c r="P423" s="461" t="s">
        <v>369</v>
      </c>
      <c r="Q423" s="451"/>
    </row>
    <row r="424" spans="1:17" ht="12.75" customHeight="1" x14ac:dyDescent="0.25">
      <c r="A424" s="451"/>
      <c r="B424" s="295" t="s">
        <v>2955</v>
      </c>
      <c r="C424" s="452" t="s">
        <v>2931</v>
      </c>
      <c r="D424" s="452" t="s">
        <v>1245</v>
      </c>
      <c r="E424" s="454">
        <v>11600</v>
      </c>
      <c r="F424" s="454">
        <v>150</v>
      </c>
      <c r="G424" s="455">
        <v>31.7</v>
      </c>
      <c r="H424" s="457">
        <f t="shared" si="48"/>
        <v>4755</v>
      </c>
      <c r="I424" s="455">
        <v>54</v>
      </c>
      <c r="J424" s="447"/>
      <c r="K424" s="447"/>
      <c r="L424" s="447"/>
      <c r="M424" s="455">
        <f t="shared" si="45"/>
        <v>54</v>
      </c>
      <c r="N424" s="303">
        <f t="shared" si="49"/>
        <v>4701</v>
      </c>
      <c r="O424" s="461" t="s">
        <v>2954</v>
      </c>
      <c r="P424" s="461" t="s">
        <v>369</v>
      </c>
      <c r="Q424" s="451"/>
    </row>
    <row r="425" spans="1:17" ht="12.75" customHeight="1" x14ac:dyDescent="0.25">
      <c r="A425" s="451"/>
      <c r="B425" s="295" t="s">
        <v>2955</v>
      </c>
      <c r="C425" s="452" t="s">
        <v>2924</v>
      </c>
      <c r="D425" s="452" t="s">
        <v>1249</v>
      </c>
      <c r="E425" s="454">
        <v>5900</v>
      </c>
      <c r="F425" s="454">
        <v>3000</v>
      </c>
      <c r="G425" s="455">
        <v>5.5</v>
      </c>
      <c r="H425" s="457">
        <f t="shared" si="48"/>
        <v>16500</v>
      </c>
      <c r="I425" s="455">
        <v>540</v>
      </c>
      <c r="J425" s="447"/>
      <c r="K425" s="447"/>
      <c r="L425" s="447"/>
      <c r="M425" s="455">
        <f t="shared" si="45"/>
        <v>540</v>
      </c>
      <c r="N425" s="303">
        <f t="shared" si="49"/>
        <v>15960</v>
      </c>
      <c r="O425" s="461" t="s">
        <v>2954</v>
      </c>
      <c r="P425" s="461" t="s">
        <v>369</v>
      </c>
      <c r="Q425" s="451"/>
    </row>
    <row r="426" spans="1:17" ht="12.75" customHeight="1" x14ac:dyDescent="0.25">
      <c r="A426" s="451"/>
      <c r="B426" s="295" t="s">
        <v>3000</v>
      </c>
      <c r="C426" s="452" t="s">
        <v>2924</v>
      </c>
      <c r="D426" s="452" t="s">
        <v>1249</v>
      </c>
      <c r="E426" s="454">
        <v>5800</v>
      </c>
      <c r="F426" s="454">
        <v>50</v>
      </c>
      <c r="G426" s="455">
        <v>32</v>
      </c>
      <c r="H426" s="457">
        <f>F426*G426</f>
        <v>1600</v>
      </c>
      <c r="I426" s="455">
        <v>9</v>
      </c>
      <c r="J426" s="447"/>
      <c r="K426" s="447"/>
      <c r="L426" s="447"/>
      <c r="M426" s="455">
        <f t="shared" ref="M426:M436" si="50">SUM(I426:L426)</f>
        <v>9</v>
      </c>
      <c r="N426" s="303">
        <f t="shared" si="49"/>
        <v>1591</v>
      </c>
      <c r="O426" s="461" t="s">
        <v>3001</v>
      </c>
      <c r="P426" s="461" t="s">
        <v>369</v>
      </c>
      <c r="Q426" s="451"/>
    </row>
    <row r="427" spans="1:17" ht="12.75" customHeight="1" x14ac:dyDescent="0.25">
      <c r="A427" s="451"/>
      <c r="B427" s="295" t="s">
        <v>3000</v>
      </c>
      <c r="C427" s="452" t="s">
        <v>2924</v>
      </c>
      <c r="D427" s="452" t="s">
        <v>1249</v>
      </c>
      <c r="E427" s="454">
        <v>5800</v>
      </c>
      <c r="F427" s="454">
        <v>150</v>
      </c>
      <c r="G427" s="455">
        <v>32</v>
      </c>
      <c r="H427" s="457">
        <f>F427*G427</f>
        <v>4800</v>
      </c>
      <c r="I427" s="455">
        <v>27</v>
      </c>
      <c r="J427" s="447"/>
      <c r="K427" s="447"/>
      <c r="L427" s="447"/>
      <c r="M427" s="455">
        <f t="shared" si="50"/>
        <v>27</v>
      </c>
      <c r="N427" s="303">
        <f t="shared" si="49"/>
        <v>4773</v>
      </c>
      <c r="O427" s="461" t="s">
        <v>3001</v>
      </c>
      <c r="P427" s="461" t="s">
        <v>369</v>
      </c>
      <c r="Q427" s="451"/>
    </row>
    <row r="428" spans="1:17" ht="12.75" customHeight="1" x14ac:dyDescent="0.25">
      <c r="A428" s="451"/>
      <c r="B428" s="295" t="s">
        <v>3000</v>
      </c>
      <c r="C428" s="452" t="s">
        <v>2924</v>
      </c>
      <c r="D428" s="452" t="s">
        <v>1245</v>
      </c>
      <c r="E428" s="454">
        <v>5800</v>
      </c>
      <c r="F428" s="454">
        <v>200</v>
      </c>
      <c r="G428" s="455">
        <v>16.399999999999999</v>
      </c>
      <c r="H428" s="457">
        <f t="shared" ref="H428:H444" si="51">F428*G428</f>
        <v>3279.9999999999995</v>
      </c>
      <c r="I428" s="455">
        <v>36</v>
      </c>
      <c r="J428" s="447"/>
      <c r="K428" s="447"/>
      <c r="L428" s="447"/>
      <c r="M428" s="455">
        <f t="shared" si="50"/>
        <v>36</v>
      </c>
      <c r="N428" s="303">
        <f t="shared" si="49"/>
        <v>3243.9999999999995</v>
      </c>
      <c r="O428" s="461" t="s">
        <v>3001</v>
      </c>
      <c r="P428" s="461" t="s">
        <v>369</v>
      </c>
      <c r="Q428" s="451"/>
    </row>
    <row r="429" spans="1:17" ht="12.75" customHeight="1" x14ac:dyDescent="0.25">
      <c r="A429" s="451"/>
      <c r="B429" s="295" t="s">
        <v>3000</v>
      </c>
      <c r="C429" s="452" t="s">
        <v>2924</v>
      </c>
      <c r="D429" s="452" t="s">
        <v>1245</v>
      </c>
      <c r="E429" s="454">
        <v>5800</v>
      </c>
      <c r="F429" s="454">
        <v>200</v>
      </c>
      <c r="G429" s="455">
        <v>13</v>
      </c>
      <c r="H429" s="457">
        <f t="shared" si="51"/>
        <v>2600</v>
      </c>
      <c r="I429" s="455">
        <v>36</v>
      </c>
      <c r="J429" s="447"/>
      <c r="K429" s="447"/>
      <c r="L429" s="447"/>
      <c r="M429" s="455">
        <f t="shared" si="50"/>
        <v>36</v>
      </c>
      <c r="N429" s="303">
        <f t="shared" si="49"/>
        <v>2564</v>
      </c>
      <c r="O429" s="461" t="s">
        <v>3001</v>
      </c>
      <c r="P429" s="461" t="s">
        <v>369</v>
      </c>
      <c r="Q429" s="451"/>
    </row>
    <row r="430" spans="1:17" ht="12.75" customHeight="1" x14ac:dyDescent="0.25">
      <c r="A430" s="451"/>
      <c r="B430" s="295" t="s">
        <v>3017</v>
      </c>
      <c r="C430" s="452" t="s">
        <v>3009</v>
      </c>
      <c r="D430" s="452" t="s">
        <v>1245</v>
      </c>
      <c r="E430" s="454">
        <v>12400</v>
      </c>
      <c r="F430" s="454">
        <v>50</v>
      </c>
      <c r="G430" s="455">
        <v>126</v>
      </c>
      <c r="H430" s="457">
        <f t="shared" si="51"/>
        <v>6300</v>
      </c>
      <c r="I430" s="455">
        <v>18</v>
      </c>
      <c r="J430" s="447"/>
      <c r="K430" s="447"/>
      <c r="L430" s="447"/>
      <c r="M430" s="455">
        <f t="shared" si="50"/>
        <v>18</v>
      </c>
      <c r="N430" s="303">
        <f t="shared" ref="N430:N436" si="52">H430-M430</f>
        <v>6282</v>
      </c>
      <c r="O430" s="461" t="s">
        <v>3011</v>
      </c>
      <c r="P430" s="461" t="s">
        <v>369</v>
      </c>
      <c r="Q430" s="451"/>
    </row>
    <row r="431" spans="1:17" ht="12.75" customHeight="1" x14ac:dyDescent="0.25">
      <c r="A431" s="451"/>
      <c r="B431" s="295" t="s">
        <v>3017</v>
      </c>
      <c r="C431" s="452" t="s">
        <v>3009</v>
      </c>
      <c r="D431" s="452" t="s">
        <v>1245</v>
      </c>
      <c r="E431" s="454">
        <v>12400</v>
      </c>
      <c r="F431" s="454">
        <v>50</v>
      </c>
      <c r="G431" s="455">
        <v>126</v>
      </c>
      <c r="H431" s="457">
        <f t="shared" si="51"/>
        <v>6300</v>
      </c>
      <c r="I431" s="455">
        <v>18</v>
      </c>
      <c r="J431" s="447"/>
      <c r="K431" s="447"/>
      <c r="L431" s="447"/>
      <c r="M431" s="455">
        <f t="shared" si="50"/>
        <v>18</v>
      </c>
      <c r="N431" s="303">
        <f t="shared" si="52"/>
        <v>6282</v>
      </c>
      <c r="O431" s="461" t="s">
        <v>3011</v>
      </c>
      <c r="P431" s="461" t="s">
        <v>369</v>
      </c>
      <c r="Q431" s="451"/>
    </row>
    <row r="432" spans="1:17" ht="12.75" customHeight="1" x14ac:dyDescent="0.25">
      <c r="A432" s="451"/>
      <c r="B432" s="295" t="s">
        <v>3017</v>
      </c>
      <c r="C432" s="452" t="s">
        <v>3009</v>
      </c>
      <c r="D432" s="452" t="s">
        <v>1245</v>
      </c>
      <c r="E432" s="454">
        <v>12400</v>
      </c>
      <c r="F432" s="454">
        <v>25</v>
      </c>
      <c r="G432" s="455">
        <v>126</v>
      </c>
      <c r="H432" s="457">
        <f t="shared" si="51"/>
        <v>3150</v>
      </c>
      <c r="I432" s="455">
        <v>9</v>
      </c>
      <c r="J432" s="447"/>
      <c r="K432" s="447"/>
      <c r="L432" s="447"/>
      <c r="M432" s="455">
        <f t="shared" si="50"/>
        <v>9</v>
      </c>
      <c r="N432" s="303">
        <f t="shared" si="52"/>
        <v>3141</v>
      </c>
      <c r="O432" s="461" t="s">
        <v>3011</v>
      </c>
      <c r="P432" s="461" t="s">
        <v>369</v>
      </c>
      <c r="Q432" s="451"/>
    </row>
    <row r="433" spans="1:18" ht="12.75" customHeight="1" x14ac:dyDescent="0.25">
      <c r="A433" s="451"/>
      <c r="B433" s="295" t="s">
        <v>3017</v>
      </c>
      <c r="C433" s="452" t="s">
        <v>3009</v>
      </c>
      <c r="D433" s="452" t="s">
        <v>1245</v>
      </c>
      <c r="E433" s="454">
        <v>12400</v>
      </c>
      <c r="F433" s="454">
        <v>25</v>
      </c>
      <c r="G433" s="455">
        <v>126</v>
      </c>
      <c r="H433" s="457">
        <f t="shared" si="51"/>
        <v>3150</v>
      </c>
      <c r="I433" s="455">
        <v>9</v>
      </c>
      <c r="J433" s="458">
        <v>8.31</v>
      </c>
      <c r="K433" s="458">
        <f>3+2</f>
        <v>5</v>
      </c>
      <c r="L433" s="458">
        <v>13.23</v>
      </c>
      <c r="M433" s="455">
        <f t="shared" si="50"/>
        <v>35.540000000000006</v>
      </c>
      <c r="N433" s="303">
        <f t="shared" si="52"/>
        <v>3114.46</v>
      </c>
      <c r="O433" s="461" t="s">
        <v>3011</v>
      </c>
      <c r="P433" s="461" t="s">
        <v>369</v>
      </c>
      <c r="Q433" s="451"/>
    </row>
    <row r="434" spans="1:18" ht="12.75" customHeight="1" x14ac:dyDescent="0.25">
      <c r="A434" s="451"/>
      <c r="B434" s="295" t="s">
        <v>3019</v>
      </c>
      <c r="C434" s="452" t="s">
        <v>3015</v>
      </c>
      <c r="D434" s="452" t="s">
        <v>1249</v>
      </c>
      <c r="E434" s="454">
        <v>6100</v>
      </c>
      <c r="F434" s="454">
        <v>400</v>
      </c>
      <c r="G434" s="455">
        <v>23.3</v>
      </c>
      <c r="H434" s="457">
        <f t="shared" si="51"/>
        <v>9320</v>
      </c>
      <c r="I434" s="455">
        <v>72</v>
      </c>
      <c r="J434" s="447"/>
      <c r="K434" s="447"/>
      <c r="L434" s="447"/>
      <c r="M434" s="455">
        <f t="shared" si="50"/>
        <v>72</v>
      </c>
      <c r="N434" s="303">
        <f t="shared" si="52"/>
        <v>9248</v>
      </c>
      <c r="O434" s="461" t="s">
        <v>3018</v>
      </c>
      <c r="P434" s="461" t="s">
        <v>369</v>
      </c>
      <c r="Q434" s="451"/>
    </row>
    <row r="435" spans="1:18" ht="12.75" customHeight="1" x14ac:dyDescent="0.25">
      <c r="A435" s="451"/>
      <c r="B435" s="295" t="s">
        <v>3019</v>
      </c>
      <c r="C435" s="452" t="s">
        <v>3015</v>
      </c>
      <c r="D435" s="452" t="s">
        <v>1249</v>
      </c>
      <c r="E435" s="454">
        <v>6100</v>
      </c>
      <c r="F435" s="454">
        <v>200</v>
      </c>
      <c r="G435" s="455">
        <v>23.25</v>
      </c>
      <c r="H435" s="457">
        <f t="shared" si="51"/>
        <v>4650</v>
      </c>
      <c r="I435" s="455">
        <v>36</v>
      </c>
      <c r="J435" s="447"/>
      <c r="K435" s="447"/>
      <c r="L435" s="447"/>
      <c r="M435" s="455">
        <f t="shared" si="50"/>
        <v>36</v>
      </c>
      <c r="N435" s="303">
        <f t="shared" si="52"/>
        <v>4614</v>
      </c>
      <c r="O435" s="461" t="s">
        <v>3018</v>
      </c>
      <c r="P435" s="461" t="s">
        <v>369</v>
      </c>
      <c r="Q435" s="451"/>
    </row>
    <row r="436" spans="1:18" ht="12.75" customHeight="1" x14ac:dyDescent="0.25">
      <c r="A436" s="451"/>
      <c r="B436" s="295" t="s">
        <v>3019</v>
      </c>
      <c r="C436" s="452" t="s">
        <v>3015</v>
      </c>
      <c r="D436" s="452" t="s">
        <v>1249</v>
      </c>
      <c r="E436" s="454">
        <v>6100</v>
      </c>
      <c r="F436" s="454">
        <v>400</v>
      </c>
      <c r="G436" s="455">
        <v>23.2</v>
      </c>
      <c r="H436" s="457">
        <f t="shared" si="51"/>
        <v>9280</v>
      </c>
      <c r="I436" s="455">
        <v>72</v>
      </c>
      <c r="J436" s="458">
        <v>24.26</v>
      </c>
      <c r="K436" s="458">
        <f>4+2</f>
        <v>6</v>
      </c>
      <c r="L436" s="458">
        <v>16.28</v>
      </c>
      <c r="M436" s="455">
        <f t="shared" si="50"/>
        <v>118.54</v>
      </c>
      <c r="N436" s="303">
        <f t="shared" si="52"/>
        <v>9161.4599999999991</v>
      </c>
      <c r="O436" s="461" t="s">
        <v>3018</v>
      </c>
      <c r="P436" s="461" t="s">
        <v>369</v>
      </c>
      <c r="Q436" s="451"/>
    </row>
    <row r="437" spans="1:18" ht="12.75" customHeight="1" x14ac:dyDescent="0.25">
      <c r="A437" s="451"/>
      <c r="B437" s="295" t="s">
        <v>3030</v>
      </c>
      <c r="C437" s="452" t="s">
        <v>3022</v>
      </c>
      <c r="D437" s="452" t="s">
        <v>1249</v>
      </c>
      <c r="E437" s="454">
        <v>6100</v>
      </c>
      <c r="F437" s="454">
        <v>250</v>
      </c>
      <c r="G437" s="455">
        <v>5.8</v>
      </c>
      <c r="H437" s="457">
        <f t="shared" si="51"/>
        <v>1450</v>
      </c>
      <c r="I437" s="455">
        <v>45</v>
      </c>
      <c r="J437" s="447"/>
      <c r="K437" s="447"/>
      <c r="L437" s="447"/>
      <c r="M437" s="455">
        <f t="shared" ref="M437:M463" si="53">SUM(I437:L437)</f>
        <v>45</v>
      </c>
      <c r="N437" s="303">
        <f t="shared" ref="N437:N478" si="54">H437-M437</f>
        <v>1405</v>
      </c>
      <c r="O437" s="461" t="s">
        <v>2252</v>
      </c>
      <c r="P437" s="461" t="s">
        <v>369</v>
      </c>
      <c r="Q437" s="451"/>
    </row>
    <row r="438" spans="1:18" ht="12.75" customHeight="1" x14ac:dyDescent="0.25">
      <c r="A438" s="451"/>
      <c r="B438" s="295" t="s">
        <v>3030</v>
      </c>
      <c r="C438" s="452" t="s">
        <v>3022</v>
      </c>
      <c r="D438" s="452" t="s">
        <v>1249</v>
      </c>
      <c r="E438" s="454">
        <v>6100</v>
      </c>
      <c r="F438" s="454">
        <v>750</v>
      </c>
      <c r="G438" s="455">
        <v>5.8</v>
      </c>
      <c r="H438" s="457">
        <f t="shared" si="51"/>
        <v>4350</v>
      </c>
      <c r="I438" s="455">
        <v>135</v>
      </c>
      <c r="J438" s="447"/>
      <c r="K438" s="447"/>
      <c r="L438" s="447"/>
      <c r="M438" s="455">
        <f t="shared" si="53"/>
        <v>135</v>
      </c>
      <c r="N438" s="303">
        <f t="shared" si="54"/>
        <v>4215</v>
      </c>
      <c r="O438" s="461" t="s">
        <v>2252</v>
      </c>
      <c r="P438" s="461" t="s">
        <v>369</v>
      </c>
      <c r="Q438" s="451"/>
    </row>
    <row r="439" spans="1:18" ht="12.75" customHeight="1" x14ac:dyDescent="0.25">
      <c r="A439" s="451"/>
      <c r="B439" s="295" t="s">
        <v>3048</v>
      </c>
      <c r="C439" s="452" t="s">
        <v>3035</v>
      </c>
      <c r="D439" s="452" t="s">
        <v>1249</v>
      </c>
      <c r="E439" s="454">
        <v>5900</v>
      </c>
      <c r="F439" s="454">
        <v>700</v>
      </c>
      <c r="G439" s="455">
        <v>5.55</v>
      </c>
      <c r="H439" s="457">
        <f t="shared" si="51"/>
        <v>3885</v>
      </c>
      <c r="I439" s="455">
        <v>126</v>
      </c>
      <c r="J439" s="458">
        <v>15.91</v>
      </c>
      <c r="K439" s="458">
        <f>1+1</f>
        <v>2</v>
      </c>
      <c r="L439" s="458">
        <v>2.72</v>
      </c>
      <c r="M439" s="455">
        <f t="shared" si="53"/>
        <v>146.63</v>
      </c>
      <c r="N439" s="303">
        <f t="shared" si="54"/>
        <v>3738.37</v>
      </c>
      <c r="O439" s="461" t="s">
        <v>689</v>
      </c>
      <c r="P439" s="461" t="s">
        <v>369</v>
      </c>
      <c r="Q439" s="451"/>
    </row>
    <row r="440" spans="1:18" ht="12.75" customHeight="1" x14ac:dyDescent="0.25">
      <c r="A440" s="451"/>
      <c r="B440" s="295" t="s">
        <v>3062</v>
      </c>
      <c r="C440" s="452" t="s">
        <v>3060</v>
      </c>
      <c r="D440" s="452" t="s">
        <v>1245</v>
      </c>
      <c r="E440" s="454">
        <v>5600</v>
      </c>
      <c r="F440" s="454">
        <v>700</v>
      </c>
      <c r="G440" s="455">
        <v>5.55</v>
      </c>
      <c r="H440" s="457">
        <f t="shared" si="51"/>
        <v>3885</v>
      </c>
      <c r="I440" s="455">
        <v>126</v>
      </c>
      <c r="J440" s="458">
        <v>15.91</v>
      </c>
      <c r="K440" s="458">
        <f>1+1</f>
        <v>2</v>
      </c>
      <c r="L440" s="458">
        <v>2.72</v>
      </c>
      <c r="M440" s="455">
        <f t="shared" si="53"/>
        <v>146.63</v>
      </c>
      <c r="N440" s="303">
        <f t="shared" si="54"/>
        <v>3738.37</v>
      </c>
      <c r="O440" s="461" t="s">
        <v>2057</v>
      </c>
      <c r="P440" s="461" t="s">
        <v>369</v>
      </c>
      <c r="Q440" s="451"/>
    </row>
    <row r="441" spans="1:18" ht="12.75" customHeight="1" x14ac:dyDescent="0.25">
      <c r="A441" s="451"/>
      <c r="B441" s="295" t="s">
        <v>3063</v>
      </c>
      <c r="C441" s="295" t="s">
        <v>3060</v>
      </c>
      <c r="D441" s="325" t="s">
        <v>1245</v>
      </c>
      <c r="E441" s="2">
        <v>5700</v>
      </c>
      <c r="F441" s="2">
        <v>250</v>
      </c>
      <c r="G441" s="60">
        <v>6.05</v>
      </c>
      <c r="H441" s="457">
        <f t="shared" si="51"/>
        <v>1512.5</v>
      </c>
      <c r="I441" s="60">
        <v>45</v>
      </c>
      <c r="J441" s="447"/>
      <c r="K441" s="447"/>
      <c r="L441" s="447"/>
      <c r="M441" s="455">
        <f t="shared" si="53"/>
        <v>45</v>
      </c>
      <c r="N441" s="303">
        <f t="shared" si="54"/>
        <v>1467.5</v>
      </c>
      <c r="O441" s="461" t="s">
        <v>45</v>
      </c>
      <c r="P441" s="459" t="s">
        <v>369</v>
      </c>
      <c r="Q441" s="451"/>
    </row>
    <row r="442" spans="1:18" ht="13.2" x14ac:dyDescent="0.25">
      <c r="A442" s="451"/>
      <c r="B442" s="295" t="s">
        <v>3070</v>
      </c>
      <c r="C442" s="452" t="s">
        <v>3060</v>
      </c>
      <c r="D442" s="452" t="s">
        <v>1245</v>
      </c>
      <c r="E442" s="454">
        <v>5900</v>
      </c>
      <c r="F442" s="454">
        <v>100</v>
      </c>
      <c r="G442" s="455">
        <v>72</v>
      </c>
      <c r="H442" s="457">
        <f t="shared" si="51"/>
        <v>7200</v>
      </c>
      <c r="I442" s="455">
        <v>18</v>
      </c>
      <c r="J442" s="447"/>
      <c r="K442" s="447"/>
      <c r="L442" s="447"/>
      <c r="M442" s="455">
        <f t="shared" si="53"/>
        <v>18</v>
      </c>
      <c r="N442" s="303">
        <f t="shared" si="54"/>
        <v>7182</v>
      </c>
      <c r="O442" s="459" t="s">
        <v>51</v>
      </c>
      <c r="P442" s="459" t="s">
        <v>369</v>
      </c>
      <c r="Q442" s="451"/>
      <c r="R442" s="247"/>
    </row>
    <row r="443" spans="1:18" ht="12.75" customHeight="1" x14ac:dyDescent="0.25">
      <c r="A443" s="451"/>
      <c r="B443" s="295" t="s">
        <v>3070</v>
      </c>
      <c r="C443" s="452" t="s">
        <v>3060</v>
      </c>
      <c r="D443" s="452" t="s">
        <v>1245</v>
      </c>
      <c r="E443" s="454">
        <v>5900</v>
      </c>
      <c r="F443" s="454">
        <v>50</v>
      </c>
      <c r="G443" s="455">
        <v>72</v>
      </c>
      <c r="H443" s="457">
        <f t="shared" si="51"/>
        <v>3600</v>
      </c>
      <c r="I443" s="455">
        <v>9</v>
      </c>
      <c r="J443" s="447"/>
      <c r="K443" s="447"/>
      <c r="L443" s="447"/>
      <c r="M443" s="455">
        <f t="shared" si="53"/>
        <v>9</v>
      </c>
      <c r="N443" s="303">
        <f t="shared" si="54"/>
        <v>3591</v>
      </c>
      <c r="O443" s="459" t="s">
        <v>51</v>
      </c>
      <c r="P443" s="461" t="s">
        <v>369</v>
      </c>
      <c r="Q443" s="451"/>
    </row>
    <row r="444" spans="1:18" ht="12.75" customHeight="1" x14ac:dyDescent="0.25">
      <c r="A444" s="451"/>
      <c r="B444" s="295" t="s">
        <v>3070</v>
      </c>
      <c r="C444" s="452" t="s">
        <v>3060</v>
      </c>
      <c r="D444" s="452" t="s">
        <v>1245</v>
      </c>
      <c r="E444" s="454">
        <v>5900</v>
      </c>
      <c r="F444" s="454">
        <v>100</v>
      </c>
      <c r="G444" s="455">
        <v>72</v>
      </c>
      <c r="H444" s="457">
        <f t="shared" si="51"/>
        <v>7200</v>
      </c>
      <c r="I444" s="455">
        <v>18</v>
      </c>
      <c r="J444" s="458">
        <v>7.12</v>
      </c>
      <c r="K444" s="458">
        <f>3+2</f>
        <v>5</v>
      </c>
      <c r="L444" s="458">
        <v>12.6</v>
      </c>
      <c r="M444" s="455">
        <f t="shared" si="53"/>
        <v>42.72</v>
      </c>
      <c r="N444" s="303">
        <f t="shared" si="54"/>
        <v>7157.28</v>
      </c>
      <c r="O444" s="459" t="s">
        <v>51</v>
      </c>
      <c r="P444" s="461" t="s">
        <v>369</v>
      </c>
      <c r="Q444" s="451"/>
    </row>
    <row r="445" spans="1:18" ht="12.75" customHeight="1" x14ac:dyDescent="0.25">
      <c r="A445" s="451"/>
      <c r="B445" s="295" t="s">
        <v>3071</v>
      </c>
      <c r="C445" s="295" t="s">
        <v>3060</v>
      </c>
      <c r="D445" s="452" t="s">
        <v>1245</v>
      </c>
      <c r="E445" s="454">
        <v>5900</v>
      </c>
      <c r="F445" s="454">
        <v>100</v>
      </c>
      <c r="G445" s="455">
        <v>14.2</v>
      </c>
      <c r="H445" s="457">
        <f t="shared" ref="H445:H463" si="55">F445*G445</f>
        <v>1420</v>
      </c>
      <c r="I445" s="455">
        <v>18</v>
      </c>
      <c r="J445" s="447"/>
      <c r="K445" s="447"/>
      <c r="L445" s="447"/>
      <c r="M445" s="455">
        <f t="shared" si="53"/>
        <v>18</v>
      </c>
      <c r="N445" s="303">
        <f t="shared" si="54"/>
        <v>1402</v>
      </c>
      <c r="O445" s="461" t="s">
        <v>2067</v>
      </c>
      <c r="P445" s="459" t="s">
        <v>369</v>
      </c>
      <c r="Q445" s="451"/>
    </row>
    <row r="446" spans="1:18" ht="12.75" customHeight="1" x14ac:dyDescent="0.25">
      <c r="A446" s="451"/>
      <c r="B446" s="295" t="s">
        <v>3078</v>
      </c>
      <c r="C446" s="452" t="s">
        <v>3075</v>
      </c>
      <c r="D446" s="452" t="s">
        <v>1245</v>
      </c>
      <c r="E446" s="454">
        <v>5600</v>
      </c>
      <c r="F446" s="454">
        <v>300</v>
      </c>
      <c r="G446" s="455">
        <v>49.25</v>
      </c>
      <c r="H446" s="457">
        <f t="shared" si="55"/>
        <v>14775</v>
      </c>
      <c r="I446" s="455">
        <v>54</v>
      </c>
      <c r="J446" s="451">
        <v>21.27</v>
      </c>
      <c r="K446" s="458">
        <f>3+3</f>
        <v>6</v>
      </c>
      <c r="L446" s="451">
        <v>28.08</v>
      </c>
      <c r="M446" s="455">
        <f t="shared" si="53"/>
        <v>109.35</v>
      </c>
      <c r="N446" s="303">
        <f t="shared" si="54"/>
        <v>14665.65</v>
      </c>
      <c r="O446" s="461" t="s">
        <v>2280</v>
      </c>
      <c r="P446" s="459" t="s">
        <v>369</v>
      </c>
      <c r="Q446" s="451"/>
    </row>
    <row r="447" spans="1:18" ht="12.75" customHeight="1" x14ac:dyDescent="0.25">
      <c r="A447" s="451"/>
      <c r="B447" s="295" t="s">
        <v>3080</v>
      </c>
      <c r="C447" s="452" t="s">
        <v>3075</v>
      </c>
      <c r="D447" s="452" t="s">
        <v>1249</v>
      </c>
      <c r="E447" s="454">
        <v>6200</v>
      </c>
      <c r="F447" s="454">
        <v>200</v>
      </c>
      <c r="G447" s="455">
        <v>49.9</v>
      </c>
      <c r="H447" s="457">
        <f t="shared" si="55"/>
        <v>9980</v>
      </c>
      <c r="I447" s="455">
        <v>36</v>
      </c>
      <c r="J447" s="450"/>
      <c r="K447" s="450"/>
      <c r="L447" s="473"/>
      <c r="M447" s="455">
        <f t="shared" si="53"/>
        <v>36</v>
      </c>
      <c r="N447" s="303">
        <f t="shared" si="54"/>
        <v>9944</v>
      </c>
      <c r="O447" s="461" t="s">
        <v>1447</v>
      </c>
      <c r="P447" s="459" t="s">
        <v>369</v>
      </c>
      <c r="Q447" s="451"/>
    </row>
    <row r="448" spans="1:18" ht="12.75" customHeight="1" x14ac:dyDescent="0.25">
      <c r="A448" s="451"/>
      <c r="B448" s="295" t="s">
        <v>3080</v>
      </c>
      <c r="C448" s="452" t="s">
        <v>3075</v>
      </c>
      <c r="D448" s="452" t="s">
        <v>1249</v>
      </c>
      <c r="E448" s="454">
        <v>6200</v>
      </c>
      <c r="F448" s="454">
        <v>50</v>
      </c>
      <c r="G448" s="455">
        <v>49.85</v>
      </c>
      <c r="H448" s="457">
        <f t="shared" si="55"/>
        <v>2492.5</v>
      </c>
      <c r="I448" s="455">
        <v>9</v>
      </c>
      <c r="J448" s="450"/>
      <c r="K448" s="450"/>
      <c r="L448" s="473"/>
      <c r="M448" s="455">
        <f t="shared" si="53"/>
        <v>9</v>
      </c>
      <c r="N448" s="303">
        <f t="shared" si="54"/>
        <v>2483.5</v>
      </c>
      <c r="O448" s="461" t="s">
        <v>1447</v>
      </c>
      <c r="P448" s="459" t="s">
        <v>369</v>
      </c>
      <c r="Q448" s="451"/>
    </row>
    <row r="449" spans="1:18" ht="12.75" customHeight="1" x14ac:dyDescent="0.25">
      <c r="A449" s="451"/>
      <c r="B449" s="295" t="s">
        <v>3080</v>
      </c>
      <c r="C449" s="452" t="s">
        <v>3075</v>
      </c>
      <c r="D449" s="452" t="s">
        <v>1249</v>
      </c>
      <c r="E449" s="454">
        <v>6200</v>
      </c>
      <c r="F449" s="454">
        <v>100</v>
      </c>
      <c r="G449" s="455">
        <v>49.8</v>
      </c>
      <c r="H449" s="457">
        <f t="shared" si="55"/>
        <v>4980</v>
      </c>
      <c r="I449" s="455">
        <v>18</v>
      </c>
      <c r="J449" s="450"/>
      <c r="K449" s="450"/>
      <c r="L449" s="473"/>
      <c r="M449" s="455">
        <f t="shared" si="53"/>
        <v>18</v>
      </c>
      <c r="N449" s="303">
        <f t="shared" si="54"/>
        <v>4962</v>
      </c>
      <c r="O449" s="461" t="s">
        <v>1447</v>
      </c>
      <c r="P449" s="461" t="s">
        <v>369</v>
      </c>
      <c r="Q449" s="451"/>
    </row>
    <row r="450" spans="1:18" ht="12.75" customHeight="1" x14ac:dyDescent="0.25">
      <c r="A450" s="451"/>
      <c r="B450" s="295" t="s">
        <v>3080</v>
      </c>
      <c r="C450" s="452" t="s">
        <v>3075</v>
      </c>
      <c r="D450" s="452" t="s">
        <v>1245</v>
      </c>
      <c r="E450" s="454">
        <v>5600</v>
      </c>
      <c r="F450" s="454">
        <v>50</v>
      </c>
      <c r="G450" s="455">
        <v>43.3</v>
      </c>
      <c r="H450" s="457">
        <f t="shared" si="55"/>
        <v>2165</v>
      </c>
      <c r="I450" s="455">
        <v>9</v>
      </c>
      <c r="J450" s="450"/>
      <c r="K450" s="450"/>
      <c r="L450" s="473"/>
      <c r="M450" s="455">
        <f t="shared" si="53"/>
        <v>9</v>
      </c>
      <c r="N450" s="303">
        <f t="shared" si="54"/>
        <v>2156</v>
      </c>
      <c r="O450" s="461" t="s">
        <v>1447</v>
      </c>
      <c r="P450" s="461" t="s">
        <v>369</v>
      </c>
      <c r="Q450" s="451"/>
    </row>
    <row r="451" spans="1:18" ht="13.2" x14ac:dyDescent="0.25">
      <c r="A451" s="451"/>
      <c r="B451" s="295" t="s">
        <v>3080</v>
      </c>
      <c r="C451" s="452" t="s">
        <v>3075</v>
      </c>
      <c r="D451" s="452" t="s">
        <v>1245</v>
      </c>
      <c r="E451" s="454">
        <v>5600</v>
      </c>
      <c r="F451" s="454">
        <v>250</v>
      </c>
      <c r="G451" s="455">
        <v>43.3</v>
      </c>
      <c r="H451" s="457">
        <f t="shared" si="55"/>
        <v>10825</v>
      </c>
      <c r="I451" s="455">
        <v>45</v>
      </c>
      <c r="J451" s="450"/>
      <c r="K451" s="450"/>
      <c r="L451" s="473"/>
      <c r="M451" s="455">
        <f t="shared" si="53"/>
        <v>45</v>
      </c>
      <c r="N451" s="303">
        <f t="shared" si="54"/>
        <v>10780</v>
      </c>
      <c r="O451" s="461" t="s">
        <v>1447</v>
      </c>
      <c r="P451" s="459" t="s">
        <v>369</v>
      </c>
      <c r="Q451" s="451"/>
      <c r="R451" s="247"/>
    </row>
    <row r="452" spans="1:18" ht="12.75" customHeight="1" x14ac:dyDescent="0.25">
      <c r="A452" s="451"/>
      <c r="B452" s="295" t="s">
        <v>3080</v>
      </c>
      <c r="C452" s="452" t="s">
        <v>3075</v>
      </c>
      <c r="D452" s="452" t="s">
        <v>1245</v>
      </c>
      <c r="E452" s="454">
        <v>5600</v>
      </c>
      <c r="F452" s="454">
        <v>200</v>
      </c>
      <c r="G452" s="455">
        <v>43.25</v>
      </c>
      <c r="H452" s="457">
        <f t="shared" si="55"/>
        <v>8650</v>
      </c>
      <c r="I452" s="455">
        <v>36</v>
      </c>
      <c r="J452" s="458">
        <v>44.53</v>
      </c>
      <c r="K452" s="458">
        <f>7+5</f>
        <v>12</v>
      </c>
      <c r="L452" s="458">
        <v>54.28</v>
      </c>
      <c r="M452" s="455">
        <f t="shared" si="53"/>
        <v>146.81</v>
      </c>
      <c r="N452" s="303">
        <f t="shared" si="54"/>
        <v>8503.19</v>
      </c>
      <c r="O452" s="461" t="s">
        <v>1447</v>
      </c>
      <c r="P452" s="461" t="s">
        <v>369</v>
      </c>
      <c r="Q452" s="451"/>
    </row>
    <row r="453" spans="1:18" ht="12.75" customHeight="1" x14ac:dyDescent="0.25">
      <c r="A453" s="451"/>
      <c r="B453" s="295" t="s">
        <v>3081</v>
      </c>
      <c r="C453" s="452" t="s">
        <v>3075</v>
      </c>
      <c r="D453" s="452" t="s">
        <v>1245</v>
      </c>
      <c r="E453" s="454">
        <v>5500</v>
      </c>
      <c r="F453" s="454">
        <v>500</v>
      </c>
      <c r="G453" s="455">
        <v>22.05</v>
      </c>
      <c r="H453" s="457">
        <f t="shared" si="55"/>
        <v>11025</v>
      </c>
      <c r="I453" s="455">
        <v>90</v>
      </c>
      <c r="J453" s="458">
        <v>18.59</v>
      </c>
      <c r="K453" s="458">
        <f>2+2</f>
        <v>4</v>
      </c>
      <c r="L453" s="458">
        <v>15.41</v>
      </c>
      <c r="M453" s="455">
        <f t="shared" si="53"/>
        <v>128</v>
      </c>
      <c r="N453" s="303">
        <f t="shared" si="54"/>
        <v>10897</v>
      </c>
      <c r="O453" s="461" t="s">
        <v>115</v>
      </c>
      <c r="P453" s="461" t="s">
        <v>369</v>
      </c>
      <c r="Q453" s="451"/>
    </row>
    <row r="454" spans="1:18" ht="12.75" customHeight="1" x14ac:dyDescent="0.25">
      <c r="A454" s="451"/>
      <c r="B454" s="295" t="s">
        <v>3082</v>
      </c>
      <c r="C454" s="452" t="s">
        <v>3075</v>
      </c>
      <c r="D454" s="452" t="s">
        <v>1245</v>
      </c>
      <c r="E454" s="454">
        <v>5600</v>
      </c>
      <c r="F454" s="454">
        <v>200</v>
      </c>
      <c r="G454" s="455">
        <v>30.9</v>
      </c>
      <c r="H454" s="457">
        <f t="shared" si="55"/>
        <v>6180</v>
      </c>
      <c r="I454" s="455">
        <v>36</v>
      </c>
      <c r="J454" s="450"/>
      <c r="K454" s="450"/>
      <c r="L454" s="473"/>
      <c r="M454" s="455">
        <f t="shared" si="53"/>
        <v>36</v>
      </c>
      <c r="N454" s="303">
        <f t="shared" si="54"/>
        <v>6144</v>
      </c>
      <c r="O454" s="461" t="s">
        <v>2285</v>
      </c>
      <c r="P454" s="461" t="s">
        <v>369</v>
      </c>
      <c r="Q454" s="451"/>
    </row>
    <row r="455" spans="1:18" ht="12.75" customHeight="1" x14ac:dyDescent="0.25">
      <c r="A455" s="451"/>
      <c r="B455" s="295" t="s">
        <v>3082</v>
      </c>
      <c r="C455" s="452" t="s">
        <v>3075</v>
      </c>
      <c r="D455" s="452" t="s">
        <v>1245</v>
      </c>
      <c r="E455" s="454">
        <v>5600</v>
      </c>
      <c r="F455" s="454">
        <v>50</v>
      </c>
      <c r="G455" s="455">
        <v>30.9</v>
      </c>
      <c r="H455" s="457">
        <f t="shared" si="55"/>
        <v>1545</v>
      </c>
      <c r="I455" s="455">
        <v>9</v>
      </c>
      <c r="J455" s="450"/>
      <c r="K455" s="450"/>
      <c r="L455" s="473"/>
      <c r="M455" s="455">
        <f t="shared" si="53"/>
        <v>9</v>
      </c>
      <c r="N455" s="303">
        <f t="shared" si="54"/>
        <v>1536</v>
      </c>
      <c r="O455" s="461" t="s">
        <v>2285</v>
      </c>
      <c r="P455" s="461" t="s">
        <v>369</v>
      </c>
      <c r="Q455" s="451"/>
    </row>
    <row r="456" spans="1:18" ht="12.75" customHeight="1" x14ac:dyDescent="0.25">
      <c r="A456" s="451"/>
      <c r="B456" s="295" t="s">
        <v>3082</v>
      </c>
      <c r="C456" s="452" t="s">
        <v>3075</v>
      </c>
      <c r="D456" s="452" t="s">
        <v>1249</v>
      </c>
      <c r="E456" s="454">
        <v>6300</v>
      </c>
      <c r="F456" s="454">
        <v>150</v>
      </c>
      <c r="G456" s="455">
        <v>37.450000000000003</v>
      </c>
      <c r="H456" s="457">
        <f t="shared" si="55"/>
        <v>5617.5</v>
      </c>
      <c r="I456" s="455">
        <v>27</v>
      </c>
      <c r="J456" s="450"/>
      <c r="K456" s="450"/>
      <c r="L456" s="473"/>
      <c r="M456" s="455">
        <f t="shared" si="53"/>
        <v>27</v>
      </c>
      <c r="N456" s="303">
        <f t="shared" si="54"/>
        <v>5590.5</v>
      </c>
      <c r="O456" s="461" t="s">
        <v>2285</v>
      </c>
      <c r="P456" s="461" t="s">
        <v>369</v>
      </c>
      <c r="Q456" s="451"/>
    </row>
    <row r="457" spans="1:18" ht="12.75" customHeight="1" x14ac:dyDescent="0.25">
      <c r="A457" s="451"/>
      <c r="B457" s="295" t="s">
        <v>3082</v>
      </c>
      <c r="C457" s="452" t="s">
        <v>3075</v>
      </c>
      <c r="D457" s="452" t="s">
        <v>1249</v>
      </c>
      <c r="E457" s="454">
        <v>6300</v>
      </c>
      <c r="F457" s="454">
        <v>50</v>
      </c>
      <c r="G457" s="455">
        <v>37.450000000000003</v>
      </c>
      <c r="H457" s="457">
        <f t="shared" si="55"/>
        <v>1872.5000000000002</v>
      </c>
      <c r="I457" s="455">
        <v>9</v>
      </c>
      <c r="J457" s="450"/>
      <c r="K457" s="450"/>
      <c r="L457" s="473"/>
      <c r="M457" s="455">
        <f t="shared" si="53"/>
        <v>9</v>
      </c>
      <c r="N457" s="303">
        <f t="shared" si="54"/>
        <v>1863.5000000000002</v>
      </c>
      <c r="O457" s="461" t="s">
        <v>2285</v>
      </c>
      <c r="P457" s="461" t="s">
        <v>369</v>
      </c>
      <c r="Q457" s="451"/>
    </row>
    <row r="458" spans="1:18" ht="12.75" customHeight="1" x14ac:dyDescent="0.25">
      <c r="A458" s="451"/>
      <c r="B458" s="295" t="s">
        <v>3082</v>
      </c>
      <c r="C458" s="452" t="s">
        <v>3075</v>
      </c>
      <c r="D458" s="452" t="s">
        <v>1249</v>
      </c>
      <c r="E458" s="454">
        <v>6300</v>
      </c>
      <c r="F458" s="454">
        <v>50</v>
      </c>
      <c r="G458" s="455">
        <v>37.450000000000003</v>
      </c>
      <c r="H458" s="457">
        <f t="shared" si="55"/>
        <v>1872.5000000000002</v>
      </c>
      <c r="I458" s="455">
        <v>9</v>
      </c>
      <c r="J458" s="458">
        <v>22.93</v>
      </c>
      <c r="K458" s="458">
        <f>3+3</f>
        <v>6</v>
      </c>
      <c r="L458" s="458">
        <v>23.51</v>
      </c>
      <c r="M458" s="455">
        <f t="shared" si="53"/>
        <v>61.44</v>
      </c>
      <c r="N458" s="303">
        <f t="shared" si="54"/>
        <v>1811.0600000000002</v>
      </c>
      <c r="O458" s="461" t="s">
        <v>2285</v>
      </c>
      <c r="P458" s="461" t="s">
        <v>369</v>
      </c>
      <c r="Q458" s="451"/>
    </row>
    <row r="459" spans="1:18" ht="12.75" customHeight="1" x14ac:dyDescent="0.25">
      <c r="A459" s="451"/>
      <c r="B459" s="295" t="s">
        <v>3086</v>
      </c>
      <c r="C459" s="452" t="s">
        <v>3075</v>
      </c>
      <c r="D459" s="452" t="s">
        <v>1249</v>
      </c>
      <c r="E459" s="454">
        <v>6300</v>
      </c>
      <c r="F459" s="454">
        <v>150</v>
      </c>
      <c r="G459" s="455">
        <v>42</v>
      </c>
      <c r="H459" s="457">
        <f t="shared" si="55"/>
        <v>6300</v>
      </c>
      <c r="I459" s="455">
        <v>27</v>
      </c>
      <c r="J459" s="458">
        <v>8.8800000000000008</v>
      </c>
      <c r="K459" s="458">
        <f>1+1</f>
        <v>2</v>
      </c>
      <c r="L459" s="458">
        <v>8.81</v>
      </c>
      <c r="M459" s="455">
        <f t="shared" si="53"/>
        <v>46.690000000000005</v>
      </c>
      <c r="N459" s="303">
        <f t="shared" si="54"/>
        <v>6253.31</v>
      </c>
      <c r="O459" s="463" t="s">
        <v>94</v>
      </c>
      <c r="P459" s="461" t="s">
        <v>369</v>
      </c>
      <c r="Q459" s="451"/>
    </row>
    <row r="460" spans="1:18" ht="12.75" customHeight="1" x14ac:dyDescent="0.25">
      <c r="A460" s="451"/>
      <c r="B460" s="295" t="s">
        <v>3087</v>
      </c>
      <c r="C460" s="452" t="s">
        <v>3075</v>
      </c>
      <c r="D460" s="452" t="s">
        <v>1245</v>
      </c>
      <c r="E460" s="454">
        <v>5800</v>
      </c>
      <c r="F460" s="454">
        <v>150</v>
      </c>
      <c r="G460" s="455">
        <v>21.4</v>
      </c>
      <c r="H460" s="457">
        <f t="shared" si="55"/>
        <v>3210</v>
      </c>
      <c r="I460" s="455">
        <v>27</v>
      </c>
      <c r="J460" s="450"/>
      <c r="K460" s="450"/>
      <c r="L460" s="473"/>
      <c r="M460" s="455">
        <f t="shared" si="53"/>
        <v>27</v>
      </c>
      <c r="N460" s="303">
        <f t="shared" si="54"/>
        <v>3183</v>
      </c>
      <c r="O460" s="465" t="s">
        <v>1580</v>
      </c>
      <c r="P460" s="461" t="s">
        <v>369</v>
      </c>
      <c r="Q460" s="451"/>
    </row>
    <row r="461" spans="1:18" ht="12.75" customHeight="1" x14ac:dyDescent="0.25">
      <c r="A461" s="451"/>
      <c r="B461" s="295" t="s">
        <v>3087</v>
      </c>
      <c r="C461" s="452" t="s">
        <v>3075</v>
      </c>
      <c r="D461" s="452" t="s">
        <v>1245</v>
      </c>
      <c r="E461" s="454">
        <v>5800</v>
      </c>
      <c r="F461" s="454">
        <v>50</v>
      </c>
      <c r="G461" s="455">
        <v>21.4</v>
      </c>
      <c r="H461" s="457">
        <f t="shared" si="55"/>
        <v>1070</v>
      </c>
      <c r="I461" s="455">
        <v>9</v>
      </c>
      <c r="J461" s="458">
        <v>21.87</v>
      </c>
      <c r="K461" s="458">
        <f>1+2</f>
        <v>3</v>
      </c>
      <c r="L461" s="458">
        <v>14.95</v>
      </c>
      <c r="M461" s="455">
        <f t="shared" si="53"/>
        <v>48.820000000000007</v>
      </c>
      <c r="N461" s="303">
        <f t="shared" si="54"/>
        <v>1021.18</v>
      </c>
      <c r="O461" s="465" t="s">
        <v>1580</v>
      </c>
      <c r="P461" s="461" t="s">
        <v>369</v>
      </c>
      <c r="Q461" s="451"/>
    </row>
    <row r="462" spans="1:18" ht="12.75" customHeight="1" x14ac:dyDescent="0.25">
      <c r="A462" s="451"/>
      <c r="B462" s="295" t="s">
        <v>3093</v>
      </c>
      <c r="C462" s="452" t="s">
        <v>3075</v>
      </c>
      <c r="D462" s="452" t="s">
        <v>1249</v>
      </c>
      <c r="E462" s="454">
        <v>6300</v>
      </c>
      <c r="F462" s="454">
        <v>600</v>
      </c>
      <c r="G462" s="455">
        <v>40.35</v>
      </c>
      <c r="H462" s="457">
        <f t="shared" si="55"/>
        <v>24210</v>
      </c>
      <c r="I462" s="455">
        <v>108</v>
      </c>
      <c r="J462" s="447"/>
      <c r="K462" s="447"/>
      <c r="L462" s="447"/>
      <c r="M462" s="455">
        <f t="shared" si="53"/>
        <v>108</v>
      </c>
      <c r="N462" s="303">
        <f t="shared" si="54"/>
        <v>24102</v>
      </c>
      <c r="O462" s="461" t="s">
        <v>722</v>
      </c>
      <c r="P462" s="461" t="s">
        <v>369</v>
      </c>
      <c r="Q462" s="451"/>
    </row>
    <row r="463" spans="1:18" ht="12.75" customHeight="1" x14ac:dyDescent="0.25">
      <c r="A463" s="451"/>
      <c r="B463" s="295" t="s">
        <v>3093</v>
      </c>
      <c r="C463" s="452" t="s">
        <v>3075</v>
      </c>
      <c r="D463" s="452" t="s">
        <v>1249</v>
      </c>
      <c r="E463" s="454">
        <v>6300</v>
      </c>
      <c r="F463" s="454">
        <v>100</v>
      </c>
      <c r="G463" s="455">
        <v>40.35</v>
      </c>
      <c r="H463" s="457">
        <f t="shared" si="55"/>
        <v>4035</v>
      </c>
      <c r="I463" s="455">
        <v>18</v>
      </c>
      <c r="J463" s="447"/>
      <c r="K463" s="447"/>
      <c r="L463" s="447"/>
      <c r="M463" s="455">
        <f t="shared" si="53"/>
        <v>18</v>
      </c>
      <c r="N463" s="303">
        <f t="shared" si="54"/>
        <v>4017</v>
      </c>
      <c r="O463" s="461" t="s">
        <v>722</v>
      </c>
      <c r="P463" s="461" t="s">
        <v>369</v>
      </c>
      <c r="Q463" s="451"/>
    </row>
    <row r="464" spans="1:18" ht="12.75" customHeight="1" x14ac:dyDescent="0.25">
      <c r="A464" s="451"/>
      <c r="B464" s="295" t="s">
        <v>3095</v>
      </c>
      <c r="C464" s="452" t="s">
        <v>3075</v>
      </c>
      <c r="D464" s="452" t="s">
        <v>1249</v>
      </c>
      <c r="E464" s="454">
        <v>6400</v>
      </c>
      <c r="F464" s="454">
        <v>400</v>
      </c>
      <c r="G464" s="455">
        <v>14.7</v>
      </c>
      <c r="H464" s="457">
        <f t="shared" ref="H464:H469" si="56">F464*G464</f>
        <v>5880</v>
      </c>
      <c r="I464" s="455">
        <v>72</v>
      </c>
      <c r="J464" s="447"/>
      <c r="K464" s="447"/>
      <c r="L464" s="447"/>
      <c r="M464" s="455">
        <f t="shared" ref="M464:M469" si="57">SUM(I464:L464)</f>
        <v>72</v>
      </c>
      <c r="N464" s="303">
        <f t="shared" si="54"/>
        <v>5808</v>
      </c>
      <c r="O464" s="465" t="s">
        <v>3094</v>
      </c>
      <c r="P464" s="461" t="s">
        <v>369</v>
      </c>
      <c r="Q464" s="451"/>
    </row>
    <row r="465" spans="1:17" ht="13.2" x14ac:dyDescent="0.25">
      <c r="A465" s="451"/>
      <c r="B465" s="295" t="s">
        <v>3095</v>
      </c>
      <c r="C465" s="452" t="s">
        <v>3075</v>
      </c>
      <c r="D465" s="452" t="s">
        <v>1249</v>
      </c>
      <c r="E465" s="454">
        <v>6400</v>
      </c>
      <c r="F465" s="454">
        <v>100</v>
      </c>
      <c r="G465" s="455">
        <v>14.7</v>
      </c>
      <c r="H465" s="457">
        <f t="shared" si="56"/>
        <v>1470</v>
      </c>
      <c r="I465" s="455">
        <v>18</v>
      </c>
      <c r="J465" s="447"/>
      <c r="K465" s="447"/>
      <c r="L465" s="447"/>
      <c r="M465" s="455">
        <f t="shared" si="57"/>
        <v>18</v>
      </c>
      <c r="N465" s="303">
        <f t="shared" si="54"/>
        <v>1452</v>
      </c>
      <c r="O465" s="465" t="s">
        <v>3094</v>
      </c>
      <c r="P465" s="461" t="s">
        <v>369</v>
      </c>
      <c r="Q465" s="451"/>
    </row>
    <row r="466" spans="1:17" ht="12.75" customHeight="1" x14ac:dyDescent="0.25">
      <c r="A466" s="451"/>
      <c r="B466" s="295" t="s">
        <v>3095</v>
      </c>
      <c r="C466" s="452" t="s">
        <v>3075</v>
      </c>
      <c r="D466" s="452" t="s">
        <v>1249</v>
      </c>
      <c r="E466" s="454">
        <v>6400</v>
      </c>
      <c r="F466" s="454">
        <v>400</v>
      </c>
      <c r="G466" s="455">
        <v>14.7</v>
      </c>
      <c r="H466" s="457">
        <f t="shared" si="56"/>
        <v>5880</v>
      </c>
      <c r="I466" s="455">
        <v>72</v>
      </c>
      <c r="J466" s="447"/>
      <c r="K466" s="447"/>
      <c r="L466" s="447"/>
      <c r="M466" s="455">
        <f t="shared" si="57"/>
        <v>72</v>
      </c>
      <c r="N466" s="303">
        <f t="shared" si="54"/>
        <v>5808</v>
      </c>
      <c r="O466" s="465" t="s">
        <v>3094</v>
      </c>
      <c r="P466" s="461" t="s">
        <v>369</v>
      </c>
      <c r="Q466" s="451"/>
    </row>
    <row r="467" spans="1:17" ht="12.75" customHeight="1" x14ac:dyDescent="0.25">
      <c r="A467" s="451"/>
      <c r="B467" s="295" t="s">
        <v>3095</v>
      </c>
      <c r="C467" s="452" t="s">
        <v>3075</v>
      </c>
      <c r="D467" s="452" t="s">
        <v>1249</v>
      </c>
      <c r="E467" s="454">
        <v>6400</v>
      </c>
      <c r="F467" s="454">
        <v>900</v>
      </c>
      <c r="G467" s="455">
        <v>14.7</v>
      </c>
      <c r="H467" s="457">
        <f t="shared" si="56"/>
        <v>13230</v>
      </c>
      <c r="I467" s="455">
        <v>162</v>
      </c>
      <c r="J467" s="458">
        <v>54.89</v>
      </c>
      <c r="K467" s="458">
        <f>5+3</f>
        <v>8</v>
      </c>
      <c r="L467" s="458">
        <v>30.06</v>
      </c>
      <c r="M467" s="455">
        <f t="shared" si="57"/>
        <v>254.95</v>
      </c>
      <c r="N467" s="303">
        <f t="shared" si="54"/>
        <v>12975.05</v>
      </c>
      <c r="O467" s="465" t="s">
        <v>3094</v>
      </c>
      <c r="P467" s="463" t="s">
        <v>369</v>
      </c>
      <c r="Q467" s="451"/>
    </row>
    <row r="468" spans="1:17" ht="13.2" x14ac:dyDescent="0.25">
      <c r="A468" s="451"/>
      <c r="B468" s="295" t="s">
        <v>3096</v>
      </c>
      <c r="C468" s="452" t="s">
        <v>3075</v>
      </c>
      <c r="D468" s="452" t="s">
        <v>1245</v>
      </c>
      <c r="E468" s="454">
        <v>6100</v>
      </c>
      <c r="F468" s="454">
        <v>150</v>
      </c>
      <c r="G468" s="455">
        <v>53</v>
      </c>
      <c r="H468" s="457">
        <f t="shared" si="56"/>
        <v>7950</v>
      </c>
      <c r="I468" s="455">
        <v>27</v>
      </c>
      <c r="J468" s="448"/>
      <c r="K468" s="447"/>
      <c r="L468" s="448"/>
      <c r="M468" s="455">
        <f t="shared" si="57"/>
        <v>27</v>
      </c>
      <c r="N468" s="303">
        <f t="shared" si="54"/>
        <v>7923</v>
      </c>
      <c r="O468" s="463" t="s">
        <v>1497</v>
      </c>
      <c r="P468" s="461" t="s">
        <v>369</v>
      </c>
      <c r="Q468" s="451"/>
    </row>
    <row r="469" spans="1:17" ht="12.75" customHeight="1" x14ac:dyDescent="0.25">
      <c r="A469" s="451"/>
      <c r="B469" s="295" t="s">
        <v>3096</v>
      </c>
      <c r="C469" s="452" t="s">
        <v>3075</v>
      </c>
      <c r="D469" s="452" t="s">
        <v>1245</v>
      </c>
      <c r="E469" s="454">
        <v>6100</v>
      </c>
      <c r="F469" s="454">
        <v>350</v>
      </c>
      <c r="G469" s="455">
        <v>53</v>
      </c>
      <c r="H469" s="457">
        <f t="shared" si="56"/>
        <v>18550</v>
      </c>
      <c r="I469" s="455">
        <v>63</v>
      </c>
      <c r="J469" s="450"/>
      <c r="K469" s="450"/>
      <c r="L469" s="447"/>
      <c r="M469" s="455">
        <f t="shared" si="57"/>
        <v>63</v>
      </c>
      <c r="N469" s="303">
        <f t="shared" si="54"/>
        <v>18487</v>
      </c>
      <c r="O469" s="463" t="s">
        <v>1497</v>
      </c>
      <c r="P469" s="461" t="s">
        <v>369</v>
      </c>
      <c r="Q469" s="451"/>
    </row>
    <row r="470" spans="1:17" ht="12.75" customHeight="1" x14ac:dyDescent="0.25">
      <c r="A470" s="451"/>
      <c r="B470" s="295" t="s">
        <v>3099</v>
      </c>
      <c r="C470" s="452" t="s">
        <v>3075</v>
      </c>
      <c r="D470" s="452" t="s">
        <v>1249</v>
      </c>
      <c r="E470" s="454">
        <v>6300</v>
      </c>
      <c r="F470" s="454">
        <v>500</v>
      </c>
      <c r="G470" s="455">
        <v>4.4000000000000004</v>
      </c>
      <c r="H470" s="457">
        <f t="shared" ref="H470:H478" si="58">F470*G470</f>
        <v>2200</v>
      </c>
      <c r="I470" s="455">
        <v>90</v>
      </c>
      <c r="J470" s="447"/>
      <c r="K470" s="447"/>
      <c r="L470" s="447"/>
      <c r="M470" s="455">
        <f t="shared" ref="M470:M478" si="59">SUM(I470:L470)</f>
        <v>90</v>
      </c>
      <c r="N470" s="303">
        <f t="shared" si="54"/>
        <v>2110</v>
      </c>
      <c r="O470" s="463" t="s">
        <v>734</v>
      </c>
      <c r="P470" s="459" t="s">
        <v>369</v>
      </c>
      <c r="Q470" s="451"/>
    </row>
    <row r="471" spans="1:17" ht="12.75" customHeight="1" x14ac:dyDescent="0.25">
      <c r="A471" s="451"/>
      <c r="B471" s="295" t="s">
        <v>3099</v>
      </c>
      <c r="C471" s="452" t="s">
        <v>3075</v>
      </c>
      <c r="D471" s="452" t="s">
        <v>1249</v>
      </c>
      <c r="E471" s="454">
        <v>6300</v>
      </c>
      <c r="F471" s="454">
        <v>250</v>
      </c>
      <c r="G471" s="455">
        <v>4.4000000000000004</v>
      </c>
      <c r="H471" s="457">
        <f t="shared" si="58"/>
        <v>1100</v>
      </c>
      <c r="I471" s="455">
        <v>45</v>
      </c>
      <c r="J471" s="447"/>
      <c r="K471" s="447"/>
      <c r="L471" s="447"/>
      <c r="M471" s="455">
        <f t="shared" si="59"/>
        <v>45</v>
      </c>
      <c r="N471" s="303">
        <f t="shared" si="54"/>
        <v>1055</v>
      </c>
      <c r="O471" s="463" t="s">
        <v>734</v>
      </c>
      <c r="P471" s="459" t="s">
        <v>369</v>
      </c>
      <c r="Q471" s="451"/>
    </row>
    <row r="472" spans="1:17" ht="12.75" customHeight="1" x14ac:dyDescent="0.25">
      <c r="A472" s="451"/>
      <c r="B472" s="295" t="s">
        <v>3099</v>
      </c>
      <c r="C472" s="452" t="s">
        <v>3075</v>
      </c>
      <c r="D472" s="452" t="s">
        <v>1249</v>
      </c>
      <c r="E472" s="454">
        <v>6300</v>
      </c>
      <c r="F472" s="454">
        <v>50</v>
      </c>
      <c r="G472" s="455">
        <v>4.4000000000000004</v>
      </c>
      <c r="H472" s="457">
        <f t="shared" si="58"/>
        <v>220.00000000000003</v>
      </c>
      <c r="I472" s="455">
        <v>9</v>
      </c>
      <c r="J472" s="447"/>
      <c r="K472" s="447"/>
      <c r="L472" s="447"/>
      <c r="M472" s="455">
        <f t="shared" si="59"/>
        <v>9</v>
      </c>
      <c r="N472" s="303">
        <f t="shared" si="54"/>
        <v>211.00000000000003</v>
      </c>
      <c r="O472" s="463" t="s">
        <v>734</v>
      </c>
      <c r="P472" s="459" t="s">
        <v>369</v>
      </c>
      <c r="Q472" s="451"/>
    </row>
    <row r="473" spans="1:17" ht="12.75" customHeight="1" x14ac:dyDescent="0.25">
      <c r="A473" s="451"/>
      <c r="B473" s="295" t="s">
        <v>3099</v>
      </c>
      <c r="C473" s="452" t="s">
        <v>3075</v>
      </c>
      <c r="D473" s="452" t="s">
        <v>1249</v>
      </c>
      <c r="E473" s="454">
        <v>6300</v>
      </c>
      <c r="F473" s="454">
        <v>50</v>
      </c>
      <c r="G473" s="455">
        <v>4.4000000000000004</v>
      </c>
      <c r="H473" s="457">
        <f t="shared" si="58"/>
        <v>220.00000000000003</v>
      </c>
      <c r="I473" s="455">
        <v>9</v>
      </c>
      <c r="J473" s="447"/>
      <c r="K473" s="447"/>
      <c r="L473" s="447"/>
      <c r="M473" s="455">
        <f t="shared" si="59"/>
        <v>9</v>
      </c>
      <c r="N473" s="303">
        <f t="shared" si="54"/>
        <v>211.00000000000003</v>
      </c>
      <c r="O473" s="463" t="s">
        <v>734</v>
      </c>
      <c r="P473" s="463" t="s">
        <v>369</v>
      </c>
      <c r="Q473" s="451"/>
    </row>
    <row r="474" spans="1:17" ht="12.75" customHeight="1" x14ac:dyDescent="0.25">
      <c r="A474" s="451"/>
      <c r="B474" s="295" t="s">
        <v>3099</v>
      </c>
      <c r="C474" s="452" t="s">
        <v>3075</v>
      </c>
      <c r="D474" s="452" t="s">
        <v>1249</v>
      </c>
      <c r="E474" s="454">
        <v>6300</v>
      </c>
      <c r="F474" s="454">
        <v>50</v>
      </c>
      <c r="G474" s="455">
        <v>4.4000000000000004</v>
      </c>
      <c r="H474" s="457">
        <f t="shared" si="58"/>
        <v>220.00000000000003</v>
      </c>
      <c r="I474" s="455">
        <v>9</v>
      </c>
      <c r="J474" s="447"/>
      <c r="K474" s="447"/>
      <c r="L474" s="447"/>
      <c r="M474" s="455">
        <f t="shared" si="59"/>
        <v>9</v>
      </c>
      <c r="N474" s="303">
        <f t="shared" si="54"/>
        <v>211.00000000000003</v>
      </c>
      <c r="O474" s="463" t="s">
        <v>734</v>
      </c>
      <c r="P474" s="463" t="s">
        <v>369</v>
      </c>
      <c r="Q474" s="451"/>
    </row>
    <row r="475" spans="1:17" ht="12.75" customHeight="1" x14ac:dyDescent="0.25">
      <c r="A475" s="451"/>
      <c r="B475" s="295" t="s">
        <v>3099</v>
      </c>
      <c r="C475" s="452" t="s">
        <v>3075</v>
      </c>
      <c r="D475" s="452" t="s">
        <v>1249</v>
      </c>
      <c r="E475" s="454">
        <v>6300</v>
      </c>
      <c r="F475" s="454">
        <v>600</v>
      </c>
      <c r="G475" s="455">
        <v>4.4000000000000004</v>
      </c>
      <c r="H475" s="457">
        <f t="shared" si="58"/>
        <v>2640</v>
      </c>
      <c r="I475" s="455">
        <v>108</v>
      </c>
      <c r="J475" s="447"/>
      <c r="K475" s="447"/>
      <c r="L475" s="447"/>
      <c r="M475" s="455">
        <f t="shared" si="59"/>
        <v>108</v>
      </c>
      <c r="N475" s="303">
        <f t="shared" si="54"/>
        <v>2532</v>
      </c>
      <c r="O475" s="463" t="s">
        <v>734</v>
      </c>
      <c r="P475" s="463" t="s">
        <v>369</v>
      </c>
      <c r="Q475" s="451"/>
    </row>
    <row r="476" spans="1:17" ht="12.75" customHeight="1" x14ac:dyDescent="0.25">
      <c r="A476" s="451"/>
      <c r="B476" s="295" t="s">
        <v>3099</v>
      </c>
      <c r="C476" s="452" t="s">
        <v>3075</v>
      </c>
      <c r="D476" s="452" t="s">
        <v>1249</v>
      </c>
      <c r="E476" s="454">
        <v>6300</v>
      </c>
      <c r="F476" s="454">
        <v>200</v>
      </c>
      <c r="G476" s="455">
        <v>4.5</v>
      </c>
      <c r="H476" s="457">
        <f t="shared" si="58"/>
        <v>900</v>
      </c>
      <c r="I476" s="455">
        <v>36</v>
      </c>
      <c r="J476" s="458">
        <v>54.7</v>
      </c>
      <c r="K476" s="458">
        <f>1+1</f>
        <v>2</v>
      </c>
      <c r="L476" s="458">
        <v>10.51</v>
      </c>
      <c r="M476" s="455">
        <f t="shared" si="59"/>
        <v>103.21000000000001</v>
      </c>
      <c r="N476" s="303">
        <f t="shared" si="54"/>
        <v>796.79</v>
      </c>
      <c r="O476" s="463" t="s">
        <v>734</v>
      </c>
      <c r="P476" s="463" t="s">
        <v>369</v>
      </c>
      <c r="Q476" s="451"/>
    </row>
    <row r="477" spans="1:17" ht="12.75" customHeight="1" x14ac:dyDescent="0.25">
      <c r="A477" s="451"/>
      <c r="B477" s="295" t="s">
        <v>3100</v>
      </c>
      <c r="C477" s="452" t="s">
        <v>3098</v>
      </c>
      <c r="D477" s="452" t="s">
        <v>1249</v>
      </c>
      <c r="E477" s="454">
        <v>11400</v>
      </c>
      <c r="F477" s="454">
        <v>250</v>
      </c>
      <c r="G477" s="455">
        <v>55.25</v>
      </c>
      <c r="H477" s="457">
        <f t="shared" si="58"/>
        <v>13812.5</v>
      </c>
      <c r="I477" s="455">
        <v>90</v>
      </c>
      <c r="J477" s="447"/>
      <c r="K477" s="447"/>
      <c r="L477" s="447"/>
      <c r="M477" s="455">
        <f t="shared" si="59"/>
        <v>90</v>
      </c>
      <c r="N477" s="303">
        <f t="shared" si="54"/>
        <v>13722.5</v>
      </c>
      <c r="O477" s="463" t="s">
        <v>3101</v>
      </c>
      <c r="P477" s="461" t="s">
        <v>369</v>
      </c>
      <c r="Q477" s="451"/>
    </row>
    <row r="478" spans="1:17" ht="12.75" customHeight="1" x14ac:dyDescent="0.25">
      <c r="A478" s="451"/>
      <c r="B478" s="295" t="s">
        <v>3100</v>
      </c>
      <c r="C478" s="452" t="s">
        <v>3098</v>
      </c>
      <c r="D478" s="452" t="s">
        <v>1249</v>
      </c>
      <c r="E478" s="454">
        <v>11400</v>
      </c>
      <c r="F478" s="454">
        <v>100</v>
      </c>
      <c r="G478" s="455">
        <v>55.2</v>
      </c>
      <c r="H478" s="457">
        <f t="shared" si="58"/>
        <v>5520</v>
      </c>
      <c r="I478" s="455">
        <v>36</v>
      </c>
      <c r="J478" s="458">
        <v>54.48</v>
      </c>
      <c r="K478" s="458">
        <f>3+3</f>
        <v>6</v>
      </c>
      <c r="L478" s="458">
        <v>26.74</v>
      </c>
      <c r="M478" s="455">
        <f t="shared" si="59"/>
        <v>123.21999999999998</v>
      </c>
      <c r="N478" s="303">
        <f t="shared" si="54"/>
        <v>5396.78</v>
      </c>
      <c r="O478" s="463" t="s">
        <v>3101</v>
      </c>
      <c r="P478" s="461" t="s">
        <v>369</v>
      </c>
      <c r="Q478" s="451"/>
    </row>
    <row r="479" spans="1:17" ht="12.75" customHeight="1" x14ac:dyDescent="0.25">
      <c r="A479" s="451"/>
      <c r="B479" s="295" t="s">
        <v>3110</v>
      </c>
      <c r="C479" s="452" t="s">
        <v>3107</v>
      </c>
      <c r="D479" s="452" t="s">
        <v>1249</v>
      </c>
      <c r="E479" s="454">
        <v>155</v>
      </c>
      <c r="F479" s="454">
        <v>2000</v>
      </c>
      <c r="G479" s="455">
        <v>3.55</v>
      </c>
      <c r="H479" s="457">
        <f t="shared" ref="H479:H508" si="60">F479*G479</f>
        <v>7100</v>
      </c>
      <c r="I479" s="455">
        <v>9</v>
      </c>
      <c r="J479" s="447"/>
      <c r="K479" s="447"/>
      <c r="L479" s="447"/>
      <c r="M479" s="455">
        <f>SUM(I479:L479)</f>
        <v>9</v>
      </c>
      <c r="N479" s="303">
        <f>H479-M479</f>
        <v>7091</v>
      </c>
      <c r="O479" s="463" t="s">
        <v>744</v>
      </c>
      <c r="P479" s="461" t="s">
        <v>369</v>
      </c>
      <c r="Q479" s="451"/>
    </row>
    <row r="480" spans="1:17" ht="13.2" x14ac:dyDescent="0.25">
      <c r="A480" s="451"/>
      <c r="B480" s="295" t="s">
        <v>3110</v>
      </c>
      <c r="C480" s="452" t="s">
        <v>3108</v>
      </c>
      <c r="D480" s="452" t="s">
        <v>1245</v>
      </c>
      <c r="E480" s="454">
        <v>6100</v>
      </c>
      <c r="F480" s="454">
        <v>50</v>
      </c>
      <c r="G480" s="455">
        <v>41</v>
      </c>
      <c r="H480" s="457">
        <f t="shared" si="60"/>
        <v>2050</v>
      </c>
      <c r="I480" s="455">
        <v>9</v>
      </c>
      <c r="J480" s="448"/>
      <c r="K480" s="447"/>
      <c r="L480" s="448"/>
      <c r="M480" s="455">
        <f>SUM(I480:L480)</f>
        <v>9</v>
      </c>
      <c r="N480" s="303">
        <f>H480-M480</f>
        <v>2041</v>
      </c>
      <c r="O480" s="463" t="s">
        <v>744</v>
      </c>
      <c r="P480" s="461" t="s">
        <v>369</v>
      </c>
      <c r="Q480" s="451"/>
    </row>
    <row r="481" spans="1:18" ht="12.75" customHeight="1" x14ac:dyDescent="0.25">
      <c r="A481" s="451"/>
      <c r="B481" s="295" t="s">
        <v>3110</v>
      </c>
      <c r="C481" s="452" t="s">
        <v>3108</v>
      </c>
      <c r="D481" s="452" t="s">
        <v>1245</v>
      </c>
      <c r="E481" s="454">
        <v>6100</v>
      </c>
      <c r="F481" s="454">
        <v>100</v>
      </c>
      <c r="G481" s="455">
        <v>41</v>
      </c>
      <c r="H481" s="457">
        <f t="shared" si="60"/>
        <v>4100</v>
      </c>
      <c r="I481" s="455">
        <v>18</v>
      </c>
      <c r="J481" s="450"/>
      <c r="K481" s="450"/>
      <c r="L481" s="447"/>
      <c r="M481" s="455">
        <f>SUM(I481:L481)</f>
        <v>18</v>
      </c>
      <c r="N481" s="303">
        <f>H481-M481</f>
        <v>4082</v>
      </c>
      <c r="O481" s="463" t="s">
        <v>744</v>
      </c>
      <c r="P481" s="461" t="s">
        <v>369</v>
      </c>
      <c r="Q481" s="451"/>
    </row>
    <row r="482" spans="1:18" ht="12.75" customHeight="1" x14ac:dyDescent="0.25">
      <c r="A482" s="451"/>
      <c r="B482" s="295" t="s">
        <v>3110</v>
      </c>
      <c r="C482" s="452" t="s">
        <v>3108</v>
      </c>
      <c r="D482" s="452" t="s">
        <v>1245</v>
      </c>
      <c r="E482" s="454">
        <v>6100</v>
      </c>
      <c r="F482" s="454">
        <v>50</v>
      </c>
      <c r="G482" s="455">
        <v>41</v>
      </c>
      <c r="H482" s="457">
        <f t="shared" si="60"/>
        <v>2050</v>
      </c>
      <c r="I482" s="455">
        <v>9</v>
      </c>
      <c r="J482" s="458">
        <v>8.44</v>
      </c>
      <c r="K482" s="458">
        <f>3+2</f>
        <v>5</v>
      </c>
      <c r="L482" s="458">
        <v>14.35</v>
      </c>
      <c r="M482" s="455">
        <f>SUM(I482:L482)</f>
        <v>36.79</v>
      </c>
      <c r="N482" s="303">
        <f>H482-M482</f>
        <v>2013.21</v>
      </c>
      <c r="O482" s="463" t="s">
        <v>744</v>
      </c>
      <c r="P482" s="461" t="s">
        <v>369</v>
      </c>
      <c r="Q482" s="451"/>
    </row>
    <row r="483" spans="1:18" ht="12.75" customHeight="1" x14ac:dyDescent="0.25">
      <c r="A483" s="451"/>
      <c r="B483" s="295" t="s">
        <v>3112</v>
      </c>
      <c r="C483" s="452" t="s">
        <v>3108</v>
      </c>
      <c r="D483" s="452" t="s">
        <v>1245</v>
      </c>
      <c r="E483" s="454">
        <v>6100</v>
      </c>
      <c r="F483" s="454">
        <v>100</v>
      </c>
      <c r="G483" s="455">
        <v>48</v>
      </c>
      <c r="H483" s="457">
        <f t="shared" si="60"/>
        <v>4800</v>
      </c>
      <c r="I483" s="455">
        <v>18</v>
      </c>
      <c r="J483" s="447"/>
      <c r="K483" s="447"/>
      <c r="L483" s="447"/>
      <c r="M483" s="455">
        <f>SUM(I483:L483)</f>
        <v>18</v>
      </c>
      <c r="N483" s="303">
        <f>H483-M483</f>
        <v>4782</v>
      </c>
      <c r="O483" s="463" t="s">
        <v>1486</v>
      </c>
      <c r="P483" s="461" t="s">
        <v>369</v>
      </c>
      <c r="Q483" s="451"/>
    </row>
    <row r="484" spans="1:18" ht="12.75" customHeight="1" x14ac:dyDescent="0.25">
      <c r="A484" s="451"/>
      <c r="B484" s="295" t="s">
        <v>3112</v>
      </c>
      <c r="C484" s="452" t="s">
        <v>3109</v>
      </c>
      <c r="D484" s="452" t="s">
        <v>1245</v>
      </c>
      <c r="E484" s="454">
        <v>360</v>
      </c>
      <c r="F484" s="454">
        <v>1000</v>
      </c>
      <c r="G484" s="455">
        <v>4.7</v>
      </c>
      <c r="H484" s="457">
        <f t="shared" si="60"/>
        <v>4700</v>
      </c>
      <c r="I484" s="455">
        <v>9</v>
      </c>
      <c r="J484" s="447"/>
      <c r="K484" s="447"/>
      <c r="L484" s="447"/>
      <c r="M484" s="455">
        <f t="shared" ref="M484:M494" si="61">SUM(I484:L484)</f>
        <v>9</v>
      </c>
      <c r="N484" s="303">
        <f t="shared" ref="N484:N495" si="62">H484-M484</f>
        <v>4691</v>
      </c>
      <c r="O484" s="463" t="s">
        <v>1486</v>
      </c>
      <c r="P484" s="459" t="s">
        <v>369</v>
      </c>
      <c r="Q484" s="451"/>
    </row>
    <row r="485" spans="1:18" ht="12.75" customHeight="1" x14ac:dyDescent="0.25">
      <c r="A485" s="451"/>
      <c r="B485" s="295" t="s">
        <v>3113</v>
      </c>
      <c r="C485" s="452" t="s">
        <v>3108</v>
      </c>
      <c r="D485" s="452" t="s">
        <v>1245</v>
      </c>
      <c r="E485" s="454">
        <v>6100</v>
      </c>
      <c r="F485" s="454">
        <v>200</v>
      </c>
      <c r="G485" s="455">
        <v>48</v>
      </c>
      <c r="H485" s="457">
        <f t="shared" si="60"/>
        <v>9600</v>
      </c>
      <c r="I485" s="455">
        <v>36</v>
      </c>
      <c r="J485" s="458">
        <v>6.79</v>
      </c>
      <c r="K485" s="458">
        <f>2+1</f>
        <v>3</v>
      </c>
      <c r="L485" s="458">
        <v>9.94</v>
      </c>
      <c r="M485" s="455">
        <f t="shared" si="61"/>
        <v>55.73</v>
      </c>
      <c r="N485" s="303">
        <f t="shared" si="62"/>
        <v>9544.27</v>
      </c>
      <c r="O485" s="463" t="s">
        <v>1487</v>
      </c>
      <c r="P485" s="459" t="s">
        <v>369</v>
      </c>
      <c r="Q485" s="451"/>
    </row>
    <row r="486" spans="1:18" ht="12.75" customHeight="1" x14ac:dyDescent="0.25">
      <c r="A486" s="451"/>
      <c r="B486" s="295" t="s">
        <v>3115</v>
      </c>
      <c r="C486" s="452" t="s">
        <v>3107</v>
      </c>
      <c r="D486" s="452" t="s">
        <v>1249</v>
      </c>
      <c r="E486" s="454">
        <v>160</v>
      </c>
      <c r="F486" s="454">
        <v>2000</v>
      </c>
      <c r="G486" s="455">
        <v>0.55000000000000004</v>
      </c>
      <c r="H486" s="457">
        <f t="shared" si="60"/>
        <v>1100</v>
      </c>
      <c r="I486" s="455">
        <v>9</v>
      </c>
      <c r="J486" s="458">
        <v>2.89</v>
      </c>
      <c r="K486" s="458">
        <v>1</v>
      </c>
      <c r="L486" s="458">
        <v>5.39</v>
      </c>
      <c r="M486" s="455">
        <f t="shared" si="61"/>
        <v>18.28</v>
      </c>
      <c r="N486" s="303">
        <f t="shared" si="62"/>
        <v>1081.72</v>
      </c>
      <c r="O486" s="463" t="s">
        <v>1490</v>
      </c>
      <c r="P486" s="459" t="s">
        <v>369</v>
      </c>
      <c r="Q486" s="451"/>
    </row>
    <row r="487" spans="1:18" ht="12.75" customHeight="1" x14ac:dyDescent="0.25">
      <c r="A487" s="451"/>
      <c r="B487" s="295" t="s">
        <v>3117</v>
      </c>
      <c r="C487" s="452" t="s">
        <v>3111</v>
      </c>
      <c r="D487" s="452" t="s">
        <v>1249</v>
      </c>
      <c r="E487" s="454">
        <v>22.5</v>
      </c>
      <c r="F487" s="454">
        <v>16000</v>
      </c>
      <c r="G487" s="455">
        <v>0.15</v>
      </c>
      <c r="H487" s="457">
        <f t="shared" si="60"/>
        <v>2400</v>
      </c>
      <c r="I487" s="455">
        <v>18</v>
      </c>
      <c r="J487" s="458">
        <v>9.76</v>
      </c>
      <c r="K487" s="458">
        <v>1</v>
      </c>
      <c r="L487" s="458">
        <v>6.93</v>
      </c>
      <c r="M487" s="455">
        <f t="shared" si="61"/>
        <v>35.69</v>
      </c>
      <c r="N487" s="303">
        <f t="shared" si="62"/>
        <v>2364.31</v>
      </c>
      <c r="O487" s="463" t="s">
        <v>2398</v>
      </c>
      <c r="P487" s="459" t="s">
        <v>369</v>
      </c>
      <c r="Q487" s="451"/>
    </row>
    <row r="488" spans="1:18" ht="13.2" x14ac:dyDescent="0.25">
      <c r="A488" s="451"/>
      <c r="B488" s="295" t="s">
        <v>3136</v>
      </c>
      <c r="C488" s="295" t="s">
        <v>3108</v>
      </c>
      <c r="D488" s="452" t="s">
        <v>1249</v>
      </c>
      <c r="E488" s="454">
        <v>6400</v>
      </c>
      <c r="F488" s="454">
        <v>200</v>
      </c>
      <c r="G488" s="455">
        <v>9.5</v>
      </c>
      <c r="H488" s="457">
        <f t="shared" si="60"/>
        <v>1900</v>
      </c>
      <c r="I488" s="455">
        <v>36</v>
      </c>
      <c r="J488" s="450"/>
      <c r="K488" s="450"/>
      <c r="L488" s="473"/>
      <c r="M488" s="455">
        <f t="shared" si="61"/>
        <v>36</v>
      </c>
      <c r="N488" s="303">
        <f t="shared" si="62"/>
        <v>1864</v>
      </c>
      <c r="O488" s="461" t="s">
        <v>3135</v>
      </c>
      <c r="P488" s="459" t="s">
        <v>369</v>
      </c>
      <c r="Q488" s="451"/>
      <c r="R488" s="247"/>
    </row>
    <row r="489" spans="1:18" ht="12.75" customHeight="1" x14ac:dyDescent="0.25">
      <c r="A489" s="451"/>
      <c r="B489" s="295" t="s">
        <v>3136</v>
      </c>
      <c r="C489" s="295" t="s">
        <v>3108</v>
      </c>
      <c r="D489" s="452" t="s">
        <v>1249</v>
      </c>
      <c r="E489" s="454">
        <v>6400</v>
      </c>
      <c r="F489" s="454">
        <v>350</v>
      </c>
      <c r="G489" s="455">
        <v>9.5</v>
      </c>
      <c r="H489" s="457">
        <f t="shared" si="60"/>
        <v>3325</v>
      </c>
      <c r="I489" s="455">
        <v>63</v>
      </c>
      <c r="J489" s="474"/>
      <c r="K489" s="447"/>
      <c r="L489" s="447"/>
      <c r="M489" s="455">
        <f t="shared" si="61"/>
        <v>63</v>
      </c>
      <c r="N489" s="303">
        <f t="shared" si="62"/>
        <v>3262</v>
      </c>
      <c r="O489" s="461" t="s">
        <v>3135</v>
      </c>
      <c r="P489" s="461" t="s">
        <v>369</v>
      </c>
      <c r="Q489" s="451"/>
    </row>
    <row r="490" spans="1:18" ht="12.75" customHeight="1" x14ac:dyDescent="0.25">
      <c r="A490" s="451"/>
      <c r="B490" s="295" t="s">
        <v>3136</v>
      </c>
      <c r="C490" s="295" t="s">
        <v>3108</v>
      </c>
      <c r="D490" s="452" t="s">
        <v>1249</v>
      </c>
      <c r="E490" s="454">
        <v>6400</v>
      </c>
      <c r="F490" s="454">
        <v>500</v>
      </c>
      <c r="G490" s="455">
        <v>9.5</v>
      </c>
      <c r="H490" s="457">
        <f t="shared" si="60"/>
        <v>4750</v>
      </c>
      <c r="I490" s="455">
        <v>90</v>
      </c>
      <c r="J490" s="447"/>
      <c r="K490" s="447"/>
      <c r="L490" s="447"/>
      <c r="M490" s="455">
        <f t="shared" si="61"/>
        <v>90</v>
      </c>
      <c r="N490" s="303">
        <f t="shared" si="62"/>
        <v>4660</v>
      </c>
      <c r="O490" s="461" t="s">
        <v>3135</v>
      </c>
      <c r="P490" s="461" t="s">
        <v>369</v>
      </c>
      <c r="Q490" s="451"/>
    </row>
    <row r="491" spans="1:18" ht="12.75" customHeight="1" x14ac:dyDescent="0.25">
      <c r="A491" s="451"/>
      <c r="B491" s="295" t="s">
        <v>3136</v>
      </c>
      <c r="C491" s="295" t="s">
        <v>3108</v>
      </c>
      <c r="D491" s="452" t="s">
        <v>1249</v>
      </c>
      <c r="E491" s="454">
        <v>6400</v>
      </c>
      <c r="F491" s="454">
        <v>200</v>
      </c>
      <c r="G491" s="455">
        <v>9.5</v>
      </c>
      <c r="H491" s="457">
        <f t="shared" si="60"/>
        <v>1900</v>
      </c>
      <c r="I491" s="455">
        <v>36</v>
      </c>
      <c r="J491" s="447"/>
      <c r="K491" s="447"/>
      <c r="L491" s="447"/>
      <c r="M491" s="455">
        <f t="shared" si="61"/>
        <v>36</v>
      </c>
      <c r="N491" s="303">
        <f t="shared" si="62"/>
        <v>1864</v>
      </c>
      <c r="O491" s="461" t="s">
        <v>3135</v>
      </c>
      <c r="P491" s="461" t="s">
        <v>369</v>
      </c>
      <c r="Q491" s="451"/>
    </row>
    <row r="492" spans="1:18" ht="12.75" customHeight="1" x14ac:dyDescent="0.25">
      <c r="A492" s="451"/>
      <c r="B492" s="295" t="s">
        <v>3136</v>
      </c>
      <c r="C492" s="295" t="s">
        <v>3108</v>
      </c>
      <c r="D492" s="452" t="s">
        <v>1249</v>
      </c>
      <c r="E492" s="454">
        <v>6400</v>
      </c>
      <c r="F492" s="454">
        <v>250</v>
      </c>
      <c r="G492" s="455">
        <v>9.5</v>
      </c>
      <c r="H492" s="457">
        <f t="shared" si="60"/>
        <v>2375</v>
      </c>
      <c r="I492" s="455">
        <v>45</v>
      </c>
      <c r="J492" s="447"/>
      <c r="K492" s="447"/>
      <c r="L492" s="447"/>
      <c r="M492" s="455">
        <f t="shared" si="61"/>
        <v>45</v>
      </c>
      <c r="N492" s="303">
        <f t="shared" si="62"/>
        <v>2330</v>
      </c>
      <c r="O492" s="461" t="s">
        <v>3135</v>
      </c>
      <c r="P492" s="461" t="s">
        <v>369</v>
      </c>
      <c r="Q492" s="451"/>
    </row>
    <row r="493" spans="1:18" ht="12.75" customHeight="1" x14ac:dyDescent="0.25">
      <c r="A493" s="451"/>
      <c r="B493" s="295" t="s">
        <v>3136</v>
      </c>
      <c r="C493" s="295" t="s">
        <v>3108</v>
      </c>
      <c r="D493" s="452" t="s">
        <v>1249</v>
      </c>
      <c r="E493" s="454">
        <v>6400</v>
      </c>
      <c r="F493" s="454">
        <v>50</v>
      </c>
      <c r="G493" s="455">
        <v>9.5</v>
      </c>
      <c r="H493" s="457">
        <f t="shared" si="60"/>
        <v>475</v>
      </c>
      <c r="I493" s="455">
        <v>9</v>
      </c>
      <c r="J493" s="447"/>
      <c r="K493" s="447"/>
      <c r="L493" s="447"/>
      <c r="M493" s="455">
        <f t="shared" si="61"/>
        <v>9</v>
      </c>
      <c r="N493" s="303">
        <f t="shared" si="62"/>
        <v>466</v>
      </c>
      <c r="O493" s="461" t="s">
        <v>3135</v>
      </c>
      <c r="P493" s="461" t="s">
        <v>369</v>
      </c>
      <c r="Q493" s="451"/>
    </row>
    <row r="494" spans="1:18" ht="12.75" customHeight="1" x14ac:dyDescent="0.25">
      <c r="A494" s="451"/>
      <c r="B494" s="295" t="s">
        <v>3136</v>
      </c>
      <c r="C494" s="295" t="s">
        <v>3108</v>
      </c>
      <c r="D494" s="452" t="s">
        <v>1249</v>
      </c>
      <c r="E494" s="454">
        <v>6400</v>
      </c>
      <c r="F494" s="454">
        <v>450</v>
      </c>
      <c r="G494" s="455">
        <v>9.5</v>
      </c>
      <c r="H494" s="457">
        <f t="shared" si="60"/>
        <v>4275</v>
      </c>
      <c r="I494" s="455">
        <v>81</v>
      </c>
      <c r="J494" s="458">
        <v>46.14</v>
      </c>
      <c r="K494" s="458">
        <f>3+2</f>
        <v>5</v>
      </c>
      <c r="L494" s="458">
        <v>13.3</v>
      </c>
      <c r="M494" s="455">
        <f t="shared" si="61"/>
        <v>145.44</v>
      </c>
      <c r="N494" s="303">
        <f t="shared" si="62"/>
        <v>4129.5600000000004</v>
      </c>
      <c r="O494" s="461" t="s">
        <v>3135</v>
      </c>
      <c r="P494" s="461" t="s">
        <v>369</v>
      </c>
      <c r="Q494" s="451"/>
    </row>
    <row r="495" spans="1:18" ht="12.75" customHeight="1" x14ac:dyDescent="0.25">
      <c r="A495" s="451"/>
      <c r="B495" s="295" t="s">
        <v>3140</v>
      </c>
      <c r="C495" s="452" t="s">
        <v>3114</v>
      </c>
      <c r="D495" s="452" t="s">
        <v>1249</v>
      </c>
      <c r="E495" s="454">
        <v>50</v>
      </c>
      <c r="F495" s="454">
        <v>4000</v>
      </c>
      <c r="G495" s="455">
        <v>1.8</v>
      </c>
      <c r="H495" s="457">
        <f t="shared" si="60"/>
        <v>7200</v>
      </c>
      <c r="I495" s="455">
        <v>9</v>
      </c>
      <c r="J495" s="458">
        <v>8.7799999999999994</v>
      </c>
      <c r="K495" s="458">
        <f>1+2</f>
        <v>3</v>
      </c>
      <c r="L495" s="458">
        <v>17.079999999999998</v>
      </c>
      <c r="M495" s="455">
        <f t="shared" ref="M495:M500" si="63">SUM(I495:L495)</f>
        <v>37.86</v>
      </c>
      <c r="N495" s="303">
        <f t="shared" si="62"/>
        <v>7162.14</v>
      </c>
      <c r="O495" s="463" t="s">
        <v>3139</v>
      </c>
      <c r="P495" s="459" t="s">
        <v>369</v>
      </c>
      <c r="Q495" s="451"/>
    </row>
    <row r="496" spans="1:18" ht="12.75" customHeight="1" x14ac:dyDescent="0.25">
      <c r="A496" s="451"/>
      <c r="B496" s="295" t="s">
        <v>3141</v>
      </c>
      <c r="C496" s="452" t="s">
        <v>3114</v>
      </c>
      <c r="D496" s="452" t="s">
        <v>1249</v>
      </c>
      <c r="E496" s="454">
        <v>52.5</v>
      </c>
      <c r="F496" s="454">
        <v>20000</v>
      </c>
      <c r="G496" s="455">
        <v>0.2</v>
      </c>
      <c r="H496" s="457">
        <f t="shared" si="60"/>
        <v>4000</v>
      </c>
      <c r="I496" s="455">
        <v>45</v>
      </c>
      <c r="J496" s="458">
        <v>5.91</v>
      </c>
      <c r="K496" s="458">
        <f>1+1</f>
        <v>2</v>
      </c>
      <c r="L496" s="458">
        <v>2.8</v>
      </c>
      <c r="M496" s="455">
        <f t="shared" si="63"/>
        <v>55.709999999999994</v>
      </c>
      <c r="N496" s="303">
        <f t="shared" ref="N496:N507" si="64">H496-M496</f>
        <v>3944.29</v>
      </c>
      <c r="O496" s="461" t="s">
        <v>2420</v>
      </c>
      <c r="P496" s="461" t="s">
        <v>369</v>
      </c>
      <c r="Q496" s="451"/>
    </row>
    <row r="497" spans="1:17" ht="12.75" customHeight="1" x14ac:dyDescent="0.25">
      <c r="A497" s="451"/>
      <c r="B497" s="295" t="s">
        <v>3143</v>
      </c>
      <c r="C497" s="452" t="s">
        <v>3108</v>
      </c>
      <c r="D497" s="452" t="s">
        <v>1245</v>
      </c>
      <c r="E497" s="454">
        <v>5900</v>
      </c>
      <c r="F497" s="454">
        <v>600</v>
      </c>
      <c r="G497" s="455">
        <v>5.4</v>
      </c>
      <c r="H497" s="457">
        <f t="shared" si="60"/>
        <v>3240</v>
      </c>
      <c r="I497" s="455">
        <v>108</v>
      </c>
      <c r="J497" s="458">
        <v>22.86</v>
      </c>
      <c r="K497" s="458">
        <f>1+1</f>
        <v>2</v>
      </c>
      <c r="L497" s="458">
        <v>4.93</v>
      </c>
      <c r="M497" s="455">
        <f t="shared" si="63"/>
        <v>137.79000000000002</v>
      </c>
      <c r="N497" s="303">
        <f t="shared" si="64"/>
        <v>3102.21</v>
      </c>
      <c r="O497" s="463" t="s">
        <v>763</v>
      </c>
      <c r="P497" s="459" t="s">
        <v>369</v>
      </c>
      <c r="Q497" s="451"/>
    </row>
    <row r="498" spans="1:17" ht="12.75" customHeight="1" x14ac:dyDescent="0.25">
      <c r="A498" s="451"/>
      <c r="B498" s="295" t="s">
        <v>3147</v>
      </c>
      <c r="C498" s="452" t="s">
        <v>3108</v>
      </c>
      <c r="D498" s="452" t="s">
        <v>1249</v>
      </c>
      <c r="E498" s="454">
        <v>6200</v>
      </c>
      <c r="F498" s="454">
        <v>450</v>
      </c>
      <c r="G498" s="455">
        <v>1</v>
      </c>
      <c r="H498" s="457">
        <f t="shared" si="60"/>
        <v>450</v>
      </c>
      <c r="I498" s="455">
        <v>81</v>
      </c>
      <c r="J498" s="447"/>
      <c r="K498" s="447"/>
      <c r="L498" s="447"/>
      <c r="M498" s="455">
        <f t="shared" si="63"/>
        <v>81</v>
      </c>
      <c r="N498" s="303">
        <f t="shared" si="64"/>
        <v>369</v>
      </c>
      <c r="O498" s="461" t="s">
        <v>1474</v>
      </c>
      <c r="P498" s="461" t="s">
        <v>369</v>
      </c>
      <c r="Q498" s="451"/>
    </row>
    <row r="499" spans="1:17" ht="12.75" customHeight="1" x14ac:dyDescent="0.25">
      <c r="A499" s="451"/>
      <c r="B499" s="295" t="s">
        <v>3147</v>
      </c>
      <c r="C499" s="452" t="s">
        <v>3108</v>
      </c>
      <c r="D499" s="452" t="s">
        <v>1249</v>
      </c>
      <c r="E499" s="454">
        <v>6200</v>
      </c>
      <c r="F499" s="454">
        <v>550</v>
      </c>
      <c r="G499" s="455">
        <v>1</v>
      </c>
      <c r="H499" s="457">
        <f t="shared" si="60"/>
        <v>550</v>
      </c>
      <c r="I499" s="455">
        <v>99</v>
      </c>
      <c r="J499" s="458">
        <v>22.34</v>
      </c>
      <c r="K499" s="458">
        <v>1</v>
      </c>
      <c r="L499" s="458">
        <v>0.7</v>
      </c>
      <c r="M499" s="455">
        <f t="shared" si="63"/>
        <v>123.04</v>
      </c>
      <c r="N499" s="303">
        <f t="shared" si="64"/>
        <v>426.96</v>
      </c>
      <c r="O499" s="461" t="s">
        <v>1474</v>
      </c>
      <c r="P499" s="461" t="s">
        <v>369</v>
      </c>
      <c r="Q499" s="451"/>
    </row>
    <row r="500" spans="1:17" ht="12.75" customHeight="1" x14ac:dyDescent="0.25">
      <c r="A500" s="451"/>
      <c r="B500" s="295" t="s">
        <v>3148</v>
      </c>
      <c r="C500" s="452" t="s">
        <v>3108</v>
      </c>
      <c r="D500" s="452" t="s">
        <v>1249</v>
      </c>
      <c r="E500" s="454">
        <v>6100</v>
      </c>
      <c r="F500" s="454">
        <v>100</v>
      </c>
      <c r="G500" s="455">
        <v>0.8</v>
      </c>
      <c r="H500" s="457">
        <f t="shared" si="60"/>
        <v>80</v>
      </c>
      <c r="I500" s="455">
        <v>18</v>
      </c>
      <c r="J500" s="458">
        <v>4.5199999999999996</v>
      </c>
      <c r="K500" s="458">
        <v>1</v>
      </c>
      <c r="L500" s="458">
        <v>0.55000000000000004</v>
      </c>
      <c r="M500" s="455">
        <f t="shared" si="63"/>
        <v>24.07</v>
      </c>
      <c r="N500" s="456">
        <f t="shared" si="64"/>
        <v>55.93</v>
      </c>
      <c r="O500" s="461" t="s">
        <v>3149</v>
      </c>
      <c r="P500" s="461" t="s">
        <v>369</v>
      </c>
      <c r="Q500" s="451"/>
    </row>
    <row r="501" spans="1:17" ht="12.75" customHeight="1" x14ac:dyDescent="0.25">
      <c r="B501" s="295" t="s">
        <v>3163</v>
      </c>
      <c r="C501" s="452" t="s">
        <v>3161</v>
      </c>
      <c r="D501" s="452" t="s">
        <v>1245</v>
      </c>
      <c r="E501" s="454">
        <v>6200</v>
      </c>
      <c r="F501" s="454">
        <v>350</v>
      </c>
      <c r="G501" s="455">
        <v>63.1</v>
      </c>
      <c r="H501" s="457">
        <f t="shared" si="60"/>
        <v>22085</v>
      </c>
      <c r="I501" s="455">
        <v>63</v>
      </c>
      <c r="J501" s="458">
        <v>9.6999999999999993</v>
      </c>
      <c r="K501" s="458">
        <f>4+2</f>
        <v>6</v>
      </c>
      <c r="L501" s="247">
        <v>15.46</v>
      </c>
      <c r="M501" s="455">
        <f t="shared" ref="M501:M507" si="65">SUM(I501:L501)</f>
        <v>94.16</v>
      </c>
      <c r="N501" s="456">
        <f t="shared" si="64"/>
        <v>21990.84</v>
      </c>
      <c r="O501" s="249" t="s">
        <v>1626</v>
      </c>
      <c r="P501" s="461" t="s">
        <v>369</v>
      </c>
      <c r="Q501" s="451"/>
    </row>
    <row r="502" spans="1:17" ht="12.75" customHeight="1" x14ac:dyDescent="0.25">
      <c r="A502" s="451"/>
      <c r="B502" s="295" t="s">
        <v>3174</v>
      </c>
      <c r="C502" s="452" t="s">
        <v>3161</v>
      </c>
      <c r="D502" s="452" t="s">
        <v>1249</v>
      </c>
      <c r="E502" s="454">
        <v>6200</v>
      </c>
      <c r="F502" s="454">
        <v>200</v>
      </c>
      <c r="G502" s="455">
        <v>101.3</v>
      </c>
      <c r="H502" s="457">
        <f t="shared" si="60"/>
        <v>20260</v>
      </c>
      <c r="I502" s="455">
        <v>36</v>
      </c>
      <c r="J502" s="447"/>
      <c r="K502" s="447"/>
      <c r="L502" s="447"/>
      <c r="M502" s="455">
        <f t="shared" si="65"/>
        <v>36</v>
      </c>
      <c r="N502" s="456">
        <f t="shared" si="64"/>
        <v>20224</v>
      </c>
      <c r="O502" s="461" t="s">
        <v>2817</v>
      </c>
      <c r="P502" s="461" t="s">
        <v>369</v>
      </c>
      <c r="Q502" s="451"/>
    </row>
    <row r="503" spans="1:17" ht="12.75" customHeight="1" x14ac:dyDescent="0.25">
      <c r="A503" s="451"/>
      <c r="B503" s="295" t="s">
        <v>3174</v>
      </c>
      <c r="C503" s="452" t="s">
        <v>3161</v>
      </c>
      <c r="D503" s="452" t="s">
        <v>1249</v>
      </c>
      <c r="E503" s="454">
        <v>6200</v>
      </c>
      <c r="F503" s="454">
        <v>100</v>
      </c>
      <c r="G503" s="455">
        <v>101.25</v>
      </c>
      <c r="H503" s="457">
        <f t="shared" si="60"/>
        <v>10125</v>
      </c>
      <c r="I503" s="455">
        <v>18</v>
      </c>
      <c r="J503" s="447"/>
      <c r="K503" s="447"/>
      <c r="L503" s="447"/>
      <c r="M503" s="455">
        <f t="shared" si="65"/>
        <v>18</v>
      </c>
      <c r="N503" s="456">
        <f t="shared" si="64"/>
        <v>10107</v>
      </c>
      <c r="O503" s="461" t="s">
        <v>2817</v>
      </c>
      <c r="P503" s="461" t="s">
        <v>369</v>
      </c>
      <c r="Q503" s="451"/>
    </row>
    <row r="504" spans="1:17" ht="12.75" customHeight="1" x14ac:dyDescent="0.25">
      <c r="A504" s="451"/>
      <c r="B504" s="295" t="s">
        <v>3174</v>
      </c>
      <c r="C504" s="452" t="s">
        <v>3161</v>
      </c>
      <c r="D504" s="452" t="s">
        <v>1249</v>
      </c>
      <c r="E504" s="454">
        <v>6200</v>
      </c>
      <c r="F504" s="454">
        <v>50</v>
      </c>
      <c r="G504" s="455">
        <v>101.25</v>
      </c>
      <c r="H504" s="457">
        <f t="shared" si="60"/>
        <v>5062.5</v>
      </c>
      <c r="I504" s="455">
        <v>9</v>
      </c>
      <c r="J504" s="458">
        <v>10.86</v>
      </c>
      <c r="K504" s="458">
        <f>6+3</f>
        <v>9</v>
      </c>
      <c r="L504" s="247">
        <v>24.81</v>
      </c>
      <c r="M504" s="455">
        <f t="shared" si="65"/>
        <v>53.67</v>
      </c>
      <c r="N504" s="456">
        <f t="shared" si="64"/>
        <v>5008.83</v>
      </c>
      <c r="O504" s="461" t="s">
        <v>2817</v>
      </c>
      <c r="P504" s="459" t="s">
        <v>369</v>
      </c>
      <c r="Q504" s="451"/>
    </row>
    <row r="505" spans="1:17" ht="12.75" customHeight="1" x14ac:dyDescent="0.25">
      <c r="A505" s="451"/>
      <c r="B505" s="295" t="s">
        <v>3175</v>
      </c>
      <c r="C505" s="452" t="s">
        <v>3161</v>
      </c>
      <c r="D505" s="452" t="s">
        <v>1245</v>
      </c>
      <c r="E505" s="454">
        <v>6300</v>
      </c>
      <c r="F505" s="454">
        <v>500</v>
      </c>
      <c r="G505" s="455">
        <v>14.35</v>
      </c>
      <c r="H505" s="457">
        <f t="shared" si="60"/>
        <v>7175</v>
      </c>
      <c r="I505" s="455">
        <v>90</v>
      </c>
      <c r="J505" s="458">
        <v>11.74</v>
      </c>
      <c r="K505" s="458">
        <f>1+1</f>
        <v>2</v>
      </c>
      <c r="L505" s="458">
        <v>5.0199999999999996</v>
      </c>
      <c r="M505" s="455">
        <f t="shared" si="65"/>
        <v>108.75999999999999</v>
      </c>
      <c r="N505" s="456">
        <f t="shared" si="64"/>
        <v>7066.24</v>
      </c>
      <c r="O505" s="461" t="s">
        <v>2071</v>
      </c>
      <c r="P505" s="459" t="s">
        <v>369</v>
      </c>
      <c r="Q505" s="451"/>
    </row>
    <row r="506" spans="1:17" ht="12.75" customHeight="1" x14ac:dyDescent="0.25">
      <c r="A506" s="451"/>
      <c r="B506" s="295" t="s">
        <v>3181</v>
      </c>
      <c r="C506" s="452" t="s">
        <v>3179</v>
      </c>
      <c r="D506" s="452" t="s">
        <v>1249</v>
      </c>
      <c r="E506" s="454">
        <v>6500</v>
      </c>
      <c r="F506" s="454">
        <v>250</v>
      </c>
      <c r="G506" s="455">
        <v>16</v>
      </c>
      <c r="H506" s="457">
        <f t="shared" si="60"/>
        <v>4000</v>
      </c>
      <c r="I506" s="455">
        <v>45</v>
      </c>
      <c r="J506" s="447"/>
      <c r="K506" s="447"/>
      <c r="L506" s="447"/>
      <c r="M506" s="455">
        <f t="shared" si="65"/>
        <v>45</v>
      </c>
      <c r="N506" s="456">
        <f t="shared" si="64"/>
        <v>3955</v>
      </c>
      <c r="O506" s="463" t="s">
        <v>556</v>
      </c>
      <c r="P506" s="459" t="s">
        <v>369</v>
      </c>
      <c r="Q506" s="451"/>
    </row>
    <row r="507" spans="1:17" ht="12.75" customHeight="1" x14ac:dyDescent="0.25">
      <c r="A507" s="451"/>
      <c r="B507" s="295" t="s">
        <v>3181</v>
      </c>
      <c r="C507" s="452" t="s">
        <v>3179</v>
      </c>
      <c r="D507" s="452" t="s">
        <v>1249</v>
      </c>
      <c r="E507" s="454">
        <v>6500</v>
      </c>
      <c r="F507" s="454">
        <v>150</v>
      </c>
      <c r="G507" s="455">
        <v>16</v>
      </c>
      <c r="H507" s="457">
        <f t="shared" si="60"/>
        <v>2400</v>
      </c>
      <c r="I507" s="455">
        <v>27</v>
      </c>
      <c r="J507" s="458">
        <v>12.23</v>
      </c>
      <c r="K507" s="458">
        <f>1+1</f>
        <v>2</v>
      </c>
      <c r="L507" s="458">
        <v>8.9600000000000009</v>
      </c>
      <c r="M507" s="455">
        <f t="shared" si="65"/>
        <v>50.190000000000005</v>
      </c>
      <c r="N507" s="456">
        <f t="shared" si="64"/>
        <v>2349.81</v>
      </c>
      <c r="O507" s="463" t="s">
        <v>556</v>
      </c>
      <c r="P507" s="459" t="s">
        <v>369</v>
      </c>
      <c r="Q507" s="451"/>
    </row>
    <row r="508" spans="1:17" ht="12.75" customHeight="1" x14ac:dyDescent="0.25">
      <c r="A508" s="451"/>
      <c r="B508" s="295" t="s">
        <v>3195</v>
      </c>
      <c r="C508" s="452" t="s">
        <v>3179</v>
      </c>
      <c r="D508" s="452" t="s">
        <v>1249</v>
      </c>
      <c r="E508" s="454">
        <v>6300</v>
      </c>
      <c r="F508" s="454">
        <v>600</v>
      </c>
      <c r="G508" s="455">
        <v>0.6</v>
      </c>
      <c r="H508" s="457">
        <f t="shared" si="60"/>
        <v>360</v>
      </c>
      <c r="I508" s="455">
        <v>108</v>
      </c>
      <c r="J508" s="458">
        <v>13.38</v>
      </c>
      <c r="K508" s="458">
        <v>1</v>
      </c>
      <c r="L508" s="458">
        <v>0.25</v>
      </c>
      <c r="M508" s="455">
        <f t="shared" ref="M508:M513" si="66">SUM(I508:L508)</f>
        <v>122.63</v>
      </c>
      <c r="N508" s="456">
        <f t="shared" ref="N508:N513" si="67">H508-M508</f>
        <v>237.37</v>
      </c>
      <c r="O508" s="461" t="s">
        <v>3196</v>
      </c>
      <c r="P508" s="459" t="s">
        <v>369</v>
      </c>
      <c r="Q508" s="451"/>
    </row>
    <row r="509" spans="1:17" ht="13.2" x14ac:dyDescent="0.25">
      <c r="A509" s="451"/>
      <c r="B509" s="295" t="s">
        <v>3197</v>
      </c>
      <c r="C509" s="452" t="s">
        <v>3199</v>
      </c>
      <c r="D509" s="452" t="s">
        <v>1245</v>
      </c>
      <c r="E509" s="454">
        <v>6000</v>
      </c>
      <c r="F509" s="454">
        <v>150</v>
      </c>
      <c r="G509" s="455">
        <v>88.25</v>
      </c>
      <c r="H509" s="457">
        <f>F509*G509</f>
        <v>13237.5</v>
      </c>
      <c r="I509" s="455">
        <v>27</v>
      </c>
      <c r="J509" s="458">
        <f>8.65+2</f>
        <v>10.65</v>
      </c>
      <c r="K509" s="458">
        <v>2</v>
      </c>
      <c r="L509" s="458">
        <v>16.03</v>
      </c>
      <c r="M509" s="455">
        <f t="shared" si="66"/>
        <v>55.68</v>
      </c>
      <c r="N509" s="456">
        <f t="shared" si="67"/>
        <v>13181.82</v>
      </c>
      <c r="O509" s="463" t="s">
        <v>43</v>
      </c>
      <c r="P509" s="459" t="s">
        <v>369</v>
      </c>
      <c r="Q509" s="451"/>
    </row>
    <row r="510" spans="1:17" ht="12.75" customHeight="1" x14ac:dyDescent="0.25">
      <c r="A510" s="451"/>
      <c r="B510" s="295" t="s">
        <v>3206</v>
      </c>
      <c r="C510" s="452" t="s">
        <v>3199</v>
      </c>
      <c r="D510" s="452" t="s">
        <v>1245</v>
      </c>
      <c r="E510" s="454">
        <v>6000</v>
      </c>
      <c r="F510" s="454">
        <v>200</v>
      </c>
      <c r="G510" s="455">
        <v>72</v>
      </c>
      <c r="H510" s="457">
        <f t="shared" ref="H510:H522" si="68">F510*G510</f>
        <v>14400</v>
      </c>
      <c r="I510" s="455">
        <v>36</v>
      </c>
      <c r="J510" s="447"/>
      <c r="K510" s="447"/>
      <c r="L510" s="447"/>
      <c r="M510" s="455">
        <f t="shared" si="66"/>
        <v>36</v>
      </c>
      <c r="N510" s="456">
        <f t="shared" si="67"/>
        <v>14364</v>
      </c>
      <c r="O510" s="463" t="s">
        <v>55</v>
      </c>
      <c r="P510" s="459" t="s">
        <v>369</v>
      </c>
      <c r="Q510" s="451"/>
    </row>
    <row r="511" spans="1:17" ht="12.75" customHeight="1" x14ac:dyDescent="0.25">
      <c r="A511" s="451"/>
      <c r="B511" s="295" t="s">
        <v>3206</v>
      </c>
      <c r="C511" s="452" t="s">
        <v>3199</v>
      </c>
      <c r="D511" s="452" t="s">
        <v>1249</v>
      </c>
      <c r="E511" s="454">
        <v>6100</v>
      </c>
      <c r="F511" s="454">
        <v>200</v>
      </c>
      <c r="G511" s="455">
        <v>78</v>
      </c>
      <c r="H511" s="457">
        <f t="shared" si="68"/>
        <v>15600</v>
      </c>
      <c r="I511" s="455">
        <v>36</v>
      </c>
      <c r="J511" s="458">
        <f>22.95+5</f>
        <v>27.95</v>
      </c>
      <c r="K511" s="458">
        <v>4</v>
      </c>
      <c r="L511" s="458">
        <v>41.63</v>
      </c>
      <c r="M511" s="455">
        <f t="shared" si="66"/>
        <v>109.58000000000001</v>
      </c>
      <c r="N511" s="456">
        <f t="shared" si="67"/>
        <v>15490.42</v>
      </c>
      <c r="O511" s="463" t="s">
        <v>55</v>
      </c>
      <c r="P511" s="459" t="s">
        <v>369</v>
      </c>
      <c r="Q511" s="451"/>
    </row>
    <row r="512" spans="1:17" ht="12.75" customHeight="1" x14ac:dyDescent="0.25">
      <c r="A512" s="451"/>
      <c r="B512" s="295" t="s">
        <v>3222</v>
      </c>
      <c r="C512" s="452" t="s">
        <v>3205</v>
      </c>
      <c r="D512" s="452" t="s">
        <v>1249</v>
      </c>
      <c r="E512" s="454">
        <v>1600</v>
      </c>
      <c r="F512" s="454">
        <v>2000</v>
      </c>
      <c r="G512" s="455">
        <v>1.5</v>
      </c>
      <c r="H512" s="457">
        <f t="shared" si="68"/>
        <v>3000</v>
      </c>
      <c r="I512" s="455">
        <v>144</v>
      </c>
      <c r="J512" s="458">
        <v>24.97</v>
      </c>
      <c r="K512" s="458">
        <f>1+1</f>
        <v>2</v>
      </c>
      <c r="L512" s="458">
        <v>4.07</v>
      </c>
      <c r="M512" s="455">
        <f t="shared" si="66"/>
        <v>175.04</v>
      </c>
      <c r="N512" s="456">
        <f t="shared" si="67"/>
        <v>2824.96</v>
      </c>
      <c r="O512" s="463" t="s">
        <v>2879</v>
      </c>
      <c r="P512" s="459" t="s">
        <v>369</v>
      </c>
      <c r="Q512" s="451"/>
    </row>
    <row r="513" spans="1:18" ht="12.75" customHeight="1" x14ac:dyDescent="0.25">
      <c r="A513" s="451"/>
      <c r="B513" s="295" t="s">
        <v>3223</v>
      </c>
      <c r="C513" s="295" t="s">
        <v>3199</v>
      </c>
      <c r="D513" s="452" t="s">
        <v>1249</v>
      </c>
      <c r="E513" s="454">
        <v>6200</v>
      </c>
      <c r="F513" s="454">
        <v>300</v>
      </c>
      <c r="G513" s="455">
        <v>21.25</v>
      </c>
      <c r="H513" s="457">
        <f t="shared" si="68"/>
        <v>6375</v>
      </c>
      <c r="I513" s="455">
        <v>54</v>
      </c>
      <c r="J513" s="458">
        <v>14.34</v>
      </c>
      <c r="K513" s="458">
        <f>1+1</f>
        <v>2</v>
      </c>
      <c r="L513" s="458">
        <v>7.98</v>
      </c>
      <c r="M513" s="455">
        <f t="shared" si="66"/>
        <v>78.320000000000007</v>
      </c>
      <c r="N513" s="456">
        <f t="shared" si="67"/>
        <v>6296.68</v>
      </c>
      <c r="O513" s="463" t="s">
        <v>2882</v>
      </c>
      <c r="P513" s="459" t="s">
        <v>369</v>
      </c>
      <c r="Q513" s="451"/>
    </row>
    <row r="514" spans="1:18" ht="12.75" customHeight="1" x14ac:dyDescent="0.25">
      <c r="A514" s="451"/>
      <c r="B514" s="295" t="s">
        <v>3258</v>
      </c>
      <c r="C514" s="452" t="s">
        <v>3252</v>
      </c>
      <c r="D514" s="452" t="s">
        <v>1245</v>
      </c>
      <c r="E514" s="454">
        <v>6200</v>
      </c>
      <c r="F514" s="454">
        <v>50</v>
      </c>
      <c r="G514" s="455">
        <v>35</v>
      </c>
      <c r="H514" s="457">
        <f t="shared" si="68"/>
        <v>1750</v>
      </c>
      <c r="I514" s="455">
        <v>9</v>
      </c>
      <c r="J514" s="447"/>
      <c r="K514" s="447"/>
      <c r="L514" s="447"/>
      <c r="M514" s="455">
        <f t="shared" ref="M514:M522" si="69">SUM(I514:L514)</f>
        <v>9</v>
      </c>
      <c r="N514" s="456">
        <f t="shared" ref="N514:N526" si="70">H514-M514</f>
        <v>1741</v>
      </c>
      <c r="O514" s="461" t="s">
        <v>2507</v>
      </c>
      <c r="P514" s="459" t="s">
        <v>369</v>
      </c>
      <c r="Q514" s="451"/>
    </row>
    <row r="515" spans="1:18" ht="12.75" customHeight="1" x14ac:dyDescent="0.25">
      <c r="A515" s="451"/>
      <c r="B515" s="295" t="s">
        <v>3258</v>
      </c>
      <c r="C515" s="452" t="s">
        <v>3252</v>
      </c>
      <c r="D515" s="452" t="s">
        <v>1245</v>
      </c>
      <c r="E515" s="454">
        <v>6200</v>
      </c>
      <c r="F515" s="454">
        <v>550</v>
      </c>
      <c r="G515" s="455">
        <v>35</v>
      </c>
      <c r="H515" s="457">
        <f t="shared" si="68"/>
        <v>19250</v>
      </c>
      <c r="I515" s="455">
        <v>99</v>
      </c>
      <c r="J515" s="447"/>
      <c r="K515" s="447"/>
      <c r="L515" s="447"/>
      <c r="M515" s="455">
        <f t="shared" si="69"/>
        <v>99</v>
      </c>
      <c r="N515" s="456">
        <f t="shared" si="70"/>
        <v>19151</v>
      </c>
      <c r="O515" s="461" t="s">
        <v>2507</v>
      </c>
      <c r="P515" s="459" t="s">
        <v>369</v>
      </c>
      <c r="Q515" s="451"/>
    </row>
    <row r="516" spans="1:18" ht="13.2" x14ac:dyDescent="0.25">
      <c r="A516" s="451"/>
      <c r="B516" s="295" t="s">
        <v>3258</v>
      </c>
      <c r="C516" s="452" t="s">
        <v>3252</v>
      </c>
      <c r="D516" s="452" t="s">
        <v>1249</v>
      </c>
      <c r="E516" s="454">
        <v>6400</v>
      </c>
      <c r="F516" s="454">
        <v>200</v>
      </c>
      <c r="G516" s="455">
        <v>42.25</v>
      </c>
      <c r="H516" s="457">
        <f t="shared" si="68"/>
        <v>8450</v>
      </c>
      <c r="I516" s="455">
        <v>36</v>
      </c>
      <c r="J516" s="450"/>
      <c r="K516" s="450"/>
      <c r="L516" s="473"/>
      <c r="M516" s="455">
        <f t="shared" si="69"/>
        <v>36</v>
      </c>
      <c r="N516" s="456">
        <f t="shared" si="70"/>
        <v>8414</v>
      </c>
      <c r="O516" s="461" t="s">
        <v>2507</v>
      </c>
      <c r="P516" s="459" t="s">
        <v>369</v>
      </c>
      <c r="Q516" s="451"/>
      <c r="R516" s="247"/>
    </row>
    <row r="517" spans="1:18" ht="12.75" customHeight="1" x14ac:dyDescent="0.25">
      <c r="A517" s="451"/>
      <c r="B517" s="295" t="s">
        <v>3258</v>
      </c>
      <c r="C517" s="452" t="s">
        <v>3252</v>
      </c>
      <c r="D517" s="452" t="s">
        <v>1249</v>
      </c>
      <c r="E517" s="454">
        <v>6400</v>
      </c>
      <c r="F517" s="454">
        <v>100</v>
      </c>
      <c r="G517" s="455">
        <v>42.2</v>
      </c>
      <c r="H517" s="457">
        <f t="shared" si="68"/>
        <v>4220</v>
      </c>
      <c r="I517" s="455">
        <v>18</v>
      </c>
      <c r="J517" s="447"/>
      <c r="K517" s="447"/>
      <c r="L517" s="447"/>
      <c r="M517" s="455">
        <f t="shared" si="69"/>
        <v>18</v>
      </c>
      <c r="N517" s="456">
        <f t="shared" si="70"/>
        <v>4202</v>
      </c>
      <c r="O517" s="461" t="s">
        <v>2507</v>
      </c>
      <c r="P517" s="461" t="s">
        <v>369</v>
      </c>
      <c r="Q517" s="451"/>
    </row>
    <row r="518" spans="1:18" ht="12.75" customHeight="1" x14ac:dyDescent="0.25">
      <c r="A518" s="451"/>
      <c r="B518" s="295" t="s">
        <v>3258</v>
      </c>
      <c r="C518" s="452" t="s">
        <v>3252</v>
      </c>
      <c r="D518" s="452" t="s">
        <v>1249</v>
      </c>
      <c r="E518" s="454">
        <v>6400</v>
      </c>
      <c r="F518" s="454">
        <v>150</v>
      </c>
      <c r="G518" s="455">
        <v>42.2</v>
      </c>
      <c r="H518" s="457">
        <f t="shared" si="68"/>
        <v>6330</v>
      </c>
      <c r="I518" s="455">
        <v>27</v>
      </c>
      <c r="J518" s="447"/>
      <c r="K518" s="447"/>
      <c r="L518" s="447"/>
      <c r="M518" s="455">
        <f t="shared" si="69"/>
        <v>27</v>
      </c>
      <c r="N518" s="456">
        <f t="shared" si="70"/>
        <v>6303</v>
      </c>
      <c r="O518" s="461" t="s">
        <v>2507</v>
      </c>
      <c r="P518" s="461" t="s">
        <v>369</v>
      </c>
      <c r="Q518" s="451"/>
    </row>
    <row r="519" spans="1:18" ht="12.75" customHeight="1" x14ac:dyDescent="0.25">
      <c r="A519" s="451"/>
      <c r="B519" s="295" t="s">
        <v>3263</v>
      </c>
      <c r="C519" s="452" t="s">
        <v>3252</v>
      </c>
      <c r="D519" s="452" t="s">
        <v>1249</v>
      </c>
      <c r="E519" s="454">
        <v>6400</v>
      </c>
      <c r="F519" s="454">
        <v>150</v>
      </c>
      <c r="G519" s="455">
        <v>94.5</v>
      </c>
      <c r="H519" s="457">
        <f t="shared" si="68"/>
        <v>14175</v>
      </c>
      <c r="I519" s="455">
        <v>27</v>
      </c>
      <c r="J519" s="447"/>
      <c r="K519" s="447"/>
      <c r="L519" s="447"/>
      <c r="M519" s="455">
        <f t="shared" si="69"/>
        <v>27</v>
      </c>
      <c r="N519" s="456">
        <f t="shared" si="70"/>
        <v>14148</v>
      </c>
      <c r="O519" s="461" t="s">
        <v>2509</v>
      </c>
      <c r="P519" s="461" t="s">
        <v>369</v>
      </c>
      <c r="Q519" s="451"/>
    </row>
    <row r="520" spans="1:18" ht="12.75" customHeight="1" x14ac:dyDescent="0.25">
      <c r="A520" s="451"/>
      <c r="B520" s="295" t="s">
        <v>3263</v>
      </c>
      <c r="C520" s="452" t="s">
        <v>3252</v>
      </c>
      <c r="D520" s="452" t="s">
        <v>1249</v>
      </c>
      <c r="E520" s="454">
        <v>6400</v>
      </c>
      <c r="F520" s="454">
        <v>50</v>
      </c>
      <c r="G520" s="455">
        <v>94.5</v>
      </c>
      <c r="H520" s="457">
        <f t="shared" si="68"/>
        <v>4725</v>
      </c>
      <c r="I520" s="455">
        <v>9</v>
      </c>
      <c r="J520" s="447"/>
      <c r="K520" s="447"/>
      <c r="L520" s="447"/>
      <c r="M520" s="455">
        <f t="shared" si="69"/>
        <v>9</v>
      </c>
      <c r="N520" s="456">
        <f t="shared" si="70"/>
        <v>4716</v>
      </c>
      <c r="O520" s="461" t="s">
        <v>2509</v>
      </c>
      <c r="P520" s="461" t="s">
        <v>369</v>
      </c>
      <c r="Q520" s="451"/>
    </row>
    <row r="521" spans="1:18" ht="12.75" customHeight="1" x14ac:dyDescent="0.25">
      <c r="A521" s="451"/>
      <c r="B521" s="295" t="s">
        <v>3263</v>
      </c>
      <c r="C521" s="452" t="s">
        <v>3252</v>
      </c>
      <c r="D521" s="452" t="s">
        <v>1249</v>
      </c>
      <c r="E521" s="454">
        <v>6400</v>
      </c>
      <c r="F521" s="454">
        <v>100</v>
      </c>
      <c r="G521" s="455">
        <v>94.5</v>
      </c>
      <c r="H521" s="457">
        <f t="shared" si="68"/>
        <v>9450</v>
      </c>
      <c r="I521" s="455">
        <v>18</v>
      </c>
      <c r="J521" s="447"/>
      <c r="K521" s="447"/>
      <c r="L521" s="447"/>
      <c r="M521" s="455">
        <f t="shared" si="69"/>
        <v>18</v>
      </c>
      <c r="N521" s="456">
        <f t="shared" si="70"/>
        <v>9432</v>
      </c>
      <c r="O521" s="461" t="s">
        <v>2509</v>
      </c>
      <c r="P521" s="461" t="s">
        <v>369</v>
      </c>
      <c r="Q521" s="451"/>
    </row>
    <row r="522" spans="1:18" ht="12.75" customHeight="1" x14ac:dyDescent="0.25">
      <c r="A522" s="451"/>
      <c r="B522" s="295" t="s">
        <v>3263</v>
      </c>
      <c r="C522" s="452" t="s">
        <v>3252</v>
      </c>
      <c r="D522" s="452" t="s">
        <v>1249</v>
      </c>
      <c r="E522" s="454">
        <v>6400</v>
      </c>
      <c r="F522" s="454">
        <v>200</v>
      </c>
      <c r="G522" s="455">
        <v>91.05</v>
      </c>
      <c r="H522" s="457">
        <f t="shared" si="68"/>
        <v>18210</v>
      </c>
      <c r="I522" s="455">
        <v>36</v>
      </c>
      <c r="J522" s="458">
        <v>15.15</v>
      </c>
      <c r="K522" s="458">
        <f>8+3</f>
        <v>11</v>
      </c>
      <c r="L522" s="458">
        <v>32.590000000000003</v>
      </c>
      <c r="M522" s="455">
        <f t="shared" si="69"/>
        <v>94.740000000000009</v>
      </c>
      <c r="N522" s="456">
        <f t="shared" si="70"/>
        <v>18115.259999999998</v>
      </c>
      <c r="O522" s="461" t="s">
        <v>2509</v>
      </c>
      <c r="P522" s="461" t="s">
        <v>369</v>
      </c>
      <c r="Q522" s="451"/>
    </row>
    <row r="523" spans="1:18" ht="12.75" customHeight="1" x14ac:dyDescent="0.25">
      <c r="A523" s="451"/>
      <c r="B523" s="295" t="s">
        <v>3274</v>
      </c>
      <c r="C523" s="295" t="s">
        <v>3252</v>
      </c>
      <c r="D523" s="325" t="s">
        <v>1245</v>
      </c>
      <c r="E523" s="2">
        <v>6400</v>
      </c>
      <c r="F523" s="454">
        <v>1000</v>
      </c>
      <c r="G523" s="60">
        <v>20.05</v>
      </c>
      <c r="H523" s="303">
        <f>F523*G523</f>
        <v>20050</v>
      </c>
      <c r="I523" s="60">
        <v>180</v>
      </c>
      <c r="J523" s="447"/>
      <c r="K523" s="447"/>
      <c r="L523" s="447"/>
      <c r="M523" s="455">
        <f>SUM(I523:L523)</f>
        <v>180</v>
      </c>
      <c r="N523" s="456">
        <f t="shared" si="70"/>
        <v>19870</v>
      </c>
      <c r="O523" s="463" t="s">
        <v>2906</v>
      </c>
      <c r="P523" s="459" t="s">
        <v>369</v>
      </c>
      <c r="Q523" s="451"/>
    </row>
    <row r="524" spans="1:18" ht="12.75" customHeight="1" x14ac:dyDescent="0.25">
      <c r="A524" s="451"/>
      <c r="B524" s="295" t="s">
        <v>3274</v>
      </c>
      <c r="C524" s="295" t="s">
        <v>3252</v>
      </c>
      <c r="D524" s="452" t="s">
        <v>1249</v>
      </c>
      <c r="E524" s="454">
        <v>6600</v>
      </c>
      <c r="F524" s="454">
        <v>300</v>
      </c>
      <c r="G524" s="455">
        <v>56.1</v>
      </c>
      <c r="H524" s="303">
        <f>F524*G524</f>
        <v>16830</v>
      </c>
      <c r="I524" s="455">
        <v>54</v>
      </c>
      <c r="J524" s="447"/>
      <c r="K524" s="447"/>
      <c r="L524" s="447"/>
      <c r="M524" s="455">
        <f>SUM(I524:L524)</f>
        <v>54</v>
      </c>
      <c r="N524" s="456">
        <f t="shared" si="70"/>
        <v>16776</v>
      </c>
      <c r="O524" s="463" t="s">
        <v>2906</v>
      </c>
      <c r="P524" s="459" t="s">
        <v>369</v>
      </c>
      <c r="Q524" s="451"/>
    </row>
    <row r="525" spans="1:18" ht="12.75" customHeight="1" x14ac:dyDescent="0.25">
      <c r="A525" s="451"/>
      <c r="B525" s="295" t="s">
        <v>3283</v>
      </c>
      <c r="C525" s="452" t="s">
        <v>3252</v>
      </c>
      <c r="D525" s="452" t="s">
        <v>1245</v>
      </c>
      <c r="E525" s="454">
        <v>6400</v>
      </c>
      <c r="F525" s="454">
        <v>1850</v>
      </c>
      <c r="G525" s="455">
        <v>3.7</v>
      </c>
      <c r="H525" s="303">
        <f>F525*G525</f>
        <v>6845</v>
      </c>
      <c r="I525" s="455">
        <v>333</v>
      </c>
      <c r="J525" s="447"/>
      <c r="K525" s="447"/>
      <c r="L525" s="447"/>
      <c r="M525" s="455">
        <f>SUM(I525:L525)</f>
        <v>333</v>
      </c>
      <c r="N525" s="456">
        <f t="shared" si="70"/>
        <v>6512</v>
      </c>
      <c r="O525" s="461" t="s">
        <v>3284</v>
      </c>
      <c r="P525" s="461" t="s">
        <v>369</v>
      </c>
      <c r="Q525" s="451"/>
    </row>
    <row r="526" spans="1:18" ht="12.75" customHeight="1" x14ac:dyDescent="0.25">
      <c r="A526" s="451"/>
      <c r="B526" s="295" t="s">
        <v>3288</v>
      </c>
      <c r="C526" s="295" t="s">
        <v>3252</v>
      </c>
      <c r="D526" s="452" t="s">
        <v>1249</v>
      </c>
      <c r="E526" s="454">
        <v>6600</v>
      </c>
      <c r="F526" s="454">
        <v>150</v>
      </c>
      <c r="G526" s="455">
        <v>48.7</v>
      </c>
      <c r="H526" s="303">
        <f>F526*G526</f>
        <v>7305</v>
      </c>
      <c r="I526" s="455">
        <v>27</v>
      </c>
      <c r="J526" s="447"/>
      <c r="K526" s="447"/>
      <c r="L526" s="447"/>
      <c r="M526" s="455">
        <f>SUM(I526:L526)</f>
        <v>27</v>
      </c>
      <c r="N526" s="456">
        <f t="shared" si="70"/>
        <v>7278</v>
      </c>
      <c r="O526" s="463" t="s">
        <v>3289</v>
      </c>
      <c r="P526" s="459" t="s">
        <v>369</v>
      </c>
      <c r="Q526" s="451"/>
    </row>
    <row r="527" spans="1:18" ht="12.75" customHeight="1" x14ac:dyDescent="0.25">
      <c r="A527" s="451"/>
      <c r="B527" s="452"/>
      <c r="C527" s="452"/>
      <c r="D527" s="452"/>
      <c r="E527" s="454"/>
      <c r="F527" s="454"/>
      <c r="G527" s="455"/>
      <c r="H527" s="456"/>
      <c r="I527" s="455"/>
      <c r="J527" s="458"/>
      <c r="K527" s="458"/>
      <c r="L527" s="458"/>
      <c r="M527" s="455"/>
      <c r="N527" s="456"/>
      <c r="O527" s="463"/>
      <c r="P527" s="463"/>
      <c r="Q527" s="451"/>
    </row>
    <row r="528" spans="1:18" ht="12.75" customHeight="1" x14ac:dyDescent="0.25">
      <c r="A528" s="451"/>
      <c r="B528" s="452"/>
      <c r="C528" s="452"/>
      <c r="D528" s="452"/>
      <c r="E528" s="454"/>
      <c r="F528" s="454"/>
      <c r="G528" s="455"/>
      <c r="H528" s="456"/>
      <c r="I528" s="455"/>
      <c r="J528" s="458"/>
      <c r="K528" s="458"/>
      <c r="L528" s="458"/>
      <c r="M528" s="455"/>
      <c r="N528" s="456"/>
      <c r="O528" s="463"/>
      <c r="P528" s="463"/>
      <c r="Q528" s="451"/>
    </row>
    <row r="529" spans="1:18" ht="12.75" customHeight="1" x14ac:dyDescent="0.25">
      <c r="A529" s="451"/>
      <c r="B529" s="452"/>
      <c r="C529" s="452"/>
      <c r="D529" s="452"/>
      <c r="E529" s="454"/>
      <c r="F529" s="454"/>
      <c r="G529" s="455"/>
      <c r="H529" s="456"/>
      <c r="I529" s="455"/>
      <c r="J529" s="458"/>
      <c r="K529" s="458"/>
      <c r="L529" s="458"/>
      <c r="M529" s="458"/>
      <c r="N529" s="451"/>
      <c r="O529" s="463"/>
      <c r="P529" s="463"/>
      <c r="Q529" s="451"/>
    </row>
    <row r="530" spans="1:18" ht="12.75" customHeight="1" x14ac:dyDescent="0.25">
      <c r="B530" s="325"/>
      <c r="C530" s="325"/>
      <c r="D530" s="325"/>
      <c r="E530" s="2"/>
      <c r="F530" s="2"/>
      <c r="G530" s="60"/>
      <c r="H530" s="303"/>
      <c r="I530" s="60"/>
    </row>
    <row r="531" spans="1:18" ht="13.2" x14ac:dyDescent="0.25">
      <c r="B531" s="325"/>
      <c r="C531" s="325"/>
      <c r="D531" s="325"/>
      <c r="E531" s="2"/>
      <c r="F531" s="2"/>
      <c r="G531" s="60"/>
      <c r="H531" s="303"/>
      <c r="I531" s="60"/>
      <c r="J531" s="299"/>
      <c r="K531" s="299"/>
      <c r="L531" s="224"/>
      <c r="M531" s="60"/>
      <c r="N531" s="303"/>
      <c r="O531" s="304"/>
      <c r="P531" s="304"/>
      <c r="R531" s="247"/>
    </row>
    <row r="532" spans="1:18" ht="12.75" customHeight="1" x14ac:dyDescent="0.25">
      <c r="B532" s="325"/>
      <c r="C532" s="325"/>
      <c r="D532" s="325"/>
      <c r="E532" s="2"/>
      <c r="F532" s="2"/>
      <c r="G532" s="60"/>
      <c r="H532" s="303"/>
      <c r="I532" s="60"/>
      <c r="J532" s="300"/>
      <c r="M532" s="257" t="s">
        <v>2127</v>
      </c>
      <c r="N532" s="257">
        <f>SUM(N402:N531)</f>
        <v>731113.41</v>
      </c>
    </row>
    <row r="533" spans="1:18" ht="12.75" customHeight="1" x14ac:dyDescent="0.25">
      <c r="B533" s="325"/>
      <c r="C533" s="325"/>
      <c r="D533" s="325"/>
      <c r="E533" s="2"/>
      <c r="F533" s="2"/>
      <c r="G533" s="60"/>
      <c r="H533" s="303"/>
      <c r="I533" s="60"/>
      <c r="J533" s="300"/>
      <c r="M533" s="257"/>
      <c r="N533" s="257"/>
    </row>
    <row r="534" spans="1:18" ht="13.8" thickBot="1" x14ac:dyDescent="0.3"/>
    <row r="535" spans="1:18" ht="12.75" customHeight="1" thickBot="1" x14ac:dyDescent="0.3">
      <c r="A535" s="351" t="s">
        <v>2143</v>
      </c>
      <c r="B535" s="251"/>
      <c r="C535" s="251"/>
      <c r="D535" s="251"/>
      <c r="E535" s="251"/>
      <c r="F535" s="251"/>
      <c r="G535" s="419"/>
      <c r="H535" s="247"/>
    </row>
    <row r="536" spans="1:18" ht="12.75" customHeight="1" x14ac:dyDescent="0.25">
      <c r="A536" s="358" t="s">
        <v>184</v>
      </c>
      <c r="B536" s="409" t="s">
        <v>999</v>
      </c>
      <c r="C536" s="409" t="s">
        <v>2082</v>
      </c>
      <c r="D536" s="409" t="s">
        <v>2084</v>
      </c>
      <c r="E536" s="409" t="s">
        <v>940</v>
      </c>
      <c r="F536" s="409" t="s">
        <v>668</v>
      </c>
      <c r="G536" s="409" t="s">
        <v>667</v>
      </c>
      <c r="H536" s="247"/>
    </row>
    <row r="537" spans="1:18" ht="12.75" customHeight="1" x14ac:dyDescent="0.25">
      <c r="A537" s="295" t="s">
        <v>2923</v>
      </c>
      <c r="B537" s="295" t="s">
        <v>2923</v>
      </c>
      <c r="C537" s="225" t="s">
        <v>927</v>
      </c>
      <c r="D537" s="250" t="s">
        <v>1231</v>
      </c>
      <c r="F537" s="299">
        <v>0</v>
      </c>
      <c r="G537" s="299">
        <v>320.12</v>
      </c>
      <c r="H537" s="247"/>
    </row>
    <row r="538" spans="1:18" ht="12.75" customHeight="1" x14ac:dyDescent="0.25">
      <c r="A538" s="295" t="s">
        <v>2923</v>
      </c>
      <c r="B538" s="295" t="s">
        <v>2923</v>
      </c>
      <c r="C538" s="293" t="s">
        <v>937</v>
      </c>
      <c r="D538" s="233">
        <v>1370248</v>
      </c>
      <c r="E538" s="267" t="s">
        <v>932</v>
      </c>
      <c r="F538" s="60">
        <v>0</v>
      </c>
      <c r="G538" s="299">
        <v>19000</v>
      </c>
      <c r="H538" s="247"/>
    </row>
    <row r="539" spans="1:18" ht="12.75" customHeight="1" x14ac:dyDescent="0.25">
      <c r="A539" s="295" t="s">
        <v>2935</v>
      </c>
      <c r="B539" s="295" t="s">
        <v>2935</v>
      </c>
      <c r="C539" s="416" t="s">
        <v>937</v>
      </c>
      <c r="D539" s="417">
        <v>1395703</v>
      </c>
      <c r="E539" s="418" t="s">
        <v>932</v>
      </c>
      <c r="F539" s="299">
        <v>0</v>
      </c>
      <c r="G539" s="299">
        <v>1000</v>
      </c>
      <c r="H539" s="260"/>
      <c r="J539" s="224"/>
      <c r="K539" s="224"/>
      <c r="L539" s="224"/>
      <c r="M539" s="224"/>
      <c r="O539" s="224"/>
      <c r="P539" s="224"/>
    </row>
    <row r="540" spans="1:18" ht="12.75" customHeight="1" x14ac:dyDescent="0.25">
      <c r="A540" s="295" t="s">
        <v>2943</v>
      </c>
      <c r="B540" s="295" t="s">
        <v>2943</v>
      </c>
      <c r="C540" s="416" t="s">
        <v>937</v>
      </c>
      <c r="D540" s="417">
        <v>1406857</v>
      </c>
      <c r="E540" s="418" t="s">
        <v>932</v>
      </c>
      <c r="F540" s="299">
        <v>0</v>
      </c>
      <c r="G540" s="299">
        <v>3000</v>
      </c>
      <c r="H540" s="295"/>
      <c r="J540" s="224"/>
      <c r="K540" s="224"/>
      <c r="L540" s="224"/>
      <c r="M540" s="224"/>
      <c r="O540" s="224"/>
      <c r="P540" s="224"/>
    </row>
    <row r="541" spans="1:18" ht="12.75" customHeight="1" x14ac:dyDescent="0.25">
      <c r="A541" s="295" t="s">
        <v>2950</v>
      </c>
      <c r="B541" s="295" t="s">
        <v>2950</v>
      </c>
      <c r="C541" s="416" t="s">
        <v>937</v>
      </c>
      <c r="D541" s="417">
        <v>1411371</v>
      </c>
      <c r="E541" s="418" t="s">
        <v>932</v>
      </c>
      <c r="F541" s="299">
        <v>0</v>
      </c>
      <c r="G541" s="299">
        <v>3000</v>
      </c>
      <c r="J541" s="224"/>
      <c r="K541" s="224"/>
      <c r="L541" s="224"/>
      <c r="M541" s="224"/>
      <c r="O541" s="224"/>
      <c r="P541" s="224"/>
    </row>
    <row r="542" spans="1:18" ht="12.75" customHeight="1" x14ac:dyDescent="0.25">
      <c r="A542" s="295" t="s">
        <v>2951</v>
      </c>
      <c r="B542" s="295" t="s">
        <v>2951</v>
      </c>
      <c r="C542" s="416" t="s">
        <v>937</v>
      </c>
      <c r="D542" s="417">
        <v>1424732</v>
      </c>
      <c r="E542" s="418" t="s">
        <v>932</v>
      </c>
      <c r="F542" s="299">
        <v>0</v>
      </c>
      <c r="G542" s="299">
        <v>500</v>
      </c>
      <c r="J542" s="224"/>
      <c r="K542" s="224"/>
      <c r="L542" s="224"/>
      <c r="M542" s="224"/>
      <c r="O542" s="224"/>
      <c r="P542" s="224"/>
    </row>
    <row r="543" spans="1:18" ht="12.75" customHeight="1" x14ac:dyDescent="0.25">
      <c r="A543" s="295" t="s">
        <v>2955</v>
      </c>
      <c r="B543" s="295" t="s">
        <v>2955</v>
      </c>
      <c r="C543" s="416" t="s">
        <v>937</v>
      </c>
      <c r="D543" s="417">
        <v>1447329</v>
      </c>
      <c r="E543" s="418" t="s">
        <v>932</v>
      </c>
      <c r="F543" s="299">
        <v>0</v>
      </c>
      <c r="G543" s="299">
        <v>5000</v>
      </c>
      <c r="H543" s="295"/>
      <c r="I543" s="224"/>
      <c r="J543" s="224"/>
      <c r="K543" s="224"/>
      <c r="L543" s="224"/>
      <c r="M543" s="224"/>
      <c r="O543" s="224"/>
      <c r="P543" s="224"/>
    </row>
    <row r="544" spans="1:18" ht="12.75" customHeight="1" x14ac:dyDescent="0.25">
      <c r="A544" s="295" t="s">
        <v>2997</v>
      </c>
      <c r="B544" s="295" t="s">
        <v>2997</v>
      </c>
      <c r="C544" s="416" t="s">
        <v>2170</v>
      </c>
      <c r="D544" s="417">
        <v>200413</v>
      </c>
      <c r="E544" s="418" t="s">
        <v>932</v>
      </c>
      <c r="F544" s="299">
        <v>5184.1899999999996</v>
      </c>
      <c r="G544" s="299">
        <v>0</v>
      </c>
      <c r="I544" s="224"/>
      <c r="J544" s="224"/>
      <c r="K544" s="224"/>
      <c r="L544" s="224"/>
      <c r="M544" s="224"/>
      <c r="O544" s="224"/>
      <c r="P544" s="224"/>
    </row>
    <row r="545" spans="1:16" ht="12.75" customHeight="1" x14ac:dyDescent="0.25">
      <c r="A545" s="295" t="s">
        <v>2998</v>
      </c>
      <c r="B545" s="295" t="s">
        <v>2998</v>
      </c>
      <c r="C545" s="416" t="s">
        <v>2999</v>
      </c>
      <c r="D545" s="417">
        <v>1</v>
      </c>
      <c r="E545" s="418" t="s">
        <v>932</v>
      </c>
      <c r="F545" s="299">
        <v>7315.81</v>
      </c>
      <c r="G545" s="299">
        <v>0</v>
      </c>
      <c r="I545" s="224"/>
      <c r="J545" s="224"/>
      <c r="K545" s="224"/>
      <c r="L545" s="224"/>
      <c r="M545" s="224"/>
      <c r="O545" s="224"/>
      <c r="P545" s="224"/>
    </row>
    <row r="546" spans="1:16" ht="12.75" customHeight="1" x14ac:dyDescent="0.25">
      <c r="A546" s="295" t="s">
        <v>3007</v>
      </c>
      <c r="B546" s="295" t="s">
        <v>3007</v>
      </c>
      <c r="C546" s="416" t="s">
        <v>3008</v>
      </c>
      <c r="D546" s="417">
        <v>1601479</v>
      </c>
      <c r="E546" s="418" t="s">
        <v>932</v>
      </c>
      <c r="F546" s="299">
        <v>0</v>
      </c>
      <c r="G546" s="299">
        <v>25000</v>
      </c>
      <c r="I546" s="224"/>
      <c r="J546" s="224"/>
      <c r="K546" s="224"/>
      <c r="L546" s="224"/>
      <c r="M546" s="224"/>
      <c r="O546" s="224"/>
      <c r="P546" s="224"/>
    </row>
    <row r="547" spans="1:16" ht="12.75" customHeight="1" x14ac:dyDescent="0.25">
      <c r="A547" s="295" t="s">
        <v>3012</v>
      </c>
      <c r="B547" s="295" t="s">
        <v>3012</v>
      </c>
      <c r="C547" s="416" t="s">
        <v>2170</v>
      </c>
      <c r="D547" s="417">
        <v>180513</v>
      </c>
      <c r="E547" s="418" t="s">
        <v>932</v>
      </c>
      <c r="F547" s="299">
        <v>19000</v>
      </c>
      <c r="G547" s="299">
        <v>0</v>
      </c>
      <c r="I547" s="224"/>
      <c r="J547" s="224"/>
      <c r="K547" s="224"/>
      <c r="L547" s="224"/>
      <c r="M547" s="224"/>
      <c r="O547" s="224"/>
      <c r="P547" s="224"/>
    </row>
    <row r="548" spans="1:16" ht="12.75" customHeight="1" x14ac:dyDescent="0.25">
      <c r="A548" s="295" t="s">
        <v>3013</v>
      </c>
      <c r="B548" s="295" t="s">
        <v>3013</v>
      </c>
      <c r="C548" s="416" t="s">
        <v>3014</v>
      </c>
      <c r="D548" s="417">
        <v>1679488</v>
      </c>
      <c r="E548" s="418" t="s">
        <v>932</v>
      </c>
      <c r="F548" s="299">
        <v>0</v>
      </c>
      <c r="G548" s="299">
        <v>25000</v>
      </c>
      <c r="I548" s="224"/>
      <c r="J548" s="224"/>
      <c r="K548" s="224"/>
      <c r="L548" s="224"/>
      <c r="M548" s="224"/>
      <c r="O548" s="224"/>
      <c r="P548" s="224"/>
    </row>
    <row r="549" spans="1:16" ht="12.75" customHeight="1" x14ac:dyDescent="0.25">
      <c r="A549" s="295" t="s">
        <v>3021</v>
      </c>
      <c r="B549" s="295" t="s">
        <v>3021</v>
      </c>
      <c r="C549" s="416" t="s">
        <v>3020</v>
      </c>
      <c r="D549" s="417">
        <v>1724733</v>
      </c>
      <c r="E549" s="418" t="s">
        <v>932</v>
      </c>
      <c r="F549" s="299">
        <v>0</v>
      </c>
      <c r="G549" s="299">
        <v>5000</v>
      </c>
      <c r="I549" s="224"/>
      <c r="J549" s="224"/>
      <c r="K549" s="224"/>
      <c r="L549" s="224"/>
      <c r="M549" s="224"/>
      <c r="O549" s="224"/>
      <c r="P549" s="224"/>
    </row>
    <row r="550" spans="1:16" ht="12.75" customHeight="1" x14ac:dyDescent="0.25">
      <c r="A550" s="295" t="s">
        <v>3034</v>
      </c>
      <c r="B550" s="295" t="s">
        <v>3034</v>
      </c>
      <c r="C550" s="416" t="s">
        <v>3032</v>
      </c>
      <c r="D550" s="417">
        <v>2007528</v>
      </c>
      <c r="E550" s="418" t="s">
        <v>932</v>
      </c>
      <c r="F550" s="299">
        <v>0</v>
      </c>
      <c r="G550" s="299">
        <v>15000</v>
      </c>
      <c r="I550" s="224"/>
      <c r="J550" s="224"/>
      <c r="K550" s="224"/>
      <c r="L550" s="224"/>
      <c r="M550" s="224"/>
      <c r="O550" s="224"/>
      <c r="P550" s="224"/>
    </row>
    <row r="551" spans="1:16" ht="12.75" customHeight="1" x14ac:dyDescent="0.25">
      <c r="A551" s="295" t="s">
        <v>3039</v>
      </c>
      <c r="B551" s="295" t="s">
        <v>3039</v>
      </c>
      <c r="C551" s="416" t="s">
        <v>3038</v>
      </c>
      <c r="D551" s="446">
        <v>2035148</v>
      </c>
      <c r="E551" s="418" t="s">
        <v>932</v>
      </c>
      <c r="F551" s="299">
        <v>0</v>
      </c>
      <c r="G551" s="299">
        <v>6000</v>
      </c>
      <c r="L551" s="224"/>
      <c r="M551" s="224"/>
      <c r="O551" s="224"/>
      <c r="P551" s="224"/>
    </row>
    <row r="552" spans="1:16" ht="12.75" customHeight="1" x14ac:dyDescent="0.25">
      <c r="A552" s="295" t="s">
        <v>3044</v>
      </c>
      <c r="B552" s="295" t="s">
        <v>3044</v>
      </c>
      <c r="C552" s="416" t="s">
        <v>3045</v>
      </c>
      <c r="D552" s="417">
        <v>2096001</v>
      </c>
      <c r="E552" s="418" t="s">
        <v>932</v>
      </c>
      <c r="F552" s="299">
        <v>0</v>
      </c>
      <c r="G552" s="299">
        <v>1000</v>
      </c>
      <c r="I552" s="224"/>
      <c r="J552" s="224"/>
      <c r="K552" s="224"/>
      <c r="L552" s="224"/>
      <c r="M552" s="224"/>
      <c r="O552" s="224"/>
      <c r="P552" s="224"/>
    </row>
    <row r="553" spans="1:16" ht="12.75" customHeight="1" x14ac:dyDescent="0.25">
      <c r="A553" s="295" t="s">
        <v>3049</v>
      </c>
      <c r="B553" s="295" t="s">
        <v>3049</v>
      </c>
      <c r="C553" s="416" t="s">
        <v>3050</v>
      </c>
      <c r="D553" s="417">
        <v>2127749</v>
      </c>
      <c r="E553" s="418" t="s">
        <v>932</v>
      </c>
      <c r="F553" s="299">
        <v>0</v>
      </c>
      <c r="G553" s="299">
        <v>5000</v>
      </c>
      <c r="H553" s="295"/>
      <c r="I553" s="224"/>
      <c r="J553" s="224"/>
      <c r="K553" s="224"/>
      <c r="L553" s="224"/>
      <c r="M553" s="224"/>
      <c r="O553" s="224"/>
      <c r="P553" s="224"/>
    </row>
    <row r="554" spans="1:16" ht="12.75" customHeight="1" x14ac:dyDescent="0.25">
      <c r="A554" s="295" t="s">
        <v>3051</v>
      </c>
      <c r="B554" s="295" t="s">
        <v>3051</v>
      </c>
      <c r="C554" s="416" t="s">
        <v>2170</v>
      </c>
      <c r="D554" s="417">
        <v>270813</v>
      </c>
      <c r="E554" s="418" t="s">
        <v>932</v>
      </c>
      <c r="F554" s="299">
        <v>5000</v>
      </c>
      <c r="G554" s="299">
        <v>0</v>
      </c>
      <c r="H554" s="295"/>
      <c r="I554" s="224"/>
      <c r="J554" s="224"/>
      <c r="K554" s="224"/>
      <c r="L554" s="224"/>
      <c r="M554" s="224"/>
      <c r="O554" s="224"/>
      <c r="P554" s="224"/>
    </row>
    <row r="555" spans="1:16" ht="12.75" customHeight="1" x14ac:dyDescent="0.25">
      <c r="A555" s="295" t="s">
        <v>3057</v>
      </c>
      <c r="B555" s="295" t="s">
        <v>3057</v>
      </c>
      <c r="C555" s="416" t="s">
        <v>3052</v>
      </c>
      <c r="D555" s="417">
        <v>2212445</v>
      </c>
      <c r="E555" s="418" t="s">
        <v>932</v>
      </c>
      <c r="F555" s="299">
        <v>0</v>
      </c>
      <c r="G555" s="299">
        <v>10000</v>
      </c>
      <c r="H555" s="295"/>
      <c r="I555" s="224"/>
      <c r="J555" s="224"/>
      <c r="K555" s="224"/>
      <c r="L555" s="224"/>
      <c r="M555" s="224"/>
      <c r="O555" s="224"/>
      <c r="P555" s="224"/>
    </row>
    <row r="556" spans="1:16" ht="12.75" customHeight="1" x14ac:dyDescent="0.25">
      <c r="A556" s="295" t="s">
        <v>3054</v>
      </c>
      <c r="B556" s="295" t="s">
        <v>3054</v>
      </c>
      <c r="C556" s="416" t="s">
        <v>3055</v>
      </c>
      <c r="D556" s="417">
        <v>2253805</v>
      </c>
      <c r="E556" s="418" t="s">
        <v>932</v>
      </c>
      <c r="F556" s="299">
        <v>0</v>
      </c>
      <c r="G556" s="299">
        <v>5000</v>
      </c>
      <c r="H556" s="295"/>
      <c r="I556" s="224"/>
      <c r="J556" s="224"/>
      <c r="K556" s="224"/>
      <c r="L556" s="224"/>
      <c r="M556" s="224"/>
      <c r="O556" s="224"/>
      <c r="P556" s="224"/>
    </row>
    <row r="557" spans="1:16" ht="12.75" customHeight="1" x14ac:dyDescent="0.25">
      <c r="A557" s="295" t="s">
        <v>3054</v>
      </c>
      <c r="B557" s="295" t="s">
        <v>3054</v>
      </c>
      <c r="C557" s="416" t="s">
        <v>3056</v>
      </c>
      <c r="D557" s="417">
        <v>2250441</v>
      </c>
      <c r="E557" s="418" t="s">
        <v>932</v>
      </c>
      <c r="F557" s="299">
        <v>0</v>
      </c>
      <c r="G557" s="299">
        <v>5000</v>
      </c>
      <c r="H557" s="295"/>
      <c r="I557" s="224"/>
      <c r="J557" s="224"/>
      <c r="K557" s="224"/>
      <c r="L557" s="224"/>
      <c r="M557" s="224"/>
      <c r="O557" s="224"/>
      <c r="P557" s="224"/>
    </row>
    <row r="558" spans="1:16" ht="12.75" customHeight="1" x14ac:dyDescent="0.25">
      <c r="A558" s="295" t="s">
        <v>3068</v>
      </c>
      <c r="B558" s="295" t="s">
        <v>3068</v>
      </c>
      <c r="C558" s="416" t="s">
        <v>3069</v>
      </c>
      <c r="D558" s="417">
        <v>2291700</v>
      </c>
      <c r="E558" s="418" t="s">
        <v>932</v>
      </c>
      <c r="F558" s="299">
        <v>0</v>
      </c>
      <c r="G558" s="299">
        <v>10000</v>
      </c>
      <c r="H558" s="295"/>
      <c r="I558" s="224"/>
      <c r="J558" s="224"/>
      <c r="K558" s="224"/>
      <c r="L558" s="224"/>
      <c r="M558" s="224"/>
      <c r="O558" s="224"/>
      <c r="P558" s="224"/>
    </row>
    <row r="559" spans="1:16" ht="12.75" customHeight="1" x14ac:dyDescent="0.25">
      <c r="A559" s="295" t="s">
        <v>3078</v>
      </c>
      <c r="B559" s="295" t="s">
        <v>3078</v>
      </c>
      <c r="C559" s="416" t="s">
        <v>3079</v>
      </c>
      <c r="D559" s="417">
        <v>2355500</v>
      </c>
      <c r="E559" s="418" t="s">
        <v>932</v>
      </c>
      <c r="F559" s="299">
        <v>0</v>
      </c>
      <c r="G559" s="299">
        <v>8000</v>
      </c>
      <c r="H559" s="295"/>
      <c r="K559" s="224"/>
      <c r="L559" s="224"/>
      <c r="M559" s="224"/>
      <c r="O559" s="224"/>
      <c r="P559" s="224"/>
    </row>
    <row r="560" spans="1:16" ht="12.75" customHeight="1" x14ac:dyDescent="0.25">
      <c r="A560" s="295" t="s">
        <v>3087</v>
      </c>
      <c r="B560" s="295" t="s">
        <v>3087</v>
      </c>
      <c r="C560" s="416" t="s">
        <v>3088</v>
      </c>
      <c r="D560" s="417">
        <v>2450049</v>
      </c>
      <c r="E560" s="418" t="s">
        <v>932</v>
      </c>
      <c r="F560" s="299">
        <v>0</v>
      </c>
      <c r="G560" s="299">
        <v>3000</v>
      </c>
      <c r="H560" s="295"/>
      <c r="K560" s="224"/>
      <c r="L560" s="224"/>
      <c r="M560" s="224"/>
      <c r="O560" s="224"/>
      <c r="P560" s="224"/>
    </row>
    <row r="561" spans="1:16" ht="12.75" customHeight="1" x14ac:dyDescent="0.25">
      <c r="A561" s="295" t="s">
        <v>3087</v>
      </c>
      <c r="B561" s="295" t="s">
        <v>3087</v>
      </c>
      <c r="C561" s="416" t="s">
        <v>3089</v>
      </c>
      <c r="D561" s="417">
        <v>2447217</v>
      </c>
      <c r="E561" s="418" t="s">
        <v>932</v>
      </c>
      <c r="F561" s="299">
        <v>0</v>
      </c>
      <c r="G561" s="299">
        <v>10000</v>
      </c>
      <c r="H561" s="295"/>
      <c r="K561" s="224"/>
      <c r="L561" s="224"/>
      <c r="M561" s="224"/>
      <c r="O561" s="224"/>
      <c r="P561" s="224"/>
    </row>
    <row r="562" spans="1:16" ht="12.75" customHeight="1" x14ac:dyDescent="0.25">
      <c r="A562" s="295" t="s">
        <v>3100</v>
      </c>
      <c r="B562" s="295" t="s">
        <v>3100</v>
      </c>
      <c r="C562" s="416" t="s">
        <v>3102</v>
      </c>
      <c r="D562" s="417">
        <v>2523343</v>
      </c>
      <c r="E562" s="418" t="s">
        <v>932</v>
      </c>
      <c r="F562" s="299">
        <v>0</v>
      </c>
      <c r="G562" s="299">
        <v>1000</v>
      </c>
      <c r="H562" s="295"/>
      <c r="K562" s="224"/>
      <c r="L562" s="224"/>
      <c r="M562" s="224"/>
      <c r="O562" s="224"/>
      <c r="P562" s="224"/>
    </row>
    <row r="563" spans="1:16" ht="12.75" customHeight="1" x14ac:dyDescent="0.25">
      <c r="A563" s="295" t="s">
        <v>3105</v>
      </c>
      <c r="B563" s="295" t="s">
        <v>3105</v>
      </c>
      <c r="C563" s="416" t="s">
        <v>3106</v>
      </c>
      <c r="D563" s="417">
        <v>2545497</v>
      </c>
      <c r="E563" s="418" t="s">
        <v>932</v>
      </c>
      <c r="F563" s="299">
        <v>0</v>
      </c>
      <c r="G563" s="299">
        <v>16000</v>
      </c>
      <c r="H563" s="295"/>
      <c r="K563" s="224"/>
      <c r="L563" s="224"/>
      <c r="M563" s="224"/>
      <c r="O563" s="224"/>
      <c r="P563" s="224"/>
    </row>
    <row r="564" spans="1:16" ht="12.75" customHeight="1" x14ac:dyDescent="0.25">
      <c r="A564" s="295" t="s">
        <v>3117</v>
      </c>
      <c r="B564" s="295" t="s">
        <v>3117</v>
      </c>
      <c r="C564" s="416" t="s">
        <v>3116</v>
      </c>
      <c r="D564" s="417">
        <v>2586344</v>
      </c>
      <c r="E564" s="418" t="s">
        <v>932</v>
      </c>
      <c r="F564" s="299">
        <v>0</v>
      </c>
      <c r="G564" s="299">
        <v>5000</v>
      </c>
      <c r="H564" s="295"/>
      <c r="K564" s="224"/>
      <c r="L564" s="224"/>
      <c r="M564" s="224"/>
      <c r="O564" s="224"/>
      <c r="P564" s="224"/>
    </row>
    <row r="565" spans="1:16" ht="12.75" customHeight="1" x14ac:dyDescent="0.25">
      <c r="A565" s="295" t="s">
        <v>3120</v>
      </c>
      <c r="B565" s="295" t="s">
        <v>3120</v>
      </c>
      <c r="C565" s="416" t="s">
        <v>3118</v>
      </c>
      <c r="D565" s="446">
        <v>2598767</v>
      </c>
      <c r="E565" s="418" t="s">
        <v>932</v>
      </c>
      <c r="F565" s="299">
        <v>0</v>
      </c>
      <c r="G565" s="326">
        <v>5000</v>
      </c>
      <c r="H565" s="295"/>
      <c r="L565" s="224"/>
      <c r="M565" s="224"/>
      <c r="O565" s="224"/>
      <c r="P565" s="224"/>
    </row>
    <row r="566" spans="1:16" ht="12.75" customHeight="1" x14ac:dyDescent="0.25">
      <c r="A566" s="295" t="s">
        <v>3120</v>
      </c>
      <c r="B566" s="295" t="s">
        <v>3120</v>
      </c>
      <c r="C566" s="416" t="s">
        <v>3119</v>
      </c>
      <c r="D566" s="446">
        <v>2602391</v>
      </c>
      <c r="E566" s="418" t="s">
        <v>932</v>
      </c>
      <c r="F566" s="299">
        <v>0</v>
      </c>
      <c r="G566" s="326">
        <v>1000</v>
      </c>
      <c r="L566" s="224"/>
      <c r="M566" s="224"/>
      <c r="O566" s="224"/>
      <c r="P566" s="224"/>
    </row>
    <row r="567" spans="1:16" ht="12.75" customHeight="1" x14ac:dyDescent="0.25">
      <c r="A567" s="295" t="s">
        <v>3121</v>
      </c>
      <c r="B567" s="295" t="s">
        <v>3121</v>
      </c>
      <c r="C567" s="416" t="s">
        <v>3124</v>
      </c>
      <c r="D567" s="446">
        <v>2609329</v>
      </c>
      <c r="E567" s="418" t="s">
        <v>932</v>
      </c>
      <c r="F567" s="299">
        <v>0</v>
      </c>
      <c r="G567" s="326">
        <v>4000</v>
      </c>
      <c r="I567" s="224"/>
      <c r="J567" s="224"/>
      <c r="K567" s="224"/>
      <c r="L567" s="224"/>
      <c r="M567" s="224"/>
      <c r="O567" s="224"/>
      <c r="P567" s="224"/>
    </row>
    <row r="568" spans="1:16" ht="12.75" customHeight="1" x14ac:dyDescent="0.25">
      <c r="A568" s="295" t="s">
        <v>3126</v>
      </c>
      <c r="B568" s="295" t="s">
        <v>3126</v>
      </c>
      <c r="C568" s="416" t="s">
        <v>3129</v>
      </c>
      <c r="D568" s="446">
        <v>2625236</v>
      </c>
      <c r="E568" s="418" t="s">
        <v>932</v>
      </c>
      <c r="F568" s="299">
        <v>0</v>
      </c>
      <c r="G568" s="326">
        <v>200</v>
      </c>
      <c r="H568" s="295"/>
      <c r="I568" s="224"/>
      <c r="J568" s="224"/>
      <c r="K568" s="224"/>
      <c r="L568" s="224"/>
      <c r="M568" s="224"/>
      <c r="O568" s="224"/>
      <c r="P568" s="224"/>
    </row>
    <row r="569" spans="1:16" ht="12.75" customHeight="1" x14ac:dyDescent="0.25">
      <c r="A569" s="295" t="s">
        <v>3126</v>
      </c>
      <c r="B569" s="295" t="s">
        <v>3126</v>
      </c>
      <c r="C569" s="416" t="s">
        <v>3130</v>
      </c>
      <c r="D569" s="446">
        <v>2623794</v>
      </c>
      <c r="E569" s="418" t="s">
        <v>932</v>
      </c>
      <c r="F569" s="299">
        <v>0</v>
      </c>
      <c r="G569" s="326">
        <v>1250</v>
      </c>
      <c r="I569" s="224"/>
      <c r="J569" s="224"/>
      <c r="K569" s="224"/>
      <c r="L569" s="224"/>
      <c r="M569" s="224"/>
      <c r="O569" s="224"/>
      <c r="P569" s="224"/>
    </row>
    <row r="570" spans="1:16" ht="12.75" customHeight="1" x14ac:dyDescent="0.25">
      <c r="A570" s="295" t="s">
        <v>3126</v>
      </c>
      <c r="B570" s="295" t="s">
        <v>3126</v>
      </c>
      <c r="C570" s="416" t="s">
        <v>3131</v>
      </c>
      <c r="D570" s="446">
        <v>2623302</v>
      </c>
      <c r="E570" s="418" t="s">
        <v>932</v>
      </c>
      <c r="F570" s="299">
        <v>0</v>
      </c>
      <c r="G570" s="326">
        <v>750</v>
      </c>
      <c r="H570" s="295"/>
      <c r="K570" s="224"/>
      <c r="L570" s="224"/>
      <c r="M570" s="224"/>
      <c r="O570" s="224"/>
      <c r="P570" s="224"/>
    </row>
    <row r="571" spans="1:16" ht="12.75" customHeight="1" x14ac:dyDescent="0.25">
      <c r="A571" s="295" t="s">
        <v>3132</v>
      </c>
      <c r="B571" s="295" t="s">
        <v>3132</v>
      </c>
      <c r="C571" s="416" t="s">
        <v>3134</v>
      </c>
      <c r="D571" s="417">
        <v>2639935</v>
      </c>
      <c r="E571" s="418" t="s">
        <v>932</v>
      </c>
      <c r="F571" s="299">
        <v>0</v>
      </c>
      <c r="G571" s="299">
        <v>3000</v>
      </c>
      <c r="H571" s="295"/>
      <c r="K571" s="224"/>
      <c r="L571" s="224"/>
      <c r="M571" s="224"/>
      <c r="O571" s="224"/>
      <c r="P571" s="224"/>
    </row>
    <row r="572" spans="1:16" ht="12.75" customHeight="1" x14ac:dyDescent="0.25">
      <c r="A572" s="295" t="s">
        <v>3144</v>
      </c>
      <c r="B572" s="295" t="s">
        <v>3144</v>
      </c>
      <c r="C572" s="416" t="s">
        <v>3145</v>
      </c>
      <c r="D572" s="417">
        <v>2691961</v>
      </c>
      <c r="E572" s="418" t="s">
        <v>932</v>
      </c>
      <c r="F572" s="299">
        <v>0</v>
      </c>
      <c r="G572" s="299">
        <v>2000</v>
      </c>
      <c r="H572" s="295"/>
      <c r="K572" s="224"/>
      <c r="L572" s="224"/>
      <c r="M572" s="224"/>
      <c r="O572" s="224"/>
      <c r="P572" s="224"/>
    </row>
    <row r="573" spans="1:16" ht="12.75" customHeight="1" x14ac:dyDescent="0.25">
      <c r="A573" s="295" t="s">
        <v>3144</v>
      </c>
      <c r="B573" s="295" t="s">
        <v>3144</v>
      </c>
      <c r="C573" s="416" t="s">
        <v>3146</v>
      </c>
      <c r="D573" s="446">
        <v>2691488</v>
      </c>
      <c r="E573" s="418" t="s">
        <v>932</v>
      </c>
      <c r="F573" s="299">
        <v>0</v>
      </c>
      <c r="G573" s="326">
        <v>2500</v>
      </c>
      <c r="H573" s="295"/>
      <c r="K573" s="224"/>
      <c r="L573" s="224"/>
      <c r="M573" s="224"/>
      <c r="O573" s="224"/>
      <c r="P573" s="224"/>
    </row>
    <row r="574" spans="1:16" ht="12.75" customHeight="1" x14ac:dyDescent="0.25">
      <c r="A574" s="295" t="s">
        <v>3150</v>
      </c>
      <c r="B574" s="295" t="s">
        <v>3150</v>
      </c>
      <c r="C574" s="416" t="s">
        <v>3151</v>
      </c>
      <c r="D574" s="446">
        <v>2720142</v>
      </c>
      <c r="E574" s="418" t="s">
        <v>932</v>
      </c>
      <c r="F574" s="299">
        <v>0</v>
      </c>
      <c r="G574" s="299">
        <v>300</v>
      </c>
      <c r="H574" s="295"/>
      <c r="I574" s="224"/>
      <c r="J574" s="224"/>
      <c r="K574" s="224"/>
      <c r="L574" s="224"/>
      <c r="M574" s="224"/>
      <c r="O574" s="224"/>
      <c r="P574" s="224"/>
    </row>
    <row r="575" spans="1:16" ht="12.75" customHeight="1" x14ac:dyDescent="0.25">
      <c r="A575" s="295" t="s">
        <v>3158</v>
      </c>
      <c r="B575" s="295" t="s">
        <v>3158</v>
      </c>
      <c r="C575" s="416" t="s">
        <v>3155</v>
      </c>
      <c r="D575" s="417">
        <v>2756998</v>
      </c>
      <c r="E575" s="418" t="s">
        <v>932</v>
      </c>
      <c r="F575" s="299">
        <v>0</v>
      </c>
      <c r="G575" s="299">
        <v>15000</v>
      </c>
      <c r="H575" s="295"/>
      <c r="I575" s="224"/>
      <c r="J575" s="224"/>
      <c r="K575" s="224"/>
      <c r="L575" s="224"/>
      <c r="M575" s="224"/>
      <c r="O575" s="224"/>
      <c r="P575" s="224"/>
    </row>
    <row r="576" spans="1:16" ht="12.75" customHeight="1" x14ac:dyDescent="0.25">
      <c r="A576" s="295" t="s">
        <v>3159</v>
      </c>
      <c r="B576" s="295" t="s">
        <v>3159</v>
      </c>
      <c r="C576" s="416" t="s">
        <v>3156</v>
      </c>
      <c r="D576" s="417">
        <v>19</v>
      </c>
      <c r="E576" s="418" t="s">
        <v>932</v>
      </c>
      <c r="F576" s="299">
        <v>15000</v>
      </c>
      <c r="G576" s="299">
        <v>0</v>
      </c>
      <c r="H576" s="295"/>
      <c r="I576" s="224"/>
      <c r="J576" s="224"/>
      <c r="K576" s="224"/>
      <c r="L576" s="224"/>
      <c r="M576" s="224"/>
      <c r="O576" s="224"/>
      <c r="P576" s="224"/>
    </row>
    <row r="577" spans="1:16" ht="12.75" customHeight="1" x14ac:dyDescent="0.25">
      <c r="A577" s="295" t="s">
        <v>3160</v>
      </c>
      <c r="B577" s="295" t="s">
        <v>3160</v>
      </c>
      <c r="C577" s="416" t="s">
        <v>3157</v>
      </c>
      <c r="D577" s="417">
        <v>2787823</v>
      </c>
      <c r="E577" s="418" t="s">
        <v>932</v>
      </c>
      <c r="F577" s="299">
        <v>0</v>
      </c>
      <c r="G577" s="299">
        <v>15000</v>
      </c>
      <c r="H577" s="295"/>
      <c r="I577" s="224"/>
      <c r="J577" s="224"/>
      <c r="K577" s="224"/>
      <c r="L577" s="224"/>
      <c r="M577" s="224"/>
      <c r="O577" s="224"/>
      <c r="P577" s="224"/>
    </row>
    <row r="578" spans="1:16" ht="12.75" customHeight="1" x14ac:dyDescent="0.25">
      <c r="A578" s="295" t="s">
        <v>3176</v>
      </c>
      <c r="B578" s="295" t="s">
        <v>3176</v>
      </c>
      <c r="C578" s="416" t="s">
        <v>2170</v>
      </c>
      <c r="D578" s="417">
        <v>241213</v>
      </c>
      <c r="E578" s="418" t="s">
        <v>932</v>
      </c>
      <c r="F578" s="299">
        <v>20000</v>
      </c>
      <c r="G578" s="299">
        <v>0</v>
      </c>
      <c r="I578" s="224"/>
      <c r="J578" s="224"/>
      <c r="K578" s="224"/>
      <c r="L578" s="224"/>
      <c r="M578" s="224"/>
      <c r="O578" s="224"/>
      <c r="P578" s="224"/>
    </row>
    <row r="579" spans="1:16" ht="12.75" customHeight="1" x14ac:dyDescent="0.25">
      <c r="A579" s="295" t="s">
        <v>3177</v>
      </c>
      <c r="B579" s="295" t="s">
        <v>3177</v>
      </c>
      <c r="C579" s="416" t="s">
        <v>3178</v>
      </c>
      <c r="D579" s="417">
        <v>2967094</v>
      </c>
      <c r="E579" s="418" t="s">
        <v>932</v>
      </c>
      <c r="F579" s="299">
        <v>0</v>
      </c>
      <c r="G579" s="299">
        <v>10000</v>
      </c>
      <c r="H579" s="295"/>
      <c r="K579" s="224"/>
      <c r="L579" s="224"/>
      <c r="M579" s="224"/>
      <c r="O579" s="224"/>
      <c r="P579" s="224"/>
    </row>
    <row r="580" spans="1:16" ht="12.75" customHeight="1" x14ac:dyDescent="0.25">
      <c r="A580" s="295" t="s">
        <v>3183</v>
      </c>
      <c r="B580" s="295" t="s">
        <v>3183</v>
      </c>
      <c r="C580" s="416" t="s">
        <v>3182</v>
      </c>
      <c r="D580" s="417">
        <v>3018614</v>
      </c>
      <c r="E580" s="418" t="s">
        <v>932</v>
      </c>
      <c r="F580" s="299">
        <v>0</v>
      </c>
      <c r="G580" s="299">
        <v>9500</v>
      </c>
      <c r="H580" s="295"/>
      <c r="K580" s="224"/>
      <c r="L580" s="224"/>
      <c r="M580" s="224"/>
      <c r="O580" s="224"/>
      <c r="P580" s="224"/>
    </row>
    <row r="581" spans="1:16" ht="12.75" customHeight="1" x14ac:dyDescent="0.25">
      <c r="A581" s="295" t="s">
        <v>3184</v>
      </c>
      <c r="B581" s="295" t="s">
        <v>3184</v>
      </c>
      <c r="C581" s="416" t="s">
        <v>3185</v>
      </c>
      <c r="D581" s="446">
        <v>3039745</v>
      </c>
      <c r="E581" s="418" t="s">
        <v>932</v>
      </c>
      <c r="F581" s="299">
        <v>0</v>
      </c>
      <c r="G581" s="299">
        <v>10000</v>
      </c>
      <c r="I581" s="224"/>
      <c r="J581" s="224"/>
      <c r="K581" s="224"/>
      <c r="L581" s="224"/>
      <c r="M581" s="224"/>
      <c r="O581" s="224"/>
      <c r="P581" s="224"/>
    </row>
    <row r="582" spans="1:16" ht="12.75" customHeight="1" x14ac:dyDescent="0.25">
      <c r="A582" s="295" t="s">
        <v>3190</v>
      </c>
      <c r="B582" s="295" t="s">
        <v>3190</v>
      </c>
      <c r="C582" s="416" t="s">
        <v>3191</v>
      </c>
      <c r="D582" s="446">
        <v>3098894</v>
      </c>
      <c r="E582" s="418" t="s">
        <v>932</v>
      </c>
      <c r="F582" s="299">
        <v>0</v>
      </c>
      <c r="G582" s="299">
        <v>20000</v>
      </c>
      <c r="I582" s="224"/>
      <c r="J582" s="224"/>
      <c r="K582" s="224"/>
      <c r="L582" s="224"/>
      <c r="M582" s="224"/>
      <c r="O582" s="224"/>
      <c r="P582" s="224"/>
    </row>
    <row r="583" spans="1:16" ht="12.75" customHeight="1" x14ac:dyDescent="0.25">
      <c r="A583" s="295" t="s">
        <v>3197</v>
      </c>
      <c r="B583" s="295" t="s">
        <v>3197</v>
      </c>
      <c r="C583" s="416" t="s">
        <v>3198</v>
      </c>
      <c r="D583" s="417">
        <v>3199174</v>
      </c>
      <c r="E583" s="418" t="s">
        <v>932</v>
      </c>
      <c r="F583" s="299">
        <v>0</v>
      </c>
      <c r="G583" s="299">
        <v>10000</v>
      </c>
      <c r="H583" s="295"/>
      <c r="I583" s="224"/>
      <c r="J583" s="224"/>
      <c r="K583" s="224"/>
      <c r="L583" s="224"/>
      <c r="M583" s="224"/>
      <c r="O583" s="224"/>
      <c r="P583" s="224"/>
    </row>
    <row r="584" spans="1:16" ht="12.75" customHeight="1" x14ac:dyDescent="0.25">
      <c r="A584" s="295" t="s">
        <v>3208</v>
      </c>
      <c r="B584" s="295" t="s">
        <v>3208</v>
      </c>
      <c r="C584" s="416" t="s">
        <v>3209</v>
      </c>
      <c r="D584" s="417">
        <v>3270521</v>
      </c>
      <c r="E584" s="418" t="s">
        <v>932</v>
      </c>
      <c r="F584" s="299">
        <v>0</v>
      </c>
      <c r="G584" s="299">
        <v>500</v>
      </c>
      <c r="I584" s="224"/>
      <c r="J584" s="224"/>
      <c r="K584" s="224"/>
      <c r="L584" s="224"/>
      <c r="M584" s="224"/>
      <c r="O584" s="224"/>
      <c r="P584" s="224"/>
    </row>
    <row r="585" spans="1:16" ht="12.75" customHeight="1" x14ac:dyDescent="0.25">
      <c r="A585" s="295" t="s">
        <v>3208</v>
      </c>
      <c r="B585" s="295" t="s">
        <v>3208</v>
      </c>
      <c r="C585" s="416" t="s">
        <v>3210</v>
      </c>
      <c r="D585" s="417">
        <v>3270451</v>
      </c>
      <c r="E585" s="418" t="s">
        <v>932</v>
      </c>
      <c r="F585" s="299">
        <v>0</v>
      </c>
      <c r="G585" s="299">
        <v>1000</v>
      </c>
      <c r="H585" s="295"/>
      <c r="K585" s="224"/>
      <c r="L585" s="224"/>
      <c r="M585" s="224"/>
      <c r="O585" s="224"/>
      <c r="P585" s="224"/>
    </row>
    <row r="586" spans="1:16" ht="12.75" customHeight="1" x14ac:dyDescent="0.25">
      <c r="A586" s="295" t="s">
        <v>3213</v>
      </c>
      <c r="B586" s="295" t="s">
        <v>3213</v>
      </c>
      <c r="C586" s="416" t="s">
        <v>3214</v>
      </c>
      <c r="D586" s="417">
        <v>3277798</v>
      </c>
      <c r="E586" s="418" t="s">
        <v>932</v>
      </c>
      <c r="F586" s="299">
        <v>0</v>
      </c>
      <c r="G586" s="299">
        <v>1200</v>
      </c>
      <c r="H586" s="295"/>
      <c r="I586" s="224"/>
      <c r="J586" s="224"/>
      <c r="K586" s="224"/>
      <c r="L586" s="224"/>
      <c r="M586" s="224"/>
      <c r="O586" s="224"/>
      <c r="P586" s="224"/>
    </row>
    <row r="587" spans="1:16" ht="12.75" customHeight="1" x14ac:dyDescent="0.25">
      <c r="A587" s="295" t="s">
        <v>3215</v>
      </c>
      <c r="B587" s="295" t="s">
        <v>3215</v>
      </c>
      <c r="C587" s="416" t="s">
        <v>3216</v>
      </c>
      <c r="D587" s="417">
        <v>3292636</v>
      </c>
      <c r="E587" s="418" t="s">
        <v>932</v>
      </c>
      <c r="F587" s="299">
        <v>0</v>
      </c>
      <c r="G587" s="299">
        <v>1500</v>
      </c>
      <c r="H587" s="295"/>
      <c r="K587" s="224"/>
      <c r="L587" s="224"/>
      <c r="M587" s="224"/>
      <c r="O587" s="224"/>
      <c r="P587" s="224"/>
    </row>
    <row r="588" spans="1:16" ht="12.75" customHeight="1" x14ac:dyDescent="0.25">
      <c r="A588" s="295" t="s">
        <v>3215</v>
      </c>
      <c r="B588" s="295" t="s">
        <v>3215</v>
      </c>
      <c r="C588" s="416" t="s">
        <v>3217</v>
      </c>
      <c r="D588" s="417">
        <v>3291272</v>
      </c>
      <c r="E588" s="418" t="s">
        <v>932</v>
      </c>
      <c r="F588" s="299">
        <v>0</v>
      </c>
      <c r="G588" s="299">
        <v>1000</v>
      </c>
      <c r="H588" s="295"/>
      <c r="K588" s="224"/>
      <c r="L588" s="224"/>
      <c r="M588" s="224"/>
      <c r="O588" s="224"/>
      <c r="P588" s="224"/>
    </row>
    <row r="589" spans="1:16" ht="12.75" customHeight="1" x14ac:dyDescent="0.25">
      <c r="A589" s="295" t="s">
        <v>3215</v>
      </c>
      <c r="B589" s="295" t="s">
        <v>3215</v>
      </c>
      <c r="C589" s="416" t="s">
        <v>3218</v>
      </c>
      <c r="D589" s="417">
        <v>3288840</v>
      </c>
      <c r="E589" s="418" t="s">
        <v>932</v>
      </c>
      <c r="F589" s="299">
        <v>0</v>
      </c>
      <c r="G589" s="299">
        <v>1500</v>
      </c>
      <c r="H589" s="295"/>
      <c r="K589" s="224"/>
      <c r="L589" s="224"/>
      <c r="M589" s="224"/>
      <c r="O589" s="224"/>
      <c r="P589" s="224"/>
    </row>
    <row r="590" spans="1:16" ht="12.75" customHeight="1" x14ac:dyDescent="0.25">
      <c r="A590" s="295" t="s">
        <v>3244</v>
      </c>
      <c r="B590" s="295" t="s">
        <v>3244</v>
      </c>
      <c r="C590" s="416" t="s">
        <v>3245</v>
      </c>
      <c r="D590" s="417">
        <v>3359712</v>
      </c>
      <c r="E590" s="418" t="s">
        <v>932</v>
      </c>
      <c r="F590" s="299">
        <v>0</v>
      </c>
      <c r="G590" s="299">
        <v>8000</v>
      </c>
      <c r="H590" s="295"/>
      <c r="K590" s="224"/>
      <c r="L590" s="224"/>
      <c r="M590" s="224"/>
      <c r="O590" s="224"/>
      <c r="P590" s="224"/>
    </row>
    <row r="591" spans="1:16" ht="12.75" customHeight="1" x14ac:dyDescent="0.25">
      <c r="A591" s="295" t="s">
        <v>3249</v>
      </c>
      <c r="B591" s="295" t="s">
        <v>3249</v>
      </c>
      <c r="C591" s="416" t="s">
        <v>3250</v>
      </c>
      <c r="D591" s="446">
        <v>3372087</v>
      </c>
      <c r="E591" s="418" t="s">
        <v>932</v>
      </c>
      <c r="F591" s="299">
        <v>0</v>
      </c>
      <c r="G591" s="299">
        <v>5800</v>
      </c>
      <c r="I591" s="224"/>
      <c r="J591" s="224"/>
      <c r="K591" s="224"/>
      <c r="L591" s="224"/>
      <c r="M591" s="224"/>
      <c r="O591" s="224"/>
      <c r="P591" s="224"/>
    </row>
    <row r="592" spans="1:16" ht="12.75" customHeight="1" x14ac:dyDescent="0.25">
      <c r="A592" s="295" t="s">
        <v>3249</v>
      </c>
      <c r="B592" s="295" t="s">
        <v>3249</v>
      </c>
      <c r="C592" s="416" t="s">
        <v>3251</v>
      </c>
      <c r="D592" s="417">
        <v>3372221</v>
      </c>
      <c r="E592" s="418" t="s">
        <v>932</v>
      </c>
      <c r="F592" s="299">
        <v>0</v>
      </c>
      <c r="G592" s="299">
        <v>5000</v>
      </c>
      <c r="H592" s="295"/>
      <c r="K592" s="224"/>
      <c r="L592" s="224"/>
      <c r="M592" s="224"/>
      <c r="O592" s="224"/>
      <c r="P592" s="224"/>
    </row>
    <row r="593" spans="1:16" ht="12.75" customHeight="1" x14ac:dyDescent="0.25">
      <c r="A593" s="295" t="s">
        <v>3255</v>
      </c>
      <c r="B593" s="295" t="s">
        <v>3255</v>
      </c>
      <c r="C593" s="416" t="s">
        <v>3256</v>
      </c>
      <c r="D593" s="417">
        <v>3382370</v>
      </c>
      <c r="E593" s="418" t="s">
        <v>932</v>
      </c>
      <c r="F593" s="299">
        <v>0</v>
      </c>
      <c r="G593" s="299">
        <v>3000</v>
      </c>
      <c r="H593" s="295"/>
      <c r="K593" s="224"/>
      <c r="L593" s="224"/>
      <c r="M593" s="224"/>
      <c r="O593" s="224"/>
      <c r="P593" s="224"/>
    </row>
    <row r="594" spans="1:16" ht="12.75" customHeight="1" x14ac:dyDescent="0.25">
      <c r="A594" s="295" t="s">
        <v>3255</v>
      </c>
      <c r="B594" s="295" t="s">
        <v>3255</v>
      </c>
      <c r="C594" s="416" t="s">
        <v>3257</v>
      </c>
      <c r="D594" s="417">
        <v>3380908</v>
      </c>
      <c r="E594" s="418" t="s">
        <v>932</v>
      </c>
      <c r="F594" s="299">
        <v>0</v>
      </c>
      <c r="G594" s="299">
        <v>10000</v>
      </c>
      <c r="H594" s="295"/>
      <c r="K594" s="224"/>
      <c r="L594" s="224"/>
      <c r="M594" s="224"/>
      <c r="O594" s="224"/>
      <c r="P594" s="224"/>
    </row>
    <row r="595" spans="1:16" ht="12.75" customHeight="1" x14ac:dyDescent="0.25">
      <c r="A595" s="295" t="s">
        <v>3258</v>
      </c>
      <c r="B595" s="295" t="s">
        <v>3258</v>
      </c>
      <c r="C595" s="416" t="s">
        <v>3259</v>
      </c>
      <c r="D595" s="417">
        <v>3392145</v>
      </c>
      <c r="E595" s="418" t="s">
        <v>932</v>
      </c>
      <c r="F595" s="299">
        <v>0</v>
      </c>
      <c r="G595" s="299">
        <v>1500</v>
      </c>
      <c r="H595" s="295"/>
      <c r="K595" s="224"/>
      <c r="L595" s="224"/>
      <c r="M595" s="224"/>
      <c r="O595" s="224"/>
      <c r="P595" s="224"/>
    </row>
    <row r="596" spans="1:16" ht="12.75" customHeight="1" x14ac:dyDescent="0.25">
      <c r="A596" s="295" t="s">
        <v>3258</v>
      </c>
      <c r="B596" s="295" t="s">
        <v>3258</v>
      </c>
      <c r="C596" s="416" t="s">
        <v>3262</v>
      </c>
      <c r="D596" s="417">
        <v>3392204</v>
      </c>
      <c r="E596" s="418" t="s">
        <v>932</v>
      </c>
      <c r="F596" s="299">
        <v>0</v>
      </c>
      <c r="G596" s="299">
        <v>500</v>
      </c>
      <c r="H596" s="295"/>
      <c r="K596" s="224"/>
      <c r="L596" s="224"/>
      <c r="M596" s="224"/>
      <c r="O596" s="224"/>
      <c r="P596" s="224"/>
    </row>
    <row r="597" spans="1:16" ht="12.75" customHeight="1" x14ac:dyDescent="0.25">
      <c r="A597" s="295" t="s">
        <v>3265</v>
      </c>
      <c r="B597" s="295" t="s">
        <v>3265</v>
      </c>
      <c r="C597" s="416" t="s">
        <v>2170</v>
      </c>
      <c r="D597" s="417">
        <v>80314</v>
      </c>
      <c r="E597" s="418" t="s">
        <v>932</v>
      </c>
      <c r="F597" s="299">
        <v>25000</v>
      </c>
      <c r="G597" s="299">
        <v>0</v>
      </c>
      <c r="H597" s="295"/>
      <c r="K597" s="224"/>
      <c r="L597" s="224"/>
      <c r="M597" s="224"/>
      <c r="O597" s="224"/>
      <c r="P597" s="224"/>
    </row>
    <row r="598" spans="1:16" ht="12.75" customHeight="1" x14ac:dyDescent="0.25">
      <c r="A598" s="295" t="s">
        <v>3264</v>
      </c>
      <c r="B598" s="295" t="s">
        <v>3264</v>
      </c>
      <c r="C598" s="416" t="s">
        <v>3267</v>
      </c>
      <c r="D598" s="417">
        <v>3424728</v>
      </c>
      <c r="E598" s="418" t="s">
        <v>932</v>
      </c>
      <c r="F598" s="299">
        <v>0</v>
      </c>
      <c r="G598" s="299">
        <v>500</v>
      </c>
      <c r="H598" s="295"/>
      <c r="K598" s="224"/>
      <c r="L598" s="224"/>
      <c r="M598" s="224"/>
      <c r="O598" s="224"/>
      <c r="P598" s="224"/>
    </row>
    <row r="599" spans="1:16" ht="12.75" customHeight="1" x14ac:dyDescent="0.25">
      <c r="A599" s="295" t="s">
        <v>3264</v>
      </c>
      <c r="B599" s="295" t="s">
        <v>3264</v>
      </c>
      <c r="C599" s="416" t="s">
        <v>3268</v>
      </c>
      <c r="D599" s="446">
        <v>3423955</v>
      </c>
      <c r="E599" s="418" t="s">
        <v>932</v>
      </c>
      <c r="F599" s="299">
        <v>0</v>
      </c>
      <c r="G599" s="299">
        <v>10000</v>
      </c>
      <c r="H599" s="295"/>
      <c r="K599" s="224"/>
      <c r="L599" s="224"/>
      <c r="M599" s="224"/>
      <c r="O599" s="224"/>
      <c r="P599" s="224"/>
    </row>
    <row r="600" spans="1:16" ht="12.75" customHeight="1" x14ac:dyDescent="0.25">
      <c r="A600" s="295" t="s">
        <v>3273</v>
      </c>
      <c r="B600" s="295" t="s">
        <v>3273</v>
      </c>
      <c r="C600" s="416" t="s">
        <v>3275</v>
      </c>
      <c r="D600" s="446">
        <v>3439505</v>
      </c>
      <c r="E600" s="418" t="s">
        <v>932</v>
      </c>
      <c r="F600" s="299">
        <v>0</v>
      </c>
      <c r="G600" s="299">
        <v>6000</v>
      </c>
    </row>
    <row r="601" spans="1:16" ht="12.75" customHeight="1" x14ac:dyDescent="0.25">
      <c r="A601" s="295" t="s">
        <v>3274</v>
      </c>
      <c r="B601" s="295" t="s">
        <v>3274</v>
      </c>
      <c r="C601" s="416" t="s">
        <v>3277</v>
      </c>
      <c r="D601" s="446">
        <v>3445263</v>
      </c>
      <c r="E601" s="418" t="s">
        <v>932</v>
      </c>
      <c r="F601" s="299">
        <v>0</v>
      </c>
      <c r="G601" s="299">
        <v>5000</v>
      </c>
    </row>
    <row r="602" spans="1:16" ht="12.75" customHeight="1" x14ac:dyDescent="0.25">
      <c r="A602" s="295" t="s">
        <v>3278</v>
      </c>
      <c r="B602" s="295" t="s">
        <v>3278</v>
      </c>
      <c r="C602" s="416" t="s">
        <v>3279</v>
      </c>
      <c r="D602" s="446">
        <v>3481221</v>
      </c>
      <c r="E602" s="418" t="s">
        <v>932</v>
      </c>
      <c r="F602" s="299">
        <v>0</v>
      </c>
      <c r="G602" s="299">
        <v>6000</v>
      </c>
    </row>
    <row r="603" spans="1:16" ht="12.75" customHeight="1" x14ac:dyDescent="0.25">
      <c r="A603" s="295" t="s">
        <v>3281</v>
      </c>
      <c r="B603" s="295" t="s">
        <v>3281</v>
      </c>
      <c r="C603" s="416" t="s">
        <v>3282</v>
      </c>
      <c r="D603" s="446">
        <v>3498403</v>
      </c>
      <c r="E603" s="418" t="s">
        <v>932</v>
      </c>
      <c r="F603" s="299">
        <v>0</v>
      </c>
      <c r="G603" s="299">
        <v>3300</v>
      </c>
    </row>
    <row r="604" spans="1:16" ht="12.75" customHeight="1" x14ac:dyDescent="0.25">
      <c r="A604" s="295" t="s">
        <v>3290</v>
      </c>
      <c r="B604" s="295" t="s">
        <v>3290</v>
      </c>
      <c r="C604" s="416" t="s">
        <v>2999</v>
      </c>
      <c r="D604" s="446">
        <v>1</v>
      </c>
      <c r="E604" s="418" t="s">
        <v>932</v>
      </c>
      <c r="F604" s="299">
        <v>800</v>
      </c>
      <c r="G604" s="299">
        <v>0</v>
      </c>
    </row>
    <row r="605" spans="1:16" ht="12.75" customHeight="1" x14ac:dyDescent="0.25">
      <c r="A605" s="295" t="s">
        <v>3291</v>
      </c>
      <c r="B605" s="295" t="s">
        <v>3291</v>
      </c>
      <c r="C605" s="416" t="s">
        <v>3292</v>
      </c>
      <c r="D605" s="446">
        <v>3560458</v>
      </c>
      <c r="E605" s="418" t="s">
        <v>932</v>
      </c>
      <c r="F605" s="299">
        <v>0</v>
      </c>
      <c r="G605" s="299">
        <v>10000</v>
      </c>
    </row>
    <row r="606" spans="1:16" ht="12.75" customHeight="1" x14ac:dyDescent="0.25">
      <c r="A606" s="295" t="s">
        <v>3291</v>
      </c>
      <c r="B606" s="295" t="s">
        <v>3291</v>
      </c>
      <c r="C606" s="416" t="s">
        <v>3293</v>
      </c>
      <c r="D606" s="446">
        <v>3560282</v>
      </c>
      <c r="E606" s="418" t="s">
        <v>932</v>
      </c>
      <c r="F606" s="299">
        <v>0</v>
      </c>
      <c r="G606" s="299">
        <v>10000</v>
      </c>
    </row>
    <row r="607" spans="1:16" ht="12.75" customHeight="1" x14ac:dyDescent="0.25">
      <c r="A607" s="295"/>
      <c r="C607" s="416"/>
      <c r="D607" s="446"/>
      <c r="E607" s="418"/>
      <c r="F607" s="299"/>
      <c r="G607" s="299"/>
    </row>
    <row r="608" spans="1:16" ht="12.75" customHeight="1" x14ac:dyDescent="0.25">
      <c r="A608" s="295"/>
      <c r="C608" s="416"/>
      <c r="D608" s="446"/>
      <c r="E608" s="418"/>
      <c r="F608" s="299"/>
      <c r="G608" s="299"/>
    </row>
    <row r="609" spans="1:16" ht="12.75" customHeight="1" x14ac:dyDescent="0.25">
      <c r="A609" s="295"/>
      <c r="C609" s="416"/>
      <c r="D609" s="446"/>
      <c r="E609" s="418"/>
      <c r="F609" s="299"/>
      <c r="G609" s="299"/>
    </row>
    <row r="610" spans="1:16" ht="12.75" customHeight="1" x14ac:dyDescent="0.25">
      <c r="A610" s="295"/>
      <c r="C610" s="416"/>
      <c r="D610" s="446"/>
      <c r="E610" s="418"/>
      <c r="F610" s="299"/>
      <c r="G610" s="299"/>
    </row>
    <row r="611" spans="1:16" ht="12.75" customHeight="1" x14ac:dyDescent="0.25">
      <c r="A611" s="295"/>
      <c r="C611" s="416"/>
      <c r="D611" s="446"/>
      <c r="E611" s="418"/>
      <c r="F611" s="299"/>
      <c r="G611" s="299"/>
    </row>
    <row r="612" spans="1:16" ht="12.75" customHeight="1" x14ac:dyDescent="0.25">
      <c r="A612" s="295"/>
    </row>
    <row r="613" spans="1:16" ht="12.75" customHeight="1" x14ac:dyDescent="0.25">
      <c r="A613" s="295"/>
    </row>
    <row r="614" spans="1:16" ht="12.75" customHeight="1" x14ac:dyDescent="0.25">
      <c r="A614" s="295"/>
    </row>
    <row r="615" spans="1:16" ht="12.75" customHeight="1" x14ac:dyDescent="0.25">
      <c r="A615" s="295"/>
    </row>
    <row r="616" spans="1:16" ht="12.75" customHeight="1" x14ac:dyDescent="0.25">
      <c r="A616" s="295"/>
    </row>
    <row r="617" spans="1:16" ht="12.75" customHeight="1" x14ac:dyDescent="0.25">
      <c r="A617" s="295"/>
      <c r="C617" s="416"/>
      <c r="D617" s="446"/>
      <c r="E617" s="418"/>
      <c r="F617" s="299"/>
      <c r="G617" s="299"/>
      <c r="H617" s="295"/>
      <c r="K617" s="224"/>
      <c r="L617" s="224"/>
      <c r="M617" s="224"/>
      <c r="O617" s="224"/>
      <c r="P617" s="224"/>
    </row>
    <row r="618" spans="1:16" ht="12.75" customHeight="1" x14ac:dyDescent="0.25">
      <c r="A618" s="295"/>
      <c r="C618" s="416"/>
      <c r="D618" s="417"/>
      <c r="E618" s="418"/>
      <c r="F618" s="299"/>
      <c r="G618" s="299"/>
      <c r="H618" s="295"/>
      <c r="K618" s="224"/>
      <c r="L618" s="224"/>
      <c r="M618" s="224"/>
      <c r="O618" s="224"/>
      <c r="P618" s="224"/>
    </row>
    <row r="619" spans="1:16" ht="12.75" customHeight="1" x14ac:dyDescent="0.25">
      <c r="A619" s="295"/>
      <c r="C619" s="416"/>
      <c r="D619" s="417"/>
      <c r="E619" s="418"/>
      <c r="F619" s="299"/>
      <c r="G619" s="299"/>
      <c r="H619" s="295"/>
      <c r="K619" s="224"/>
      <c r="L619" s="224"/>
      <c r="M619" s="224"/>
      <c r="O619" s="224"/>
      <c r="P619" s="224"/>
    </row>
    <row r="620" spans="1:16" ht="12.75" customHeight="1" x14ac:dyDescent="0.25">
      <c r="A620" s="295"/>
      <c r="C620" s="416"/>
      <c r="D620" s="417"/>
      <c r="E620" s="418"/>
      <c r="F620" s="299"/>
      <c r="G620" s="299"/>
      <c r="H620" s="295"/>
      <c r="K620" s="224"/>
      <c r="L620" s="224"/>
      <c r="M620" s="224"/>
      <c r="O620" s="224"/>
      <c r="P620" s="224"/>
    </row>
    <row r="621" spans="1:16" ht="12.75" customHeight="1" x14ac:dyDescent="0.25">
      <c r="A621" s="295"/>
      <c r="C621" s="416"/>
      <c r="D621" s="417"/>
      <c r="E621" s="418"/>
      <c r="F621" s="299"/>
      <c r="G621" s="299"/>
      <c r="H621" s="295"/>
      <c r="K621" s="224"/>
      <c r="L621" s="224"/>
      <c r="M621" s="224"/>
      <c r="O621" s="224"/>
      <c r="P621" s="224"/>
    </row>
    <row r="622" spans="1:16" ht="12.75" customHeight="1" x14ac:dyDescent="0.25">
      <c r="A622" s="295"/>
      <c r="C622" s="265"/>
      <c r="D622" s="266"/>
      <c r="E622" s="255"/>
      <c r="F622" s="362">
        <f>SUM(F537:F621)</f>
        <v>97300</v>
      </c>
      <c r="G622" s="362">
        <f>SUM(G537:G621)</f>
        <v>387620.12</v>
      </c>
      <c r="H622" s="255"/>
      <c r="I622" s="260"/>
      <c r="J622" s="260"/>
      <c r="K622" s="224"/>
      <c r="L622" s="224"/>
      <c r="M622" s="224"/>
      <c r="O622" s="224"/>
      <c r="P622" s="224"/>
    </row>
    <row r="623" spans="1:16" ht="13.8" thickBot="1" x14ac:dyDescent="0.3">
      <c r="A623" s="295"/>
      <c r="C623" s="264"/>
      <c r="D623" s="265"/>
      <c r="E623" s="255"/>
      <c r="F623" s="255"/>
      <c r="G623" s="255"/>
      <c r="H623" s="243"/>
      <c r="K623" s="224"/>
      <c r="L623" s="224"/>
      <c r="M623" s="224"/>
      <c r="O623" s="224"/>
      <c r="P623" s="224"/>
    </row>
    <row r="624" spans="1:16" ht="13.8" thickBot="1" x14ac:dyDescent="0.3">
      <c r="B624" s="325"/>
      <c r="C624" s="264"/>
      <c r="D624" s="265"/>
      <c r="E624" s="266"/>
      <c r="G624" s="263" t="s">
        <v>2141</v>
      </c>
      <c r="H624" s="276">
        <f>G622-F622</f>
        <v>290320.12</v>
      </c>
      <c r="K624" s="224"/>
      <c r="L624" s="224"/>
      <c r="M624" s="224"/>
      <c r="O624" s="224"/>
      <c r="P624" s="224"/>
    </row>
    <row r="625" spans="1:16" ht="13.2" x14ac:dyDescent="0.25">
      <c r="B625" s="325"/>
      <c r="C625" s="264"/>
      <c r="D625" s="265"/>
      <c r="E625" s="272"/>
      <c r="F625" s="267"/>
      <c r="G625" s="267"/>
      <c r="H625" s="243"/>
      <c r="K625" s="224"/>
      <c r="L625" s="224"/>
      <c r="M625" s="224"/>
      <c r="O625" s="224"/>
      <c r="P625" s="224"/>
    </row>
    <row r="626" spans="1:16" ht="13.2" x14ac:dyDescent="0.25">
      <c r="B626" s="325"/>
      <c r="C626" s="264"/>
      <c r="D626" s="265"/>
      <c r="E626" s="266"/>
      <c r="F626" s="267"/>
      <c r="G626" s="267"/>
      <c r="H626" s="243"/>
      <c r="K626" s="224"/>
      <c r="L626" s="224"/>
      <c r="M626" s="224"/>
      <c r="O626" s="224"/>
      <c r="P626" s="224"/>
    </row>
    <row r="627" spans="1:16" ht="12.75" customHeight="1" x14ac:dyDescent="0.25">
      <c r="B627" s="325"/>
      <c r="C627" s="268"/>
      <c r="D627" s="253"/>
      <c r="E627" s="224"/>
      <c r="F627" s="224"/>
      <c r="G627" s="224"/>
      <c r="H627" s="246"/>
      <c r="K627" s="224"/>
      <c r="L627" s="224"/>
      <c r="M627" s="224"/>
      <c r="O627" s="224"/>
      <c r="P627" s="224"/>
    </row>
    <row r="628" spans="1:16" ht="12.75" customHeight="1" x14ac:dyDescent="0.25">
      <c r="C628" s="241"/>
      <c r="D628" s="229"/>
      <c r="E628" s="229"/>
      <c r="F628" s="230"/>
      <c r="G628" s="230"/>
      <c r="H628" s="230"/>
      <c r="K628" s="224"/>
      <c r="L628" s="224"/>
      <c r="M628" s="224"/>
      <c r="O628" s="224"/>
      <c r="P628" s="224"/>
    </row>
    <row r="629" spans="1:16" ht="12.75" customHeight="1" thickBot="1" x14ac:dyDescent="0.3">
      <c r="C629" s="241"/>
      <c r="D629" s="229"/>
      <c r="E629" s="229"/>
      <c r="F629" s="230"/>
      <c r="G629" s="246"/>
      <c r="H629" s="230"/>
    </row>
    <row r="630" spans="1:16" ht="12.75" customHeight="1" thickBot="1" x14ac:dyDescent="0.3">
      <c r="A630" s="351" t="s">
        <v>941</v>
      </c>
      <c r="B630" s="273"/>
      <c r="C630" s="274"/>
      <c r="D630" s="274"/>
      <c r="E630" s="415"/>
      <c r="F630" s="415"/>
      <c r="G630" s="275"/>
      <c r="H630" s="247"/>
    </row>
    <row r="631" spans="1:16" ht="12.75" customHeight="1" x14ac:dyDescent="0.25">
      <c r="A631" s="358" t="s">
        <v>184</v>
      </c>
      <c r="B631" s="414" t="s">
        <v>999</v>
      </c>
      <c r="C631" s="409" t="s">
        <v>2082</v>
      </c>
      <c r="D631" s="409" t="s">
        <v>2084</v>
      </c>
      <c r="E631" s="409" t="s">
        <v>940</v>
      </c>
      <c r="F631" s="409" t="s">
        <v>668</v>
      </c>
      <c r="G631" s="409" t="s">
        <v>667</v>
      </c>
      <c r="H631" s="247"/>
    </row>
    <row r="632" spans="1:16" ht="13.2" x14ac:dyDescent="0.25">
      <c r="A632" s="295" t="s">
        <v>2950</v>
      </c>
      <c r="B632" s="295" t="s">
        <v>2950</v>
      </c>
      <c r="C632" s="416" t="s">
        <v>1232</v>
      </c>
      <c r="D632" s="417" t="s">
        <v>2949</v>
      </c>
      <c r="E632" s="418" t="s">
        <v>932</v>
      </c>
      <c r="F632" s="299">
        <v>111.24</v>
      </c>
      <c r="G632" s="299">
        <v>0</v>
      </c>
      <c r="J632" s="224"/>
      <c r="K632" s="224"/>
      <c r="L632" s="224"/>
      <c r="M632" s="224"/>
      <c r="O632" s="224"/>
      <c r="P632" s="224"/>
    </row>
    <row r="633" spans="1:16" s="1" customFormat="1" ht="13.2" x14ac:dyDescent="0.25">
      <c r="A633" s="295" t="s">
        <v>3006</v>
      </c>
      <c r="B633" s="295" t="s">
        <v>3006</v>
      </c>
      <c r="C633" s="225" t="s">
        <v>3004</v>
      </c>
      <c r="D633" s="250" t="s">
        <v>3005</v>
      </c>
      <c r="E633" s="91" t="s">
        <v>932</v>
      </c>
      <c r="F633" s="299">
        <v>111.24</v>
      </c>
      <c r="G633" s="299">
        <v>0</v>
      </c>
      <c r="H633" s="260"/>
      <c r="I633" s="59"/>
      <c r="K633" s="59"/>
      <c r="L633" s="59"/>
      <c r="O633" s="2"/>
      <c r="P633" s="2"/>
    </row>
    <row r="634" spans="1:16" s="1" customFormat="1" ht="13.2" x14ac:dyDescent="0.25">
      <c r="A634" s="295" t="s">
        <v>3024</v>
      </c>
      <c r="B634" s="295" t="s">
        <v>3024</v>
      </c>
      <c r="C634" s="225" t="s">
        <v>3025</v>
      </c>
      <c r="D634" s="250" t="s">
        <v>3026</v>
      </c>
      <c r="E634" s="91" t="s">
        <v>932</v>
      </c>
      <c r="F634" s="299">
        <v>111.24</v>
      </c>
      <c r="G634" s="299">
        <v>0</v>
      </c>
      <c r="H634" s="260"/>
      <c r="I634" s="59"/>
      <c r="K634" s="59"/>
      <c r="L634" s="59"/>
      <c r="O634" s="2"/>
      <c r="P634" s="2"/>
    </row>
    <row r="635" spans="1:16" ht="12.75" customHeight="1" x14ac:dyDescent="0.25">
      <c r="A635" s="295" t="s">
        <v>3033</v>
      </c>
      <c r="B635" s="295" t="s">
        <v>3033</v>
      </c>
      <c r="C635" s="484" t="s">
        <v>3042</v>
      </c>
      <c r="D635" s="417" t="s">
        <v>3031</v>
      </c>
      <c r="E635" s="418" t="s">
        <v>932</v>
      </c>
      <c r="F635" s="299">
        <v>111.24</v>
      </c>
      <c r="G635" s="299">
        <v>0</v>
      </c>
      <c r="I635" s="224"/>
      <c r="J635" s="224"/>
      <c r="K635" s="224"/>
      <c r="L635" s="224"/>
      <c r="M635" s="224"/>
      <c r="O635" s="224"/>
      <c r="P635" s="224"/>
    </row>
    <row r="636" spans="1:16" ht="12.75" customHeight="1" x14ac:dyDescent="0.25">
      <c r="A636" s="295" t="s">
        <v>3040</v>
      </c>
      <c r="B636" s="295" t="s">
        <v>3040</v>
      </c>
      <c r="C636" s="485" t="s">
        <v>3043</v>
      </c>
      <c r="D636" s="250" t="s">
        <v>3041</v>
      </c>
      <c r="E636" s="91" t="s">
        <v>932</v>
      </c>
      <c r="F636" s="249">
        <v>111.24</v>
      </c>
      <c r="G636" s="299">
        <v>0</v>
      </c>
      <c r="H636" s="59"/>
    </row>
    <row r="637" spans="1:16" ht="12.75" customHeight="1" x14ac:dyDescent="0.25">
      <c r="A637" s="295" t="s">
        <v>3058</v>
      </c>
      <c r="B637" s="295" t="s">
        <v>3058</v>
      </c>
      <c r="C637" s="486" t="s">
        <v>3059</v>
      </c>
      <c r="D637" s="417" t="s">
        <v>3053</v>
      </c>
      <c r="E637" s="418" t="s">
        <v>932</v>
      </c>
      <c r="F637" s="299">
        <v>111.24</v>
      </c>
      <c r="G637" s="299">
        <v>0</v>
      </c>
      <c r="H637" s="295"/>
      <c r="I637" s="224"/>
      <c r="J637" s="224"/>
      <c r="K637" s="224"/>
      <c r="L637" s="224"/>
      <c r="M637" s="224"/>
      <c r="O637" s="224"/>
      <c r="P637" s="224"/>
    </row>
    <row r="638" spans="1:16" s="1" customFormat="1" ht="12.75" customHeight="1" x14ac:dyDescent="0.25">
      <c r="A638" s="295" t="s">
        <v>3083</v>
      </c>
      <c r="B638" s="295" t="s">
        <v>3083</v>
      </c>
      <c r="C638" s="485" t="s">
        <v>3084</v>
      </c>
      <c r="D638" s="250" t="s">
        <v>3085</v>
      </c>
      <c r="E638" s="91" t="s">
        <v>932</v>
      </c>
      <c r="F638" s="249">
        <v>111.24</v>
      </c>
      <c r="G638" s="299">
        <v>0</v>
      </c>
      <c r="H638" s="59"/>
      <c r="I638" s="59"/>
      <c r="K638" s="59"/>
      <c r="L638" s="59"/>
      <c r="O638" s="2"/>
      <c r="P638" s="2"/>
    </row>
    <row r="639" spans="1:16" ht="12.75" customHeight="1" x14ac:dyDescent="0.25">
      <c r="A639" s="295" t="s">
        <v>3121</v>
      </c>
      <c r="B639" s="295" t="s">
        <v>3121</v>
      </c>
      <c r="C639" s="484" t="s">
        <v>3125</v>
      </c>
      <c r="D639" s="446" t="s">
        <v>3123</v>
      </c>
      <c r="E639" s="418" t="s">
        <v>932</v>
      </c>
      <c r="F639" s="299">
        <v>111.24</v>
      </c>
      <c r="G639" s="326">
        <v>0</v>
      </c>
      <c r="I639" s="224"/>
      <c r="J639" s="224"/>
      <c r="K639" s="224"/>
      <c r="L639" s="224"/>
      <c r="M639" s="224"/>
      <c r="O639" s="224"/>
      <c r="P639" s="224"/>
    </row>
    <row r="640" spans="1:16" s="1" customFormat="1" ht="12.75" customHeight="1" x14ac:dyDescent="0.25">
      <c r="A640" s="295" t="s">
        <v>3165</v>
      </c>
      <c r="B640" s="295" t="s">
        <v>3165</v>
      </c>
      <c r="C640" s="485" t="s">
        <v>3166</v>
      </c>
      <c r="D640" s="446" t="s">
        <v>3164</v>
      </c>
      <c r="E640" s="418" t="s">
        <v>932</v>
      </c>
      <c r="F640" s="299">
        <v>111.24</v>
      </c>
      <c r="G640" s="326">
        <v>0</v>
      </c>
      <c r="H640" s="59"/>
      <c r="I640" s="59"/>
      <c r="K640" s="59"/>
      <c r="L640" s="59"/>
      <c r="O640" s="2"/>
      <c r="P640" s="2"/>
    </row>
    <row r="641" spans="1:16" ht="12.75" customHeight="1" x14ac:dyDescent="0.25">
      <c r="A641" s="295" t="s">
        <v>3187</v>
      </c>
      <c r="B641" s="295" t="s">
        <v>3187</v>
      </c>
      <c r="C641" s="250" t="s">
        <v>3189</v>
      </c>
      <c r="D641" s="224" t="s">
        <v>3188</v>
      </c>
      <c r="E641" s="235" t="s">
        <v>932</v>
      </c>
      <c r="F641" s="255">
        <v>111.24</v>
      </c>
      <c r="G641" s="326">
        <v>0</v>
      </c>
      <c r="H641" s="247"/>
    </row>
    <row r="642" spans="1:16" s="1" customFormat="1" ht="13.2" x14ac:dyDescent="0.25">
      <c r="A642" s="295" t="s">
        <v>3211</v>
      </c>
      <c r="B642" s="295" t="s">
        <v>3211</v>
      </c>
      <c r="C642" s="250" t="s">
        <v>3212</v>
      </c>
      <c r="D642" s="224" t="s">
        <v>3207</v>
      </c>
      <c r="E642" s="235" t="s">
        <v>932</v>
      </c>
      <c r="F642" s="255">
        <v>111.24</v>
      </c>
      <c r="G642" s="326">
        <v>0</v>
      </c>
      <c r="H642" s="59"/>
      <c r="I642" s="59"/>
      <c r="K642" s="59"/>
      <c r="L642" s="59"/>
      <c r="O642" s="2"/>
      <c r="P642" s="2"/>
    </row>
    <row r="643" spans="1:16" ht="12.75" customHeight="1" x14ac:dyDescent="0.25">
      <c r="A643" s="295" t="s">
        <v>3273</v>
      </c>
      <c r="B643" s="295" t="s">
        <v>3273</v>
      </c>
      <c r="C643" s="250" t="s">
        <v>3280</v>
      </c>
      <c r="D643" s="224" t="s">
        <v>3276</v>
      </c>
      <c r="E643" s="235" t="s">
        <v>932</v>
      </c>
      <c r="F643" s="255">
        <v>111.24</v>
      </c>
      <c r="G643" s="326">
        <v>0</v>
      </c>
    </row>
    <row r="644" spans="1:16" ht="12.75" customHeight="1" x14ac:dyDescent="0.25">
      <c r="A644" s="295"/>
      <c r="D644" s="224"/>
      <c r="E644" s="235"/>
      <c r="F644" s="255"/>
      <c r="G644" s="326"/>
      <c r="H644" s="295"/>
    </row>
    <row r="645" spans="1:16" s="1" customFormat="1" ht="13.2" x14ac:dyDescent="0.25">
      <c r="A645" s="295"/>
      <c r="B645" s="295"/>
      <c r="C645" s="416"/>
      <c r="D645" s="417"/>
      <c r="E645" s="418"/>
      <c r="F645" s="299"/>
      <c r="H645" s="59"/>
      <c r="I645" s="59"/>
      <c r="K645" s="59"/>
      <c r="L645" s="59"/>
      <c r="O645" s="2"/>
      <c r="P645" s="2"/>
    </row>
    <row r="646" spans="1:16" ht="12.75" customHeight="1" x14ac:dyDescent="0.25">
      <c r="A646" s="295"/>
      <c r="C646" s="416"/>
      <c r="D646" s="417"/>
      <c r="E646" s="418"/>
      <c r="F646" s="299"/>
      <c r="G646" s="299"/>
      <c r="H646" s="295"/>
    </row>
    <row r="647" spans="1:16" ht="12.75" customHeight="1" thickBot="1" x14ac:dyDescent="0.3">
      <c r="A647" s="295"/>
      <c r="D647" s="224"/>
      <c r="E647" s="235"/>
      <c r="F647" s="255"/>
      <c r="H647" s="247"/>
    </row>
    <row r="648" spans="1:16" ht="12.75" customHeight="1" thickBot="1" x14ac:dyDescent="0.3">
      <c r="A648" s="295"/>
      <c r="C648" s="1"/>
      <c r="E648" s="2" t="s">
        <v>535</v>
      </c>
      <c r="F648" s="277">
        <f>SUM(F632:F647)</f>
        <v>1334.8799999999999</v>
      </c>
      <c r="H648" s="59"/>
      <c r="N648" s="254"/>
    </row>
    <row r="649" spans="1:16" ht="12.75" customHeight="1" x14ac:dyDescent="0.25">
      <c r="A649" s="295"/>
      <c r="C649" s="1"/>
      <c r="E649" s="1"/>
      <c r="F649" s="390"/>
      <c r="H649" s="59"/>
      <c r="N649" s="254"/>
    </row>
    <row r="650" spans="1:16" s="1" customFormat="1" ht="13.2" x14ac:dyDescent="0.25">
      <c r="A650" s="295"/>
      <c r="B650" s="295"/>
      <c r="C650" s="416"/>
      <c r="D650" s="417"/>
      <c r="E650" s="418"/>
      <c r="F650" s="299"/>
      <c r="H650" s="59"/>
      <c r="I650" s="59"/>
      <c r="K650" s="59"/>
      <c r="L650" s="59"/>
      <c r="O650" s="2"/>
      <c r="P650" s="2"/>
    </row>
    <row r="651" spans="1:16" ht="12.75" customHeight="1" x14ac:dyDescent="0.25">
      <c r="A651" s="295" t="s">
        <v>3186</v>
      </c>
      <c r="B651" s="295" t="s">
        <v>3186</v>
      </c>
      <c r="C651" s="250" t="s">
        <v>2295</v>
      </c>
      <c r="D651" s="224" t="s">
        <v>1237</v>
      </c>
      <c r="E651" s="235" t="s">
        <v>932</v>
      </c>
      <c r="F651" s="255">
        <v>280.89999999999998</v>
      </c>
      <c r="G651" s="326">
        <v>0</v>
      </c>
      <c r="H651" s="247"/>
    </row>
    <row r="652" spans="1:16" ht="12.75" customHeight="1" x14ac:dyDescent="0.25">
      <c r="A652" s="295"/>
      <c r="C652" s="416"/>
      <c r="D652" s="417"/>
      <c r="E652" s="418"/>
      <c r="F652" s="299"/>
      <c r="G652" s="299"/>
      <c r="H652" s="295"/>
    </row>
    <row r="653" spans="1:16" ht="12.75" customHeight="1" x14ac:dyDescent="0.25">
      <c r="A653" s="389"/>
      <c r="B653" s="1"/>
      <c r="C653" s="1"/>
      <c r="D653" s="1"/>
      <c r="E653" s="1"/>
      <c r="F653" s="389"/>
      <c r="H653" s="59"/>
      <c r="N653" s="254"/>
    </row>
    <row r="654" spans="1:16" ht="12.75" customHeight="1" x14ac:dyDescent="0.25">
      <c r="A654" s="389"/>
      <c r="B654" s="1"/>
      <c r="C654" s="1"/>
      <c r="D654" s="1"/>
      <c r="E654" s="1"/>
      <c r="F654" s="389"/>
      <c r="H654" s="59"/>
      <c r="N654" s="254"/>
    </row>
    <row r="655" spans="1:16" ht="12.75" customHeight="1" x14ac:dyDescent="0.25">
      <c r="B655" s="390"/>
      <c r="D655" s="250"/>
      <c r="E655" s="224"/>
      <c r="H655" s="390"/>
    </row>
    <row r="656" spans="1:16" ht="12.75" customHeight="1" x14ac:dyDescent="0.25">
      <c r="B656" s="269"/>
      <c r="D656" s="250"/>
      <c r="E656" s="224"/>
      <c r="H656" s="269"/>
    </row>
    <row r="657" spans="1:16" ht="12.75" customHeight="1" x14ac:dyDescent="0.25">
      <c r="B657" s="385"/>
      <c r="C657" s="225"/>
      <c r="D657" s="224"/>
      <c r="E657" s="294"/>
      <c r="H657" s="269"/>
    </row>
    <row r="658" spans="1:16" ht="12.75" customHeight="1" x14ac:dyDescent="0.25">
      <c r="B658" s="269"/>
      <c r="D658" s="224"/>
      <c r="E658" s="224"/>
      <c r="H658" s="269"/>
    </row>
    <row r="659" spans="1:16" ht="12.75" customHeight="1" x14ac:dyDescent="0.25">
      <c r="B659" s="269"/>
      <c r="C659" s="224"/>
      <c r="E659" s="224"/>
      <c r="H659" s="269"/>
    </row>
    <row r="660" spans="1:16" ht="12.75" customHeight="1" thickBot="1" x14ac:dyDescent="0.3">
      <c r="D660" s="250"/>
      <c r="E660" s="224"/>
    </row>
    <row r="661" spans="1:16" s="1" customFormat="1" ht="13.8" thickBot="1" x14ac:dyDescent="0.3">
      <c r="B661" s="16"/>
      <c r="C661" s="57"/>
      <c r="D661" s="91"/>
      <c r="E661" s="2" t="s">
        <v>536</v>
      </c>
      <c r="F661" s="277">
        <f>SUM(F650:F660)</f>
        <v>280.89999999999998</v>
      </c>
      <c r="H661" s="59"/>
      <c r="I661" s="59"/>
      <c r="J661" s="59"/>
      <c r="K661" s="59"/>
      <c r="L661" s="59"/>
      <c r="O661" s="2"/>
      <c r="P661" s="2"/>
    </row>
    <row r="662" spans="1:16" s="1" customFormat="1" ht="13.2" x14ac:dyDescent="0.25">
      <c r="B662" s="16"/>
      <c r="C662" s="57"/>
      <c r="D662" s="91"/>
      <c r="F662" s="59"/>
      <c r="G662" s="59"/>
      <c r="H662" s="59"/>
      <c r="I662" s="59"/>
      <c r="J662" s="59"/>
      <c r="K662" s="59"/>
      <c r="L662" s="59"/>
      <c r="O662" s="2"/>
      <c r="P662" s="2"/>
    </row>
    <row r="664" spans="1:16" ht="12.75" customHeight="1" thickBot="1" x14ac:dyDescent="0.3">
      <c r="D664" s="250"/>
      <c r="E664" s="250"/>
      <c r="F664" s="300"/>
      <c r="G664" s="300"/>
      <c r="H664" s="300"/>
    </row>
    <row r="665" spans="1:16" ht="12.75" customHeight="1" thickBot="1" x14ac:dyDescent="0.3">
      <c r="A665" s="420" t="s">
        <v>344</v>
      </c>
      <c r="B665" s="413"/>
      <c r="C665" s="273"/>
      <c r="D665" s="274"/>
      <c r="E665" s="274"/>
      <c r="F665" s="415"/>
      <c r="G665" s="421"/>
      <c r="H665" s="300"/>
      <c r="I665" s="224"/>
      <c r="J665" s="224"/>
      <c r="K665" s="224"/>
      <c r="L665" s="224"/>
      <c r="M665" s="224"/>
      <c r="O665" s="224"/>
      <c r="P665" s="224"/>
    </row>
    <row r="666" spans="1:16" ht="12.75" customHeight="1" x14ac:dyDescent="0.25">
      <c r="A666" s="358" t="s">
        <v>184</v>
      </c>
      <c r="B666" s="414" t="s">
        <v>999</v>
      </c>
      <c r="C666" s="409" t="s">
        <v>2082</v>
      </c>
      <c r="D666" s="409" t="s">
        <v>2084</v>
      </c>
      <c r="E666" s="409" t="s">
        <v>940</v>
      </c>
      <c r="F666" s="409" t="s">
        <v>668</v>
      </c>
      <c r="G666" s="409" t="s">
        <v>667</v>
      </c>
      <c r="H666" s="300"/>
      <c r="I666" s="224"/>
      <c r="J666" s="224"/>
      <c r="K666" s="224"/>
      <c r="L666" s="224"/>
      <c r="M666" s="224"/>
      <c r="O666" s="224"/>
      <c r="P666" s="224"/>
    </row>
    <row r="667" spans="1:16" ht="12.75" customHeight="1" x14ac:dyDescent="0.25">
      <c r="A667" s="353" t="s">
        <v>2935</v>
      </c>
      <c r="B667" s="16" t="s">
        <v>2935</v>
      </c>
      <c r="C667" s="233" t="s">
        <v>2937</v>
      </c>
      <c r="D667" s="249" t="s">
        <v>2938</v>
      </c>
      <c r="E667" s="2" t="s">
        <v>1028</v>
      </c>
      <c r="F667" s="299">
        <v>125</v>
      </c>
      <c r="G667" s="299">
        <v>0</v>
      </c>
      <c r="H667" s="260"/>
      <c r="J667" s="224"/>
      <c r="K667" s="224"/>
      <c r="L667" s="224"/>
      <c r="M667" s="224"/>
      <c r="O667" s="224"/>
      <c r="P667" s="224"/>
    </row>
    <row r="668" spans="1:16" ht="12.75" customHeight="1" x14ac:dyDescent="0.25">
      <c r="A668" s="353" t="s">
        <v>2935</v>
      </c>
      <c r="B668" s="16" t="s">
        <v>2935</v>
      </c>
      <c r="C668" s="233" t="s">
        <v>2937</v>
      </c>
      <c r="D668" s="249" t="s">
        <v>2938</v>
      </c>
      <c r="E668" s="2" t="s">
        <v>1028</v>
      </c>
      <c r="F668" s="299">
        <v>15.45</v>
      </c>
      <c r="G668" s="299">
        <v>0</v>
      </c>
      <c r="I668" s="260"/>
      <c r="J668" s="224"/>
      <c r="K668" s="224"/>
      <c r="L668" s="224"/>
      <c r="M668" s="224"/>
      <c r="O668" s="224"/>
      <c r="P668" s="224"/>
    </row>
    <row r="669" spans="1:16" ht="12.75" customHeight="1" x14ac:dyDescent="0.25">
      <c r="A669" s="353" t="s">
        <v>2943</v>
      </c>
      <c r="B669" s="16" t="s">
        <v>2943</v>
      </c>
      <c r="C669" s="233" t="s">
        <v>2939</v>
      </c>
      <c r="D669" s="249" t="s">
        <v>2940</v>
      </c>
      <c r="E669" s="2" t="s">
        <v>1028</v>
      </c>
      <c r="F669" s="299">
        <v>25</v>
      </c>
      <c r="G669" s="299">
        <v>0</v>
      </c>
      <c r="H669" s="247"/>
      <c r="I669" s="260"/>
      <c r="J669" s="224"/>
      <c r="K669" s="224"/>
      <c r="L669" s="224"/>
      <c r="M669" s="224"/>
      <c r="O669" s="224"/>
      <c r="P669" s="224"/>
    </row>
    <row r="670" spans="1:16" ht="12.75" customHeight="1" x14ac:dyDescent="0.25">
      <c r="A670" s="353" t="s">
        <v>2943</v>
      </c>
      <c r="B670" s="16" t="s">
        <v>2943</v>
      </c>
      <c r="C670" s="233" t="s">
        <v>2939</v>
      </c>
      <c r="D670" s="249" t="s">
        <v>2940</v>
      </c>
      <c r="E670" s="2" t="s">
        <v>1028</v>
      </c>
      <c r="F670" s="299">
        <v>3.09</v>
      </c>
      <c r="G670" s="299">
        <v>0</v>
      </c>
      <c r="H670" s="295"/>
      <c r="I670" s="295"/>
      <c r="J670" s="224"/>
      <c r="K670" s="224"/>
      <c r="L670" s="224"/>
      <c r="M670" s="224"/>
      <c r="O670" s="224"/>
      <c r="P670" s="224"/>
    </row>
    <row r="671" spans="1:16" ht="12.75" customHeight="1" x14ac:dyDescent="0.25">
      <c r="A671" s="353" t="s">
        <v>2943</v>
      </c>
      <c r="B671" s="16" t="s">
        <v>2943</v>
      </c>
      <c r="C671" s="233" t="s">
        <v>2941</v>
      </c>
      <c r="D671" s="249" t="s">
        <v>2942</v>
      </c>
      <c r="E671" s="2" t="s">
        <v>1028</v>
      </c>
      <c r="F671" s="299">
        <v>25</v>
      </c>
      <c r="G671" s="299">
        <v>0</v>
      </c>
      <c r="H671" s="295"/>
      <c r="J671" s="224"/>
      <c r="K671" s="224"/>
      <c r="L671" s="224"/>
      <c r="M671" s="224"/>
      <c r="O671" s="224"/>
      <c r="P671" s="224"/>
    </row>
    <row r="672" spans="1:16" ht="12.75" customHeight="1" x14ac:dyDescent="0.25">
      <c r="A672" s="353" t="s">
        <v>2943</v>
      </c>
      <c r="B672" s="16" t="s">
        <v>2943</v>
      </c>
      <c r="C672" s="233" t="s">
        <v>2941</v>
      </c>
      <c r="D672" s="249" t="s">
        <v>2942</v>
      </c>
      <c r="E672" s="2" t="s">
        <v>1028</v>
      </c>
      <c r="F672" s="299">
        <v>3.09</v>
      </c>
      <c r="G672" s="299">
        <v>0</v>
      </c>
      <c r="H672" s="295"/>
      <c r="J672" s="224"/>
      <c r="K672" s="224"/>
      <c r="L672" s="224"/>
      <c r="M672" s="224"/>
      <c r="O672" s="224"/>
      <c r="P672" s="224"/>
    </row>
    <row r="673" spans="1:16" ht="12.75" customHeight="1" x14ac:dyDescent="0.25">
      <c r="A673" s="353" t="s">
        <v>3027</v>
      </c>
      <c r="B673" s="16" t="s">
        <v>3027</v>
      </c>
      <c r="C673" s="233" t="s">
        <v>3028</v>
      </c>
      <c r="D673" s="249" t="s">
        <v>3029</v>
      </c>
      <c r="E673" s="2" t="s">
        <v>1028</v>
      </c>
      <c r="F673" s="299">
        <v>25</v>
      </c>
      <c r="G673" s="299">
        <v>0</v>
      </c>
      <c r="J673" s="224"/>
      <c r="K673" s="224"/>
      <c r="L673" s="224"/>
      <c r="M673" s="224"/>
      <c r="O673" s="224"/>
      <c r="P673" s="224"/>
    </row>
    <row r="674" spans="1:16" ht="12.75" customHeight="1" x14ac:dyDescent="0.25">
      <c r="A674" s="353" t="s">
        <v>3027</v>
      </c>
      <c r="B674" s="16" t="s">
        <v>3027</v>
      </c>
      <c r="C674" s="233" t="s">
        <v>3028</v>
      </c>
      <c r="D674" s="249" t="s">
        <v>3029</v>
      </c>
      <c r="E674" s="2" t="s">
        <v>1028</v>
      </c>
      <c r="F674" s="299">
        <v>3.09</v>
      </c>
      <c r="G674" s="299">
        <v>0</v>
      </c>
      <c r="H674" s="300"/>
      <c r="I674" s="224"/>
      <c r="J674" s="224"/>
      <c r="K674" s="224"/>
      <c r="L674" s="224"/>
      <c r="M674" s="224"/>
      <c r="O674" s="224"/>
      <c r="P674" s="224"/>
    </row>
    <row r="675" spans="1:16" ht="12.75" customHeight="1" x14ac:dyDescent="0.25">
      <c r="A675" s="353" t="s">
        <v>3065</v>
      </c>
      <c r="B675" s="16" t="s">
        <v>3065</v>
      </c>
      <c r="C675" s="233" t="s">
        <v>3066</v>
      </c>
      <c r="D675" s="249" t="s">
        <v>3067</v>
      </c>
      <c r="E675" s="2" t="s">
        <v>1028</v>
      </c>
      <c r="F675" s="299">
        <v>25</v>
      </c>
      <c r="G675" s="299">
        <v>0</v>
      </c>
      <c r="H675" s="300"/>
      <c r="I675" s="224"/>
      <c r="J675" s="224"/>
      <c r="K675" s="224"/>
      <c r="L675" s="224"/>
      <c r="M675" s="224"/>
      <c r="O675" s="224"/>
      <c r="P675" s="224"/>
    </row>
    <row r="676" spans="1:16" ht="12.75" customHeight="1" x14ac:dyDescent="0.25">
      <c r="A676" s="353" t="s">
        <v>3065</v>
      </c>
      <c r="B676" s="16" t="s">
        <v>3065</v>
      </c>
      <c r="C676" s="233" t="s">
        <v>3066</v>
      </c>
      <c r="D676" s="249" t="s">
        <v>3067</v>
      </c>
      <c r="E676" s="2" t="s">
        <v>1028</v>
      </c>
      <c r="F676" s="299">
        <v>3.09</v>
      </c>
      <c r="G676" s="299">
        <v>0</v>
      </c>
      <c r="H676" s="250"/>
      <c r="I676" s="224"/>
      <c r="J676" s="224"/>
      <c r="K676" s="224"/>
      <c r="L676" s="224"/>
      <c r="M676" s="224"/>
      <c r="O676" s="224"/>
      <c r="P676" s="224"/>
    </row>
    <row r="677" spans="1:16" ht="12.75" customHeight="1" x14ac:dyDescent="0.25">
      <c r="A677" s="353" t="s">
        <v>3072</v>
      </c>
      <c r="B677" s="16" t="s">
        <v>3072</v>
      </c>
      <c r="C677" s="233" t="s">
        <v>3073</v>
      </c>
      <c r="D677" s="249" t="s">
        <v>3074</v>
      </c>
      <c r="E677" s="2" t="s">
        <v>1028</v>
      </c>
      <c r="F677" s="299">
        <v>6.18</v>
      </c>
      <c r="G677" s="299">
        <v>0</v>
      </c>
      <c r="I677" s="224"/>
      <c r="J677" s="224"/>
      <c r="K677" s="224"/>
      <c r="L677" s="224"/>
      <c r="M677" s="224"/>
      <c r="O677" s="224"/>
      <c r="P677" s="224"/>
    </row>
    <row r="678" spans="1:16" ht="12.75" customHeight="1" x14ac:dyDescent="0.25">
      <c r="A678" s="353" t="s">
        <v>3072</v>
      </c>
      <c r="B678" s="16" t="s">
        <v>3072</v>
      </c>
      <c r="C678" s="233" t="s">
        <v>3073</v>
      </c>
      <c r="D678" s="249" t="s">
        <v>3074</v>
      </c>
      <c r="E678" s="2" t="s">
        <v>1028</v>
      </c>
      <c r="F678" s="299">
        <v>50</v>
      </c>
      <c r="G678" s="299">
        <v>0</v>
      </c>
      <c r="I678" s="224"/>
      <c r="J678" s="224"/>
      <c r="K678" s="224"/>
      <c r="L678" s="224"/>
      <c r="M678" s="224"/>
      <c r="O678" s="224"/>
      <c r="P678" s="224"/>
    </row>
    <row r="679" spans="1:16" ht="12.75" customHeight="1" x14ac:dyDescent="0.25">
      <c r="A679" s="353" t="s">
        <v>3090</v>
      </c>
      <c r="B679" s="16" t="s">
        <v>3090</v>
      </c>
      <c r="C679" s="233" t="s">
        <v>3091</v>
      </c>
      <c r="D679" s="249" t="s">
        <v>3092</v>
      </c>
      <c r="E679" s="2" t="s">
        <v>1028</v>
      </c>
      <c r="F679" s="299">
        <v>75</v>
      </c>
      <c r="G679" s="299">
        <v>0</v>
      </c>
      <c r="I679" s="224"/>
      <c r="J679" s="224"/>
      <c r="K679" s="224"/>
      <c r="L679" s="224"/>
      <c r="M679" s="224"/>
      <c r="O679" s="224"/>
      <c r="P679" s="224"/>
    </row>
    <row r="680" spans="1:16" ht="12.75" customHeight="1" x14ac:dyDescent="0.25">
      <c r="A680" s="353" t="s">
        <v>3090</v>
      </c>
      <c r="B680" s="16" t="s">
        <v>3090</v>
      </c>
      <c r="C680" s="233" t="s">
        <v>3091</v>
      </c>
      <c r="D680" s="249" t="s">
        <v>3092</v>
      </c>
      <c r="E680" s="2" t="s">
        <v>1028</v>
      </c>
      <c r="F680" s="299">
        <v>9.27</v>
      </c>
      <c r="G680" s="299">
        <v>0</v>
      </c>
      <c r="I680" s="224"/>
      <c r="J680" s="224"/>
      <c r="K680" s="224"/>
      <c r="L680" s="224"/>
      <c r="M680" s="224"/>
      <c r="O680" s="224"/>
      <c r="P680" s="224"/>
    </row>
    <row r="681" spans="1:16" ht="12.75" customHeight="1" x14ac:dyDescent="0.25">
      <c r="A681" s="353" t="s">
        <v>3126</v>
      </c>
      <c r="B681" s="16" t="s">
        <v>3126</v>
      </c>
      <c r="C681" s="233" t="s">
        <v>3127</v>
      </c>
      <c r="D681" s="249" t="s">
        <v>3128</v>
      </c>
      <c r="E681" s="2" t="s">
        <v>1028</v>
      </c>
      <c r="F681" s="299">
        <v>25</v>
      </c>
      <c r="G681" s="299">
        <v>0</v>
      </c>
      <c r="I681" s="224"/>
      <c r="J681" s="224"/>
      <c r="K681" s="224"/>
      <c r="L681" s="224"/>
      <c r="M681" s="224"/>
      <c r="O681" s="224"/>
      <c r="P681" s="224"/>
    </row>
    <row r="682" spans="1:16" ht="12.75" customHeight="1" x14ac:dyDescent="0.25">
      <c r="A682" s="353" t="s">
        <v>3126</v>
      </c>
      <c r="B682" s="16" t="s">
        <v>3126</v>
      </c>
      <c r="C682" s="233" t="s">
        <v>3127</v>
      </c>
      <c r="D682" s="249" t="s">
        <v>3128</v>
      </c>
      <c r="E682" s="2" t="s">
        <v>1028</v>
      </c>
      <c r="F682" s="299">
        <v>3.09</v>
      </c>
      <c r="G682" s="299">
        <v>0</v>
      </c>
      <c r="I682" s="224"/>
      <c r="J682" s="224"/>
      <c r="K682" s="224"/>
      <c r="L682" s="224"/>
      <c r="M682" s="224"/>
      <c r="O682" s="224"/>
      <c r="P682" s="224"/>
    </row>
    <row r="683" spans="1:16" ht="12.75" customHeight="1" x14ac:dyDescent="0.25">
      <c r="A683" s="353" t="s">
        <v>3136</v>
      </c>
      <c r="B683" s="16" t="s">
        <v>3136</v>
      </c>
      <c r="C683" s="233" t="s">
        <v>3137</v>
      </c>
      <c r="D683" s="249" t="s">
        <v>3138</v>
      </c>
      <c r="E683" s="2" t="s">
        <v>1028</v>
      </c>
      <c r="F683" s="299">
        <v>50</v>
      </c>
      <c r="G683" s="299">
        <v>0</v>
      </c>
      <c r="I683" s="224"/>
      <c r="J683" s="224"/>
      <c r="K683" s="224"/>
      <c r="L683" s="224"/>
      <c r="M683" s="224"/>
      <c r="O683" s="224"/>
      <c r="P683" s="224"/>
    </row>
    <row r="684" spans="1:16" ht="12.75" customHeight="1" x14ac:dyDescent="0.25">
      <c r="A684" s="353" t="s">
        <v>3136</v>
      </c>
      <c r="B684" s="16" t="s">
        <v>3136</v>
      </c>
      <c r="C684" s="233" t="s">
        <v>3137</v>
      </c>
      <c r="D684" s="249" t="s">
        <v>3138</v>
      </c>
      <c r="E684" s="2" t="s">
        <v>1028</v>
      </c>
      <c r="F684" s="299">
        <v>6.18</v>
      </c>
      <c r="G684" s="299">
        <v>0</v>
      </c>
      <c r="I684" s="224"/>
      <c r="J684" s="224"/>
      <c r="K684" s="224"/>
      <c r="L684" s="224"/>
      <c r="M684" s="224"/>
      <c r="O684" s="224"/>
      <c r="P684" s="224"/>
    </row>
    <row r="685" spans="1:16" ht="12.75" customHeight="1" x14ac:dyDescent="0.25">
      <c r="A685" s="353" t="s">
        <v>3152</v>
      </c>
      <c r="B685" s="16" t="s">
        <v>3152</v>
      </c>
      <c r="C685" s="233" t="s">
        <v>3153</v>
      </c>
      <c r="D685" s="249" t="s">
        <v>3154</v>
      </c>
      <c r="E685" s="2" t="s">
        <v>1028</v>
      </c>
      <c r="F685" s="299">
        <v>50</v>
      </c>
      <c r="G685" s="299">
        <v>0</v>
      </c>
      <c r="H685" s="295"/>
      <c r="I685" s="224"/>
      <c r="J685" s="224"/>
      <c r="K685" s="224"/>
      <c r="L685" s="224"/>
      <c r="M685" s="224"/>
      <c r="O685" s="224"/>
      <c r="P685" s="224"/>
    </row>
    <row r="686" spans="1:16" ht="12.75" customHeight="1" x14ac:dyDescent="0.25">
      <c r="A686" s="353" t="s">
        <v>3152</v>
      </c>
      <c r="B686" s="16" t="s">
        <v>3152</v>
      </c>
      <c r="C686" s="233" t="s">
        <v>3153</v>
      </c>
      <c r="D686" s="249" t="s">
        <v>3154</v>
      </c>
      <c r="E686" s="2" t="s">
        <v>1028</v>
      </c>
      <c r="F686" s="299">
        <v>6.18</v>
      </c>
      <c r="G686" s="299">
        <v>0</v>
      </c>
      <c r="H686" s="295"/>
      <c r="I686" s="224"/>
      <c r="J686" s="224"/>
      <c r="K686" s="224"/>
      <c r="L686" s="224"/>
      <c r="M686" s="224"/>
      <c r="O686" s="224"/>
      <c r="P686" s="224"/>
    </row>
    <row r="687" spans="1:16" ht="12.75" customHeight="1" x14ac:dyDescent="0.25">
      <c r="A687" s="353" t="s">
        <v>3168</v>
      </c>
      <c r="B687" s="16" t="s">
        <v>3168</v>
      </c>
      <c r="C687" s="233" t="s">
        <v>3169</v>
      </c>
      <c r="D687" s="249" t="s">
        <v>3170</v>
      </c>
      <c r="E687" s="2" t="s">
        <v>1028</v>
      </c>
      <c r="F687" s="299">
        <v>25</v>
      </c>
      <c r="G687" s="299">
        <v>0</v>
      </c>
      <c r="I687" s="224"/>
      <c r="J687" s="224"/>
      <c r="K687" s="224"/>
      <c r="L687" s="224"/>
      <c r="M687" s="224"/>
      <c r="O687" s="224"/>
      <c r="P687" s="224"/>
    </row>
    <row r="688" spans="1:16" ht="12.75" customHeight="1" x14ac:dyDescent="0.25">
      <c r="A688" s="353" t="s">
        <v>3168</v>
      </c>
      <c r="B688" s="16" t="s">
        <v>3168</v>
      </c>
      <c r="C688" s="233" t="s">
        <v>3169</v>
      </c>
      <c r="D688" s="249" t="s">
        <v>3170</v>
      </c>
      <c r="E688" s="2" t="s">
        <v>1028</v>
      </c>
      <c r="F688" s="299">
        <v>3.09</v>
      </c>
      <c r="G688" s="299">
        <v>0</v>
      </c>
      <c r="I688" s="224"/>
      <c r="J688" s="224"/>
      <c r="K688" s="224"/>
      <c r="L688" s="224"/>
      <c r="M688" s="224"/>
      <c r="O688" s="224"/>
      <c r="P688" s="224"/>
    </row>
    <row r="689" spans="1:16" ht="12.75" customHeight="1" x14ac:dyDescent="0.25">
      <c r="A689" s="353" t="s">
        <v>3171</v>
      </c>
      <c r="B689" s="16" t="s">
        <v>3171</v>
      </c>
      <c r="C689" s="233" t="s">
        <v>3172</v>
      </c>
      <c r="D689" s="249" t="s">
        <v>3173</v>
      </c>
      <c r="E689" s="2" t="s">
        <v>1028</v>
      </c>
      <c r="F689" s="299">
        <v>25</v>
      </c>
      <c r="G689" s="299">
        <v>0</v>
      </c>
      <c r="I689" s="224"/>
      <c r="J689" s="224"/>
      <c r="K689" s="224"/>
      <c r="L689" s="224"/>
      <c r="M689" s="224"/>
      <c r="O689" s="224"/>
      <c r="P689" s="224"/>
    </row>
    <row r="690" spans="1:16" ht="12.75" customHeight="1" x14ac:dyDescent="0.25">
      <c r="A690" s="353" t="s">
        <v>3171</v>
      </c>
      <c r="B690" s="16" t="s">
        <v>3171</v>
      </c>
      <c r="C690" s="233" t="s">
        <v>3172</v>
      </c>
      <c r="D690" s="249" t="s">
        <v>3173</v>
      </c>
      <c r="E690" s="2" t="s">
        <v>1028</v>
      </c>
      <c r="F690" s="299">
        <v>3.09</v>
      </c>
      <c r="G690" s="299">
        <v>0</v>
      </c>
      <c r="I690" s="224"/>
      <c r="J690" s="224"/>
      <c r="K690" s="224"/>
      <c r="L690" s="224"/>
      <c r="M690" s="224"/>
      <c r="O690" s="224"/>
      <c r="P690" s="224"/>
    </row>
    <row r="691" spans="1:16" ht="12.75" customHeight="1" x14ac:dyDescent="0.25">
      <c r="A691" s="353" t="s">
        <v>3192</v>
      </c>
      <c r="B691" s="16" t="s">
        <v>3192</v>
      </c>
      <c r="C691" s="233" t="s">
        <v>3193</v>
      </c>
      <c r="D691" s="249" t="s">
        <v>3194</v>
      </c>
      <c r="E691" s="2" t="s">
        <v>1028</v>
      </c>
      <c r="F691" s="299">
        <v>25</v>
      </c>
      <c r="G691" s="299">
        <v>0</v>
      </c>
      <c r="I691" s="224"/>
      <c r="J691" s="224"/>
      <c r="K691" s="224"/>
      <c r="L691" s="224"/>
      <c r="M691" s="224"/>
      <c r="O691" s="224"/>
      <c r="P691" s="224"/>
    </row>
    <row r="692" spans="1:16" ht="12.75" customHeight="1" x14ac:dyDescent="0.25">
      <c r="A692" s="353" t="s">
        <v>3192</v>
      </c>
      <c r="B692" s="16" t="s">
        <v>3192</v>
      </c>
      <c r="C692" s="233" t="s">
        <v>3193</v>
      </c>
      <c r="D692" s="249" t="s">
        <v>3194</v>
      </c>
      <c r="E692" s="2" t="s">
        <v>1028</v>
      </c>
      <c r="F692" s="299">
        <v>3.09</v>
      </c>
      <c r="G692" s="299">
        <v>0</v>
      </c>
      <c r="I692" s="224"/>
      <c r="J692" s="224"/>
      <c r="K692" s="224"/>
      <c r="L692" s="224"/>
      <c r="M692" s="224"/>
      <c r="O692" s="224"/>
      <c r="P692" s="224"/>
    </row>
    <row r="693" spans="1:16" ht="12.75" customHeight="1" x14ac:dyDescent="0.25">
      <c r="A693" s="353" t="s">
        <v>3201</v>
      </c>
      <c r="B693" s="16" t="s">
        <v>3201</v>
      </c>
      <c r="C693" s="233" t="s">
        <v>3202</v>
      </c>
      <c r="D693" s="249" t="s">
        <v>3203</v>
      </c>
      <c r="E693" s="2" t="s">
        <v>1028</v>
      </c>
      <c r="F693" s="299">
        <v>25</v>
      </c>
      <c r="G693" s="299">
        <v>0</v>
      </c>
      <c r="I693" s="224"/>
      <c r="J693" s="224"/>
      <c r="K693" s="224"/>
      <c r="L693" s="224"/>
      <c r="M693" s="224"/>
      <c r="O693" s="224"/>
      <c r="P693" s="224"/>
    </row>
    <row r="694" spans="1:16" ht="12.75" customHeight="1" x14ac:dyDescent="0.25">
      <c r="A694" s="353" t="s">
        <v>3201</v>
      </c>
      <c r="B694" s="16" t="s">
        <v>3201</v>
      </c>
      <c r="C694" s="233" t="s">
        <v>3202</v>
      </c>
      <c r="D694" s="249" t="s">
        <v>3203</v>
      </c>
      <c r="E694" s="2" t="s">
        <v>1028</v>
      </c>
      <c r="F694" s="299">
        <v>3.09</v>
      </c>
      <c r="G694" s="299">
        <v>0</v>
      </c>
      <c r="I694" s="224"/>
      <c r="J694" s="224"/>
      <c r="K694" s="224"/>
      <c r="L694" s="224"/>
      <c r="M694" s="224"/>
      <c r="O694" s="224"/>
      <c r="P694" s="224"/>
    </row>
    <row r="695" spans="1:16" ht="12.75" customHeight="1" x14ac:dyDescent="0.25">
      <c r="A695" s="353" t="s">
        <v>3219</v>
      </c>
      <c r="B695" s="16" t="s">
        <v>3219</v>
      </c>
      <c r="C695" s="233" t="s">
        <v>3220</v>
      </c>
      <c r="D695" s="249" t="s">
        <v>3221</v>
      </c>
      <c r="E695" s="2" t="s">
        <v>1028</v>
      </c>
      <c r="F695" s="299">
        <v>50</v>
      </c>
      <c r="G695" s="299">
        <v>0</v>
      </c>
      <c r="I695" s="224"/>
      <c r="J695" s="224"/>
      <c r="K695" s="224"/>
      <c r="L695" s="224"/>
      <c r="M695" s="224"/>
      <c r="O695" s="224"/>
      <c r="P695" s="224"/>
    </row>
    <row r="696" spans="1:16" ht="12.75" customHeight="1" x14ac:dyDescent="0.25">
      <c r="A696" s="353" t="s">
        <v>3219</v>
      </c>
      <c r="B696" s="16" t="s">
        <v>3219</v>
      </c>
      <c r="C696" s="233" t="s">
        <v>3220</v>
      </c>
      <c r="D696" s="249" t="s">
        <v>3221</v>
      </c>
      <c r="E696" s="2" t="s">
        <v>1028</v>
      </c>
      <c r="F696" s="299">
        <v>6.18</v>
      </c>
      <c r="G696" s="299">
        <v>0</v>
      </c>
      <c r="H696" s="295"/>
      <c r="K696" s="224"/>
      <c r="L696" s="224"/>
      <c r="M696" s="224"/>
      <c r="O696" s="224"/>
      <c r="P696" s="224"/>
    </row>
    <row r="697" spans="1:16" ht="12.75" customHeight="1" x14ac:dyDescent="0.25">
      <c r="A697" s="353" t="s">
        <v>3246</v>
      </c>
      <c r="B697" s="16" t="s">
        <v>3246</v>
      </c>
      <c r="C697" s="233" t="s">
        <v>3247</v>
      </c>
      <c r="D697" s="249" t="s">
        <v>3248</v>
      </c>
      <c r="E697" s="2" t="s">
        <v>1028</v>
      </c>
      <c r="F697" s="299">
        <v>25</v>
      </c>
      <c r="G697" s="299">
        <v>0</v>
      </c>
      <c r="H697" s="295"/>
      <c r="K697" s="224"/>
      <c r="L697" s="224"/>
      <c r="M697" s="224"/>
      <c r="O697" s="224"/>
      <c r="P697" s="224"/>
    </row>
    <row r="698" spans="1:16" ht="12.75" customHeight="1" x14ac:dyDescent="0.25">
      <c r="A698" s="353" t="s">
        <v>3246</v>
      </c>
      <c r="B698" s="16" t="s">
        <v>3246</v>
      </c>
      <c r="C698" s="233" t="s">
        <v>3247</v>
      </c>
      <c r="D698" s="249" t="s">
        <v>3248</v>
      </c>
      <c r="E698" s="2" t="s">
        <v>1028</v>
      </c>
      <c r="F698" s="299">
        <v>3.09</v>
      </c>
      <c r="G698" s="299">
        <v>0</v>
      </c>
      <c r="H698" s="295"/>
      <c r="K698" s="224"/>
      <c r="L698" s="224"/>
      <c r="M698" s="224"/>
      <c r="O698" s="224"/>
      <c r="P698" s="224"/>
    </row>
    <row r="699" spans="1:16" ht="12.75" customHeight="1" x14ac:dyDescent="0.25">
      <c r="A699" s="353" t="s">
        <v>3258</v>
      </c>
      <c r="B699" s="16" t="s">
        <v>3258</v>
      </c>
      <c r="C699" s="233" t="s">
        <v>3260</v>
      </c>
      <c r="D699" s="249" t="s">
        <v>3261</v>
      </c>
      <c r="E699" s="2" t="s">
        <v>1028</v>
      </c>
      <c r="F699" s="299">
        <v>25</v>
      </c>
      <c r="G699" s="299">
        <v>0</v>
      </c>
      <c r="H699" s="295"/>
      <c r="K699" s="224"/>
      <c r="L699" s="224"/>
      <c r="M699" s="224"/>
      <c r="O699" s="224"/>
      <c r="P699" s="224"/>
    </row>
    <row r="700" spans="1:16" ht="12.75" customHeight="1" x14ac:dyDescent="0.25">
      <c r="A700" s="353" t="s">
        <v>3258</v>
      </c>
      <c r="B700" s="16" t="s">
        <v>3258</v>
      </c>
      <c r="C700" s="233" t="s">
        <v>3260</v>
      </c>
      <c r="D700" s="249" t="s">
        <v>3261</v>
      </c>
      <c r="E700" s="2" t="s">
        <v>1028</v>
      </c>
      <c r="F700" s="299">
        <v>3.09</v>
      </c>
      <c r="G700" s="299">
        <v>0</v>
      </c>
      <c r="H700" s="295"/>
      <c r="K700" s="224"/>
      <c r="L700" s="224"/>
      <c r="M700" s="224"/>
      <c r="O700" s="224"/>
      <c r="P700" s="224"/>
    </row>
    <row r="701" spans="1:16" ht="12.75" customHeight="1" x14ac:dyDescent="0.25">
      <c r="A701" s="353" t="s">
        <v>3264</v>
      </c>
      <c r="B701" s="16" t="s">
        <v>3264</v>
      </c>
      <c r="C701" s="233" t="s">
        <v>3269</v>
      </c>
      <c r="D701" s="249" t="s">
        <v>3270</v>
      </c>
      <c r="E701" s="2" t="s">
        <v>1028</v>
      </c>
      <c r="F701" s="299">
        <v>6.18</v>
      </c>
      <c r="G701" s="299">
        <v>0</v>
      </c>
      <c r="H701" s="295"/>
      <c r="K701" s="224"/>
      <c r="L701" s="224"/>
      <c r="M701" s="224"/>
      <c r="O701" s="224"/>
      <c r="P701" s="224"/>
    </row>
    <row r="702" spans="1:16" ht="12.75" customHeight="1" x14ac:dyDescent="0.25">
      <c r="A702" s="353" t="s">
        <v>3264</v>
      </c>
      <c r="B702" s="16" t="s">
        <v>3264</v>
      </c>
      <c r="C702" s="233" t="s">
        <v>3269</v>
      </c>
      <c r="D702" s="249" t="s">
        <v>3270</v>
      </c>
      <c r="E702" s="2" t="s">
        <v>1028</v>
      </c>
      <c r="F702" s="299">
        <v>50</v>
      </c>
      <c r="G702" s="299">
        <v>0</v>
      </c>
      <c r="H702" s="295"/>
      <c r="K702" s="224"/>
      <c r="L702" s="224"/>
      <c r="M702" s="224"/>
      <c r="O702" s="224"/>
      <c r="P702" s="224"/>
    </row>
    <row r="703" spans="1:16" ht="12.75" customHeight="1" x14ac:dyDescent="0.25">
      <c r="A703" s="353" t="s">
        <v>3273</v>
      </c>
      <c r="B703" s="16" t="s">
        <v>3273</v>
      </c>
      <c r="C703" s="233" t="s">
        <v>3271</v>
      </c>
      <c r="D703" s="249" t="s">
        <v>3272</v>
      </c>
      <c r="E703" s="2" t="s">
        <v>1028</v>
      </c>
      <c r="F703" s="299">
        <v>3.09</v>
      </c>
      <c r="G703" s="299">
        <v>0</v>
      </c>
      <c r="H703" s="295"/>
      <c r="K703" s="224"/>
      <c r="L703" s="224"/>
      <c r="M703" s="224"/>
      <c r="O703" s="224"/>
      <c r="P703" s="224"/>
    </row>
    <row r="704" spans="1:16" ht="12.75" customHeight="1" x14ac:dyDescent="0.25">
      <c r="A704" s="353" t="s">
        <v>3273</v>
      </c>
      <c r="B704" s="16" t="s">
        <v>3273</v>
      </c>
      <c r="C704" s="233" t="s">
        <v>3271</v>
      </c>
      <c r="D704" s="249" t="s">
        <v>3272</v>
      </c>
      <c r="E704" s="2" t="s">
        <v>1028</v>
      </c>
      <c r="F704" s="299">
        <v>25</v>
      </c>
      <c r="G704" s="299">
        <v>0</v>
      </c>
      <c r="H704" s="295"/>
      <c r="K704" s="224"/>
      <c r="L704" s="224"/>
      <c r="M704" s="224"/>
      <c r="O704" s="224"/>
      <c r="P704" s="224"/>
    </row>
    <row r="705" spans="1:16" ht="12.75" customHeight="1" x14ac:dyDescent="0.25">
      <c r="A705" s="353" t="s">
        <v>3285</v>
      </c>
      <c r="B705" s="16" t="s">
        <v>3285</v>
      </c>
      <c r="C705" s="233" t="s">
        <v>3286</v>
      </c>
      <c r="D705" s="249" t="s">
        <v>3287</v>
      </c>
      <c r="E705" s="2" t="s">
        <v>1028</v>
      </c>
      <c r="F705" s="299">
        <v>25</v>
      </c>
      <c r="G705" s="299">
        <v>0</v>
      </c>
    </row>
    <row r="706" spans="1:16" ht="12.75" customHeight="1" x14ac:dyDescent="0.25">
      <c r="A706" s="353" t="s">
        <v>3285</v>
      </c>
      <c r="B706" s="16" t="s">
        <v>3285</v>
      </c>
      <c r="C706" s="233" t="s">
        <v>3286</v>
      </c>
      <c r="D706" s="249" t="s">
        <v>3287</v>
      </c>
      <c r="E706" s="2" t="s">
        <v>1028</v>
      </c>
      <c r="F706" s="299">
        <v>3.09</v>
      </c>
      <c r="G706" s="299">
        <v>0</v>
      </c>
    </row>
    <row r="707" spans="1:16" ht="12.75" customHeight="1" x14ac:dyDescent="0.25">
      <c r="A707" s="353" t="s">
        <v>3294</v>
      </c>
      <c r="B707" s="16" t="s">
        <v>3294</v>
      </c>
      <c r="C707" s="233" t="s">
        <v>3295</v>
      </c>
      <c r="D707" s="249" t="s">
        <v>3296</v>
      </c>
      <c r="E707" s="2" t="s">
        <v>1028</v>
      </c>
      <c r="F707" s="299">
        <v>50</v>
      </c>
      <c r="G707" s="299">
        <v>0</v>
      </c>
    </row>
    <row r="708" spans="1:16" ht="12.75" customHeight="1" x14ac:dyDescent="0.25">
      <c r="A708" s="353" t="s">
        <v>3294</v>
      </c>
      <c r="B708" s="16" t="s">
        <v>3294</v>
      </c>
      <c r="C708" s="233" t="s">
        <v>3295</v>
      </c>
      <c r="D708" s="249" t="s">
        <v>3296</v>
      </c>
      <c r="E708" s="2" t="s">
        <v>1028</v>
      </c>
      <c r="F708" s="299">
        <v>6.18</v>
      </c>
      <c r="G708" s="299">
        <v>0</v>
      </c>
    </row>
    <row r="709" spans="1:16" ht="12.75" customHeight="1" x14ac:dyDescent="0.25">
      <c r="A709" s="353"/>
      <c r="B709" s="16"/>
      <c r="C709" s="233"/>
      <c r="D709" s="249"/>
      <c r="E709" s="2"/>
      <c r="F709" s="299"/>
      <c r="G709" s="299"/>
    </row>
    <row r="710" spans="1:16" ht="12.75" customHeight="1" x14ac:dyDescent="0.25">
      <c r="A710" s="353"/>
      <c r="B710" s="16"/>
      <c r="C710" s="233"/>
      <c r="D710" s="249"/>
      <c r="E710" s="2"/>
      <c r="F710" s="299"/>
      <c r="G710" s="299"/>
    </row>
    <row r="711" spans="1:16" ht="12.75" customHeight="1" x14ac:dyDescent="0.25">
      <c r="A711" s="353"/>
      <c r="B711" s="16"/>
      <c r="C711" s="233"/>
      <c r="D711" s="249"/>
      <c r="E711" s="2"/>
      <c r="F711" s="299"/>
      <c r="G711" s="299"/>
      <c r="H711" s="295"/>
      <c r="I711" s="224"/>
      <c r="J711" s="224"/>
      <c r="K711" s="224"/>
      <c r="L711" s="224"/>
      <c r="M711" s="224"/>
      <c r="O711" s="224"/>
      <c r="P711" s="224"/>
    </row>
    <row r="712" spans="1:16" ht="12.75" customHeight="1" x14ac:dyDescent="0.25">
      <c r="A712" s="353"/>
      <c r="B712" s="16"/>
      <c r="C712" s="233"/>
      <c r="D712" s="249"/>
      <c r="E712" s="2"/>
      <c r="F712" s="60"/>
      <c r="G712" s="299"/>
      <c r="H712" s="295"/>
      <c r="I712" s="224"/>
      <c r="J712" s="224"/>
      <c r="K712" s="224"/>
      <c r="L712" s="224"/>
      <c r="M712" s="224"/>
      <c r="O712" s="224"/>
      <c r="P712" s="224"/>
    </row>
    <row r="713" spans="1:16" ht="12.75" customHeight="1" x14ac:dyDescent="0.25">
      <c r="A713" s="353"/>
      <c r="B713" s="16"/>
      <c r="C713" s="233"/>
      <c r="D713" s="249"/>
      <c r="E713" s="2"/>
      <c r="F713" s="60"/>
      <c r="G713" s="224"/>
      <c r="I713" s="224"/>
      <c r="J713" s="224"/>
      <c r="K713" s="224"/>
      <c r="L713" s="224"/>
      <c r="M713" s="224"/>
      <c r="O713" s="224"/>
      <c r="P713" s="224"/>
    </row>
    <row r="714" spans="1:16" ht="12.75" customHeight="1" x14ac:dyDescent="0.25">
      <c r="A714" s="353"/>
      <c r="B714" s="16"/>
      <c r="C714" s="233"/>
      <c r="D714" s="249"/>
      <c r="E714" s="2"/>
      <c r="F714" s="60"/>
      <c r="G714" s="224"/>
      <c r="I714" s="224"/>
      <c r="J714" s="224"/>
      <c r="K714" s="224"/>
      <c r="L714" s="224"/>
      <c r="M714" s="224"/>
      <c r="O714" s="224"/>
      <c r="P714" s="224"/>
    </row>
    <row r="715" spans="1:16" ht="12.75" customHeight="1" thickBot="1" x14ac:dyDescent="0.3">
      <c r="B715" s="16"/>
      <c r="C715" s="233"/>
      <c r="D715" s="249"/>
      <c r="E715" s="2"/>
      <c r="F715" s="60"/>
      <c r="G715" s="224"/>
      <c r="I715" s="224"/>
      <c r="J715" s="224"/>
      <c r="K715" s="224"/>
      <c r="L715" s="224"/>
      <c r="M715" s="224"/>
      <c r="O715" s="224"/>
      <c r="P715" s="224"/>
    </row>
    <row r="716" spans="1:16" ht="12.75" customHeight="1" thickBot="1" x14ac:dyDescent="0.3">
      <c r="E716" s="2" t="s">
        <v>946</v>
      </c>
      <c r="F716" s="423">
        <f>SUM(F667:F715)</f>
        <v>926.97</v>
      </c>
      <c r="I716" s="224"/>
      <c r="J716" s="224"/>
      <c r="K716" s="224"/>
      <c r="L716" s="224"/>
      <c r="M716" s="224"/>
      <c r="O716" s="224"/>
      <c r="P716" s="224"/>
    </row>
    <row r="717" spans="1:16" ht="12.75" customHeight="1" x14ac:dyDescent="0.25">
      <c r="E717" s="2"/>
    </row>
    <row r="718" spans="1:16" ht="12.75" customHeight="1" x14ac:dyDescent="0.25">
      <c r="B718" s="353"/>
      <c r="C718" s="224"/>
      <c r="D718" s="224"/>
      <c r="E718" s="224"/>
      <c r="F718" s="224"/>
      <c r="G718" s="224"/>
      <c r="H718" s="224"/>
      <c r="I718" s="224"/>
      <c r="J718" s="224"/>
      <c r="K718" s="224"/>
      <c r="L718" s="224"/>
      <c r="M718" s="224"/>
      <c r="O718" s="224"/>
      <c r="P718" s="224"/>
    </row>
    <row r="719" spans="1:16" ht="12.75" customHeight="1" x14ac:dyDescent="0.25">
      <c r="B719" s="353"/>
      <c r="C719" s="224"/>
      <c r="D719" s="224"/>
      <c r="E719" s="224"/>
      <c r="F719" s="224"/>
      <c r="G719" s="224"/>
      <c r="H719" s="224"/>
      <c r="I719" s="224"/>
      <c r="J719" s="224"/>
      <c r="K719" s="224"/>
      <c r="L719" s="224"/>
      <c r="M719" s="224"/>
      <c r="O719" s="224"/>
      <c r="P719" s="224"/>
    </row>
    <row r="720" spans="1:16" ht="12.75" customHeight="1" thickBot="1" x14ac:dyDescent="0.3">
      <c r="B720" s="353"/>
      <c r="C720" s="224"/>
      <c r="D720" s="224"/>
      <c r="E720" s="224"/>
      <c r="F720" s="224"/>
      <c r="G720" s="224"/>
      <c r="H720" s="224"/>
      <c r="I720" s="224"/>
      <c r="J720" s="224"/>
      <c r="K720" s="224"/>
      <c r="L720" s="224"/>
      <c r="M720" s="224"/>
      <c r="O720" s="224"/>
      <c r="P720" s="224"/>
    </row>
    <row r="721" spans="1:16" ht="12.75" customHeight="1" thickBot="1" x14ac:dyDescent="0.3">
      <c r="A721" s="420" t="s">
        <v>895</v>
      </c>
      <c r="B721" s="413"/>
      <c r="C721" s="273"/>
      <c r="D721" s="274"/>
      <c r="E721" s="274"/>
      <c r="F721" s="415"/>
      <c r="G721" s="419"/>
      <c r="H721" s="224"/>
      <c r="I721" s="224"/>
      <c r="J721" s="224"/>
      <c r="K721" s="224"/>
      <c r="L721" s="224"/>
      <c r="M721" s="224"/>
      <c r="O721" s="224"/>
      <c r="P721" s="224"/>
    </row>
    <row r="722" spans="1:16" ht="12.75" customHeight="1" x14ac:dyDescent="0.25">
      <c r="A722" s="358" t="s">
        <v>184</v>
      </c>
      <c r="B722" s="409" t="s">
        <v>999</v>
      </c>
      <c r="C722" s="409" t="s">
        <v>2082</v>
      </c>
      <c r="D722" s="409" t="s">
        <v>2084</v>
      </c>
      <c r="E722" s="409" t="s">
        <v>940</v>
      </c>
      <c r="F722" s="409" t="s">
        <v>668</v>
      </c>
      <c r="G722" s="409" t="s">
        <v>667</v>
      </c>
      <c r="H722" s="224"/>
      <c r="I722" s="224"/>
      <c r="J722" s="224"/>
      <c r="K722" s="224"/>
      <c r="L722" s="224"/>
      <c r="M722" s="224"/>
      <c r="O722" s="224"/>
      <c r="P722" s="224"/>
    </row>
    <row r="723" spans="1:16" ht="12.75" customHeight="1" x14ac:dyDescent="0.25">
      <c r="A723" s="295" t="s">
        <v>2923</v>
      </c>
      <c r="B723" s="295" t="s">
        <v>2923</v>
      </c>
      <c r="C723" s="291" t="s">
        <v>938</v>
      </c>
      <c r="D723" s="417">
        <v>1370248</v>
      </c>
      <c r="E723" s="267" t="s">
        <v>932</v>
      </c>
      <c r="F723" s="255">
        <v>6.74</v>
      </c>
      <c r="G723" s="255">
        <v>0</v>
      </c>
      <c r="H723" s="260"/>
      <c r="O723" s="309"/>
    </row>
    <row r="724" spans="1:16" ht="12.75" customHeight="1" x14ac:dyDescent="0.25">
      <c r="A724" s="295" t="s">
        <v>2935</v>
      </c>
      <c r="B724" s="295" t="s">
        <v>2935</v>
      </c>
      <c r="C724" s="416" t="s">
        <v>938</v>
      </c>
      <c r="D724" s="417">
        <v>1395703</v>
      </c>
      <c r="E724" s="418" t="s">
        <v>932</v>
      </c>
      <c r="F724" s="299">
        <v>6.74</v>
      </c>
      <c r="G724" s="299">
        <v>0</v>
      </c>
      <c r="J724" s="224"/>
      <c r="K724" s="224"/>
      <c r="L724" s="224"/>
      <c r="M724" s="224"/>
      <c r="O724" s="224"/>
      <c r="P724" s="224"/>
    </row>
    <row r="725" spans="1:16" ht="12.75" customHeight="1" x14ac:dyDescent="0.25">
      <c r="A725" s="295" t="s">
        <v>2943</v>
      </c>
      <c r="B725" s="295" t="s">
        <v>2943</v>
      </c>
      <c r="C725" s="416" t="s">
        <v>938</v>
      </c>
      <c r="D725" s="417">
        <v>1406857</v>
      </c>
      <c r="E725" s="418" t="s">
        <v>932</v>
      </c>
      <c r="F725" s="299">
        <v>6.74</v>
      </c>
      <c r="G725" s="299">
        <v>0</v>
      </c>
      <c r="H725" s="295"/>
      <c r="I725" s="295"/>
      <c r="J725" s="224"/>
      <c r="K725" s="224"/>
      <c r="L725" s="224"/>
      <c r="M725" s="224"/>
      <c r="O725" s="224"/>
      <c r="P725" s="224"/>
    </row>
    <row r="726" spans="1:16" ht="12.75" customHeight="1" x14ac:dyDescent="0.25">
      <c r="A726" s="295" t="s">
        <v>2950</v>
      </c>
      <c r="B726" s="295" t="s">
        <v>2950</v>
      </c>
      <c r="C726" s="416" t="s">
        <v>938</v>
      </c>
      <c r="D726" s="417">
        <v>1411371</v>
      </c>
      <c r="E726" s="418" t="s">
        <v>932</v>
      </c>
      <c r="F726" s="299">
        <v>6.74</v>
      </c>
      <c r="G726" s="299">
        <v>0</v>
      </c>
      <c r="J726" s="224"/>
      <c r="K726" s="224"/>
      <c r="L726" s="224"/>
      <c r="M726" s="224"/>
      <c r="O726" s="224"/>
      <c r="P726" s="224"/>
    </row>
    <row r="727" spans="1:16" ht="12.75" customHeight="1" x14ac:dyDescent="0.25">
      <c r="A727" s="295" t="s">
        <v>2951</v>
      </c>
      <c r="B727" s="295" t="s">
        <v>2951</v>
      </c>
      <c r="C727" s="416" t="s">
        <v>938</v>
      </c>
      <c r="D727" s="417">
        <v>1424732</v>
      </c>
      <c r="E727" s="418" t="s">
        <v>932</v>
      </c>
      <c r="F727" s="299">
        <v>6.74</v>
      </c>
      <c r="G727" s="299">
        <v>0</v>
      </c>
      <c r="J727" s="224"/>
      <c r="K727" s="224"/>
      <c r="L727" s="224"/>
      <c r="M727" s="224"/>
      <c r="O727" s="224"/>
      <c r="P727" s="224"/>
    </row>
    <row r="728" spans="1:16" ht="12.75" customHeight="1" x14ac:dyDescent="0.25">
      <c r="A728" s="295" t="s">
        <v>2955</v>
      </c>
      <c r="B728" s="295" t="s">
        <v>2955</v>
      </c>
      <c r="C728" s="416" t="s">
        <v>938</v>
      </c>
      <c r="D728" s="417">
        <v>1447329</v>
      </c>
      <c r="E728" s="418" t="s">
        <v>932</v>
      </c>
      <c r="F728" s="299">
        <v>6.74</v>
      </c>
      <c r="G728" s="299">
        <v>0</v>
      </c>
      <c r="I728" s="224"/>
      <c r="J728" s="224"/>
      <c r="K728" s="224"/>
      <c r="L728" s="224"/>
      <c r="M728" s="224"/>
      <c r="O728" s="224"/>
      <c r="P728" s="224"/>
    </row>
    <row r="729" spans="1:16" ht="12.75" customHeight="1" x14ac:dyDescent="0.25">
      <c r="A729" s="295" t="s">
        <v>3007</v>
      </c>
      <c r="B729" s="295" t="s">
        <v>3007</v>
      </c>
      <c r="C729" s="416" t="s">
        <v>938</v>
      </c>
      <c r="D729" s="417">
        <v>1601479</v>
      </c>
      <c r="E729" s="418" t="s">
        <v>932</v>
      </c>
      <c r="F729" s="299">
        <v>6.74</v>
      </c>
      <c r="G729" s="299">
        <v>0</v>
      </c>
      <c r="I729" s="224"/>
      <c r="J729" s="224"/>
      <c r="K729" s="224"/>
      <c r="L729" s="224"/>
      <c r="M729" s="224"/>
      <c r="O729" s="224"/>
      <c r="P729" s="224"/>
    </row>
    <row r="730" spans="1:16" ht="12.75" customHeight="1" x14ac:dyDescent="0.25">
      <c r="A730" s="295" t="s">
        <v>3013</v>
      </c>
      <c r="B730" s="295" t="s">
        <v>3013</v>
      </c>
      <c r="C730" s="416" t="s">
        <v>938</v>
      </c>
      <c r="D730" s="417">
        <v>1679488</v>
      </c>
      <c r="E730" s="418" t="s">
        <v>932</v>
      </c>
      <c r="F730" s="299">
        <v>6.74</v>
      </c>
      <c r="G730" s="299">
        <v>0</v>
      </c>
      <c r="I730" s="224"/>
      <c r="J730" s="224"/>
      <c r="K730" s="224"/>
      <c r="L730" s="224"/>
      <c r="M730" s="224"/>
      <c r="O730" s="224"/>
      <c r="P730" s="224"/>
    </row>
    <row r="731" spans="1:16" ht="12.75" customHeight="1" x14ac:dyDescent="0.25">
      <c r="A731" s="295" t="s">
        <v>3021</v>
      </c>
      <c r="B731" s="295" t="s">
        <v>3021</v>
      </c>
      <c r="C731" s="416" t="s">
        <v>938</v>
      </c>
      <c r="D731" s="417">
        <v>1724733</v>
      </c>
      <c r="E731" s="418" t="s">
        <v>932</v>
      </c>
      <c r="F731" s="299">
        <v>6.74</v>
      </c>
      <c r="G731" s="299">
        <v>0</v>
      </c>
      <c r="I731" s="224"/>
      <c r="J731" s="224"/>
      <c r="K731" s="224"/>
      <c r="L731" s="224"/>
      <c r="M731" s="224"/>
      <c r="O731" s="224"/>
      <c r="P731" s="224"/>
    </row>
    <row r="732" spans="1:16" ht="12.75" customHeight="1" x14ac:dyDescent="0.25">
      <c r="A732" s="295" t="s">
        <v>3034</v>
      </c>
      <c r="B732" s="295" t="s">
        <v>3034</v>
      </c>
      <c r="C732" s="416" t="s">
        <v>938</v>
      </c>
      <c r="D732" s="417">
        <v>2007528</v>
      </c>
      <c r="E732" s="418" t="s">
        <v>932</v>
      </c>
      <c r="F732" s="299">
        <v>6.74</v>
      </c>
      <c r="G732" s="299">
        <v>0</v>
      </c>
      <c r="I732" s="224"/>
      <c r="J732" s="224"/>
      <c r="K732" s="224"/>
      <c r="L732" s="224"/>
      <c r="M732" s="224"/>
      <c r="O732" s="224"/>
      <c r="P732" s="224"/>
    </row>
    <row r="733" spans="1:16" ht="12.75" customHeight="1" x14ac:dyDescent="0.25">
      <c r="A733" s="295" t="s">
        <v>3039</v>
      </c>
      <c r="B733" s="295" t="s">
        <v>3039</v>
      </c>
      <c r="C733" s="416" t="s">
        <v>938</v>
      </c>
      <c r="D733" s="446">
        <v>2035148</v>
      </c>
      <c r="E733" s="418" t="s">
        <v>932</v>
      </c>
      <c r="F733" s="326">
        <v>6.74</v>
      </c>
      <c r="G733" s="299">
        <v>0</v>
      </c>
      <c r="L733" s="224"/>
      <c r="M733" s="224"/>
      <c r="O733" s="224"/>
      <c r="P733" s="224"/>
    </row>
    <row r="734" spans="1:16" ht="12.75" customHeight="1" x14ac:dyDescent="0.25">
      <c r="A734" s="295" t="s">
        <v>3044</v>
      </c>
      <c r="B734" s="295" t="s">
        <v>3044</v>
      </c>
      <c r="C734" s="416" t="s">
        <v>938</v>
      </c>
      <c r="D734" s="417">
        <v>2096001</v>
      </c>
      <c r="E734" s="418" t="s">
        <v>932</v>
      </c>
      <c r="F734" s="299">
        <v>6.74</v>
      </c>
      <c r="G734" s="299">
        <v>0</v>
      </c>
      <c r="I734" s="224"/>
      <c r="J734" s="224"/>
      <c r="K734" s="224"/>
      <c r="L734" s="224"/>
      <c r="M734" s="224"/>
      <c r="O734" s="224"/>
      <c r="P734" s="224"/>
    </row>
    <row r="735" spans="1:16" ht="12.75" customHeight="1" x14ac:dyDescent="0.25">
      <c r="A735" s="295" t="s">
        <v>3049</v>
      </c>
      <c r="B735" s="295" t="s">
        <v>3049</v>
      </c>
      <c r="C735" s="416" t="s">
        <v>938</v>
      </c>
      <c r="D735" s="417">
        <v>2127749</v>
      </c>
      <c r="E735" s="418" t="s">
        <v>932</v>
      </c>
      <c r="F735" s="299">
        <v>6.74</v>
      </c>
      <c r="G735" s="299">
        <v>0</v>
      </c>
      <c r="I735" s="224"/>
      <c r="J735" s="224"/>
      <c r="K735" s="224"/>
      <c r="L735" s="224"/>
      <c r="M735" s="224"/>
      <c r="O735" s="224"/>
      <c r="P735" s="224"/>
    </row>
    <row r="736" spans="1:16" ht="12.75" customHeight="1" x14ac:dyDescent="0.25">
      <c r="A736" s="295" t="s">
        <v>3057</v>
      </c>
      <c r="B736" s="295" t="s">
        <v>3057</v>
      </c>
      <c r="C736" s="416" t="s">
        <v>938</v>
      </c>
      <c r="D736" s="417">
        <v>2212445</v>
      </c>
      <c r="E736" s="418" t="s">
        <v>932</v>
      </c>
      <c r="F736" s="299">
        <v>6.74</v>
      </c>
      <c r="G736" s="299">
        <v>0</v>
      </c>
      <c r="H736" s="295"/>
      <c r="I736" s="224"/>
      <c r="J736" s="224"/>
      <c r="K736" s="224"/>
      <c r="L736" s="224"/>
      <c r="M736" s="224"/>
      <c r="O736" s="224"/>
      <c r="P736" s="224"/>
    </row>
    <row r="737" spans="1:16" ht="12.75" customHeight="1" x14ac:dyDescent="0.25">
      <c r="A737" s="295" t="s">
        <v>3054</v>
      </c>
      <c r="B737" s="295" t="s">
        <v>3054</v>
      </c>
      <c r="C737" s="416" t="s">
        <v>938</v>
      </c>
      <c r="D737" s="417">
        <v>2253805</v>
      </c>
      <c r="E737" s="418" t="s">
        <v>932</v>
      </c>
      <c r="F737" s="299">
        <v>6.74</v>
      </c>
      <c r="G737" s="299">
        <v>0</v>
      </c>
      <c r="H737" s="295"/>
      <c r="I737" s="224"/>
      <c r="J737" s="224"/>
      <c r="K737" s="224"/>
      <c r="L737" s="224"/>
      <c r="M737" s="224"/>
      <c r="O737" s="224"/>
      <c r="P737" s="224"/>
    </row>
    <row r="738" spans="1:16" ht="12.75" customHeight="1" x14ac:dyDescent="0.25">
      <c r="A738" s="295" t="s">
        <v>3054</v>
      </c>
      <c r="B738" s="295" t="s">
        <v>3054</v>
      </c>
      <c r="C738" s="416" t="s">
        <v>938</v>
      </c>
      <c r="D738" s="417">
        <v>2250441</v>
      </c>
      <c r="E738" s="418" t="s">
        <v>932</v>
      </c>
      <c r="F738" s="299">
        <v>6.74</v>
      </c>
      <c r="G738" s="299">
        <v>0</v>
      </c>
      <c r="H738" s="295"/>
      <c r="I738" s="224"/>
      <c r="J738" s="224"/>
      <c r="K738" s="224"/>
      <c r="L738" s="224"/>
      <c r="M738" s="224"/>
      <c r="O738" s="224"/>
      <c r="P738" s="224"/>
    </row>
    <row r="739" spans="1:16" ht="12.75" customHeight="1" x14ac:dyDescent="0.25">
      <c r="A739" s="295" t="s">
        <v>3068</v>
      </c>
      <c r="B739" s="295" t="s">
        <v>3068</v>
      </c>
      <c r="C739" s="416" t="s">
        <v>938</v>
      </c>
      <c r="D739" s="417">
        <v>2291700</v>
      </c>
      <c r="E739" s="418" t="s">
        <v>932</v>
      </c>
      <c r="F739" s="299">
        <v>6.74</v>
      </c>
      <c r="G739" s="299">
        <v>0</v>
      </c>
      <c r="H739" s="295"/>
      <c r="I739" s="224"/>
      <c r="K739" s="224"/>
      <c r="L739" s="224"/>
      <c r="M739" s="224"/>
      <c r="O739" s="224"/>
      <c r="P739" s="224"/>
    </row>
    <row r="740" spans="1:16" ht="12.75" customHeight="1" x14ac:dyDescent="0.25">
      <c r="A740" s="295" t="s">
        <v>3078</v>
      </c>
      <c r="B740" s="295" t="s">
        <v>3078</v>
      </c>
      <c r="C740" s="416" t="s">
        <v>938</v>
      </c>
      <c r="D740" s="417">
        <v>2355500</v>
      </c>
      <c r="E740" s="418" t="s">
        <v>932</v>
      </c>
      <c r="F740" s="299">
        <v>6.74</v>
      </c>
      <c r="G740" s="299">
        <v>0</v>
      </c>
      <c r="H740" s="295"/>
      <c r="K740" s="224"/>
      <c r="L740" s="224"/>
      <c r="M740" s="224"/>
      <c r="O740" s="224"/>
      <c r="P740" s="224"/>
    </row>
    <row r="741" spans="1:16" ht="12.75" customHeight="1" x14ac:dyDescent="0.25">
      <c r="A741" s="295" t="s">
        <v>3087</v>
      </c>
      <c r="B741" s="295" t="s">
        <v>3087</v>
      </c>
      <c r="C741" s="416" t="s">
        <v>938</v>
      </c>
      <c r="D741" s="417">
        <v>2450049</v>
      </c>
      <c r="E741" s="418" t="s">
        <v>932</v>
      </c>
      <c r="F741" s="299">
        <v>6.74</v>
      </c>
      <c r="G741" s="299">
        <v>0</v>
      </c>
      <c r="H741" s="295"/>
      <c r="K741" s="224"/>
      <c r="L741" s="224"/>
      <c r="M741" s="224"/>
      <c r="O741" s="224"/>
      <c r="P741" s="224"/>
    </row>
    <row r="742" spans="1:16" ht="12.75" customHeight="1" x14ac:dyDescent="0.25">
      <c r="A742" s="295" t="s">
        <v>3087</v>
      </c>
      <c r="B742" s="295" t="s">
        <v>3087</v>
      </c>
      <c r="C742" s="416" t="s">
        <v>938</v>
      </c>
      <c r="D742" s="417">
        <v>2447217</v>
      </c>
      <c r="E742" s="418" t="s">
        <v>932</v>
      </c>
      <c r="F742" s="299">
        <v>6.74</v>
      </c>
      <c r="G742" s="299">
        <v>0</v>
      </c>
      <c r="H742" s="295"/>
      <c r="K742" s="224"/>
      <c r="L742" s="224"/>
      <c r="M742" s="224"/>
      <c r="O742" s="224"/>
      <c r="P742" s="224"/>
    </row>
    <row r="743" spans="1:16" ht="12.75" customHeight="1" x14ac:dyDescent="0.25">
      <c r="A743" s="295" t="s">
        <v>3100</v>
      </c>
      <c r="B743" s="295" t="s">
        <v>3100</v>
      </c>
      <c r="C743" s="416" t="s">
        <v>938</v>
      </c>
      <c r="D743" s="417">
        <v>2523343</v>
      </c>
      <c r="E743" s="418" t="s">
        <v>932</v>
      </c>
      <c r="F743" s="299">
        <v>6.74</v>
      </c>
      <c r="G743" s="299">
        <v>0</v>
      </c>
      <c r="H743" s="295"/>
      <c r="K743" s="224"/>
      <c r="L743" s="224"/>
      <c r="M743" s="224"/>
      <c r="O743" s="224"/>
      <c r="P743" s="224"/>
    </row>
    <row r="744" spans="1:16" ht="12.75" customHeight="1" x14ac:dyDescent="0.25">
      <c r="A744" s="295" t="s">
        <v>3105</v>
      </c>
      <c r="B744" s="295" t="s">
        <v>3105</v>
      </c>
      <c r="C744" s="416" t="s">
        <v>938</v>
      </c>
      <c r="D744" s="417">
        <v>2545497</v>
      </c>
      <c r="E744" s="418" t="s">
        <v>932</v>
      </c>
      <c r="F744" s="299">
        <v>6.74</v>
      </c>
      <c r="G744" s="299">
        <v>0</v>
      </c>
      <c r="H744" s="295"/>
      <c r="K744" s="224"/>
      <c r="L744" s="224"/>
      <c r="M744" s="224"/>
      <c r="O744" s="224"/>
      <c r="P744" s="224"/>
    </row>
    <row r="745" spans="1:16" ht="12.75" customHeight="1" x14ac:dyDescent="0.25">
      <c r="A745" s="295" t="s">
        <v>3117</v>
      </c>
      <c r="B745" s="295" t="s">
        <v>3117</v>
      </c>
      <c r="C745" s="416" t="s">
        <v>938</v>
      </c>
      <c r="D745" s="417">
        <v>2586344</v>
      </c>
      <c r="E745" s="418" t="s">
        <v>932</v>
      </c>
      <c r="F745" s="299">
        <v>6.74</v>
      </c>
      <c r="G745" s="299">
        <v>0</v>
      </c>
      <c r="H745" s="295"/>
      <c r="K745" s="224"/>
      <c r="L745" s="224"/>
      <c r="M745" s="224"/>
      <c r="O745" s="224"/>
      <c r="P745" s="224"/>
    </row>
    <row r="746" spans="1:16" ht="12.75" customHeight="1" x14ac:dyDescent="0.25">
      <c r="A746" s="295" t="s">
        <v>3120</v>
      </c>
      <c r="B746" s="295" t="s">
        <v>3120</v>
      </c>
      <c r="C746" s="416" t="s">
        <v>938</v>
      </c>
      <c r="D746" s="446">
        <v>2598767</v>
      </c>
      <c r="E746" s="418" t="s">
        <v>932</v>
      </c>
      <c r="F746" s="60">
        <v>6.74</v>
      </c>
      <c r="G746" s="299">
        <v>0</v>
      </c>
      <c r="H746" s="260"/>
      <c r="I746" s="260"/>
      <c r="L746" s="224"/>
      <c r="M746" s="224"/>
      <c r="O746" s="224"/>
      <c r="P746" s="224"/>
    </row>
    <row r="747" spans="1:16" ht="12.75" customHeight="1" x14ac:dyDescent="0.25">
      <c r="A747" s="295" t="s">
        <v>3120</v>
      </c>
      <c r="B747" s="295" t="s">
        <v>3120</v>
      </c>
      <c r="C747" s="416" t="s">
        <v>938</v>
      </c>
      <c r="D747" s="446">
        <v>2602391</v>
      </c>
      <c r="E747" s="418" t="s">
        <v>932</v>
      </c>
      <c r="F747" s="299">
        <v>6.74</v>
      </c>
      <c r="G747" s="299">
        <v>0</v>
      </c>
      <c r="H747" s="295"/>
      <c r="I747" s="295"/>
      <c r="L747" s="224"/>
      <c r="M747" s="224"/>
      <c r="O747" s="224"/>
      <c r="P747" s="224"/>
    </row>
    <row r="748" spans="1:16" ht="12.75" customHeight="1" x14ac:dyDescent="0.25">
      <c r="A748" s="295" t="s">
        <v>3121</v>
      </c>
      <c r="B748" s="295" t="s">
        <v>3121</v>
      </c>
      <c r="C748" s="416" t="s">
        <v>938</v>
      </c>
      <c r="D748" s="446">
        <v>2609329</v>
      </c>
      <c r="E748" s="418" t="s">
        <v>932</v>
      </c>
      <c r="F748" s="299">
        <v>6.74</v>
      </c>
      <c r="G748" s="326">
        <v>0</v>
      </c>
      <c r="J748" s="224"/>
      <c r="K748" s="224"/>
      <c r="L748" s="224"/>
      <c r="M748" s="224"/>
      <c r="O748" s="224"/>
      <c r="P748" s="224"/>
    </row>
    <row r="749" spans="1:16" ht="12.75" customHeight="1" x14ac:dyDescent="0.25">
      <c r="A749" s="295" t="s">
        <v>3126</v>
      </c>
      <c r="B749" s="295" t="s">
        <v>3126</v>
      </c>
      <c r="C749" s="416" t="s">
        <v>938</v>
      </c>
      <c r="D749" s="446">
        <v>2625236</v>
      </c>
      <c r="E749" s="418" t="s">
        <v>932</v>
      </c>
      <c r="F749" s="299">
        <v>6.74</v>
      </c>
      <c r="G749" s="326">
        <v>0</v>
      </c>
      <c r="I749" s="224"/>
      <c r="J749" s="224"/>
      <c r="K749" s="224"/>
      <c r="L749" s="224"/>
      <c r="M749" s="224"/>
      <c r="O749" s="224"/>
      <c r="P749" s="224"/>
    </row>
    <row r="750" spans="1:16" ht="12.75" customHeight="1" x14ac:dyDescent="0.25">
      <c r="A750" s="295" t="s">
        <v>3126</v>
      </c>
      <c r="B750" s="295" t="s">
        <v>3126</v>
      </c>
      <c r="C750" s="416" t="s">
        <v>938</v>
      </c>
      <c r="D750" s="446">
        <v>2623794</v>
      </c>
      <c r="E750" s="418" t="s">
        <v>932</v>
      </c>
      <c r="F750" s="299">
        <v>6.74</v>
      </c>
      <c r="G750" s="326">
        <v>0</v>
      </c>
      <c r="H750" s="295"/>
      <c r="J750" s="224"/>
      <c r="K750" s="224"/>
      <c r="L750" s="224"/>
      <c r="M750" s="224"/>
      <c r="O750" s="224"/>
      <c r="P750" s="224"/>
    </row>
    <row r="751" spans="1:16" ht="12.75" customHeight="1" x14ac:dyDescent="0.25">
      <c r="A751" s="295" t="s">
        <v>3126</v>
      </c>
      <c r="B751" s="295" t="s">
        <v>3126</v>
      </c>
      <c r="C751" s="416" t="s">
        <v>938</v>
      </c>
      <c r="D751" s="446">
        <v>2623302</v>
      </c>
      <c r="E751" s="418" t="s">
        <v>932</v>
      </c>
      <c r="F751" s="299">
        <v>6.74</v>
      </c>
      <c r="G751" s="326">
        <v>0</v>
      </c>
      <c r="I751" s="299"/>
      <c r="J751" s="224"/>
      <c r="K751" s="224"/>
      <c r="L751" s="224"/>
      <c r="M751" s="224"/>
      <c r="O751" s="224"/>
      <c r="P751" s="224"/>
    </row>
    <row r="752" spans="1:16" ht="12.75" customHeight="1" x14ac:dyDescent="0.25">
      <c r="A752" s="295" t="s">
        <v>3132</v>
      </c>
      <c r="B752" s="295" t="s">
        <v>3132</v>
      </c>
      <c r="C752" s="416" t="s">
        <v>938</v>
      </c>
      <c r="D752" s="446">
        <v>2639935</v>
      </c>
      <c r="E752" s="418" t="s">
        <v>932</v>
      </c>
      <c r="F752" s="299">
        <v>6.74</v>
      </c>
      <c r="G752" s="299">
        <v>0</v>
      </c>
      <c r="H752" s="295"/>
      <c r="K752" s="224"/>
      <c r="L752" s="224"/>
      <c r="M752" s="224"/>
      <c r="O752" s="224"/>
      <c r="P752" s="224"/>
    </row>
    <row r="753" spans="1:16" ht="12.75" customHeight="1" x14ac:dyDescent="0.25">
      <c r="A753" s="295" t="s">
        <v>3144</v>
      </c>
      <c r="B753" s="295" t="s">
        <v>3144</v>
      </c>
      <c r="C753" s="416" t="s">
        <v>938</v>
      </c>
      <c r="D753" s="417">
        <v>2691961</v>
      </c>
      <c r="E753" s="418" t="s">
        <v>932</v>
      </c>
      <c r="F753" s="299">
        <v>6.74</v>
      </c>
      <c r="G753" s="299">
        <v>0</v>
      </c>
      <c r="H753" s="295"/>
      <c r="K753" s="224"/>
      <c r="L753" s="224"/>
      <c r="M753" s="224"/>
      <c r="O753" s="224"/>
      <c r="P753" s="224"/>
    </row>
    <row r="754" spans="1:16" ht="12.75" customHeight="1" x14ac:dyDescent="0.25">
      <c r="A754" s="295" t="s">
        <v>3144</v>
      </c>
      <c r="B754" s="295" t="s">
        <v>3144</v>
      </c>
      <c r="C754" s="416" t="s">
        <v>938</v>
      </c>
      <c r="D754" s="417">
        <v>2691488</v>
      </c>
      <c r="E754" s="418" t="s">
        <v>932</v>
      </c>
      <c r="F754" s="299">
        <v>6.74</v>
      </c>
      <c r="G754" s="299">
        <v>0</v>
      </c>
      <c r="H754" s="295"/>
      <c r="K754" s="224"/>
      <c r="L754" s="224"/>
      <c r="M754" s="224"/>
      <c r="O754" s="224"/>
      <c r="P754" s="224"/>
    </row>
    <row r="755" spans="1:16" ht="12.75" customHeight="1" x14ac:dyDescent="0.25">
      <c r="A755" s="295" t="s">
        <v>3150</v>
      </c>
      <c r="B755" s="295" t="s">
        <v>3150</v>
      </c>
      <c r="C755" s="416" t="s">
        <v>938</v>
      </c>
      <c r="D755" s="446">
        <v>2720142</v>
      </c>
      <c r="E755" s="418" t="s">
        <v>932</v>
      </c>
      <c r="F755" s="299">
        <v>6.74</v>
      </c>
      <c r="G755" s="299">
        <v>0</v>
      </c>
      <c r="I755" s="224"/>
      <c r="J755" s="224"/>
      <c r="K755" s="224"/>
      <c r="L755" s="224"/>
      <c r="M755" s="224"/>
      <c r="O755" s="224"/>
      <c r="P755" s="224"/>
    </row>
    <row r="756" spans="1:16" ht="12.75" customHeight="1" x14ac:dyDescent="0.25">
      <c r="A756" s="295" t="s">
        <v>3158</v>
      </c>
      <c r="B756" s="295" t="s">
        <v>3158</v>
      </c>
      <c r="C756" s="416" t="s">
        <v>938</v>
      </c>
      <c r="D756" s="417">
        <v>2756998</v>
      </c>
      <c r="E756" s="418" t="s">
        <v>932</v>
      </c>
      <c r="F756" s="299">
        <v>6.74</v>
      </c>
      <c r="G756" s="299">
        <v>0</v>
      </c>
      <c r="H756" s="295"/>
      <c r="I756" s="224"/>
      <c r="J756" s="224"/>
      <c r="K756" s="224"/>
      <c r="L756" s="224"/>
      <c r="M756" s="224"/>
      <c r="O756" s="224"/>
      <c r="P756" s="224"/>
    </row>
    <row r="757" spans="1:16" ht="12.75" customHeight="1" x14ac:dyDescent="0.25">
      <c r="A757" s="295" t="s">
        <v>3160</v>
      </c>
      <c r="B757" s="295" t="s">
        <v>3160</v>
      </c>
      <c r="C757" s="416" t="s">
        <v>938</v>
      </c>
      <c r="D757" s="417">
        <v>2787823</v>
      </c>
      <c r="E757" s="418" t="s">
        <v>932</v>
      </c>
      <c r="F757" s="299">
        <v>6.74</v>
      </c>
      <c r="G757" s="299">
        <v>0</v>
      </c>
      <c r="H757" s="295"/>
      <c r="I757" s="224"/>
      <c r="J757" s="224"/>
      <c r="K757" s="224"/>
      <c r="L757" s="224"/>
      <c r="M757" s="224"/>
      <c r="O757" s="224"/>
      <c r="P757" s="224"/>
    </row>
    <row r="758" spans="1:16" ht="12.75" customHeight="1" x14ac:dyDescent="0.25">
      <c r="A758" s="295" t="s">
        <v>3177</v>
      </c>
      <c r="B758" s="295" t="s">
        <v>3177</v>
      </c>
      <c r="C758" s="416" t="s">
        <v>938</v>
      </c>
      <c r="D758" s="417">
        <v>2967094</v>
      </c>
      <c r="E758" s="418" t="s">
        <v>932</v>
      </c>
      <c r="F758" s="299">
        <v>6.74</v>
      </c>
      <c r="G758" s="299">
        <v>0</v>
      </c>
      <c r="H758" s="295"/>
      <c r="K758" s="224"/>
      <c r="L758" s="224"/>
      <c r="M758" s="224"/>
      <c r="O758" s="224"/>
      <c r="P758" s="224"/>
    </row>
    <row r="759" spans="1:16" ht="12.75" customHeight="1" x14ac:dyDescent="0.25">
      <c r="A759" s="295" t="s">
        <v>3183</v>
      </c>
      <c r="B759" s="295" t="s">
        <v>3183</v>
      </c>
      <c r="C759" s="416" t="s">
        <v>938</v>
      </c>
      <c r="D759" s="417">
        <v>3018614</v>
      </c>
      <c r="E759" s="418" t="s">
        <v>932</v>
      </c>
      <c r="F759" s="299">
        <v>6.74</v>
      </c>
      <c r="G759" s="299">
        <v>0</v>
      </c>
      <c r="H759" s="295"/>
      <c r="K759" s="224"/>
      <c r="L759" s="224"/>
      <c r="M759" s="224"/>
      <c r="O759" s="224"/>
      <c r="P759" s="224"/>
    </row>
    <row r="760" spans="1:16" ht="12.75" customHeight="1" x14ac:dyDescent="0.25">
      <c r="A760" s="295" t="s">
        <v>3184</v>
      </c>
      <c r="B760" s="295" t="s">
        <v>3184</v>
      </c>
      <c r="C760" s="416" t="s">
        <v>938</v>
      </c>
      <c r="D760" s="446">
        <v>3039745</v>
      </c>
      <c r="E760" s="418" t="s">
        <v>932</v>
      </c>
      <c r="F760" s="299">
        <v>6.74</v>
      </c>
      <c r="G760" s="299">
        <v>0</v>
      </c>
      <c r="L760" s="224"/>
      <c r="M760" s="224"/>
      <c r="O760" s="224"/>
      <c r="P760" s="224"/>
    </row>
    <row r="761" spans="1:16" ht="12.75" customHeight="1" x14ac:dyDescent="0.25">
      <c r="A761" s="295" t="s">
        <v>3190</v>
      </c>
      <c r="B761" s="295" t="s">
        <v>3190</v>
      </c>
      <c r="C761" s="416" t="s">
        <v>938</v>
      </c>
      <c r="D761" s="446">
        <v>3098894</v>
      </c>
      <c r="E761" s="418" t="s">
        <v>932</v>
      </c>
      <c r="F761" s="299">
        <v>6.74</v>
      </c>
      <c r="G761" s="299">
        <v>0</v>
      </c>
      <c r="I761" s="224"/>
      <c r="J761" s="224"/>
      <c r="K761" s="224"/>
      <c r="L761" s="224"/>
      <c r="M761" s="224"/>
      <c r="O761" s="224"/>
      <c r="P761" s="224"/>
    </row>
    <row r="762" spans="1:16" ht="12.75" customHeight="1" x14ac:dyDescent="0.25">
      <c r="A762" s="295" t="s">
        <v>3197</v>
      </c>
      <c r="B762" s="295" t="s">
        <v>3197</v>
      </c>
      <c r="C762" s="416" t="s">
        <v>938</v>
      </c>
      <c r="D762" s="417">
        <v>3199174</v>
      </c>
      <c r="E762" s="418" t="s">
        <v>932</v>
      </c>
      <c r="F762" s="299">
        <v>6.74</v>
      </c>
      <c r="G762" s="299">
        <v>0</v>
      </c>
      <c r="H762" s="295"/>
      <c r="I762" s="224"/>
      <c r="J762" s="224"/>
      <c r="K762" s="224"/>
      <c r="L762" s="224"/>
      <c r="M762" s="224"/>
      <c r="O762" s="224"/>
      <c r="P762" s="224"/>
    </row>
    <row r="763" spans="1:16" ht="12.75" customHeight="1" x14ac:dyDescent="0.25">
      <c r="A763" s="295" t="s">
        <v>3208</v>
      </c>
      <c r="B763" s="295" t="s">
        <v>3208</v>
      </c>
      <c r="C763" s="416" t="s">
        <v>938</v>
      </c>
      <c r="D763" s="417">
        <v>3270521</v>
      </c>
      <c r="E763" s="418" t="s">
        <v>932</v>
      </c>
      <c r="F763" s="299">
        <v>6.74</v>
      </c>
      <c r="G763" s="299">
        <v>0</v>
      </c>
      <c r="H763" s="247"/>
      <c r="I763" s="224"/>
      <c r="K763" s="224"/>
      <c r="L763" s="224"/>
      <c r="M763" s="224"/>
      <c r="O763" s="224"/>
      <c r="P763" s="224"/>
    </row>
    <row r="764" spans="1:16" ht="12.75" customHeight="1" x14ac:dyDescent="0.25">
      <c r="A764" s="295" t="s">
        <v>3208</v>
      </c>
      <c r="B764" s="295" t="s">
        <v>3208</v>
      </c>
      <c r="C764" s="416" t="s">
        <v>938</v>
      </c>
      <c r="D764" s="417">
        <v>3270451</v>
      </c>
      <c r="E764" s="418" t="s">
        <v>932</v>
      </c>
      <c r="F764" s="299">
        <v>6.74</v>
      </c>
      <c r="G764" s="299">
        <v>0</v>
      </c>
      <c r="H764" s="247"/>
      <c r="I764" s="224"/>
      <c r="K764" s="224"/>
      <c r="L764" s="224"/>
      <c r="M764" s="224"/>
      <c r="O764" s="224"/>
      <c r="P764" s="224"/>
    </row>
    <row r="765" spans="1:16" ht="12.75" customHeight="1" x14ac:dyDescent="0.25">
      <c r="A765" s="295" t="s">
        <v>3213</v>
      </c>
      <c r="B765" s="295" t="s">
        <v>3213</v>
      </c>
      <c r="C765" s="416" t="s">
        <v>938</v>
      </c>
      <c r="D765" s="417">
        <v>3277798</v>
      </c>
      <c r="E765" s="418" t="s">
        <v>932</v>
      </c>
      <c r="F765" s="299">
        <v>6.74</v>
      </c>
      <c r="G765" s="299">
        <v>0</v>
      </c>
      <c r="H765" s="295"/>
      <c r="I765" s="224"/>
      <c r="J765" s="224"/>
      <c r="K765" s="224"/>
      <c r="L765" s="224"/>
      <c r="M765" s="224"/>
      <c r="O765" s="224"/>
      <c r="P765" s="224"/>
    </row>
    <row r="766" spans="1:16" ht="12.75" customHeight="1" x14ac:dyDescent="0.25">
      <c r="A766" s="295" t="s">
        <v>3215</v>
      </c>
      <c r="B766" s="295" t="s">
        <v>3215</v>
      </c>
      <c r="C766" s="416" t="s">
        <v>938</v>
      </c>
      <c r="D766" s="446">
        <v>3292636</v>
      </c>
      <c r="E766" s="418" t="s">
        <v>932</v>
      </c>
      <c r="F766" s="299">
        <v>6.74</v>
      </c>
      <c r="G766" s="299">
        <v>0</v>
      </c>
      <c r="I766" s="224"/>
      <c r="J766" s="224"/>
      <c r="K766" s="224"/>
      <c r="L766" s="224"/>
      <c r="M766" s="224"/>
      <c r="O766" s="224"/>
      <c r="P766" s="224"/>
    </row>
    <row r="767" spans="1:16" ht="12.75" customHeight="1" x14ac:dyDescent="0.25">
      <c r="A767" s="295" t="s">
        <v>3215</v>
      </c>
      <c r="B767" s="295" t="s">
        <v>3215</v>
      </c>
      <c r="C767" s="416" t="s">
        <v>938</v>
      </c>
      <c r="D767" s="446">
        <v>3291272</v>
      </c>
      <c r="E767" s="418" t="s">
        <v>932</v>
      </c>
      <c r="F767" s="299">
        <v>6.74</v>
      </c>
      <c r="G767" s="299">
        <v>0</v>
      </c>
      <c r="I767" s="224"/>
      <c r="J767" s="224"/>
      <c r="K767" s="224"/>
      <c r="L767" s="224"/>
      <c r="M767" s="224"/>
      <c r="O767" s="224"/>
      <c r="P767" s="224"/>
    </row>
    <row r="768" spans="1:16" ht="12.75" customHeight="1" x14ac:dyDescent="0.25">
      <c r="A768" s="295" t="s">
        <v>3215</v>
      </c>
      <c r="B768" s="295" t="s">
        <v>3215</v>
      </c>
      <c r="C768" s="416" t="s">
        <v>938</v>
      </c>
      <c r="D768" s="417">
        <v>3288840</v>
      </c>
      <c r="E768" s="418" t="s">
        <v>932</v>
      </c>
      <c r="F768" s="299">
        <v>6.74</v>
      </c>
      <c r="G768" s="299">
        <v>0</v>
      </c>
      <c r="H768" s="295"/>
      <c r="K768" s="224"/>
      <c r="L768" s="224"/>
      <c r="M768" s="224"/>
      <c r="O768" s="224"/>
      <c r="P768" s="224"/>
    </row>
    <row r="769" spans="1:16" ht="12.75" customHeight="1" x14ac:dyDescent="0.25">
      <c r="A769" s="295" t="s">
        <v>3244</v>
      </c>
      <c r="B769" s="295" t="s">
        <v>3244</v>
      </c>
      <c r="C769" s="416" t="s">
        <v>938</v>
      </c>
      <c r="D769" s="417">
        <v>3359712</v>
      </c>
      <c r="E769" s="418" t="s">
        <v>932</v>
      </c>
      <c r="F769" s="299">
        <v>6.74</v>
      </c>
      <c r="G769" s="299">
        <v>0</v>
      </c>
      <c r="H769" s="295"/>
      <c r="K769" s="224"/>
      <c r="L769" s="224"/>
      <c r="M769" s="224"/>
      <c r="O769" s="224"/>
      <c r="P769" s="224"/>
    </row>
    <row r="770" spans="1:16" ht="12.75" customHeight="1" x14ac:dyDescent="0.25">
      <c r="A770" s="295" t="s">
        <v>3249</v>
      </c>
      <c r="B770" s="295" t="s">
        <v>3249</v>
      </c>
      <c r="C770" s="416" t="s">
        <v>938</v>
      </c>
      <c r="D770" s="446">
        <v>3372221</v>
      </c>
      <c r="E770" s="418" t="s">
        <v>932</v>
      </c>
      <c r="F770" s="299">
        <v>6.74</v>
      </c>
      <c r="G770" s="299">
        <v>0</v>
      </c>
      <c r="I770" s="224"/>
      <c r="J770" s="224"/>
      <c r="K770" s="224"/>
      <c r="L770" s="224"/>
      <c r="M770" s="224"/>
      <c r="O770" s="224"/>
      <c r="P770" s="224"/>
    </row>
    <row r="771" spans="1:16" ht="12.75" customHeight="1" x14ac:dyDescent="0.25">
      <c r="A771" s="295" t="s">
        <v>3249</v>
      </c>
      <c r="B771" s="295" t="s">
        <v>3249</v>
      </c>
      <c r="C771" s="416" t="s">
        <v>938</v>
      </c>
      <c r="D771" s="417">
        <v>3372087</v>
      </c>
      <c r="E771" s="418" t="s">
        <v>932</v>
      </c>
      <c r="F771" s="299">
        <v>6.74</v>
      </c>
      <c r="G771" s="299">
        <v>0</v>
      </c>
      <c r="H771" s="295"/>
      <c r="K771" s="224"/>
      <c r="L771" s="224"/>
      <c r="M771" s="224"/>
      <c r="O771" s="224"/>
      <c r="P771" s="224"/>
    </row>
    <row r="772" spans="1:16" ht="12.75" customHeight="1" x14ac:dyDescent="0.25">
      <c r="A772" s="295" t="s">
        <v>3255</v>
      </c>
      <c r="B772" s="295" t="s">
        <v>3255</v>
      </c>
      <c r="C772" s="416" t="s">
        <v>938</v>
      </c>
      <c r="D772" s="417">
        <v>3382370</v>
      </c>
      <c r="E772" s="418" t="s">
        <v>932</v>
      </c>
      <c r="F772" s="299">
        <v>6.74</v>
      </c>
      <c r="G772" s="299">
        <v>0</v>
      </c>
      <c r="H772" s="295"/>
      <c r="K772" s="224"/>
      <c r="L772" s="224"/>
      <c r="M772" s="224"/>
      <c r="O772" s="224"/>
      <c r="P772" s="224"/>
    </row>
    <row r="773" spans="1:16" ht="12.75" customHeight="1" x14ac:dyDescent="0.25">
      <c r="A773" s="295" t="s">
        <v>3255</v>
      </c>
      <c r="B773" s="295" t="s">
        <v>3255</v>
      </c>
      <c r="C773" s="416" t="s">
        <v>938</v>
      </c>
      <c r="D773" s="417">
        <v>3380908</v>
      </c>
      <c r="E773" s="418" t="s">
        <v>932</v>
      </c>
      <c r="F773" s="299">
        <v>6.74</v>
      </c>
      <c r="G773" s="299">
        <v>0</v>
      </c>
      <c r="H773" s="295"/>
      <c r="K773" s="224"/>
      <c r="L773" s="224"/>
      <c r="M773" s="224"/>
      <c r="O773" s="224"/>
      <c r="P773" s="224"/>
    </row>
    <row r="774" spans="1:16" ht="12.75" customHeight="1" x14ac:dyDescent="0.25">
      <c r="A774" s="295" t="s">
        <v>3258</v>
      </c>
      <c r="B774" s="295" t="s">
        <v>3258</v>
      </c>
      <c r="C774" s="416" t="s">
        <v>938</v>
      </c>
      <c r="D774" s="417">
        <v>3392204</v>
      </c>
      <c r="E774" s="418" t="s">
        <v>932</v>
      </c>
      <c r="F774" s="299">
        <v>6.74</v>
      </c>
      <c r="G774" s="299">
        <v>0</v>
      </c>
      <c r="H774" s="295"/>
      <c r="K774" s="224"/>
      <c r="L774" s="224"/>
      <c r="M774" s="224"/>
      <c r="O774" s="224"/>
      <c r="P774" s="224"/>
    </row>
    <row r="775" spans="1:16" ht="12.75" customHeight="1" x14ac:dyDescent="0.25">
      <c r="A775" s="295" t="s">
        <v>3258</v>
      </c>
      <c r="B775" s="295" t="s">
        <v>3258</v>
      </c>
      <c r="C775" s="416" t="s">
        <v>938</v>
      </c>
      <c r="D775" s="417">
        <v>3392145</v>
      </c>
      <c r="E775" s="418" t="s">
        <v>932</v>
      </c>
      <c r="F775" s="299">
        <v>6.74</v>
      </c>
      <c r="G775" s="299">
        <v>0</v>
      </c>
      <c r="H775" s="295"/>
      <c r="K775" s="224"/>
      <c r="L775" s="224"/>
      <c r="M775" s="224"/>
      <c r="O775" s="224"/>
      <c r="P775" s="224"/>
    </row>
    <row r="776" spans="1:16" ht="12.75" customHeight="1" x14ac:dyDescent="0.25">
      <c r="A776" s="295" t="s">
        <v>3264</v>
      </c>
      <c r="B776" s="295" t="s">
        <v>3264</v>
      </c>
      <c r="C776" s="416" t="s">
        <v>938</v>
      </c>
      <c r="D776" s="417">
        <v>3423955</v>
      </c>
      <c r="E776" s="418" t="s">
        <v>932</v>
      </c>
      <c r="F776" s="299">
        <v>6.74</v>
      </c>
      <c r="G776" s="299">
        <v>0</v>
      </c>
      <c r="H776" s="295"/>
      <c r="K776" s="224"/>
      <c r="L776" s="224"/>
      <c r="M776" s="224"/>
      <c r="O776" s="224"/>
      <c r="P776" s="224"/>
    </row>
    <row r="777" spans="1:16" ht="12.75" customHeight="1" x14ac:dyDescent="0.25">
      <c r="A777" s="295" t="s">
        <v>3264</v>
      </c>
      <c r="B777" s="295" t="s">
        <v>3264</v>
      </c>
      <c r="C777" s="416" t="s">
        <v>938</v>
      </c>
      <c r="D777" s="417">
        <v>3424728</v>
      </c>
      <c r="E777" s="418" t="s">
        <v>932</v>
      </c>
      <c r="F777" s="299">
        <v>6.74</v>
      </c>
      <c r="G777" s="299">
        <v>0</v>
      </c>
      <c r="H777" s="295"/>
      <c r="K777" s="224"/>
      <c r="L777" s="224"/>
      <c r="M777" s="224"/>
      <c r="O777" s="224"/>
      <c r="P777" s="224"/>
    </row>
    <row r="778" spans="1:16" ht="12.75" customHeight="1" x14ac:dyDescent="0.25">
      <c r="A778" s="295" t="s">
        <v>3273</v>
      </c>
      <c r="B778" s="295" t="s">
        <v>3273</v>
      </c>
      <c r="C778" s="416" t="s">
        <v>938</v>
      </c>
      <c r="D778" s="417">
        <v>3439505</v>
      </c>
      <c r="E778" s="418" t="s">
        <v>932</v>
      </c>
      <c r="F778" s="299">
        <v>6.74</v>
      </c>
      <c r="G778" s="299">
        <v>0</v>
      </c>
    </row>
    <row r="779" spans="1:16" ht="12.75" customHeight="1" x14ac:dyDescent="0.25">
      <c r="A779" s="295" t="s">
        <v>3274</v>
      </c>
      <c r="B779" s="295" t="s">
        <v>3274</v>
      </c>
      <c r="C779" s="416" t="s">
        <v>938</v>
      </c>
      <c r="D779" s="417">
        <v>3445263</v>
      </c>
      <c r="E779" s="418" t="s">
        <v>932</v>
      </c>
      <c r="F779" s="299">
        <v>6.74</v>
      </c>
      <c r="G779" s="299">
        <v>0</v>
      </c>
    </row>
    <row r="780" spans="1:16" ht="12.75" customHeight="1" x14ac:dyDescent="0.25">
      <c r="A780" s="295" t="s">
        <v>3278</v>
      </c>
      <c r="B780" s="295" t="s">
        <v>3278</v>
      </c>
      <c r="C780" s="416" t="s">
        <v>938</v>
      </c>
      <c r="D780" s="417">
        <v>3481221</v>
      </c>
      <c r="E780" s="418" t="s">
        <v>932</v>
      </c>
      <c r="F780" s="299">
        <v>6.74</v>
      </c>
      <c r="G780" s="299">
        <v>0</v>
      </c>
    </row>
    <row r="781" spans="1:16" ht="12.75" customHeight="1" x14ac:dyDescent="0.25">
      <c r="A781" s="295" t="s">
        <v>3281</v>
      </c>
      <c r="B781" s="295" t="s">
        <v>3281</v>
      </c>
      <c r="C781" s="416" t="s">
        <v>938</v>
      </c>
      <c r="D781" s="446">
        <v>3498403</v>
      </c>
      <c r="E781" s="418" t="s">
        <v>932</v>
      </c>
      <c r="F781" s="299">
        <v>6.74</v>
      </c>
      <c r="G781" s="299">
        <v>0</v>
      </c>
    </row>
    <row r="782" spans="1:16" ht="12.75" customHeight="1" x14ac:dyDescent="0.25">
      <c r="A782" s="295" t="s">
        <v>3291</v>
      </c>
      <c r="B782" s="295" t="s">
        <v>3291</v>
      </c>
      <c r="C782" s="416" t="s">
        <v>938</v>
      </c>
      <c r="D782" s="446">
        <v>3560282</v>
      </c>
      <c r="E782" s="418" t="s">
        <v>932</v>
      </c>
      <c r="F782" s="299">
        <v>6.74</v>
      </c>
      <c r="G782" s="299">
        <v>0</v>
      </c>
    </row>
    <row r="783" spans="1:16" ht="12.75" customHeight="1" x14ac:dyDescent="0.25">
      <c r="A783" s="295" t="s">
        <v>3291</v>
      </c>
      <c r="B783" s="295" t="s">
        <v>3291</v>
      </c>
      <c r="C783" s="416" t="s">
        <v>938</v>
      </c>
      <c r="D783" s="446">
        <v>3560458</v>
      </c>
      <c r="E783" s="418" t="s">
        <v>932</v>
      </c>
      <c r="F783" s="299">
        <v>6.74</v>
      </c>
      <c r="G783" s="299">
        <v>0</v>
      </c>
    </row>
    <row r="784" spans="1:16" ht="12.75" customHeight="1" x14ac:dyDescent="0.25">
      <c r="A784" s="295"/>
      <c r="C784" s="416"/>
      <c r="D784" s="446"/>
      <c r="E784" s="418"/>
      <c r="F784" s="299"/>
      <c r="G784" s="299"/>
    </row>
    <row r="785" spans="1:16" ht="12.75" customHeight="1" x14ac:dyDescent="0.25">
      <c r="A785" s="295"/>
      <c r="C785" s="416"/>
      <c r="D785" s="446"/>
      <c r="E785" s="418"/>
      <c r="F785" s="299"/>
      <c r="G785" s="299"/>
    </row>
    <row r="786" spans="1:16" ht="12.75" customHeight="1" x14ac:dyDescent="0.25">
      <c r="A786" s="295"/>
      <c r="C786" s="416"/>
      <c r="D786" s="446"/>
      <c r="E786" s="418"/>
      <c r="F786" s="299"/>
      <c r="G786" s="299"/>
      <c r="H786" s="295"/>
    </row>
    <row r="787" spans="1:16" ht="12.75" customHeight="1" x14ac:dyDescent="0.25">
      <c r="A787" s="295"/>
      <c r="C787" s="416"/>
      <c r="D787" s="446"/>
      <c r="E787" s="418"/>
      <c r="F787" s="299"/>
      <c r="G787" s="299"/>
    </row>
    <row r="788" spans="1:16" ht="12.75" customHeight="1" x14ac:dyDescent="0.25">
      <c r="A788" s="295"/>
      <c r="C788" s="416"/>
      <c r="D788" s="446"/>
      <c r="E788" s="418"/>
      <c r="F788" s="299"/>
      <c r="G788" s="299"/>
      <c r="H788" s="295"/>
      <c r="I788" s="224"/>
      <c r="J788" s="224"/>
      <c r="K788" s="224"/>
      <c r="L788" s="224"/>
      <c r="M788" s="224"/>
      <c r="O788" s="224"/>
      <c r="P788" s="224"/>
    </row>
    <row r="789" spans="1:16" ht="12.75" customHeight="1" x14ac:dyDescent="0.25">
      <c r="A789" s="295"/>
      <c r="C789" s="416"/>
      <c r="D789" s="446"/>
      <c r="E789" s="418"/>
      <c r="F789" s="299"/>
      <c r="G789" s="299"/>
      <c r="H789" s="295"/>
      <c r="I789" s="224"/>
      <c r="J789" s="224"/>
      <c r="K789" s="224"/>
      <c r="L789" s="224"/>
      <c r="M789" s="224"/>
      <c r="O789" s="224"/>
      <c r="P789" s="224"/>
    </row>
    <row r="790" spans="1:16" ht="12.75" customHeight="1" x14ac:dyDescent="0.25">
      <c r="A790" s="295"/>
      <c r="C790" s="416"/>
      <c r="D790" s="446"/>
      <c r="E790" s="418"/>
      <c r="F790" s="299"/>
      <c r="G790" s="299"/>
      <c r="H790" s="295"/>
      <c r="I790" s="224"/>
      <c r="J790" s="224"/>
      <c r="K790" s="224"/>
      <c r="L790" s="224"/>
      <c r="M790" s="224"/>
      <c r="O790" s="224"/>
      <c r="P790" s="224"/>
    </row>
    <row r="791" spans="1:16" ht="12.75" customHeight="1" x14ac:dyDescent="0.25">
      <c r="A791" s="295"/>
      <c r="C791" s="416"/>
      <c r="D791" s="417"/>
      <c r="E791" s="418"/>
      <c r="F791" s="299"/>
      <c r="G791" s="299"/>
      <c r="H791" s="295"/>
      <c r="I791" s="224"/>
      <c r="J791" s="224"/>
      <c r="K791" s="224"/>
      <c r="L791" s="224"/>
      <c r="M791" s="224"/>
      <c r="O791" s="224"/>
      <c r="P791" s="224"/>
    </row>
    <row r="792" spans="1:16" ht="12.75" customHeight="1" x14ac:dyDescent="0.25">
      <c r="A792" s="295"/>
      <c r="C792" s="416"/>
      <c r="D792" s="417"/>
      <c r="E792" s="418"/>
      <c r="F792" s="299"/>
      <c r="G792" s="299"/>
      <c r="H792" s="295"/>
      <c r="K792" s="224"/>
      <c r="L792" s="224"/>
      <c r="M792" s="224"/>
      <c r="O792" s="224"/>
      <c r="P792" s="224"/>
    </row>
    <row r="793" spans="1:16" ht="12.75" customHeight="1" thickBot="1" x14ac:dyDescent="0.3">
      <c r="A793" s="295"/>
      <c r="C793" s="416"/>
      <c r="D793" s="417"/>
      <c r="E793" s="418"/>
      <c r="F793" s="299"/>
      <c r="G793" s="299"/>
      <c r="H793" s="295"/>
      <c r="K793" s="224"/>
      <c r="L793" s="224"/>
      <c r="M793" s="224"/>
      <c r="O793" s="224"/>
      <c r="P793" s="224"/>
    </row>
    <row r="794" spans="1:16" ht="12.75" customHeight="1" thickBot="1" x14ac:dyDescent="0.3">
      <c r="A794" s="295"/>
      <c r="C794" s="233"/>
      <c r="D794" s="249"/>
      <c r="E794" s="2" t="s">
        <v>1040</v>
      </c>
      <c r="F794" s="422">
        <f>SUM(F723:F793)</f>
        <v>411.14000000000033</v>
      </c>
      <c r="I794" s="224"/>
      <c r="J794" s="224"/>
      <c r="K794" s="224"/>
      <c r="L794" s="224"/>
      <c r="M794" s="224"/>
      <c r="O794" s="224"/>
      <c r="P794" s="224"/>
    </row>
    <row r="795" spans="1:16" ht="12.75" customHeight="1" x14ac:dyDescent="0.25">
      <c r="A795" s="295"/>
      <c r="C795" s="233"/>
      <c r="D795" s="249"/>
      <c r="E795" s="2"/>
      <c r="F795" s="3"/>
      <c r="I795" s="224"/>
      <c r="J795" s="224"/>
      <c r="K795" s="224"/>
      <c r="L795" s="224"/>
      <c r="M795" s="224"/>
      <c r="O795" s="224"/>
      <c r="P795" s="224"/>
    </row>
    <row r="796" spans="1:16" ht="12.75" customHeight="1" x14ac:dyDescent="0.25">
      <c r="A796" s="295"/>
      <c r="D796" s="224"/>
      <c r="E796" s="2"/>
      <c r="F796" s="3"/>
      <c r="I796" s="224"/>
      <c r="J796" s="224"/>
      <c r="K796" s="224"/>
      <c r="L796" s="224"/>
      <c r="M796" s="224"/>
      <c r="O796" s="224"/>
      <c r="P796" s="224"/>
    </row>
    <row r="797" spans="1:16" ht="12.75" customHeight="1" x14ac:dyDescent="0.25">
      <c r="A797" s="295"/>
      <c r="I797" s="224"/>
      <c r="J797" s="224"/>
      <c r="K797" s="224"/>
      <c r="L797" s="224"/>
      <c r="M797" s="224"/>
      <c r="O797" s="224"/>
      <c r="P797" s="224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1"/>
  <sheetViews>
    <sheetView zoomScaleNormal="100" workbookViewId="0">
      <selection activeCell="A32" sqref="A32"/>
    </sheetView>
  </sheetViews>
  <sheetFormatPr defaultColWidth="9.21875" defaultRowHeight="12.75" customHeight="1" x14ac:dyDescent="0.25"/>
  <cols>
    <col min="1" max="1" width="10.77734375" style="224" customWidth="1"/>
    <col min="2" max="2" width="10.77734375" style="295" customWidth="1"/>
    <col min="3" max="3" width="35.21875" style="250" customWidth="1"/>
    <col min="4" max="4" width="24.21875" style="231" bestFit="1" customWidth="1"/>
    <col min="5" max="5" width="13.5546875" style="231" customWidth="1"/>
    <col min="6" max="7" width="10.77734375" style="235" customWidth="1"/>
    <col min="8" max="8" width="10.21875" style="235" bestFit="1" customWidth="1"/>
    <col min="9" max="9" width="9.21875" style="247" customWidth="1"/>
    <col min="10" max="10" width="10.77734375" style="247" bestFit="1" customWidth="1"/>
    <col min="11" max="11" width="13.5546875" style="247" bestFit="1" customWidth="1"/>
    <col min="12" max="12" width="14.77734375" style="247" customWidth="1"/>
    <col min="13" max="13" width="11.77734375" style="247" customWidth="1"/>
    <col min="14" max="14" width="13.21875" style="224" bestFit="1" customWidth="1"/>
    <col min="15" max="15" width="19.21875" style="249" bestFit="1" customWidth="1"/>
    <col min="16" max="16" width="12.77734375" style="249" customWidth="1"/>
    <col min="17" max="17" width="8.5546875" style="224" bestFit="1" customWidth="1"/>
    <col min="18" max="18" width="9" style="224" bestFit="1" customWidth="1"/>
    <col min="19" max="16384" width="9.21875" style="224"/>
  </cols>
  <sheetData>
    <row r="1" spans="2:18" ht="13.2" x14ac:dyDescent="0.25">
      <c r="B1" s="347" t="s">
        <v>2174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</row>
    <row r="2" spans="2:18" ht="13.2" x14ac:dyDescent="0.25">
      <c r="B2" s="347" t="s">
        <v>2080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</row>
    <row r="3" spans="2:18" ht="13.2" x14ac:dyDescent="0.25">
      <c r="B3" s="348" t="s">
        <v>2078</v>
      </c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</row>
    <row r="4" spans="2:18" ht="13.8" thickBot="1" x14ac:dyDescent="0.3">
      <c r="B4" s="348"/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</row>
    <row r="5" spans="2:18" ht="13.8" thickBot="1" x14ac:dyDescent="0.3">
      <c r="B5" s="349" t="s">
        <v>1255</v>
      </c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8"/>
    </row>
    <row r="6" spans="2:18" s="231" customFormat="1" ht="13.2" x14ac:dyDescent="0.25">
      <c r="B6" s="296" t="s">
        <v>184</v>
      </c>
      <c r="C6" s="171" t="s">
        <v>2079</v>
      </c>
      <c r="D6" s="171" t="s">
        <v>186</v>
      </c>
      <c r="E6" s="171" t="s">
        <v>469</v>
      </c>
      <c r="F6" s="221" t="s">
        <v>188</v>
      </c>
      <c r="G6" s="221" t="s">
        <v>470</v>
      </c>
      <c r="H6" s="221" t="s">
        <v>1839</v>
      </c>
      <c r="I6" s="221" t="s">
        <v>1840</v>
      </c>
      <c r="J6" s="221" t="s">
        <v>1841</v>
      </c>
      <c r="K6" s="221" t="s">
        <v>1842</v>
      </c>
      <c r="L6" s="221" t="s">
        <v>1216</v>
      </c>
      <c r="M6" s="221" t="s">
        <v>668</v>
      </c>
      <c r="N6" s="171" t="s">
        <v>1212</v>
      </c>
      <c r="O6" s="249"/>
      <c r="P6" s="249"/>
    </row>
    <row r="7" spans="2:18" s="231" customFormat="1" ht="13.2" x14ac:dyDescent="0.25">
      <c r="B7" s="16"/>
      <c r="C7" s="233"/>
      <c r="D7" s="91"/>
      <c r="E7" s="91"/>
      <c r="F7" s="234"/>
      <c r="G7" s="234"/>
      <c r="H7" s="234"/>
      <c r="I7" s="234"/>
      <c r="J7" s="234"/>
      <c r="K7" s="234"/>
      <c r="L7" s="234"/>
      <c r="M7" s="235"/>
      <c r="N7" s="1"/>
      <c r="O7" s="249"/>
      <c r="P7" s="2"/>
      <c r="Q7" s="91"/>
      <c r="R7" s="91"/>
    </row>
    <row r="8" spans="2:18" s="231" customFormat="1" ht="13.2" x14ac:dyDescent="0.25">
      <c r="B8" s="16"/>
      <c r="C8" s="233"/>
      <c r="D8" s="91"/>
      <c r="E8" s="91"/>
      <c r="F8" s="234"/>
      <c r="G8" s="234"/>
      <c r="H8" s="234"/>
      <c r="I8" s="234"/>
      <c r="J8" s="234"/>
      <c r="K8" s="234"/>
      <c r="L8" s="234"/>
      <c r="M8" s="235"/>
      <c r="N8" s="1"/>
      <c r="O8" s="249"/>
      <c r="P8" s="2"/>
      <c r="Q8" s="91"/>
      <c r="R8" s="91"/>
    </row>
    <row r="9" spans="2:18" s="231" customFormat="1" ht="13.2" x14ac:dyDescent="0.25">
      <c r="B9" s="16"/>
      <c r="C9" s="233"/>
      <c r="D9" s="91"/>
      <c r="E9" s="91"/>
      <c r="F9" s="234"/>
      <c r="G9" s="234"/>
      <c r="H9" s="234"/>
      <c r="I9" s="234"/>
      <c r="J9" s="234"/>
      <c r="K9" s="234"/>
      <c r="L9" s="234"/>
      <c r="M9" s="235"/>
      <c r="N9" s="1"/>
      <c r="O9" s="2"/>
      <c r="P9" s="2"/>
    </row>
    <row r="10" spans="2:18" s="231" customFormat="1" ht="13.2" x14ac:dyDescent="0.25">
      <c r="B10" s="16"/>
      <c r="C10" s="233"/>
      <c r="D10" s="91"/>
      <c r="E10" s="91"/>
      <c r="F10" s="234"/>
      <c r="G10" s="234"/>
      <c r="H10" s="234"/>
      <c r="I10" s="234"/>
      <c r="J10" s="234"/>
      <c r="K10" s="234"/>
      <c r="L10" s="234"/>
      <c r="M10" s="235"/>
      <c r="N10" s="1"/>
      <c r="O10" s="249"/>
      <c r="P10" s="2"/>
      <c r="Q10" s="91"/>
      <c r="R10" s="91"/>
    </row>
    <row r="11" spans="2:18" s="231" customFormat="1" ht="13.2" x14ac:dyDescent="0.25">
      <c r="B11" s="16"/>
      <c r="C11" s="233"/>
      <c r="D11" s="91"/>
      <c r="E11" s="91"/>
      <c r="F11" s="234"/>
      <c r="G11" s="234"/>
      <c r="H11" s="234"/>
      <c r="I11" s="234"/>
      <c r="J11" s="234"/>
      <c r="K11" s="234"/>
      <c r="L11" s="234"/>
      <c r="M11" s="235"/>
      <c r="N11" s="1"/>
      <c r="O11" s="299"/>
      <c r="P11" s="2"/>
      <c r="Q11" s="91"/>
      <c r="R11" s="91"/>
    </row>
    <row r="12" spans="2:18" s="231" customFormat="1" ht="13.2" x14ac:dyDescent="0.25">
      <c r="B12" s="16"/>
      <c r="C12" s="233"/>
      <c r="D12" s="91"/>
      <c r="E12" s="91"/>
      <c r="F12" s="234"/>
      <c r="G12" s="234"/>
      <c r="H12" s="234"/>
      <c r="I12" s="234"/>
      <c r="J12" s="234"/>
      <c r="K12" s="234"/>
      <c r="L12" s="234"/>
      <c r="M12" s="235"/>
      <c r="N12" s="1"/>
      <c r="O12" s="249"/>
      <c r="P12" s="249"/>
    </row>
    <row r="13" spans="2:18" s="231" customFormat="1" ht="13.2" x14ac:dyDescent="0.25">
      <c r="B13" s="350"/>
      <c r="C13" s="236"/>
      <c r="D13" s="237"/>
      <c r="E13" s="238"/>
      <c r="F13" s="239"/>
      <c r="G13" s="239"/>
      <c r="H13" s="239"/>
      <c r="I13" s="239"/>
      <c r="J13" s="230"/>
      <c r="K13" s="230"/>
      <c r="L13" s="230"/>
      <c r="M13" s="230"/>
      <c r="N13" s="240"/>
      <c r="O13" s="249"/>
      <c r="P13" s="249"/>
    </row>
    <row r="14" spans="2:18" s="231" customFormat="1" ht="13.2" x14ac:dyDescent="0.25">
      <c r="B14" s="350"/>
      <c r="C14" s="236"/>
      <c r="D14" s="237"/>
      <c r="E14" s="238"/>
      <c r="F14" s="239"/>
      <c r="G14" s="239"/>
      <c r="H14" s="239"/>
      <c r="I14" s="239"/>
      <c r="J14" s="230"/>
      <c r="K14" s="230"/>
      <c r="L14" s="230"/>
      <c r="M14" s="230"/>
      <c r="N14" s="240"/>
      <c r="O14" s="249"/>
      <c r="P14" s="249"/>
    </row>
    <row r="15" spans="2:18" s="231" customFormat="1" ht="13.2" x14ac:dyDescent="0.25">
      <c r="B15" s="350"/>
      <c r="C15" s="236"/>
      <c r="D15" s="237"/>
      <c r="E15" s="238"/>
      <c r="F15" s="239"/>
      <c r="G15" s="239"/>
      <c r="H15" s="239"/>
      <c r="I15" s="239"/>
      <c r="J15" s="230"/>
      <c r="K15" s="230"/>
      <c r="L15" s="230"/>
      <c r="M15" s="230"/>
      <c r="N15" s="240"/>
      <c r="O15" s="249"/>
      <c r="P15" s="249"/>
    </row>
    <row r="16" spans="2:18" s="231" customFormat="1" ht="13.2" x14ac:dyDescent="0.25">
      <c r="B16" s="350"/>
      <c r="C16" s="236"/>
      <c r="D16" s="237"/>
      <c r="E16" s="238"/>
      <c r="F16" s="239"/>
      <c r="G16" s="239"/>
      <c r="H16" s="239"/>
      <c r="I16" s="239"/>
      <c r="J16" s="230"/>
      <c r="K16" s="230"/>
      <c r="L16" s="230"/>
      <c r="M16" s="230"/>
      <c r="N16" s="240"/>
      <c r="O16" s="249"/>
      <c r="P16" s="249"/>
    </row>
    <row r="17" spans="2:21" s="231" customFormat="1" ht="13.2" x14ac:dyDescent="0.25">
      <c r="B17" s="350"/>
      <c r="C17" s="236"/>
      <c r="D17" s="237"/>
      <c r="E17" s="238"/>
      <c r="F17" s="239"/>
      <c r="G17" s="239"/>
      <c r="H17" s="239"/>
      <c r="I17" s="239"/>
      <c r="J17" s="230"/>
      <c r="K17" s="230"/>
      <c r="L17" s="230"/>
      <c r="M17" s="230"/>
      <c r="N17" s="240"/>
      <c r="O17" s="249"/>
      <c r="P17" s="249"/>
    </row>
    <row r="18" spans="2:21" ht="12.75" customHeight="1" x14ac:dyDescent="0.25">
      <c r="B18" s="350"/>
      <c r="C18" s="241"/>
      <c r="D18" s="229"/>
      <c r="E18" s="229"/>
      <c r="F18" s="230"/>
      <c r="G18" s="230"/>
      <c r="H18" s="230"/>
      <c r="I18" s="242"/>
      <c r="J18" s="243"/>
      <c r="K18" s="244"/>
      <c r="L18" s="257" t="s">
        <v>2121</v>
      </c>
      <c r="M18" s="258">
        <f>SUM(M7:M17)</f>
        <v>0</v>
      </c>
      <c r="N18" s="245"/>
    </row>
    <row r="19" spans="2:21" ht="12.75" customHeight="1" x14ac:dyDescent="0.25">
      <c r="B19" s="350"/>
      <c r="C19" s="241"/>
      <c r="D19" s="229"/>
      <c r="E19" s="229"/>
      <c r="F19" s="230"/>
      <c r="G19" s="230"/>
      <c r="H19" s="230"/>
      <c r="I19" s="242"/>
      <c r="J19" s="242"/>
      <c r="K19" s="242"/>
      <c r="L19" s="242"/>
      <c r="M19" s="242"/>
      <c r="N19" s="245"/>
    </row>
    <row r="20" spans="2:21" ht="12.75" customHeight="1" x14ac:dyDescent="0.25">
      <c r="B20" s="350"/>
      <c r="C20" s="241"/>
      <c r="D20" s="229"/>
      <c r="E20" s="229"/>
      <c r="F20" s="230"/>
      <c r="G20" s="230"/>
      <c r="H20" s="230"/>
      <c r="I20" s="242"/>
      <c r="J20" s="242"/>
      <c r="K20" s="242"/>
      <c r="L20" s="242"/>
      <c r="M20" s="242"/>
      <c r="N20" s="245"/>
    </row>
    <row r="21" spans="2:21" ht="12.75" customHeight="1" x14ac:dyDescent="0.25">
      <c r="B21" s="296" t="s">
        <v>184</v>
      </c>
      <c r="C21" s="171" t="s">
        <v>2079</v>
      </c>
      <c r="D21" s="171" t="s">
        <v>186</v>
      </c>
      <c r="E21" s="171" t="s">
        <v>469</v>
      </c>
      <c r="F21" s="221" t="s">
        <v>188</v>
      </c>
      <c r="G21" s="221" t="s">
        <v>470</v>
      </c>
      <c r="H21" s="221" t="s">
        <v>1839</v>
      </c>
      <c r="I21" s="221" t="s">
        <v>1840</v>
      </c>
      <c r="J21" s="221" t="s">
        <v>1841</v>
      </c>
      <c r="K21" s="221" t="s">
        <v>1842</v>
      </c>
      <c r="L21" s="221" t="s">
        <v>1216</v>
      </c>
      <c r="M21" s="221" t="s">
        <v>667</v>
      </c>
      <c r="N21" s="171" t="s">
        <v>1212</v>
      </c>
    </row>
    <row r="22" spans="2:21" s="231" customFormat="1" ht="13.2" x14ac:dyDescent="0.25">
      <c r="B22" s="16"/>
      <c r="C22" s="1"/>
      <c r="D22" s="91"/>
      <c r="E22" s="91"/>
      <c r="F22" s="59"/>
      <c r="G22" s="234"/>
      <c r="H22" s="182"/>
      <c r="I22" s="182"/>
      <c r="J22" s="182"/>
      <c r="K22" s="222"/>
      <c r="L22" s="222"/>
      <c r="M22" s="59"/>
      <c r="N22" s="1"/>
      <c r="O22" s="60"/>
      <c r="P22" s="2"/>
    </row>
    <row r="23" spans="2:21" ht="12.75" customHeight="1" x14ac:dyDescent="0.25">
      <c r="B23" s="16"/>
      <c r="C23" s="233"/>
      <c r="D23" s="91"/>
      <c r="E23" s="91"/>
      <c r="F23" s="59"/>
      <c r="G23" s="234"/>
      <c r="H23" s="234"/>
      <c r="I23" s="234"/>
      <c r="J23" s="234"/>
      <c r="K23" s="234"/>
      <c r="L23" s="234"/>
      <c r="M23" s="59"/>
      <c r="N23" s="1"/>
    </row>
    <row r="24" spans="2:21" ht="12.75" customHeight="1" x14ac:dyDescent="0.25">
      <c r="B24" s="16"/>
      <c r="C24" s="233"/>
      <c r="D24" s="91"/>
      <c r="E24" s="91"/>
      <c r="F24" s="59"/>
      <c r="G24" s="234"/>
      <c r="H24" s="234"/>
      <c r="I24" s="234"/>
      <c r="J24" s="234"/>
      <c r="K24" s="234"/>
      <c r="L24" s="234"/>
      <c r="M24" s="59"/>
      <c r="N24" s="1"/>
    </row>
    <row r="25" spans="2:21" ht="12.75" customHeight="1" x14ac:dyDescent="0.25">
      <c r="B25" s="16"/>
      <c r="C25" s="233"/>
      <c r="D25" s="91"/>
      <c r="E25" s="91"/>
      <c r="F25" s="59"/>
      <c r="G25" s="234"/>
      <c r="H25" s="234"/>
      <c r="I25" s="234"/>
      <c r="J25" s="234"/>
      <c r="K25" s="234"/>
      <c r="L25" s="234"/>
      <c r="M25" s="59"/>
      <c r="N25" s="1"/>
    </row>
    <row r="26" spans="2:21" ht="12.75" customHeight="1" x14ac:dyDescent="0.25">
      <c r="B26" s="16"/>
      <c r="C26" s="233"/>
      <c r="D26" s="91"/>
      <c r="E26" s="91"/>
      <c r="F26" s="59"/>
      <c r="G26" s="234"/>
      <c r="H26" s="234"/>
      <c r="I26" s="234"/>
      <c r="J26" s="234"/>
      <c r="K26" s="234"/>
      <c r="L26" s="234"/>
      <c r="M26" s="59"/>
      <c r="N26" s="1"/>
    </row>
    <row r="27" spans="2:21" ht="12.75" customHeight="1" x14ac:dyDescent="0.25">
      <c r="B27" s="16"/>
      <c r="C27" s="233"/>
      <c r="D27" s="91"/>
      <c r="E27" s="91"/>
      <c r="F27" s="59"/>
      <c r="G27" s="234"/>
      <c r="H27" s="234"/>
      <c r="I27" s="234"/>
      <c r="J27" s="234"/>
      <c r="K27" s="234"/>
      <c r="L27" s="234"/>
      <c r="M27" s="59"/>
      <c r="N27" s="1"/>
      <c r="O27" s="2"/>
      <c r="P27" s="2"/>
      <c r="R27" s="1"/>
      <c r="S27" s="1"/>
      <c r="T27" s="1"/>
      <c r="U27" s="1"/>
    </row>
    <row r="28" spans="2:21" ht="13.2" x14ac:dyDescent="0.25">
      <c r="B28" s="16"/>
      <c r="C28" s="1"/>
      <c r="D28" s="91"/>
      <c r="E28" s="1"/>
      <c r="F28" s="59"/>
      <c r="G28" s="59"/>
      <c r="H28" s="59"/>
      <c r="I28" s="59"/>
      <c r="J28" s="230"/>
    </row>
    <row r="29" spans="2:21" ht="13.2" x14ac:dyDescent="0.25">
      <c r="B29" s="16"/>
      <c r="C29" s="1"/>
      <c r="D29" s="91"/>
      <c r="E29" s="1"/>
      <c r="F29" s="59"/>
      <c r="G29" s="59"/>
      <c r="H29" s="59"/>
      <c r="I29" s="59"/>
      <c r="J29" s="230"/>
      <c r="K29" s="246"/>
      <c r="L29" s="246"/>
      <c r="M29" s="246"/>
      <c r="N29" s="248"/>
    </row>
    <row r="30" spans="2:21" ht="13.2" x14ac:dyDescent="0.25">
      <c r="B30" s="16"/>
      <c r="C30" s="57"/>
      <c r="D30" s="91"/>
      <c r="E30" s="1"/>
      <c r="F30" s="59"/>
      <c r="G30" s="59"/>
      <c r="H30" s="59"/>
      <c r="I30" s="59"/>
      <c r="J30" s="230"/>
      <c r="K30" s="255"/>
      <c r="L30" s="255"/>
      <c r="M30" s="255"/>
      <c r="N30" s="256"/>
    </row>
    <row r="31" spans="2:21" ht="12.75" customHeight="1" x14ac:dyDescent="0.25">
      <c r="B31" s="16"/>
      <c r="C31" s="57"/>
      <c r="D31" s="91"/>
      <c r="E31" s="1"/>
      <c r="F31" s="59"/>
      <c r="G31" s="59"/>
      <c r="H31" s="59"/>
      <c r="I31" s="59"/>
      <c r="K31" s="257"/>
      <c r="L31" s="257" t="s">
        <v>2127</v>
      </c>
      <c r="M31" s="258">
        <f>SUM(M22:M30)</f>
        <v>0</v>
      </c>
      <c r="N31" s="259"/>
    </row>
    <row r="32" spans="2:21" ht="12.75" customHeight="1" x14ac:dyDescent="0.25">
      <c r="B32" s="16"/>
      <c r="C32" s="57"/>
      <c r="D32" s="91"/>
      <c r="E32" s="1"/>
      <c r="F32" s="59"/>
      <c r="G32" s="59"/>
      <c r="H32" s="59"/>
      <c r="I32" s="59"/>
      <c r="K32" s="260"/>
      <c r="L32" s="260"/>
      <c r="M32" s="260"/>
      <c r="N32" s="261"/>
    </row>
    <row r="33" spans="2:18" ht="12.75" customHeight="1" x14ac:dyDescent="0.25">
      <c r="B33" s="16"/>
      <c r="C33" s="1"/>
      <c r="D33" s="91"/>
      <c r="E33" s="1"/>
      <c r="F33" s="59"/>
      <c r="G33" s="59"/>
      <c r="H33" s="59"/>
      <c r="I33" s="59"/>
      <c r="K33" s="257"/>
      <c r="L33" s="257" t="s">
        <v>2128</v>
      </c>
      <c r="M33" s="258">
        <f>M31-M18</f>
        <v>0</v>
      </c>
      <c r="N33" s="259"/>
    </row>
    <row r="34" spans="2:18" ht="12.75" customHeight="1" x14ac:dyDescent="0.25">
      <c r="B34" s="16"/>
      <c r="C34" s="57"/>
      <c r="D34" s="91"/>
      <c r="E34" s="1"/>
      <c r="F34" s="59"/>
      <c r="G34" s="59"/>
      <c r="H34" s="59"/>
      <c r="I34" s="59"/>
    </row>
    <row r="36" spans="2:18" ht="12.75" customHeight="1" thickBot="1" x14ac:dyDescent="0.3">
      <c r="K36" s="243"/>
      <c r="L36" s="243"/>
    </row>
    <row r="37" spans="2:18" ht="12.75" customHeight="1" thickBot="1" x14ac:dyDescent="0.3">
      <c r="B37" s="351" t="s">
        <v>1256</v>
      </c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M37" s="251"/>
      <c r="N37" s="251"/>
      <c r="O37" s="340"/>
    </row>
    <row r="38" spans="2:18" ht="12.75" customHeight="1" x14ac:dyDescent="0.25">
      <c r="B38" s="411" t="s">
        <v>184</v>
      </c>
      <c r="C38" s="204" t="s">
        <v>2079</v>
      </c>
      <c r="D38" s="204" t="s">
        <v>1258</v>
      </c>
      <c r="E38" s="412" t="s">
        <v>1257</v>
      </c>
      <c r="F38" s="204" t="s">
        <v>469</v>
      </c>
      <c r="G38" s="412" t="s">
        <v>188</v>
      </c>
      <c r="H38" s="412" t="s">
        <v>470</v>
      </c>
      <c r="I38" s="412" t="s">
        <v>1839</v>
      </c>
      <c r="J38" s="412" t="s">
        <v>1840</v>
      </c>
      <c r="K38" s="412" t="s">
        <v>2247</v>
      </c>
      <c r="L38" s="412" t="s">
        <v>1251</v>
      </c>
      <c r="M38" s="412" t="s">
        <v>1216</v>
      </c>
      <c r="N38" s="412" t="s">
        <v>668</v>
      </c>
      <c r="O38" s="204" t="s">
        <v>1212</v>
      </c>
      <c r="P38" s="204" t="s">
        <v>186</v>
      </c>
    </row>
    <row r="39" spans="2:18" ht="12.75" customHeight="1" x14ac:dyDescent="0.25">
      <c r="B39" s="410" t="s">
        <v>2245</v>
      </c>
      <c r="C39" s="16" t="s">
        <v>2243</v>
      </c>
      <c r="D39" s="232" t="s">
        <v>1249</v>
      </c>
      <c r="E39" s="2">
        <v>5000</v>
      </c>
      <c r="F39" s="2">
        <v>200</v>
      </c>
      <c r="G39" s="60">
        <v>23.7</v>
      </c>
      <c r="H39" s="299">
        <f t="shared" ref="H39:H102" si="0">F39*G39</f>
        <v>4740</v>
      </c>
      <c r="I39" s="60">
        <v>36</v>
      </c>
      <c r="J39" s="302"/>
      <c r="K39" s="302"/>
      <c r="L39" s="302"/>
      <c r="M39" s="60">
        <f t="shared" ref="M39:M70" si="1">SUM(I39:L39)</f>
        <v>36</v>
      </c>
      <c r="N39" s="299">
        <f t="shared" ref="N39:N102" si="2">H39+M39</f>
        <v>4776</v>
      </c>
      <c r="O39" s="263" t="s">
        <v>2244</v>
      </c>
      <c r="P39" s="263" t="s">
        <v>197</v>
      </c>
    </row>
    <row r="40" spans="2:18" ht="12.75" customHeight="1" x14ac:dyDescent="0.25">
      <c r="B40" s="410" t="s">
        <v>2245</v>
      </c>
      <c r="C40" s="16" t="s">
        <v>2243</v>
      </c>
      <c r="D40" s="2" t="s">
        <v>1249</v>
      </c>
      <c r="E40" s="2">
        <v>5000</v>
      </c>
      <c r="F40" s="2">
        <v>100</v>
      </c>
      <c r="G40" s="60">
        <v>24</v>
      </c>
      <c r="H40" s="299">
        <f t="shared" si="0"/>
        <v>2400</v>
      </c>
      <c r="I40" s="60">
        <v>18</v>
      </c>
      <c r="J40" s="302"/>
      <c r="K40" s="302"/>
      <c r="L40" s="302"/>
      <c r="M40" s="60">
        <f t="shared" si="1"/>
        <v>18</v>
      </c>
      <c r="N40" s="299">
        <f t="shared" si="2"/>
        <v>2418</v>
      </c>
      <c r="O40" s="263" t="s">
        <v>2244</v>
      </c>
      <c r="P40" s="263" t="s">
        <v>197</v>
      </c>
    </row>
    <row r="41" spans="2:18" ht="12.75" customHeight="1" x14ac:dyDescent="0.25">
      <c r="B41" s="410" t="s">
        <v>2245</v>
      </c>
      <c r="C41" s="16" t="s">
        <v>2243</v>
      </c>
      <c r="D41" s="2" t="s">
        <v>1249</v>
      </c>
      <c r="E41" s="2">
        <v>5000</v>
      </c>
      <c r="F41" s="2">
        <v>100</v>
      </c>
      <c r="G41" s="60">
        <v>21.65</v>
      </c>
      <c r="H41" s="299">
        <f t="shared" si="0"/>
        <v>2165</v>
      </c>
      <c r="I41" s="60">
        <v>18</v>
      </c>
      <c r="J41" s="60">
        <v>9.6999999999999993</v>
      </c>
      <c r="K41" s="60">
        <v>1</v>
      </c>
      <c r="L41" s="60">
        <v>6.51</v>
      </c>
      <c r="M41" s="60">
        <f t="shared" si="1"/>
        <v>35.21</v>
      </c>
      <c r="N41" s="299">
        <f t="shared" si="2"/>
        <v>2200.21</v>
      </c>
      <c r="O41" s="263" t="s">
        <v>2244</v>
      </c>
      <c r="P41" s="263" t="s">
        <v>197</v>
      </c>
    </row>
    <row r="42" spans="2:18" ht="13.2" x14ac:dyDescent="0.25">
      <c r="B42" s="325" t="s">
        <v>2256</v>
      </c>
      <c r="C42" s="295" t="s">
        <v>2246</v>
      </c>
      <c r="D42" s="16" t="s">
        <v>1245</v>
      </c>
      <c r="E42" s="2">
        <v>5000</v>
      </c>
      <c r="F42" s="2">
        <v>100</v>
      </c>
      <c r="G42" s="60">
        <v>210</v>
      </c>
      <c r="H42" s="299">
        <f t="shared" si="0"/>
        <v>21000</v>
      </c>
      <c r="I42" s="60">
        <v>18</v>
      </c>
      <c r="J42" s="247">
        <v>4.04</v>
      </c>
      <c r="K42" s="247">
        <v>2</v>
      </c>
      <c r="L42" s="247">
        <v>14.7</v>
      </c>
      <c r="M42" s="60">
        <f t="shared" si="1"/>
        <v>38.739999999999995</v>
      </c>
      <c r="N42" s="299">
        <f t="shared" si="2"/>
        <v>21038.74</v>
      </c>
      <c r="O42" s="304" t="s">
        <v>2257</v>
      </c>
      <c r="P42" s="304" t="s">
        <v>197</v>
      </c>
      <c r="R42" s="247"/>
    </row>
    <row r="43" spans="2:18" ht="12.75" customHeight="1" x14ac:dyDescent="0.25">
      <c r="B43" s="325" t="s">
        <v>2253</v>
      </c>
      <c r="C43" s="16" t="s">
        <v>2246</v>
      </c>
      <c r="D43" s="2" t="s">
        <v>1245</v>
      </c>
      <c r="E43" s="2">
        <v>5100</v>
      </c>
      <c r="F43" s="2">
        <v>50</v>
      </c>
      <c r="G43" s="60">
        <v>205</v>
      </c>
      <c r="H43" s="299">
        <f t="shared" si="0"/>
        <v>10250</v>
      </c>
      <c r="I43" s="60">
        <v>9</v>
      </c>
      <c r="J43" s="307"/>
      <c r="K43" s="312"/>
      <c r="L43" s="312"/>
      <c r="M43" s="60">
        <f t="shared" si="1"/>
        <v>9</v>
      </c>
      <c r="N43" s="299">
        <f t="shared" si="2"/>
        <v>10259</v>
      </c>
      <c r="O43" s="263" t="s">
        <v>2252</v>
      </c>
      <c r="P43" s="263" t="s">
        <v>197</v>
      </c>
    </row>
    <row r="44" spans="2:18" ht="13.2" x14ac:dyDescent="0.25">
      <c r="B44" s="325" t="s">
        <v>2253</v>
      </c>
      <c r="C44" s="16" t="s">
        <v>2246</v>
      </c>
      <c r="D44" s="2" t="s">
        <v>1245</v>
      </c>
      <c r="E44" s="2">
        <v>5100</v>
      </c>
      <c r="F44" s="2">
        <v>50</v>
      </c>
      <c r="G44" s="60">
        <v>205</v>
      </c>
      <c r="H44" s="299">
        <f t="shared" si="0"/>
        <v>10250</v>
      </c>
      <c r="I44" s="60">
        <v>9</v>
      </c>
      <c r="J44" s="320">
        <v>3.99</v>
      </c>
      <c r="K44" s="247">
        <v>2</v>
      </c>
      <c r="L44" s="247">
        <v>14.35</v>
      </c>
      <c r="M44" s="60">
        <f t="shared" si="1"/>
        <v>29.34</v>
      </c>
      <c r="N44" s="299">
        <f t="shared" si="2"/>
        <v>10279.34</v>
      </c>
      <c r="O44" s="304" t="s">
        <v>2252</v>
      </c>
      <c r="P44" s="304" t="s">
        <v>197</v>
      </c>
      <c r="R44" s="247"/>
    </row>
    <row r="45" spans="2:18" ht="12.75" customHeight="1" x14ac:dyDescent="0.25">
      <c r="B45" s="325" t="s">
        <v>2251</v>
      </c>
      <c r="C45" s="325" t="s">
        <v>2246</v>
      </c>
      <c r="D45" s="16" t="s">
        <v>1245</v>
      </c>
      <c r="E45" s="2">
        <v>5000</v>
      </c>
      <c r="F45" s="2">
        <v>200</v>
      </c>
      <c r="G45" s="60">
        <v>144.30000000000001</v>
      </c>
      <c r="H45" s="299">
        <f t="shared" si="0"/>
        <v>28860.000000000004</v>
      </c>
      <c r="I45" s="60">
        <v>36</v>
      </c>
      <c r="J45" s="320">
        <v>6.95</v>
      </c>
      <c r="K45" s="247">
        <v>2</v>
      </c>
      <c r="L45" s="247">
        <v>20.2</v>
      </c>
      <c r="M45" s="60">
        <f t="shared" si="1"/>
        <v>65.150000000000006</v>
      </c>
      <c r="N45" s="299">
        <f t="shared" si="2"/>
        <v>28925.150000000005</v>
      </c>
      <c r="O45" s="263" t="s">
        <v>2250</v>
      </c>
      <c r="P45" s="263" t="s">
        <v>197</v>
      </c>
    </row>
    <row r="46" spans="2:18" ht="12.75" customHeight="1" x14ac:dyDescent="0.25">
      <c r="B46" s="325" t="s">
        <v>2249</v>
      </c>
      <c r="C46" s="16" t="s">
        <v>2246</v>
      </c>
      <c r="D46" s="2" t="s">
        <v>1245</v>
      </c>
      <c r="E46" s="2">
        <v>5200</v>
      </c>
      <c r="F46" s="2">
        <v>50</v>
      </c>
      <c r="G46" s="60">
        <v>196</v>
      </c>
      <c r="H46" s="299">
        <f t="shared" si="0"/>
        <v>9800</v>
      </c>
      <c r="I46" s="60">
        <v>9</v>
      </c>
      <c r="J46" s="302"/>
      <c r="K46" s="302"/>
      <c r="L46" s="302"/>
      <c r="M46" s="60">
        <f t="shared" si="1"/>
        <v>9</v>
      </c>
      <c r="N46" s="299">
        <f t="shared" si="2"/>
        <v>9809</v>
      </c>
      <c r="O46" s="263" t="s">
        <v>2248</v>
      </c>
      <c r="P46" s="263" t="s">
        <v>197</v>
      </c>
    </row>
    <row r="47" spans="2:18" ht="12.75" customHeight="1" x14ac:dyDescent="0.25">
      <c r="B47" s="325" t="s">
        <v>2249</v>
      </c>
      <c r="C47" s="16" t="s">
        <v>2246</v>
      </c>
      <c r="D47" s="2" t="s">
        <v>1245</v>
      </c>
      <c r="E47" s="2">
        <v>5200</v>
      </c>
      <c r="F47" s="2">
        <v>50</v>
      </c>
      <c r="G47" s="60">
        <v>197</v>
      </c>
      <c r="H47" s="299">
        <f t="shared" si="0"/>
        <v>9850</v>
      </c>
      <c r="I47" s="60">
        <v>9</v>
      </c>
      <c r="J47" s="60">
        <v>3.92</v>
      </c>
      <c r="K47" s="60">
        <v>2</v>
      </c>
      <c r="L47" s="247">
        <v>13.76</v>
      </c>
      <c r="M47" s="60">
        <f t="shared" si="1"/>
        <v>28.68</v>
      </c>
      <c r="N47" s="299">
        <f t="shared" si="2"/>
        <v>9878.68</v>
      </c>
      <c r="O47" s="263" t="s">
        <v>2257</v>
      </c>
      <c r="P47" s="263" t="s">
        <v>197</v>
      </c>
    </row>
    <row r="48" spans="2:18" ht="12.75" customHeight="1" x14ac:dyDescent="0.25">
      <c r="B48" s="325" t="s">
        <v>1015</v>
      </c>
      <c r="C48" s="16" t="s">
        <v>1014</v>
      </c>
      <c r="D48" s="2" t="s">
        <v>1249</v>
      </c>
      <c r="E48" s="2">
        <v>5300</v>
      </c>
      <c r="F48" s="2">
        <v>200</v>
      </c>
      <c r="G48" s="60">
        <v>47.65</v>
      </c>
      <c r="H48" s="299">
        <f t="shared" si="0"/>
        <v>9530</v>
      </c>
      <c r="I48" s="60">
        <v>36</v>
      </c>
      <c r="J48" s="307"/>
      <c r="K48" s="312"/>
      <c r="L48" s="312"/>
      <c r="M48" s="60">
        <f t="shared" si="1"/>
        <v>36</v>
      </c>
      <c r="N48" s="299">
        <f t="shared" si="2"/>
        <v>9566</v>
      </c>
      <c r="O48" s="304" t="s">
        <v>1016</v>
      </c>
      <c r="P48" s="263" t="s">
        <v>197</v>
      </c>
    </row>
    <row r="49" spans="2:18" ht="13.2" x14ac:dyDescent="0.25">
      <c r="B49" s="325" t="s">
        <v>1018</v>
      </c>
      <c r="C49" s="16" t="s">
        <v>2246</v>
      </c>
      <c r="D49" s="2" t="s">
        <v>1245</v>
      </c>
      <c r="E49" s="2">
        <v>5300</v>
      </c>
      <c r="F49" s="2">
        <v>100</v>
      </c>
      <c r="G49" s="60">
        <v>164.9</v>
      </c>
      <c r="H49" s="303">
        <f t="shared" si="0"/>
        <v>16490</v>
      </c>
      <c r="I49" s="60">
        <v>18</v>
      </c>
      <c r="J49" s="315"/>
      <c r="K49" s="312"/>
      <c r="L49" s="312"/>
      <c r="M49" s="60">
        <f t="shared" si="1"/>
        <v>18</v>
      </c>
      <c r="N49" s="299">
        <f t="shared" si="2"/>
        <v>16508</v>
      </c>
      <c r="O49" s="304" t="s">
        <v>1019</v>
      </c>
      <c r="P49" s="304" t="s">
        <v>197</v>
      </c>
    </row>
    <row r="50" spans="2:18" ht="12.75" customHeight="1" x14ac:dyDescent="0.25">
      <c r="B50" s="325" t="s">
        <v>1020</v>
      </c>
      <c r="C50" s="16" t="s">
        <v>2246</v>
      </c>
      <c r="D50" s="2" t="s">
        <v>1245</v>
      </c>
      <c r="E50" s="2">
        <v>5300</v>
      </c>
      <c r="F50" s="2">
        <v>50</v>
      </c>
      <c r="G50" s="60">
        <v>149.65</v>
      </c>
      <c r="H50" s="303">
        <f t="shared" si="0"/>
        <v>7482.5</v>
      </c>
      <c r="I50" s="60">
        <v>9</v>
      </c>
      <c r="J50" s="315"/>
      <c r="K50" s="312"/>
      <c r="L50" s="312"/>
      <c r="M50" s="60">
        <f t="shared" si="1"/>
        <v>9</v>
      </c>
      <c r="N50" s="299">
        <f t="shared" si="2"/>
        <v>7491.5</v>
      </c>
      <c r="O50" s="263" t="s">
        <v>1021</v>
      </c>
      <c r="P50" s="263" t="s">
        <v>197</v>
      </c>
    </row>
    <row r="51" spans="2:18" ht="12.75" customHeight="1" x14ac:dyDescent="0.25">
      <c r="B51" s="325" t="s">
        <v>1020</v>
      </c>
      <c r="C51" s="16" t="s">
        <v>2246</v>
      </c>
      <c r="D51" s="2" t="s">
        <v>1245</v>
      </c>
      <c r="E51" s="2">
        <v>5300</v>
      </c>
      <c r="F51" s="2">
        <v>50</v>
      </c>
      <c r="G51" s="60">
        <v>149.65</v>
      </c>
      <c r="H51" s="303">
        <f t="shared" si="0"/>
        <v>7482.5</v>
      </c>
      <c r="I51" s="60">
        <v>9</v>
      </c>
      <c r="J51" s="60">
        <v>3.52</v>
      </c>
      <c r="K51" s="60">
        <v>1</v>
      </c>
      <c r="L51" s="247">
        <v>10.48</v>
      </c>
      <c r="M51" s="60">
        <f t="shared" si="1"/>
        <v>24</v>
      </c>
      <c r="N51" s="299">
        <f t="shared" si="2"/>
        <v>7506.5</v>
      </c>
      <c r="O51" s="263" t="s">
        <v>1021</v>
      </c>
      <c r="P51" s="263" t="s">
        <v>197</v>
      </c>
    </row>
    <row r="52" spans="2:18" ht="12.75" customHeight="1" x14ac:dyDescent="0.25">
      <c r="B52" s="325" t="s">
        <v>1023</v>
      </c>
      <c r="C52" s="16" t="s">
        <v>1014</v>
      </c>
      <c r="D52" s="2" t="s">
        <v>1245</v>
      </c>
      <c r="E52" s="2">
        <v>5200</v>
      </c>
      <c r="F52" s="2">
        <v>500</v>
      </c>
      <c r="G52" s="60">
        <v>23</v>
      </c>
      <c r="H52" s="303">
        <f t="shared" si="0"/>
        <v>11500</v>
      </c>
      <c r="I52" s="60">
        <v>90</v>
      </c>
      <c r="J52" s="302"/>
      <c r="K52" s="302"/>
      <c r="L52" s="312"/>
      <c r="M52" s="60">
        <f t="shared" si="1"/>
        <v>90</v>
      </c>
      <c r="N52" s="299">
        <f t="shared" si="2"/>
        <v>11590</v>
      </c>
      <c r="O52" s="263" t="s">
        <v>1030</v>
      </c>
      <c r="P52" s="263" t="s">
        <v>197</v>
      </c>
    </row>
    <row r="53" spans="2:18" ht="13.2" x14ac:dyDescent="0.25">
      <c r="B53" s="325" t="s">
        <v>1023</v>
      </c>
      <c r="C53" s="16" t="s">
        <v>1014</v>
      </c>
      <c r="D53" s="2" t="s">
        <v>1245</v>
      </c>
      <c r="E53" s="2">
        <v>5200</v>
      </c>
      <c r="F53" s="2">
        <v>200</v>
      </c>
      <c r="G53" s="60">
        <v>22.55</v>
      </c>
      <c r="H53" s="303">
        <f t="shared" si="0"/>
        <v>4510</v>
      </c>
      <c r="I53" s="60">
        <v>36</v>
      </c>
      <c r="J53" s="60">
        <v>16.96</v>
      </c>
      <c r="K53" s="60">
        <v>1</v>
      </c>
      <c r="L53" s="247">
        <v>11.21</v>
      </c>
      <c r="M53" s="60">
        <f t="shared" si="1"/>
        <v>65.17</v>
      </c>
      <c r="N53" s="299">
        <f t="shared" si="2"/>
        <v>4575.17</v>
      </c>
      <c r="O53" s="263" t="s">
        <v>1030</v>
      </c>
      <c r="P53" s="263" t="s">
        <v>197</v>
      </c>
    </row>
    <row r="54" spans="2:18" ht="13.2" x14ac:dyDescent="0.25">
      <c r="B54" s="325" t="s">
        <v>1035</v>
      </c>
      <c r="C54" s="325" t="s">
        <v>1014</v>
      </c>
      <c r="D54" s="16" t="s">
        <v>1249</v>
      </c>
      <c r="E54" s="2">
        <v>5100</v>
      </c>
      <c r="F54" s="2">
        <v>50</v>
      </c>
      <c r="G54" s="60">
        <v>10.5</v>
      </c>
      <c r="H54" s="303">
        <f t="shared" si="0"/>
        <v>525</v>
      </c>
      <c r="I54" s="60">
        <v>9</v>
      </c>
      <c r="J54" s="315"/>
      <c r="K54" s="312"/>
      <c r="L54" s="312"/>
      <c r="M54" s="60">
        <f t="shared" si="1"/>
        <v>9</v>
      </c>
      <c r="N54" s="299">
        <f t="shared" si="2"/>
        <v>534</v>
      </c>
      <c r="O54" s="304" t="s">
        <v>1036</v>
      </c>
      <c r="P54" s="304" t="s">
        <v>197</v>
      </c>
      <c r="R54" s="247"/>
    </row>
    <row r="55" spans="2:18" ht="12.75" customHeight="1" x14ac:dyDescent="0.25">
      <c r="B55" s="325" t="s">
        <v>1035</v>
      </c>
      <c r="C55" s="325" t="s">
        <v>1014</v>
      </c>
      <c r="D55" s="16" t="s">
        <v>1249</v>
      </c>
      <c r="E55" s="2">
        <v>5100</v>
      </c>
      <c r="F55" s="2">
        <v>450</v>
      </c>
      <c r="G55" s="60">
        <v>10.5</v>
      </c>
      <c r="H55" s="303">
        <f t="shared" si="0"/>
        <v>4725</v>
      </c>
      <c r="I55" s="60">
        <v>81</v>
      </c>
      <c r="J55" s="315"/>
      <c r="K55" s="312"/>
      <c r="L55" s="312"/>
      <c r="M55" s="60">
        <f t="shared" si="1"/>
        <v>81</v>
      </c>
      <c r="N55" s="299">
        <f t="shared" si="2"/>
        <v>4806</v>
      </c>
      <c r="O55" s="304" t="s">
        <v>1036</v>
      </c>
      <c r="P55" s="304" t="s">
        <v>197</v>
      </c>
      <c r="Q55" s="299"/>
    </row>
    <row r="56" spans="2:18" ht="12.75" customHeight="1" x14ac:dyDescent="0.25">
      <c r="B56" s="325" t="s">
        <v>1035</v>
      </c>
      <c r="C56" s="325" t="s">
        <v>1034</v>
      </c>
      <c r="D56" s="16" t="s">
        <v>1249</v>
      </c>
      <c r="E56" s="2">
        <v>5200</v>
      </c>
      <c r="F56" s="2">
        <v>300</v>
      </c>
      <c r="G56" s="60">
        <v>62.75</v>
      </c>
      <c r="H56" s="303">
        <f t="shared" si="0"/>
        <v>18825</v>
      </c>
      <c r="I56" s="60">
        <v>54</v>
      </c>
      <c r="J56" s="315"/>
      <c r="K56" s="312"/>
      <c r="L56" s="312"/>
      <c r="M56" s="60">
        <f t="shared" si="1"/>
        <v>54</v>
      </c>
      <c r="N56" s="299">
        <f t="shared" si="2"/>
        <v>18879</v>
      </c>
      <c r="O56" s="304" t="s">
        <v>1036</v>
      </c>
      <c r="P56" s="304" t="s">
        <v>197</v>
      </c>
      <c r="Q56" s="299"/>
    </row>
    <row r="57" spans="2:18" ht="12.75" customHeight="1" x14ac:dyDescent="0.25">
      <c r="B57" s="325" t="s">
        <v>1035</v>
      </c>
      <c r="C57" s="325" t="s">
        <v>1014</v>
      </c>
      <c r="D57" s="16" t="s">
        <v>1249</v>
      </c>
      <c r="E57" s="2">
        <v>5100</v>
      </c>
      <c r="F57" s="2">
        <v>200</v>
      </c>
      <c r="G57" s="60">
        <v>6.55</v>
      </c>
      <c r="H57" s="303">
        <f t="shared" si="0"/>
        <v>1310</v>
      </c>
      <c r="I57" s="60">
        <v>36</v>
      </c>
      <c r="J57" s="315"/>
      <c r="K57" s="312"/>
      <c r="L57" s="312"/>
      <c r="M57" s="60">
        <f t="shared" si="1"/>
        <v>36</v>
      </c>
      <c r="N57" s="299">
        <f t="shared" si="2"/>
        <v>1346</v>
      </c>
      <c r="O57" s="304" t="s">
        <v>1036</v>
      </c>
      <c r="P57" s="304" t="s">
        <v>197</v>
      </c>
      <c r="Q57" s="299"/>
    </row>
    <row r="58" spans="2:18" ht="13.2" x14ac:dyDescent="0.25">
      <c r="B58" s="325" t="s">
        <v>1035</v>
      </c>
      <c r="C58" s="295" t="s">
        <v>1034</v>
      </c>
      <c r="D58" s="16" t="s">
        <v>1249</v>
      </c>
      <c r="E58" s="2">
        <v>5200</v>
      </c>
      <c r="F58" s="2">
        <v>150</v>
      </c>
      <c r="G58" s="60">
        <v>50.85</v>
      </c>
      <c r="H58" s="303">
        <f t="shared" si="0"/>
        <v>7627.5</v>
      </c>
      <c r="I58" s="60">
        <v>27</v>
      </c>
      <c r="J58" s="315"/>
      <c r="K58" s="312"/>
      <c r="L58" s="312"/>
      <c r="M58" s="60">
        <f t="shared" si="1"/>
        <v>27</v>
      </c>
      <c r="N58" s="299">
        <f t="shared" si="2"/>
        <v>7654.5</v>
      </c>
      <c r="O58" s="304" t="s">
        <v>1036</v>
      </c>
      <c r="P58" s="304" t="s">
        <v>197</v>
      </c>
      <c r="R58" s="247"/>
    </row>
    <row r="59" spans="2:18" ht="12.75" customHeight="1" x14ac:dyDescent="0.25">
      <c r="B59" s="325" t="s">
        <v>1035</v>
      </c>
      <c r="C59" s="325" t="s">
        <v>1034</v>
      </c>
      <c r="D59" s="16" t="s">
        <v>1249</v>
      </c>
      <c r="E59" s="2">
        <v>5200</v>
      </c>
      <c r="F59" s="2">
        <v>50</v>
      </c>
      <c r="G59" s="60">
        <v>50.85</v>
      </c>
      <c r="H59" s="303">
        <f t="shared" si="0"/>
        <v>2542.5</v>
      </c>
      <c r="I59" s="60">
        <v>9</v>
      </c>
      <c r="J59" s="315"/>
      <c r="K59" s="312"/>
      <c r="L59" s="312"/>
      <c r="M59" s="60">
        <f t="shared" si="1"/>
        <v>9</v>
      </c>
      <c r="N59" s="299">
        <f t="shared" si="2"/>
        <v>2551.5</v>
      </c>
      <c r="O59" s="304" t="s">
        <v>1036</v>
      </c>
      <c r="P59" s="304" t="s">
        <v>197</v>
      </c>
      <c r="Q59" s="299"/>
    </row>
    <row r="60" spans="2:18" ht="13.2" x14ac:dyDescent="0.25">
      <c r="B60" s="325" t="s">
        <v>1035</v>
      </c>
      <c r="C60" s="16" t="s">
        <v>1034</v>
      </c>
      <c r="D60" s="2" t="s">
        <v>1249</v>
      </c>
      <c r="E60" s="2">
        <v>5200</v>
      </c>
      <c r="F60" s="2">
        <v>50</v>
      </c>
      <c r="G60" s="60">
        <v>50</v>
      </c>
      <c r="H60" s="303">
        <f t="shared" si="0"/>
        <v>2500</v>
      </c>
      <c r="I60" s="60">
        <v>9</v>
      </c>
      <c r="J60" s="315"/>
      <c r="K60" s="312"/>
      <c r="L60" s="312"/>
      <c r="M60" s="60">
        <f t="shared" si="1"/>
        <v>9</v>
      </c>
      <c r="N60" s="299">
        <f t="shared" si="2"/>
        <v>2509</v>
      </c>
      <c r="O60" s="304" t="s">
        <v>1036</v>
      </c>
      <c r="P60" s="304" t="s">
        <v>197</v>
      </c>
      <c r="R60" s="247"/>
    </row>
    <row r="61" spans="2:18" ht="13.2" x14ac:dyDescent="0.25">
      <c r="B61" s="325" t="s">
        <v>1035</v>
      </c>
      <c r="C61" s="295" t="s">
        <v>1034</v>
      </c>
      <c r="D61" s="16" t="s">
        <v>1249</v>
      </c>
      <c r="E61" s="2">
        <v>5200</v>
      </c>
      <c r="F61" s="2">
        <v>150</v>
      </c>
      <c r="G61" s="60">
        <v>50</v>
      </c>
      <c r="H61" s="303">
        <f t="shared" si="0"/>
        <v>7500</v>
      </c>
      <c r="I61" s="60">
        <v>27</v>
      </c>
      <c r="J61" s="299">
        <v>43.52</v>
      </c>
      <c r="K61" s="247">
        <v>14</v>
      </c>
      <c r="L61" s="247">
        <v>64.09</v>
      </c>
      <c r="M61" s="60">
        <f t="shared" si="1"/>
        <v>148.61000000000001</v>
      </c>
      <c r="N61" s="299">
        <f t="shared" si="2"/>
        <v>7648.61</v>
      </c>
      <c r="O61" s="304" t="s">
        <v>1036</v>
      </c>
      <c r="P61" s="304" t="s">
        <v>197</v>
      </c>
      <c r="R61" s="247"/>
    </row>
    <row r="62" spans="2:18" ht="12.75" customHeight="1" x14ac:dyDescent="0.25">
      <c r="B62" s="325" t="s">
        <v>1029</v>
      </c>
      <c r="C62" s="325" t="s">
        <v>1034</v>
      </c>
      <c r="D62" s="16" t="s">
        <v>1249</v>
      </c>
      <c r="E62" s="2">
        <v>5200</v>
      </c>
      <c r="F62" s="2">
        <v>150</v>
      </c>
      <c r="G62" s="60">
        <v>57</v>
      </c>
      <c r="H62" s="303">
        <f t="shared" si="0"/>
        <v>8550</v>
      </c>
      <c r="I62" s="60">
        <v>27</v>
      </c>
      <c r="J62" s="302"/>
      <c r="K62" s="302"/>
      <c r="L62" s="312"/>
      <c r="M62" s="60">
        <f t="shared" si="1"/>
        <v>27</v>
      </c>
      <c r="N62" s="299">
        <f t="shared" si="2"/>
        <v>8577</v>
      </c>
      <c r="O62" s="263" t="s">
        <v>1017</v>
      </c>
      <c r="P62" s="263" t="s">
        <v>197</v>
      </c>
    </row>
    <row r="63" spans="2:18" ht="12.75" customHeight="1" x14ac:dyDescent="0.25">
      <c r="B63" s="325" t="s">
        <v>1029</v>
      </c>
      <c r="C63" s="16" t="s">
        <v>1034</v>
      </c>
      <c r="D63" s="2" t="s">
        <v>1249</v>
      </c>
      <c r="E63" s="2">
        <v>5200</v>
      </c>
      <c r="F63" s="2">
        <v>150</v>
      </c>
      <c r="G63" s="60">
        <v>57</v>
      </c>
      <c r="H63" s="303">
        <f t="shared" si="0"/>
        <v>8550</v>
      </c>
      <c r="I63" s="60">
        <v>27</v>
      </c>
      <c r="J63" s="60">
        <v>8.15</v>
      </c>
      <c r="K63" s="60">
        <v>2</v>
      </c>
      <c r="L63" s="247">
        <v>11.97</v>
      </c>
      <c r="M63" s="60">
        <f t="shared" si="1"/>
        <v>49.12</v>
      </c>
      <c r="N63" s="299">
        <f t="shared" si="2"/>
        <v>8599.1200000000008</v>
      </c>
      <c r="O63" s="263" t="s">
        <v>1017</v>
      </c>
      <c r="P63" s="263" t="s">
        <v>197</v>
      </c>
    </row>
    <row r="64" spans="2:18" ht="12.75" customHeight="1" x14ac:dyDescent="0.25">
      <c r="B64" s="325" t="s">
        <v>2481</v>
      </c>
      <c r="C64" s="295" t="s">
        <v>1034</v>
      </c>
      <c r="D64" s="16" t="s">
        <v>1249</v>
      </c>
      <c r="E64" s="2">
        <v>5300</v>
      </c>
      <c r="F64" s="2">
        <v>200</v>
      </c>
      <c r="G64" s="60">
        <v>53.9</v>
      </c>
      <c r="H64" s="303">
        <f t="shared" si="0"/>
        <v>10780</v>
      </c>
      <c r="I64" s="60">
        <v>36</v>
      </c>
      <c r="J64" s="302"/>
      <c r="K64" s="302"/>
      <c r="L64" s="312"/>
      <c r="M64" s="60">
        <f t="shared" si="1"/>
        <v>36</v>
      </c>
      <c r="N64" s="299">
        <f t="shared" si="2"/>
        <v>10816</v>
      </c>
      <c r="O64" s="304" t="s">
        <v>2482</v>
      </c>
      <c r="P64" s="263" t="s">
        <v>197</v>
      </c>
    </row>
    <row r="65" spans="2:18" ht="12.75" customHeight="1" x14ac:dyDescent="0.25">
      <c r="B65" s="325" t="s">
        <v>2481</v>
      </c>
      <c r="C65" s="295" t="s">
        <v>1034</v>
      </c>
      <c r="D65" s="16" t="s">
        <v>1249</v>
      </c>
      <c r="E65" s="2">
        <v>5300</v>
      </c>
      <c r="F65" s="2">
        <v>50</v>
      </c>
      <c r="G65" s="60">
        <v>53.95</v>
      </c>
      <c r="H65" s="303">
        <f t="shared" si="0"/>
        <v>2697.5</v>
      </c>
      <c r="I65" s="60">
        <v>9</v>
      </c>
      <c r="J65" s="302"/>
      <c r="K65" s="302"/>
      <c r="L65" s="312"/>
      <c r="M65" s="60">
        <f t="shared" si="1"/>
        <v>9</v>
      </c>
      <c r="N65" s="299">
        <f t="shared" si="2"/>
        <v>2706.5</v>
      </c>
      <c r="O65" s="304" t="s">
        <v>2482</v>
      </c>
      <c r="P65" s="263" t="s">
        <v>197</v>
      </c>
    </row>
    <row r="66" spans="2:18" ht="13.2" x14ac:dyDescent="0.25">
      <c r="B66" s="325" t="s">
        <v>2481</v>
      </c>
      <c r="C66" s="295" t="s">
        <v>2480</v>
      </c>
      <c r="D66" s="16" t="s">
        <v>1245</v>
      </c>
      <c r="E66" s="2">
        <v>5200</v>
      </c>
      <c r="F66" s="2">
        <v>50</v>
      </c>
      <c r="G66" s="60">
        <v>132</v>
      </c>
      <c r="H66" s="303">
        <f t="shared" si="0"/>
        <v>6600</v>
      </c>
      <c r="I66" s="60">
        <v>9</v>
      </c>
      <c r="J66" s="302"/>
      <c r="K66" s="302"/>
      <c r="L66" s="312"/>
      <c r="M66" s="60">
        <f t="shared" si="1"/>
        <v>9</v>
      </c>
      <c r="N66" s="299">
        <f t="shared" si="2"/>
        <v>6609</v>
      </c>
      <c r="O66" s="304" t="s">
        <v>2482</v>
      </c>
      <c r="P66" s="263" t="s">
        <v>197</v>
      </c>
      <c r="R66" s="247"/>
    </row>
    <row r="67" spans="2:18" ht="13.2" x14ac:dyDescent="0.25">
      <c r="B67" s="325" t="s">
        <v>2481</v>
      </c>
      <c r="C67" s="295" t="s">
        <v>2480</v>
      </c>
      <c r="D67" s="16" t="s">
        <v>1245</v>
      </c>
      <c r="E67" s="2">
        <v>5200</v>
      </c>
      <c r="F67" s="2">
        <v>350</v>
      </c>
      <c r="G67" s="60">
        <v>132</v>
      </c>
      <c r="H67" s="303">
        <f t="shared" si="0"/>
        <v>46200</v>
      </c>
      <c r="I67" s="60">
        <v>63</v>
      </c>
      <c r="J67" s="60">
        <v>26.89</v>
      </c>
      <c r="K67" s="60">
        <v>7</v>
      </c>
      <c r="L67" s="247">
        <v>55.56</v>
      </c>
      <c r="M67" s="60">
        <f t="shared" si="1"/>
        <v>152.44999999999999</v>
      </c>
      <c r="N67" s="299">
        <f t="shared" si="2"/>
        <v>46352.45</v>
      </c>
      <c r="O67" s="304" t="s">
        <v>2482</v>
      </c>
      <c r="P67" s="263" t="s">
        <v>197</v>
      </c>
      <c r="R67" s="247"/>
    </row>
    <row r="68" spans="2:18" ht="12.75" customHeight="1" x14ac:dyDescent="0.25">
      <c r="B68" s="325" t="s">
        <v>2483</v>
      </c>
      <c r="C68" s="295" t="s">
        <v>1034</v>
      </c>
      <c r="D68" s="16" t="s">
        <v>1249</v>
      </c>
      <c r="E68" s="2">
        <v>5300</v>
      </c>
      <c r="F68" s="2">
        <v>250</v>
      </c>
      <c r="G68" s="60">
        <v>62.25</v>
      </c>
      <c r="H68" s="303">
        <f t="shared" si="0"/>
        <v>15562.5</v>
      </c>
      <c r="I68" s="60">
        <v>45</v>
      </c>
      <c r="J68" s="316"/>
      <c r="K68" s="316"/>
      <c r="L68" s="316"/>
      <c r="M68" s="60">
        <f t="shared" si="1"/>
        <v>45</v>
      </c>
      <c r="N68" s="299">
        <f t="shared" si="2"/>
        <v>15607.5</v>
      </c>
      <c r="O68" s="304" t="s">
        <v>2484</v>
      </c>
      <c r="P68" s="263" t="s">
        <v>197</v>
      </c>
    </row>
    <row r="69" spans="2:18" ht="13.2" x14ac:dyDescent="0.25">
      <c r="B69" s="325" t="s">
        <v>2483</v>
      </c>
      <c r="C69" s="295" t="s">
        <v>1034</v>
      </c>
      <c r="D69" s="16" t="s">
        <v>1249</v>
      </c>
      <c r="E69" s="2">
        <v>5300</v>
      </c>
      <c r="F69" s="2">
        <v>250</v>
      </c>
      <c r="G69" s="60">
        <v>62.25</v>
      </c>
      <c r="H69" s="303">
        <f t="shared" si="0"/>
        <v>15562.5</v>
      </c>
      <c r="I69" s="60">
        <v>45</v>
      </c>
      <c r="J69" s="60">
        <v>27.11</v>
      </c>
      <c r="K69" s="60">
        <v>14</v>
      </c>
      <c r="L69" s="247">
        <v>57.35</v>
      </c>
      <c r="M69" s="60">
        <f t="shared" si="1"/>
        <v>143.46</v>
      </c>
      <c r="N69" s="299">
        <f t="shared" si="2"/>
        <v>15705.96</v>
      </c>
      <c r="O69" s="304" t="s">
        <v>2484</v>
      </c>
      <c r="P69" s="263" t="s">
        <v>197</v>
      </c>
    </row>
    <row r="70" spans="2:18" ht="12.75" customHeight="1" x14ac:dyDescent="0.25">
      <c r="B70" s="325" t="s">
        <v>2485</v>
      </c>
      <c r="C70" s="325" t="s">
        <v>1034</v>
      </c>
      <c r="D70" s="295" t="s">
        <v>1249</v>
      </c>
      <c r="E70" s="2">
        <v>5300</v>
      </c>
      <c r="F70" s="2">
        <v>500</v>
      </c>
      <c r="G70" s="60">
        <v>54.65</v>
      </c>
      <c r="H70" s="303">
        <f t="shared" si="0"/>
        <v>27325</v>
      </c>
      <c r="I70" s="60">
        <v>90</v>
      </c>
      <c r="J70" s="60">
        <v>26.34</v>
      </c>
      <c r="K70" s="60">
        <v>6</v>
      </c>
      <c r="L70" s="224">
        <v>33.090000000000003</v>
      </c>
      <c r="M70" s="60">
        <f t="shared" si="1"/>
        <v>155.43</v>
      </c>
      <c r="N70" s="299">
        <f t="shared" si="2"/>
        <v>27480.43</v>
      </c>
      <c r="O70" s="304" t="s">
        <v>2486</v>
      </c>
      <c r="P70" s="304" t="s">
        <v>197</v>
      </c>
    </row>
    <row r="71" spans="2:18" ht="13.2" x14ac:dyDescent="0.25">
      <c r="B71" s="325" t="s">
        <v>2490</v>
      </c>
      <c r="C71" s="325" t="s">
        <v>2491</v>
      </c>
      <c r="D71" s="325" t="s">
        <v>1249</v>
      </c>
      <c r="E71" s="2">
        <v>2150</v>
      </c>
      <c r="F71" s="2">
        <v>250</v>
      </c>
      <c r="G71" s="60">
        <v>35.9</v>
      </c>
      <c r="H71" s="303">
        <f t="shared" si="0"/>
        <v>8975</v>
      </c>
      <c r="I71" s="60">
        <v>18</v>
      </c>
      <c r="J71" s="302"/>
      <c r="K71" s="302"/>
      <c r="L71" s="312"/>
      <c r="M71" s="60">
        <f t="shared" ref="M71:M102" si="3">SUM(I71:L71)</f>
        <v>18</v>
      </c>
      <c r="N71" s="299">
        <f t="shared" si="2"/>
        <v>8993</v>
      </c>
      <c r="O71" s="304" t="s">
        <v>2492</v>
      </c>
      <c r="P71" s="304" t="s">
        <v>197</v>
      </c>
      <c r="R71" s="247"/>
    </row>
    <row r="72" spans="2:18" ht="13.2" x14ac:dyDescent="0.25">
      <c r="B72" s="325" t="s">
        <v>2490</v>
      </c>
      <c r="C72" s="325" t="s">
        <v>2491</v>
      </c>
      <c r="D72" s="325" t="s">
        <v>1249</v>
      </c>
      <c r="E72" s="2">
        <v>2150</v>
      </c>
      <c r="F72" s="2">
        <v>250</v>
      </c>
      <c r="G72" s="60">
        <v>35.950000000000003</v>
      </c>
      <c r="H72" s="303">
        <f t="shared" si="0"/>
        <v>8987.5</v>
      </c>
      <c r="I72" s="60">
        <v>18</v>
      </c>
      <c r="J72" s="302"/>
      <c r="K72" s="302"/>
      <c r="L72" s="312"/>
      <c r="M72" s="60">
        <f t="shared" si="3"/>
        <v>18</v>
      </c>
      <c r="N72" s="299">
        <f t="shared" si="2"/>
        <v>9005.5</v>
      </c>
      <c r="O72" s="304" t="s">
        <v>2492</v>
      </c>
      <c r="P72" s="304" t="s">
        <v>197</v>
      </c>
      <c r="R72" s="247"/>
    </row>
    <row r="73" spans="2:18" ht="13.2" x14ac:dyDescent="0.25">
      <c r="B73" s="325" t="s">
        <v>2490</v>
      </c>
      <c r="C73" s="325" t="s">
        <v>1034</v>
      </c>
      <c r="D73" s="325" t="s">
        <v>1249</v>
      </c>
      <c r="E73" s="2">
        <v>5500</v>
      </c>
      <c r="F73" s="2">
        <v>150</v>
      </c>
      <c r="G73" s="60">
        <v>21.25</v>
      </c>
      <c r="H73" s="303">
        <f t="shared" si="0"/>
        <v>3187.5</v>
      </c>
      <c r="I73" s="60">
        <v>27</v>
      </c>
      <c r="J73" s="302"/>
      <c r="K73" s="302"/>
      <c r="L73" s="312"/>
      <c r="M73" s="60">
        <f t="shared" si="3"/>
        <v>27</v>
      </c>
      <c r="N73" s="299">
        <f t="shared" si="2"/>
        <v>3214.5</v>
      </c>
      <c r="O73" s="304" t="s">
        <v>2492</v>
      </c>
      <c r="P73" s="304" t="s">
        <v>197</v>
      </c>
    </row>
    <row r="74" spans="2:18" ht="12.75" customHeight="1" x14ac:dyDescent="0.25">
      <c r="B74" s="325" t="s">
        <v>2490</v>
      </c>
      <c r="C74" s="325" t="s">
        <v>1034</v>
      </c>
      <c r="D74" s="325" t="s">
        <v>1249</v>
      </c>
      <c r="E74" s="2">
        <v>5500</v>
      </c>
      <c r="F74" s="2">
        <v>100</v>
      </c>
      <c r="G74" s="60">
        <v>21.3</v>
      </c>
      <c r="H74" s="303">
        <f t="shared" si="0"/>
        <v>2130</v>
      </c>
      <c r="I74" s="60">
        <v>18</v>
      </c>
      <c r="J74" s="302"/>
      <c r="K74" s="302"/>
      <c r="L74" s="312"/>
      <c r="M74" s="60">
        <f t="shared" si="3"/>
        <v>18</v>
      </c>
      <c r="N74" s="299">
        <f t="shared" si="2"/>
        <v>2148</v>
      </c>
      <c r="O74" s="304" t="s">
        <v>2492</v>
      </c>
      <c r="P74" s="304" t="s">
        <v>197</v>
      </c>
    </row>
    <row r="75" spans="2:18" ht="12.75" customHeight="1" x14ac:dyDescent="0.25">
      <c r="B75" s="325" t="s">
        <v>2490</v>
      </c>
      <c r="C75" s="325" t="s">
        <v>1034</v>
      </c>
      <c r="D75" s="2" t="s">
        <v>1249</v>
      </c>
      <c r="E75" s="2">
        <v>5500</v>
      </c>
      <c r="F75" s="2">
        <v>750</v>
      </c>
      <c r="G75" s="60">
        <v>21.3</v>
      </c>
      <c r="H75" s="303">
        <f t="shared" si="0"/>
        <v>15975</v>
      </c>
      <c r="I75" s="60">
        <v>135</v>
      </c>
      <c r="J75" s="60">
        <v>30.1</v>
      </c>
      <c r="K75" s="60">
        <v>3</v>
      </c>
      <c r="L75" s="247">
        <v>27.48</v>
      </c>
      <c r="M75" s="60">
        <f t="shared" si="3"/>
        <v>195.57999999999998</v>
      </c>
      <c r="N75" s="299">
        <f t="shared" si="2"/>
        <v>16170.58</v>
      </c>
      <c r="O75" s="304" t="s">
        <v>2492</v>
      </c>
      <c r="P75" s="304" t="s">
        <v>197</v>
      </c>
    </row>
    <row r="76" spans="2:18" ht="12.75" customHeight="1" x14ac:dyDescent="0.25">
      <c r="B76" s="325" t="s">
        <v>2493</v>
      </c>
      <c r="C76" s="325" t="s">
        <v>1034</v>
      </c>
      <c r="D76" s="295" t="s">
        <v>1249</v>
      </c>
      <c r="E76" s="2">
        <v>5500</v>
      </c>
      <c r="F76" s="2">
        <v>700</v>
      </c>
      <c r="G76" s="60">
        <v>21</v>
      </c>
      <c r="H76" s="303">
        <f t="shared" si="0"/>
        <v>14700</v>
      </c>
      <c r="I76" s="60">
        <v>126</v>
      </c>
      <c r="J76" s="312"/>
      <c r="K76" s="312"/>
      <c r="L76" s="312"/>
      <c r="M76" s="60">
        <f t="shared" si="3"/>
        <v>126</v>
      </c>
      <c r="N76" s="299">
        <f t="shared" si="2"/>
        <v>14826</v>
      </c>
      <c r="O76" s="263" t="s">
        <v>2494</v>
      </c>
      <c r="P76" s="263" t="s">
        <v>197</v>
      </c>
    </row>
    <row r="77" spans="2:18" ht="12.75" customHeight="1" x14ac:dyDescent="0.25">
      <c r="B77" s="325" t="s">
        <v>2493</v>
      </c>
      <c r="C77" s="325" t="s">
        <v>1034</v>
      </c>
      <c r="D77" s="295" t="s">
        <v>1249</v>
      </c>
      <c r="E77" s="2">
        <v>5500</v>
      </c>
      <c r="F77" s="2">
        <v>300</v>
      </c>
      <c r="G77" s="60">
        <v>21</v>
      </c>
      <c r="H77" s="303">
        <f t="shared" si="0"/>
        <v>6300</v>
      </c>
      <c r="I77" s="60">
        <v>54</v>
      </c>
      <c r="J77" s="312"/>
      <c r="K77" s="312"/>
      <c r="L77" s="312"/>
      <c r="M77" s="60">
        <f t="shared" si="3"/>
        <v>54</v>
      </c>
      <c r="N77" s="299">
        <f t="shared" si="2"/>
        <v>6354</v>
      </c>
      <c r="O77" s="263" t="s">
        <v>2494</v>
      </c>
      <c r="P77" s="263" t="s">
        <v>197</v>
      </c>
    </row>
    <row r="78" spans="2:18" ht="13.2" x14ac:dyDescent="0.25">
      <c r="B78" s="325" t="s">
        <v>2493</v>
      </c>
      <c r="C78" s="325" t="s">
        <v>1034</v>
      </c>
      <c r="D78" s="295" t="s">
        <v>1249</v>
      </c>
      <c r="E78" s="2">
        <v>5500</v>
      </c>
      <c r="F78" s="2">
        <v>1000</v>
      </c>
      <c r="G78" s="60">
        <v>19.399999999999999</v>
      </c>
      <c r="H78" s="303">
        <f t="shared" si="0"/>
        <v>19400</v>
      </c>
      <c r="I78" s="60">
        <v>180</v>
      </c>
      <c r="J78" s="312"/>
      <c r="K78" s="312"/>
      <c r="L78" s="312"/>
      <c r="M78" s="60">
        <f t="shared" si="3"/>
        <v>180</v>
      </c>
      <c r="N78" s="299">
        <f t="shared" si="2"/>
        <v>19580</v>
      </c>
      <c r="O78" s="263" t="s">
        <v>2494</v>
      </c>
      <c r="P78" s="263" t="s">
        <v>197</v>
      </c>
      <c r="R78" s="247"/>
    </row>
    <row r="79" spans="2:18" ht="13.2" x14ac:dyDescent="0.25">
      <c r="B79" s="325" t="s">
        <v>2493</v>
      </c>
      <c r="C79" s="325" t="s">
        <v>1034</v>
      </c>
      <c r="D79" s="325" t="s">
        <v>1249</v>
      </c>
      <c r="E79" s="2">
        <v>5500</v>
      </c>
      <c r="F79" s="2">
        <v>500</v>
      </c>
      <c r="G79" s="60">
        <v>17.75</v>
      </c>
      <c r="H79" s="303">
        <f t="shared" si="0"/>
        <v>8875</v>
      </c>
      <c r="I79" s="60">
        <v>90</v>
      </c>
      <c r="J79" s="302"/>
      <c r="K79" s="302"/>
      <c r="L79" s="312"/>
      <c r="M79" s="60">
        <f t="shared" si="3"/>
        <v>90</v>
      </c>
      <c r="N79" s="299">
        <f t="shared" si="2"/>
        <v>8965</v>
      </c>
      <c r="O79" s="263" t="s">
        <v>2494</v>
      </c>
      <c r="P79" s="263" t="s">
        <v>197</v>
      </c>
      <c r="R79" s="247"/>
    </row>
    <row r="80" spans="2:18" ht="13.2" x14ac:dyDescent="0.25">
      <c r="B80" s="325" t="s">
        <v>2493</v>
      </c>
      <c r="C80" s="325" t="s">
        <v>1034</v>
      </c>
      <c r="D80" s="295" t="s">
        <v>1245</v>
      </c>
      <c r="E80" s="2">
        <v>5300</v>
      </c>
      <c r="F80" s="2">
        <v>50</v>
      </c>
      <c r="G80" s="60">
        <v>44.45</v>
      </c>
      <c r="H80" s="303">
        <f t="shared" si="0"/>
        <v>2222.5</v>
      </c>
      <c r="I80" s="60">
        <v>9</v>
      </c>
      <c r="J80" s="393"/>
      <c r="K80" s="315"/>
      <c r="L80" s="316"/>
      <c r="M80" s="60">
        <f t="shared" si="3"/>
        <v>9</v>
      </c>
      <c r="N80" s="299">
        <f t="shared" si="2"/>
        <v>2231.5</v>
      </c>
      <c r="O80" s="263" t="s">
        <v>2494</v>
      </c>
      <c r="P80" s="263" t="s">
        <v>197</v>
      </c>
      <c r="R80" s="247"/>
    </row>
    <row r="81" spans="2:16" ht="12.75" customHeight="1" x14ac:dyDescent="0.25">
      <c r="B81" s="325" t="s">
        <v>2493</v>
      </c>
      <c r="C81" s="325" t="s">
        <v>1034</v>
      </c>
      <c r="D81" s="295" t="s">
        <v>1245</v>
      </c>
      <c r="E81" s="2">
        <v>5300</v>
      </c>
      <c r="F81" s="2">
        <v>450</v>
      </c>
      <c r="G81" s="60">
        <v>44.5</v>
      </c>
      <c r="H81" s="303">
        <f t="shared" si="0"/>
        <v>20025</v>
      </c>
      <c r="I81" s="60">
        <v>81</v>
      </c>
      <c r="J81" s="393"/>
      <c r="K81" s="302"/>
      <c r="L81" s="312"/>
      <c r="M81" s="60">
        <f t="shared" si="3"/>
        <v>81</v>
      </c>
      <c r="N81" s="299">
        <f t="shared" si="2"/>
        <v>20106</v>
      </c>
      <c r="O81" s="263" t="s">
        <v>2494</v>
      </c>
      <c r="P81" s="263" t="s">
        <v>197</v>
      </c>
    </row>
    <row r="82" spans="2:16" ht="12.75" customHeight="1" x14ac:dyDescent="0.25">
      <c r="B82" s="325" t="s">
        <v>2495</v>
      </c>
      <c r="C82" s="325" t="s">
        <v>1034</v>
      </c>
      <c r="D82" s="325" t="s">
        <v>1249</v>
      </c>
      <c r="E82" s="2">
        <v>5500</v>
      </c>
      <c r="F82" s="2">
        <v>500</v>
      </c>
      <c r="G82" s="60">
        <v>16.2</v>
      </c>
      <c r="H82" s="303">
        <f t="shared" si="0"/>
        <v>8100</v>
      </c>
      <c r="I82" s="60">
        <v>90</v>
      </c>
      <c r="J82" s="320">
        <v>11.82</v>
      </c>
      <c r="K82" s="60">
        <v>1</v>
      </c>
      <c r="L82" s="247">
        <v>5.67</v>
      </c>
      <c r="M82" s="60">
        <f t="shared" si="3"/>
        <v>108.49</v>
      </c>
      <c r="N82" s="299">
        <f t="shared" si="2"/>
        <v>8208.49</v>
      </c>
      <c r="O82" s="263" t="s">
        <v>33</v>
      </c>
      <c r="P82" s="263" t="s">
        <v>197</v>
      </c>
    </row>
    <row r="83" spans="2:16" ht="12.75" customHeight="1" x14ac:dyDescent="0.25">
      <c r="B83" s="325" t="s">
        <v>1134</v>
      </c>
      <c r="C83" s="325" t="s">
        <v>1034</v>
      </c>
      <c r="D83" s="295" t="s">
        <v>1245</v>
      </c>
      <c r="E83" s="2">
        <v>5400</v>
      </c>
      <c r="F83" s="2">
        <v>50</v>
      </c>
      <c r="G83" s="60">
        <v>62.7</v>
      </c>
      <c r="H83" s="303">
        <f t="shared" si="0"/>
        <v>3135</v>
      </c>
      <c r="I83" s="60">
        <v>9</v>
      </c>
      <c r="J83" s="302"/>
      <c r="K83" s="302"/>
      <c r="L83" s="312"/>
      <c r="M83" s="60">
        <f t="shared" si="3"/>
        <v>9</v>
      </c>
      <c r="N83" s="299">
        <f t="shared" si="2"/>
        <v>3144</v>
      </c>
      <c r="O83" s="263" t="s">
        <v>689</v>
      </c>
      <c r="P83" s="304" t="s">
        <v>197</v>
      </c>
    </row>
    <row r="84" spans="2:16" ht="12.75" customHeight="1" x14ac:dyDescent="0.25">
      <c r="B84" s="325" t="s">
        <v>1134</v>
      </c>
      <c r="C84" s="325" t="s">
        <v>1034</v>
      </c>
      <c r="D84" s="295" t="s">
        <v>1245</v>
      </c>
      <c r="E84" s="2">
        <v>5400</v>
      </c>
      <c r="F84" s="2">
        <v>50</v>
      </c>
      <c r="G84" s="60">
        <v>62.7</v>
      </c>
      <c r="H84" s="303">
        <f t="shared" si="0"/>
        <v>3135</v>
      </c>
      <c r="I84" s="60">
        <v>9</v>
      </c>
      <c r="J84" s="315"/>
      <c r="K84" s="315"/>
      <c r="L84" s="312"/>
      <c r="M84" s="60">
        <f t="shared" si="3"/>
        <v>9</v>
      </c>
      <c r="N84" s="299">
        <f t="shared" si="2"/>
        <v>3144</v>
      </c>
      <c r="O84" s="263" t="s">
        <v>689</v>
      </c>
      <c r="P84" s="304" t="s">
        <v>197</v>
      </c>
    </row>
    <row r="85" spans="2:16" ht="13.2" x14ac:dyDescent="0.25">
      <c r="B85" s="325" t="s">
        <v>1134</v>
      </c>
      <c r="C85" s="325" t="s">
        <v>1034</v>
      </c>
      <c r="D85" s="295" t="s">
        <v>1245</v>
      </c>
      <c r="E85" s="2">
        <v>5400</v>
      </c>
      <c r="F85" s="2">
        <v>100</v>
      </c>
      <c r="G85" s="60">
        <v>62.7</v>
      </c>
      <c r="H85" s="303">
        <f t="shared" si="0"/>
        <v>6270</v>
      </c>
      <c r="I85" s="60">
        <v>18</v>
      </c>
      <c r="J85" s="302"/>
      <c r="K85" s="310"/>
      <c r="L85" s="302"/>
      <c r="M85" s="60">
        <f t="shared" si="3"/>
        <v>18</v>
      </c>
      <c r="N85" s="299">
        <f t="shared" si="2"/>
        <v>6288</v>
      </c>
      <c r="O85" s="263" t="s">
        <v>689</v>
      </c>
      <c r="P85" s="304" t="s">
        <v>197</v>
      </c>
    </row>
    <row r="86" spans="2:16" ht="12.75" customHeight="1" x14ac:dyDescent="0.25">
      <c r="B86" s="325" t="s">
        <v>1134</v>
      </c>
      <c r="C86" s="325" t="s">
        <v>1034</v>
      </c>
      <c r="D86" s="295" t="s">
        <v>1245</v>
      </c>
      <c r="E86" s="2">
        <v>5400</v>
      </c>
      <c r="F86" s="2">
        <v>300</v>
      </c>
      <c r="G86" s="60">
        <v>62.7</v>
      </c>
      <c r="H86" s="303">
        <f t="shared" si="0"/>
        <v>18810</v>
      </c>
      <c r="I86" s="60">
        <v>54</v>
      </c>
      <c r="J86" s="306"/>
      <c r="K86" s="312"/>
      <c r="L86" s="312"/>
      <c r="M86" s="60">
        <f t="shared" si="3"/>
        <v>54</v>
      </c>
      <c r="N86" s="299">
        <f t="shared" si="2"/>
        <v>18864</v>
      </c>
      <c r="O86" s="263" t="s">
        <v>689</v>
      </c>
      <c r="P86" s="263" t="s">
        <v>197</v>
      </c>
    </row>
    <row r="87" spans="2:16" ht="12.75" customHeight="1" x14ac:dyDescent="0.25">
      <c r="B87" s="325" t="s">
        <v>1135</v>
      </c>
      <c r="C87" s="325" t="s">
        <v>1034</v>
      </c>
      <c r="D87" s="2" t="s">
        <v>1249</v>
      </c>
      <c r="E87" s="2">
        <v>5500</v>
      </c>
      <c r="F87" s="2">
        <v>1700</v>
      </c>
      <c r="G87" s="60">
        <v>19.45</v>
      </c>
      <c r="H87" s="303">
        <f t="shared" si="0"/>
        <v>33065</v>
      </c>
      <c r="I87" s="60">
        <v>306</v>
      </c>
      <c r="J87" s="306"/>
      <c r="K87" s="312"/>
      <c r="L87" s="312"/>
      <c r="M87" s="60">
        <f t="shared" si="3"/>
        <v>306</v>
      </c>
      <c r="N87" s="299">
        <f t="shared" si="2"/>
        <v>33371</v>
      </c>
      <c r="O87" s="304" t="s">
        <v>691</v>
      </c>
      <c r="P87" s="304" t="s">
        <v>197</v>
      </c>
    </row>
    <row r="88" spans="2:16" ht="12.75" customHeight="1" x14ac:dyDescent="0.25">
      <c r="B88" s="325" t="s">
        <v>1135</v>
      </c>
      <c r="C88" s="325" t="s">
        <v>1034</v>
      </c>
      <c r="D88" s="2" t="s">
        <v>1249</v>
      </c>
      <c r="E88" s="2">
        <v>5500</v>
      </c>
      <c r="F88" s="2">
        <v>800</v>
      </c>
      <c r="G88" s="60">
        <v>17.899999999999999</v>
      </c>
      <c r="H88" s="303">
        <f t="shared" si="0"/>
        <v>14319.999999999998</v>
      </c>
      <c r="I88" s="60">
        <v>144</v>
      </c>
      <c r="J88" s="306"/>
      <c r="K88" s="312"/>
      <c r="L88" s="312"/>
      <c r="M88" s="60">
        <f t="shared" si="3"/>
        <v>144</v>
      </c>
      <c r="N88" s="299">
        <f t="shared" si="2"/>
        <v>14463.999999999998</v>
      </c>
      <c r="O88" s="304" t="s">
        <v>691</v>
      </c>
      <c r="P88" s="304" t="s">
        <v>197</v>
      </c>
    </row>
    <row r="89" spans="2:16" ht="13.2" x14ac:dyDescent="0.25">
      <c r="B89" s="325" t="s">
        <v>1135</v>
      </c>
      <c r="C89" s="325" t="s">
        <v>1034</v>
      </c>
      <c r="D89" s="2" t="s">
        <v>1249</v>
      </c>
      <c r="E89" s="2">
        <v>5500</v>
      </c>
      <c r="F89" s="60">
        <v>50</v>
      </c>
      <c r="G89" s="299">
        <v>17.8</v>
      </c>
      <c r="H89" s="303">
        <f t="shared" si="0"/>
        <v>890</v>
      </c>
      <c r="I89" s="60">
        <v>9</v>
      </c>
      <c r="J89" s="306"/>
      <c r="K89" s="312"/>
      <c r="L89" s="312"/>
      <c r="M89" s="60">
        <f t="shared" si="3"/>
        <v>9</v>
      </c>
      <c r="N89" s="299">
        <f t="shared" si="2"/>
        <v>899</v>
      </c>
      <c r="O89" s="304" t="s">
        <v>691</v>
      </c>
      <c r="P89" s="304" t="s">
        <v>197</v>
      </c>
    </row>
    <row r="90" spans="2:16" ht="12.75" customHeight="1" x14ac:dyDescent="0.25">
      <c r="B90" s="325" t="s">
        <v>1135</v>
      </c>
      <c r="C90" s="325" t="s">
        <v>1034</v>
      </c>
      <c r="D90" s="2" t="s">
        <v>1249</v>
      </c>
      <c r="E90" s="2">
        <v>5500</v>
      </c>
      <c r="F90" s="2">
        <v>450</v>
      </c>
      <c r="G90" s="60">
        <v>17.8</v>
      </c>
      <c r="H90" s="303">
        <f t="shared" si="0"/>
        <v>8010</v>
      </c>
      <c r="I90" s="60">
        <v>81</v>
      </c>
      <c r="J90" s="306"/>
      <c r="K90" s="312"/>
      <c r="L90" s="312"/>
      <c r="M90" s="60">
        <f t="shared" si="3"/>
        <v>81</v>
      </c>
      <c r="N90" s="299">
        <f t="shared" si="2"/>
        <v>8091</v>
      </c>
      <c r="O90" s="304" t="s">
        <v>691</v>
      </c>
      <c r="P90" s="263" t="s">
        <v>197</v>
      </c>
    </row>
    <row r="91" spans="2:16" ht="12.75" customHeight="1" x14ac:dyDescent="0.25">
      <c r="B91" s="325" t="s">
        <v>1137</v>
      </c>
      <c r="C91" s="325" t="s">
        <v>1034</v>
      </c>
      <c r="D91" s="325" t="s">
        <v>1245</v>
      </c>
      <c r="E91" s="2">
        <v>5500</v>
      </c>
      <c r="F91" s="2">
        <v>100</v>
      </c>
      <c r="G91" s="60">
        <v>99.3</v>
      </c>
      <c r="H91" s="303">
        <f t="shared" si="0"/>
        <v>9930</v>
      </c>
      <c r="I91" s="60">
        <v>18</v>
      </c>
      <c r="J91" s="306"/>
      <c r="K91" s="312"/>
      <c r="L91" s="312"/>
      <c r="M91" s="60">
        <f t="shared" si="3"/>
        <v>18</v>
      </c>
      <c r="N91" s="299">
        <f t="shared" si="2"/>
        <v>9948</v>
      </c>
      <c r="O91" s="304" t="s">
        <v>1136</v>
      </c>
      <c r="P91" s="304" t="s">
        <v>197</v>
      </c>
    </row>
    <row r="92" spans="2:16" ht="13.2" x14ac:dyDescent="0.25">
      <c r="B92" s="325" t="s">
        <v>1137</v>
      </c>
      <c r="C92" s="325" t="s">
        <v>1034</v>
      </c>
      <c r="D92" s="325" t="s">
        <v>1245</v>
      </c>
      <c r="E92" s="2">
        <v>5500</v>
      </c>
      <c r="F92" s="2">
        <v>100</v>
      </c>
      <c r="G92" s="60">
        <v>99.3</v>
      </c>
      <c r="H92" s="303">
        <f t="shared" si="0"/>
        <v>9930</v>
      </c>
      <c r="I92" s="60">
        <v>18</v>
      </c>
      <c r="J92" s="306"/>
      <c r="K92" s="312"/>
      <c r="L92" s="312"/>
      <c r="M92" s="60">
        <f t="shared" si="3"/>
        <v>18</v>
      </c>
      <c r="N92" s="299">
        <f t="shared" si="2"/>
        <v>9948</v>
      </c>
      <c r="O92" s="304" t="s">
        <v>1136</v>
      </c>
      <c r="P92" s="304" t="s">
        <v>197</v>
      </c>
    </row>
    <row r="93" spans="2:16" ht="12.75" customHeight="1" x14ac:dyDescent="0.25">
      <c r="B93" s="325" t="s">
        <v>1138</v>
      </c>
      <c r="C93" s="325" t="s">
        <v>2246</v>
      </c>
      <c r="D93" s="325" t="s">
        <v>1245</v>
      </c>
      <c r="E93" s="2">
        <v>5500</v>
      </c>
      <c r="F93" s="2">
        <v>100</v>
      </c>
      <c r="G93" s="60">
        <v>173.9</v>
      </c>
      <c r="H93" s="303">
        <f t="shared" si="0"/>
        <v>17390</v>
      </c>
      <c r="I93" s="60">
        <v>18</v>
      </c>
      <c r="J93" s="315"/>
      <c r="K93" s="315"/>
      <c r="L93" s="312"/>
      <c r="M93" s="60">
        <f t="shared" si="3"/>
        <v>18</v>
      </c>
      <c r="N93" s="299">
        <f t="shared" si="2"/>
        <v>17408</v>
      </c>
      <c r="O93" s="263" t="s">
        <v>1139</v>
      </c>
      <c r="P93" s="304" t="s">
        <v>197</v>
      </c>
    </row>
    <row r="94" spans="2:16" ht="13.2" x14ac:dyDescent="0.25">
      <c r="B94" s="325" t="s">
        <v>1138</v>
      </c>
      <c r="C94" s="325" t="s">
        <v>2246</v>
      </c>
      <c r="D94" s="325" t="s">
        <v>1245</v>
      </c>
      <c r="E94" s="2">
        <v>5500</v>
      </c>
      <c r="F94" s="2">
        <v>50</v>
      </c>
      <c r="G94" s="60">
        <v>173.9</v>
      </c>
      <c r="H94" s="303">
        <f t="shared" si="0"/>
        <v>8695</v>
      </c>
      <c r="I94" s="60">
        <v>9</v>
      </c>
      <c r="J94" s="302"/>
      <c r="K94" s="310"/>
      <c r="L94" s="302"/>
      <c r="M94" s="60">
        <f t="shared" si="3"/>
        <v>9</v>
      </c>
      <c r="N94" s="299">
        <f t="shared" si="2"/>
        <v>8704</v>
      </c>
      <c r="O94" s="263" t="s">
        <v>1139</v>
      </c>
      <c r="P94" s="304" t="s">
        <v>197</v>
      </c>
    </row>
    <row r="95" spans="2:16" ht="12.75" customHeight="1" x14ac:dyDescent="0.25">
      <c r="B95" s="325" t="s">
        <v>1138</v>
      </c>
      <c r="C95" s="325" t="s">
        <v>2246</v>
      </c>
      <c r="D95" s="325" t="s">
        <v>1245</v>
      </c>
      <c r="E95" s="2">
        <v>5500</v>
      </c>
      <c r="F95" s="2">
        <v>50</v>
      </c>
      <c r="G95" s="60">
        <v>173</v>
      </c>
      <c r="H95" s="303">
        <f t="shared" si="0"/>
        <v>8650</v>
      </c>
      <c r="I95" s="60">
        <v>9</v>
      </c>
      <c r="J95" s="306"/>
      <c r="K95" s="312"/>
      <c r="L95" s="312"/>
      <c r="M95" s="60">
        <f t="shared" si="3"/>
        <v>9</v>
      </c>
      <c r="N95" s="299">
        <f t="shared" si="2"/>
        <v>8659</v>
      </c>
      <c r="O95" s="263" t="s">
        <v>1139</v>
      </c>
      <c r="P95" s="263" t="s">
        <v>197</v>
      </c>
    </row>
    <row r="96" spans="2:16" ht="12.75" customHeight="1" x14ac:dyDescent="0.25">
      <c r="B96" s="325" t="s">
        <v>2698</v>
      </c>
      <c r="C96" s="325" t="s">
        <v>2246</v>
      </c>
      <c r="D96" s="325" t="s">
        <v>1245</v>
      </c>
      <c r="E96" s="2">
        <v>5200</v>
      </c>
      <c r="F96" s="2">
        <v>50</v>
      </c>
      <c r="G96" s="60">
        <v>56</v>
      </c>
      <c r="H96" s="303">
        <f t="shared" si="0"/>
        <v>2800</v>
      </c>
      <c r="I96" s="60">
        <v>9</v>
      </c>
      <c r="J96" s="302"/>
      <c r="K96" s="302"/>
      <c r="L96" s="312"/>
      <c r="M96" s="60">
        <f t="shared" si="3"/>
        <v>9</v>
      </c>
      <c r="N96" s="299">
        <f t="shared" si="2"/>
        <v>2809</v>
      </c>
      <c r="O96" s="263" t="s">
        <v>2699</v>
      </c>
      <c r="P96" s="304" t="s">
        <v>197</v>
      </c>
    </row>
    <row r="97" spans="2:18" ht="12.75" customHeight="1" x14ac:dyDescent="0.25">
      <c r="B97" s="325" t="s">
        <v>2698</v>
      </c>
      <c r="C97" s="325" t="s">
        <v>2246</v>
      </c>
      <c r="D97" s="325" t="s">
        <v>1245</v>
      </c>
      <c r="E97" s="2">
        <v>5200</v>
      </c>
      <c r="F97" s="2">
        <v>350</v>
      </c>
      <c r="G97" s="60">
        <v>56</v>
      </c>
      <c r="H97" s="303">
        <f t="shared" si="0"/>
        <v>19600</v>
      </c>
      <c r="I97" s="60">
        <v>63</v>
      </c>
      <c r="J97" s="302"/>
      <c r="K97" s="302"/>
      <c r="L97" s="312"/>
      <c r="M97" s="60">
        <f t="shared" si="3"/>
        <v>63</v>
      </c>
      <c r="N97" s="299">
        <f t="shared" si="2"/>
        <v>19663</v>
      </c>
      <c r="O97" s="263" t="s">
        <v>2699</v>
      </c>
      <c r="P97" s="304" t="s">
        <v>197</v>
      </c>
    </row>
    <row r="98" spans="2:18" ht="12.75" customHeight="1" x14ac:dyDescent="0.25">
      <c r="B98" s="325" t="s">
        <v>2698</v>
      </c>
      <c r="C98" s="325" t="s">
        <v>2246</v>
      </c>
      <c r="D98" s="325" t="s">
        <v>1245</v>
      </c>
      <c r="E98" s="2">
        <v>5200</v>
      </c>
      <c r="F98" s="2">
        <v>100</v>
      </c>
      <c r="G98" s="60">
        <v>56</v>
      </c>
      <c r="H98" s="303">
        <f t="shared" si="0"/>
        <v>5600</v>
      </c>
      <c r="I98" s="60">
        <v>18</v>
      </c>
      <c r="J98" s="302"/>
      <c r="K98" s="302"/>
      <c r="L98" s="312"/>
      <c r="M98" s="60">
        <f t="shared" si="3"/>
        <v>18</v>
      </c>
      <c r="N98" s="299">
        <f t="shared" si="2"/>
        <v>5618</v>
      </c>
      <c r="O98" s="263" t="s">
        <v>2699</v>
      </c>
      <c r="P98" s="304" t="s">
        <v>197</v>
      </c>
    </row>
    <row r="99" spans="2:18" ht="13.2" x14ac:dyDescent="0.25">
      <c r="B99" s="325" t="s">
        <v>2698</v>
      </c>
      <c r="C99" s="325" t="s">
        <v>2246</v>
      </c>
      <c r="D99" s="325" t="s">
        <v>1245</v>
      </c>
      <c r="E99" s="2">
        <v>5200</v>
      </c>
      <c r="F99" s="2">
        <v>100</v>
      </c>
      <c r="G99" s="60">
        <v>57.9</v>
      </c>
      <c r="H99" s="303">
        <f t="shared" si="0"/>
        <v>5790</v>
      </c>
      <c r="I99" s="60">
        <v>18</v>
      </c>
      <c r="J99" s="60">
        <v>16.27</v>
      </c>
      <c r="K99" s="60">
        <v>3</v>
      </c>
      <c r="L99" s="247">
        <v>23.65</v>
      </c>
      <c r="M99" s="60">
        <f t="shared" si="3"/>
        <v>60.919999999999995</v>
      </c>
      <c r="N99" s="299">
        <f t="shared" si="2"/>
        <v>5850.92</v>
      </c>
      <c r="O99" s="263" t="s">
        <v>2699</v>
      </c>
      <c r="P99" s="304" t="s">
        <v>197</v>
      </c>
      <c r="R99" s="247"/>
    </row>
    <row r="100" spans="2:18" ht="13.2" x14ac:dyDescent="0.25">
      <c r="B100" s="325" t="s">
        <v>2700</v>
      </c>
      <c r="C100" s="325" t="s">
        <v>2246</v>
      </c>
      <c r="D100" s="325" t="s">
        <v>1245</v>
      </c>
      <c r="E100" s="2">
        <v>5200</v>
      </c>
      <c r="F100" s="2">
        <v>100</v>
      </c>
      <c r="G100" s="60">
        <v>50.5</v>
      </c>
      <c r="H100" s="303">
        <f t="shared" si="0"/>
        <v>5050</v>
      </c>
      <c r="I100" s="60">
        <v>18</v>
      </c>
      <c r="J100" s="302"/>
      <c r="K100" s="302"/>
      <c r="L100" s="312"/>
      <c r="M100" s="60">
        <f t="shared" si="3"/>
        <v>18</v>
      </c>
      <c r="N100" s="299">
        <f t="shared" si="2"/>
        <v>5068</v>
      </c>
      <c r="O100" s="304" t="s">
        <v>2701</v>
      </c>
      <c r="P100" s="304" t="s">
        <v>197</v>
      </c>
      <c r="R100" s="247"/>
    </row>
    <row r="101" spans="2:18" ht="12.75" customHeight="1" x14ac:dyDescent="0.25">
      <c r="B101" s="325" t="s">
        <v>2700</v>
      </c>
      <c r="C101" s="325" t="s">
        <v>2246</v>
      </c>
      <c r="D101" s="325" t="s">
        <v>1245</v>
      </c>
      <c r="E101" s="2">
        <v>5200</v>
      </c>
      <c r="F101" s="2">
        <v>300</v>
      </c>
      <c r="G101" s="60">
        <v>50.5</v>
      </c>
      <c r="H101" s="303">
        <f t="shared" si="0"/>
        <v>15150</v>
      </c>
      <c r="I101" s="60">
        <v>54</v>
      </c>
      <c r="J101" s="60">
        <v>10.65</v>
      </c>
      <c r="K101" s="60">
        <v>2</v>
      </c>
      <c r="L101" s="247">
        <v>14.14</v>
      </c>
      <c r="M101" s="60">
        <f t="shared" si="3"/>
        <v>80.790000000000006</v>
      </c>
      <c r="N101" s="299">
        <f t="shared" si="2"/>
        <v>15230.79</v>
      </c>
      <c r="O101" s="263" t="s">
        <v>2701</v>
      </c>
      <c r="P101" s="263" t="s">
        <v>197</v>
      </c>
    </row>
    <row r="102" spans="2:18" ht="13.2" x14ac:dyDescent="0.25">
      <c r="B102" s="325" t="s">
        <v>2702</v>
      </c>
      <c r="C102" s="325" t="s">
        <v>2246</v>
      </c>
      <c r="D102" s="325" t="s">
        <v>1245</v>
      </c>
      <c r="E102" s="2">
        <v>5200</v>
      </c>
      <c r="F102" s="2">
        <v>400</v>
      </c>
      <c r="G102" s="60">
        <v>56</v>
      </c>
      <c r="H102" s="303">
        <f t="shared" si="0"/>
        <v>22400</v>
      </c>
      <c r="I102" s="60">
        <v>72</v>
      </c>
      <c r="J102" s="393"/>
      <c r="K102" s="393"/>
      <c r="L102" s="316"/>
      <c r="M102" s="60">
        <f t="shared" si="3"/>
        <v>72</v>
      </c>
      <c r="N102" s="299">
        <f t="shared" si="2"/>
        <v>22472</v>
      </c>
      <c r="O102" s="304" t="s">
        <v>1846</v>
      </c>
      <c r="P102" s="304" t="s">
        <v>197</v>
      </c>
      <c r="R102" s="247"/>
    </row>
    <row r="103" spans="2:18" ht="12.75" customHeight="1" x14ac:dyDescent="0.25">
      <c r="B103" s="325" t="s">
        <v>2702</v>
      </c>
      <c r="C103" s="325" t="s">
        <v>2246</v>
      </c>
      <c r="D103" s="325" t="s">
        <v>1245</v>
      </c>
      <c r="E103" s="2">
        <v>5200</v>
      </c>
      <c r="F103" s="2">
        <v>50</v>
      </c>
      <c r="G103" s="60">
        <v>56</v>
      </c>
      <c r="H103" s="303">
        <f t="shared" ref="H103:H166" si="4">F103*G103</f>
        <v>2800</v>
      </c>
      <c r="I103" s="60">
        <v>9</v>
      </c>
      <c r="J103" s="393"/>
      <c r="K103" s="393"/>
      <c r="L103" s="312"/>
      <c r="M103" s="60">
        <f t="shared" ref="M103:M131" si="5">SUM(I103:L103)</f>
        <v>9</v>
      </c>
      <c r="N103" s="299">
        <f t="shared" ref="N103:N166" si="6">H103+M103</f>
        <v>2809</v>
      </c>
      <c r="O103" s="304" t="s">
        <v>1846</v>
      </c>
      <c r="P103" s="304" t="s">
        <v>197</v>
      </c>
    </row>
    <row r="104" spans="2:18" ht="13.2" x14ac:dyDescent="0.25">
      <c r="B104" s="325" t="s">
        <v>2702</v>
      </c>
      <c r="C104" s="325" t="s">
        <v>2246</v>
      </c>
      <c r="D104" s="325" t="s">
        <v>1245</v>
      </c>
      <c r="E104" s="2">
        <v>5200</v>
      </c>
      <c r="F104" s="2">
        <v>50</v>
      </c>
      <c r="G104" s="60">
        <v>56</v>
      </c>
      <c r="H104" s="303">
        <f t="shared" si="4"/>
        <v>2800</v>
      </c>
      <c r="I104" s="60">
        <v>9</v>
      </c>
      <c r="J104" s="393"/>
      <c r="K104" s="393"/>
      <c r="L104" s="312"/>
      <c r="M104" s="60">
        <f t="shared" si="5"/>
        <v>9</v>
      </c>
      <c r="N104" s="299">
        <f t="shared" si="6"/>
        <v>2809</v>
      </c>
      <c r="O104" s="304" t="s">
        <v>1846</v>
      </c>
      <c r="P104" s="304" t="s">
        <v>197</v>
      </c>
    </row>
    <row r="105" spans="2:18" ht="12.75" customHeight="1" x14ac:dyDescent="0.25">
      <c r="B105" s="325" t="s">
        <v>2702</v>
      </c>
      <c r="C105" s="325" t="s">
        <v>2246</v>
      </c>
      <c r="D105" s="325" t="s">
        <v>1245</v>
      </c>
      <c r="E105" s="2">
        <v>5200</v>
      </c>
      <c r="F105" s="2">
        <v>50</v>
      </c>
      <c r="G105" s="60">
        <v>56</v>
      </c>
      <c r="H105" s="303">
        <f t="shared" si="4"/>
        <v>2800</v>
      </c>
      <c r="I105" s="60">
        <v>9</v>
      </c>
      <c r="J105" s="393"/>
      <c r="K105" s="393"/>
      <c r="L105" s="312"/>
      <c r="M105" s="60">
        <f t="shared" si="5"/>
        <v>9</v>
      </c>
      <c r="N105" s="299">
        <f t="shared" si="6"/>
        <v>2809</v>
      </c>
      <c r="O105" s="304" t="s">
        <v>1846</v>
      </c>
      <c r="P105" s="304" t="s">
        <v>197</v>
      </c>
    </row>
    <row r="106" spans="2:18" ht="12.75" customHeight="1" x14ac:dyDescent="0.25">
      <c r="B106" s="325" t="s">
        <v>2702</v>
      </c>
      <c r="C106" s="325" t="s">
        <v>2246</v>
      </c>
      <c r="D106" s="325" t="s">
        <v>1245</v>
      </c>
      <c r="E106" s="2">
        <v>5200</v>
      </c>
      <c r="F106" s="2">
        <v>100</v>
      </c>
      <c r="G106" s="60">
        <v>56</v>
      </c>
      <c r="H106" s="303">
        <f t="shared" si="4"/>
        <v>5600</v>
      </c>
      <c r="I106" s="60">
        <v>18</v>
      </c>
      <c r="J106" s="393"/>
      <c r="K106" s="393"/>
      <c r="L106" s="312"/>
      <c r="M106" s="60">
        <f t="shared" si="5"/>
        <v>18</v>
      </c>
      <c r="N106" s="299">
        <f t="shared" si="6"/>
        <v>5618</v>
      </c>
      <c r="O106" s="304" t="s">
        <v>1846</v>
      </c>
      <c r="P106" s="304" t="s">
        <v>197</v>
      </c>
    </row>
    <row r="107" spans="2:18" ht="12.75" customHeight="1" x14ac:dyDescent="0.25">
      <c r="B107" s="325" t="s">
        <v>2702</v>
      </c>
      <c r="C107" s="325" t="s">
        <v>2246</v>
      </c>
      <c r="D107" s="325" t="s">
        <v>1245</v>
      </c>
      <c r="E107" s="2">
        <v>5200</v>
      </c>
      <c r="F107" s="2">
        <v>150</v>
      </c>
      <c r="G107" s="60">
        <v>56</v>
      </c>
      <c r="H107" s="303">
        <f t="shared" si="4"/>
        <v>8400</v>
      </c>
      <c r="I107" s="60">
        <v>27</v>
      </c>
      <c r="J107" s="393"/>
      <c r="K107" s="393"/>
      <c r="L107" s="312"/>
      <c r="M107" s="60">
        <f t="shared" si="5"/>
        <v>27</v>
      </c>
      <c r="N107" s="299">
        <f t="shared" si="6"/>
        <v>8427</v>
      </c>
      <c r="O107" s="304" t="s">
        <v>1846</v>
      </c>
      <c r="P107" s="304" t="s">
        <v>197</v>
      </c>
    </row>
    <row r="108" spans="2:18" ht="13.2" x14ac:dyDescent="0.25">
      <c r="B108" s="325" t="s">
        <v>2702</v>
      </c>
      <c r="C108" s="325" t="s">
        <v>2246</v>
      </c>
      <c r="D108" s="325" t="s">
        <v>1245</v>
      </c>
      <c r="E108" s="2">
        <v>5200</v>
      </c>
      <c r="F108" s="2">
        <v>200</v>
      </c>
      <c r="G108" s="60">
        <v>55.2</v>
      </c>
      <c r="H108" s="303">
        <f t="shared" si="4"/>
        <v>11040</v>
      </c>
      <c r="I108" s="60">
        <v>36</v>
      </c>
      <c r="J108" s="393"/>
      <c r="K108" s="393"/>
      <c r="L108" s="302"/>
      <c r="M108" s="60">
        <f t="shared" si="5"/>
        <v>36</v>
      </c>
      <c r="N108" s="299">
        <f t="shared" si="6"/>
        <v>11076</v>
      </c>
      <c r="O108" s="304" t="s">
        <v>1846</v>
      </c>
      <c r="P108" s="304" t="s">
        <v>197</v>
      </c>
    </row>
    <row r="109" spans="2:18" ht="13.2" x14ac:dyDescent="0.25">
      <c r="B109" s="325" t="s">
        <v>2704</v>
      </c>
      <c r="C109" s="325" t="s">
        <v>2246</v>
      </c>
      <c r="D109" s="325" t="s">
        <v>1245</v>
      </c>
      <c r="E109" s="2">
        <v>5300</v>
      </c>
      <c r="F109" s="2">
        <v>700</v>
      </c>
      <c r="G109" s="60">
        <v>35</v>
      </c>
      <c r="H109" s="303">
        <f t="shared" si="4"/>
        <v>24500</v>
      </c>
      <c r="I109" s="60">
        <v>126</v>
      </c>
      <c r="J109" s="302"/>
      <c r="K109" s="302"/>
      <c r="L109" s="312"/>
      <c r="M109" s="60">
        <f t="shared" si="5"/>
        <v>126</v>
      </c>
      <c r="N109" s="299">
        <f t="shared" si="6"/>
        <v>24626</v>
      </c>
      <c r="O109" s="304" t="s">
        <v>2705</v>
      </c>
      <c r="P109" s="263" t="s">
        <v>197</v>
      </c>
    </row>
    <row r="110" spans="2:18" ht="12.75" customHeight="1" x14ac:dyDescent="0.25">
      <c r="B110" s="325" t="s">
        <v>2704</v>
      </c>
      <c r="C110" s="325" t="s">
        <v>2246</v>
      </c>
      <c r="D110" s="325" t="s">
        <v>1245</v>
      </c>
      <c r="E110" s="2">
        <v>5300</v>
      </c>
      <c r="F110" s="2">
        <v>300</v>
      </c>
      <c r="G110" s="60">
        <v>32.9</v>
      </c>
      <c r="H110" s="303">
        <f t="shared" si="4"/>
        <v>9870</v>
      </c>
      <c r="I110" s="60">
        <v>54</v>
      </c>
      <c r="J110" s="60">
        <v>25.22</v>
      </c>
      <c r="K110" s="60">
        <v>3</v>
      </c>
      <c r="L110" s="247">
        <v>24.06</v>
      </c>
      <c r="M110" s="60">
        <f t="shared" si="5"/>
        <v>106.28</v>
      </c>
      <c r="N110" s="299">
        <f t="shared" si="6"/>
        <v>9976.2800000000007</v>
      </c>
      <c r="O110" s="263" t="s">
        <v>2705</v>
      </c>
      <c r="P110" s="304" t="s">
        <v>197</v>
      </c>
    </row>
    <row r="111" spans="2:18" ht="12.75" customHeight="1" x14ac:dyDescent="0.25">
      <c r="B111" s="325" t="s">
        <v>2706</v>
      </c>
      <c r="C111" s="325" t="s">
        <v>2246</v>
      </c>
      <c r="D111" s="325" t="s">
        <v>1249</v>
      </c>
      <c r="E111" s="2">
        <v>5400</v>
      </c>
      <c r="F111" s="2">
        <v>100</v>
      </c>
      <c r="G111" s="60">
        <v>58.95</v>
      </c>
      <c r="H111" s="303">
        <f t="shared" si="4"/>
        <v>5895</v>
      </c>
      <c r="I111" s="60">
        <v>18</v>
      </c>
      <c r="J111" s="302"/>
      <c r="K111" s="302"/>
      <c r="L111" s="312"/>
      <c r="M111" s="60">
        <f t="shared" si="5"/>
        <v>18</v>
      </c>
      <c r="N111" s="299">
        <f t="shared" si="6"/>
        <v>5913</v>
      </c>
      <c r="O111" s="304" t="s">
        <v>2707</v>
      </c>
      <c r="P111" s="304" t="s">
        <v>197</v>
      </c>
    </row>
    <row r="112" spans="2:18" ht="13.2" x14ac:dyDescent="0.25">
      <c r="B112" s="325" t="s">
        <v>2706</v>
      </c>
      <c r="C112" s="325" t="s">
        <v>2246</v>
      </c>
      <c r="D112" s="325" t="s">
        <v>1249</v>
      </c>
      <c r="E112" s="2">
        <v>5400</v>
      </c>
      <c r="F112" s="2">
        <v>50</v>
      </c>
      <c r="G112" s="60">
        <v>58.95</v>
      </c>
      <c r="H112" s="303">
        <f t="shared" si="4"/>
        <v>2947.5</v>
      </c>
      <c r="I112" s="60">
        <v>9</v>
      </c>
      <c r="J112" s="302"/>
      <c r="K112" s="302"/>
      <c r="L112" s="312"/>
      <c r="M112" s="60">
        <f t="shared" si="5"/>
        <v>9</v>
      </c>
      <c r="N112" s="299">
        <f t="shared" si="6"/>
        <v>2956.5</v>
      </c>
      <c r="O112" s="304" t="s">
        <v>2707</v>
      </c>
      <c r="P112" s="304" t="s">
        <v>197</v>
      </c>
    </row>
    <row r="113" spans="2:16" ht="12.75" customHeight="1" x14ac:dyDescent="0.25">
      <c r="B113" s="325" t="s">
        <v>2706</v>
      </c>
      <c r="C113" s="325" t="s">
        <v>2246</v>
      </c>
      <c r="D113" s="325" t="s">
        <v>1249</v>
      </c>
      <c r="E113" s="2">
        <v>5400</v>
      </c>
      <c r="F113" s="2">
        <v>300</v>
      </c>
      <c r="G113" s="60">
        <v>59</v>
      </c>
      <c r="H113" s="303">
        <f t="shared" si="4"/>
        <v>17700</v>
      </c>
      <c r="I113" s="60">
        <v>54</v>
      </c>
      <c r="J113" s="302"/>
      <c r="K113" s="302"/>
      <c r="L113" s="312"/>
      <c r="M113" s="60">
        <f t="shared" si="5"/>
        <v>54</v>
      </c>
      <c r="N113" s="299">
        <f t="shared" si="6"/>
        <v>17754</v>
      </c>
      <c r="O113" s="304" t="s">
        <v>2707</v>
      </c>
      <c r="P113" s="304" t="s">
        <v>197</v>
      </c>
    </row>
    <row r="114" spans="2:16" ht="12.75" customHeight="1" x14ac:dyDescent="0.25">
      <c r="B114" s="325" t="s">
        <v>2706</v>
      </c>
      <c r="C114" s="325" t="s">
        <v>2246</v>
      </c>
      <c r="D114" s="325" t="s">
        <v>1249</v>
      </c>
      <c r="E114" s="2">
        <v>5400</v>
      </c>
      <c r="F114" s="2">
        <v>50</v>
      </c>
      <c r="G114" s="60">
        <v>59</v>
      </c>
      <c r="H114" s="303">
        <f t="shared" si="4"/>
        <v>2950</v>
      </c>
      <c r="I114" s="60">
        <v>9</v>
      </c>
      <c r="J114" s="302"/>
      <c r="K114" s="302"/>
      <c r="L114" s="312"/>
      <c r="M114" s="60">
        <f t="shared" si="5"/>
        <v>9</v>
      </c>
      <c r="N114" s="299">
        <f t="shared" si="6"/>
        <v>2959</v>
      </c>
      <c r="O114" s="304" t="s">
        <v>2707</v>
      </c>
      <c r="P114" s="304" t="s">
        <v>197</v>
      </c>
    </row>
    <row r="115" spans="2:16" ht="13.2" x14ac:dyDescent="0.25">
      <c r="B115" s="325" t="s">
        <v>2706</v>
      </c>
      <c r="C115" s="325" t="s">
        <v>2246</v>
      </c>
      <c r="D115" s="325" t="s">
        <v>1249</v>
      </c>
      <c r="E115" s="2">
        <v>5500</v>
      </c>
      <c r="F115" s="2">
        <v>400</v>
      </c>
      <c r="G115" s="60">
        <v>22.25</v>
      </c>
      <c r="H115" s="303">
        <f t="shared" si="4"/>
        <v>8900</v>
      </c>
      <c r="I115" s="60">
        <v>72</v>
      </c>
      <c r="J115" s="302"/>
      <c r="K115" s="302"/>
      <c r="L115" s="312"/>
      <c r="M115" s="60">
        <f t="shared" si="5"/>
        <v>72</v>
      </c>
      <c r="N115" s="299">
        <f t="shared" si="6"/>
        <v>8972</v>
      </c>
      <c r="O115" s="304" t="s">
        <v>2707</v>
      </c>
      <c r="P115" s="304" t="s">
        <v>197</v>
      </c>
    </row>
    <row r="116" spans="2:16" ht="12.75" customHeight="1" x14ac:dyDescent="0.25">
      <c r="B116" s="325" t="s">
        <v>2706</v>
      </c>
      <c r="C116" s="325" t="s">
        <v>2246</v>
      </c>
      <c r="D116" s="325" t="s">
        <v>1249</v>
      </c>
      <c r="E116" s="2">
        <v>5500</v>
      </c>
      <c r="F116" s="2">
        <v>800</v>
      </c>
      <c r="G116" s="60">
        <v>22.3</v>
      </c>
      <c r="H116" s="303">
        <f t="shared" si="4"/>
        <v>17840</v>
      </c>
      <c r="I116" s="60">
        <v>144</v>
      </c>
      <c r="J116" s="302"/>
      <c r="K116" s="302"/>
      <c r="L116" s="312"/>
      <c r="M116" s="60">
        <f t="shared" si="5"/>
        <v>144</v>
      </c>
      <c r="N116" s="299">
        <f t="shared" si="6"/>
        <v>17984</v>
      </c>
      <c r="O116" s="304" t="s">
        <v>2707</v>
      </c>
      <c r="P116" s="304" t="s">
        <v>197</v>
      </c>
    </row>
    <row r="117" spans="2:16" ht="12.75" customHeight="1" x14ac:dyDescent="0.25">
      <c r="B117" s="325" t="s">
        <v>2706</v>
      </c>
      <c r="C117" s="325" t="s">
        <v>2246</v>
      </c>
      <c r="D117" s="325" t="s">
        <v>1249</v>
      </c>
      <c r="E117" s="2">
        <v>5500</v>
      </c>
      <c r="F117" s="2">
        <v>200</v>
      </c>
      <c r="G117" s="60">
        <v>22.3</v>
      </c>
      <c r="H117" s="303">
        <f t="shared" si="4"/>
        <v>4460</v>
      </c>
      <c r="I117" s="60">
        <v>36</v>
      </c>
      <c r="J117" s="302"/>
      <c r="K117" s="302"/>
      <c r="L117" s="312"/>
      <c r="M117" s="60">
        <f t="shared" si="5"/>
        <v>36</v>
      </c>
      <c r="N117" s="299">
        <f t="shared" si="6"/>
        <v>4496</v>
      </c>
      <c r="O117" s="304" t="s">
        <v>2707</v>
      </c>
      <c r="P117" s="304" t="s">
        <v>197</v>
      </c>
    </row>
    <row r="118" spans="2:16" ht="12.75" customHeight="1" x14ac:dyDescent="0.25">
      <c r="B118" s="325" t="s">
        <v>2706</v>
      </c>
      <c r="C118" s="325" t="s">
        <v>2246</v>
      </c>
      <c r="D118" s="325" t="s">
        <v>1249</v>
      </c>
      <c r="E118" s="2">
        <v>5500</v>
      </c>
      <c r="F118" s="2">
        <v>100</v>
      </c>
      <c r="G118" s="60">
        <v>21.6</v>
      </c>
      <c r="H118" s="303">
        <f t="shared" si="4"/>
        <v>2160</v>
      </c>
      <c r="I118" s="60">
        <v>18</v>
      </c>
      <c r="J118" s="315"/>
      <c r="K118" s="315"/>
      <c r="L118" s="312"/>
      <c r="M118" s="60">
        <f t="shared" si="5"/>
        <v>18</v>
      </c>
      <c r="N118" s="299">
        <f t="shared" si="6"/>
        <v>2178</v>
      </c>
      <c r="O118" s="304" t="s">
        <v>2707</v>
      </c>
      <c r="P118" s="304" t="s">
        <v>197</v>
      </c>
    </row>
    <row r="119" spans="2:16" ht="13.2" x14ac:dyDescent="0.25">
      <c r="B119" s="325" t="s">
        <v>2706</v>
      </c>
      <c r="C119" s="325" t="s">
        <v>2246</v>
      </c>
      <c r="D119" s="325" t="s">
        <v>1249</v>
      </c>
      <c r="E119" s="2">
        <v>5500</v>
      </c>
      <c r="F119" s="2">
        <v>800</v>
      </c>
      <c r="G119" s="60">
        <v>21.65</v>
      </c>
      <c r="H119" s="303">
        <f t="shared" si="4"/>
        <v>17320</v>
      </c>
      <c r="I119" s="60">
        <v>144</v>
      </c>
      <c r="J119" s="302"/>
      <c r="K119" s="310"/>
      <c r="L119" s="302"/>
      <c r="M119" s="60">
        <f t="shared" si="5"/>
        <v>144</v>
      </c>
      <c r="N119" s="299">
        <f t="shared" si="6"/>
        <v>17464</v>
      </c>
      <c r="O119" s="304" t="s">
        <v>2707</v>
      </c>
      <c r="P119" s="304" t="s">
        <v>197</v>
      </c>
    </row>
    <row r="120" spans="2:16" ht="12.75" customHeight="1" x14ac:dyDescent="0.25">
      <c r="B120" s="325" t="s">
        <v>2706</v>
      </c>
      <c r="C120" s="325" t="s">
        <v>2246</v>
      </c>
      <c r="D120" s="325" t="s">
        <v>1249</v>
      </c>
      <c r="E120" s="2">
        <v>5500</v>
      </c>
      <c r="F120" s="2">
        <v>200</v>
      </c>
      <c r="G120" s="60">
        <v>21.65</v>
      </c>
      <c r="H120" s="303">
        <f t="shared" si="4"/>
        <v>4330</v>
      </c>
      <c r="I120" s="60">
        <v>36</v>
      </c>
      <c r="J120" s="306"/>
      <c r="K120" s="312"/>
      <c r="L120" s="312"/>
      <c r="M120" s="60">
        <f t="shared" si="5"/>
        <v>36</v>
      </c>
      <c r="N120" s="299">
        <f t="shared" si="6"/>
        <v>4366</v>
      </c>
      <c r="O120" s="304" t="s">
        <v>2707</v>
      </c>
      <c r="P120" s="263" t="s">
        <v>197</v>
      </c>
    </row>
    <row r="121" spans="2:16" ht="12.75" customHeight="1" x14ac:dyDescent="0.25">
      <c r="B121" s="325" t="s">
        <v>2708</v>
      </c>
      <c r="C121" s="325" t="s">
        <v>2246</v>
      </c>
      <c r="D121" s="325" t="s">
        <v>1245</v>
      </c>
      <c r="E121" s="2">
        <v>5400</v>
      </c>
      <c r="F121" s="2">
        <v>50</v>
      </c>
      <c r="G121" s="60">
        <v>38.85</v>
      </c>
      <c r="H121" s="303">
        <f t="shared" si="4"/>
        <v>1942.5</v>
      </c>
      <c r="I121" s="60">
        <v>9</v>
      </c>
      <c r="J121" s="312"/>
      <c r="K121" s="312"/>
      <c r="L121" s="312"/>
      <c r="M121" s="60">
        <f t="shared" si="5"/>
        <v>9</v>
      </c>
      <c r="N121" s="299">
        <f t="shared" si="6"/>
        <v>1951.5</v>
      </c>
      <c r="O121" s="263" t="s">
        <v>1126</v>
      </c>
      <c r="P121" s="263" t="s">
        <v>197</v>
      </c>
    </row>
    <row r="122" spans="2:16" ht="12.75" customHeight="1" x14ac:dyDescent="0.25">
      <c r="B122" s="325" t="s">
        <v>2708</v>
      </c>
      <c r="C122" s="325" t="s">
        <v>2246</v>
      </c>
      <c r="D122" s="325" t="s">
        <v>1245</v>
      </c>
      <c r="E122" s="2">
        <v>5400</v>
      </c>
      <c r="F122" s="2">
        <v>50</v>
      </c>
      <c r="G122" s="60">
        <v>38.85</v>
      </c>
      <c r="H122" s="303">
        <f t="shared" si="4"/>
        <v>1942.5</v>
      </c>
      <c r="I122" s="60">
        <v>9</v>
      </c>
      <c r="J122" s="312"/>
      <c r="K122" s="312"/>
      <c r="L122" s="312"/>
      <c r="M122" s="60">
        <f t="shared" si="5"/>
        <v>9</v>
      </c>
      <c r="N122" s="299">
        <f t="shared" si="6"/>
        <v>1951.5</v>
      </c>
      <c r="O122" s="263" t="s">
        <v>1126</v>
      </c>
      <c r="P122" s="263" t="s">
        <v>197</v>
      </c>
    </row>
    <row r="123" spans="2:16" ht="12.75" customHeight="1" x14ac:dyDescent="0.25">
      <c r="B123" s="325" t="s">
        <v>2708</v>
      </c>
      <c r="C123" s="325" t="s">
        <v>2246</v>
      </c>
      <c r="D123" s="325" t="s">
        <v>1245</v>
      </c>
      <c r="E123" s="2">
        <v>5400</v>
      </c>
      <c r="F123" s="2">
        <v>400</v>
      </c>
      <c r="G123" s="60">
        <v>38.85</v>
      </c>
      <c r="H123" s="303">
        <f t="shared" si="4"/>
        <v>15540</v>
      </c>
      <c r="I123" s="60">
        <v>72</v>
      </c>
      <c r="J123" s="312"/>
      <c r="K123" s="312"/>
      <c r="L123" s="312"/>
      <c r="M123" s="60">
        <f t="shared" si="5"/>
        <v>72</v>
      </c>
      <c r="N123" s="299">
        <f t="shared" si="6"/>
        <v>15612</v>
      </c>
      <c r="O123" s="263" t="s">
        <v>1126</v>
      </c>
      <c r="P123" s="263" t="s">
        <v>197</v>
      </c>
    </row>
    <row r="124" spans="2:16" ht="12.75" customHeight="1" x14ac:dyDescent="0.25">
      <c r="B124" s="325" t="s">
        <v>2708</v>
      </c>
      <c r="C124" s="325" t="s">
        <v>2246</v>
      </c>
      <c r="D124" s="325" t="s">
        <v>1245</v>
      </c>
      <c r="E124" s="2">
        <v>5400</v>
      </c>
      <c r="F124" s="2">
        <v>500</v>
      </c>
      <c r="G124" s="60">
        <v>42.05</v>
      </c>
      <c r="H124" s="303">
        <f t="shared" si="4"/>
        <v>21025</v>
      </c>
      <c r="I124" s="60">
        <v>90</v>
      </c>
      <c r="J124" s="312"/>
      <c r="K124" s="312"/>
      <c r="L124" s="312"/>
      <c r="M124" s="60">
        <f t="shared" si="5"/>
        <v>90</v>
      </c>
      <c r="N124" s="299">
        <f t="shared" si="6"/>
        <v>21115</v>
      </c>
      <c r="O124" s="263" t="s">
        <v>1126</v>
      </c>
      <c r="P124" s="263" t="s">
        <v>197</v>
      </c>
    </row>
    <row r="125" spans="2:16" ht="12.75" customHeight="1" x14ac:dyDescent="0.25">
      <c r="B125" s="325" t="s">
        <v>1339</v>
      </c>
      <c r="C125" s="325" t="s">
        <v>2246</v>
      </c>
      <c r="D125" s="325" t="s">
        <v>1245</v>
      </c>
      <c r="E125" s="2">
        <v>5500</v>
      </c>
      <c r="F125" s="2">
        <v>100</v>
      </c>
      <c r="G125" s="60">
        <v>31.25</v>
      </c>
      <c r="H125" s="303">
        <f t="shared" si="4"/>
        <v>3125</v>
      </c>
      <c r="I125" s="60">
        <v>18</v>
      </c>
      <c r="J125" s="312"/>
      <c r="K125" s="312"/>
      <c r="L125" s="312"/>
      <c r="M125" s="60">
        <f t="shared" si="5"/>
        <v>18</v>
      </c>
      <c r="N125" s="299">
        <f t="shared" si="6"/>
        <v>3143</v>
      </c>
      <c r="O125" s="263" t="s">
        <v>1130</v>
      </c>
      <c r="P125" s="263" t="s">
        <v>197</v>
      </c>
    </row>
    <row r="126" spans="2:16" ht="12.75" customHeight="1" x14ac:dyDescent="0.25">
      <c r="B126" s="325" t="s">
        <v>1339</v>
      </c>
      <c r="C126" s="325" t="s">
        <v>2246</v>
      </c>
      <c r="D126" s="325" t="s">
        <v>1245</v>
      </c>
      <c r="E126" s="2">
        <v>5500</v>
      </c>
      <c r="F126" s="2">
        <v>250</v>
      </c>
      <c r="G126" s="60">
        <v>24.25</v>
      </c>
      <c r="H126" s="303">
        <f t="shared" si="4"/>
        <v>6062.5</v>
      </c>
      <c r="I126" s="60">
        <v>45</v>
      </c>
      <c r="J126" s="312"/>
      <c r="K126" s="312"/>
      <c r="L126" s="312"/>
      <c r="M126" s="60">
        <f t="shared" si="5"/>
        <v>45</v>
      </c>
      <c r="N126" s="299">
        <f t="shared" si="6"/>
        <v>6107.5</v>
      </c>
      <c r="O126" s="263" t="s">
        <v>1130</v>
      </c>
      <c r="P126" s="263" t="s">
        <v>197</v>
      </c>
    </row>
    <row r="127" spans="2:16" ht="12.75" customHeight="1" x14ac:dyDescent="0.25">
      <c r="B127" s="325" t="s">
        <v>1339</v>
      </c>
      <c r="C127" s="325" t="s">
        <v>2246</v>
      </c>
      <c r="D127" s="325" t="s">
        <v>1245</v>
      </c>
      <c r="E127" s="2">
        <v>5500</v>
      </c>
      <c r="F127" s="2">
        <v>450</v>
      </c>
      <c r="G127" s="60">
        <v>24.25</v>
      </c>
      <c r="H127" s="303">
        <f t="shared" si="4"/>
        <v>10912.5</v>
      </c>
      <c r="I127" s="60">
        <v>81</v>
      </c>
      <c r="J127" s="312"/>
      <c r="K127" s="312"/>
      <c r="L127" s="312"/>
      <c r="M127" s="60">
        <f t="shared" si="5"/>
        <v>81</v>
      </c>
      <c r="N127" s="299">
        <f t="shared" si="6"/>
        <v>10993.5</v>
      </c>
      <c r="O127" s="263" t="s">
        <v>1130</v>
      </c>
      <c r="P127" s="263" t="s">
        <v>197</v>
      </c>
    </row>
    <row r="128" spans="2:16" ht="12.75" customHeight="1" x14ac:dyDescent="0.25">
      <c r="B128" s="325" t="s">
        <v>1339</v>
      </c>
      <c r="C128" s="325" t="s">
        <v>2246</v>
      </c>
      <c r="D128" s="325" t="s">
        <v>1245</v>
      </c>
      <c r="E128" s="2">
        <v>5500</v>
      </c>
      <c r="F128" s="2">
        <v>900</v>
      </c>
      <c r="G128" s="60">
        <v>31.25</v>
      </c>
      <c r="H128" s="303">
        <f t="shared" si="4"/>
        <v>28125</v>
      </c>
      <c r="I128" s="60">
        <v>162</v>
      </c>
      <c r="J128" s="247">
        <v>65.28</v>
      </c>
      <c r="K128" s="247">
        <v>6</v>
      </c>
      <c r="L128" s="247">
        <v>42.16</v>
      </c>
      <c r="M128" s="60">
        <f t="shared" si="5"/>
        <v>275.44</v>
      </c>
      <c r="N128" s="299">
        <f t="shared" si="6"/>
        <v>28400.44</v>
      </c>
      <c r="O128" s="263" t="s">
        <v>1130</v>
      </c>
      <c r="P128" s="263" t="s">
        <v>197</v>
      </c>
    </row>
    <row r="129" spans="2:18" ht="12.75" customHeight="1" x14ac:dyDescent="0.25">
      <c r="B129" s="325" t="s">
        <v>1340</v>
      </c>
      <c r="C129" s="325" t="s">
        <v>2246</v>
      </c>
      <c r="D129" s="325" t="s">
        <v>1245</v>
      </c>
      <c r="E129" s="2">
        <v>5500</v>
      </c>
      <c r="F129" s="2">
        <v>300</v>
      </c>
      <c r="G129" s="60">
        <v>19.75</v>
      </c>
      <c r="H129" s="303">
        <f t="shared" si="4"/>
        <v>5925</v>
      </c>
      <c r="I129" s="60">
        <v>54</v>
      </c>
      <c r="J129" s="302"/>
      <c r="K129" s="302"/>
      <c r="L129" s="312"/>
      <c r="M129" s="60">
        <f t="shared" si="5"/>
        <v>54</v>
      </c>
      <c r="N129" s="299">
        <f t="shared" si="6"/>
        <v>5979</v>
      </c>
      <c r="O129" s="263" t="s">
        <v>1343</v>
      </c>
      <c r="P129" s="263" t="s">
        <v>197</v>
      </c>
    </row>
    <row r="130" spans="2:18" ht="12.75" customHeight="1" x14ac:dyDescent="0.25">
      <c r="B130" s="325" t="s">
        <v>1340</v>
      </c>
      <c r="C130" s="325" t="s">
        <v>2246</v>
      </c>
      <c r="D130" s="325" t="s">
        <v>1245</v>
      </c>
      <c r="E130" s="2">
        <v>5500</v>
      </c>
      <c r="F130" s="2">
        <v>100</v>
      </c>
      <c r="G130" s="60">
        <v>16.75</v>
      </c>
      <c r="H130" s="303">
        <f t="shared" si="4"/>
        <v>1675</v>
      </c>
      <c r="I130" s="60">
        <v>18</v>
      </c>
      <c r="J130" s="302"/>
      <c r="K130" s="302"/>
      <c r="L130" s="312"/>
      <c r="M130" s="60">
        <f t="shared" si="5"/>
        <v>18</v>
      </c>
      <c r="N130" s="299">
        <f t="shared" si="6"/>
        <v>1693</v>
      </c>
      <c r="O130" s="263" t="s">
        <v>1343</v>
      </c>
      <c r="P130" s="263" t="s">
        <v>197</v>
      </c>
    </row>
    <row r="131" spans="2:18" ht="12.75" customHeight="1" x14ac:dyDescent="0.25">
      <c r="B131" s="325" t="s">
        <v>1340</v>
      </c>
      <c r="C131" s="325" t="s">
        <v>2246</v>
      </c>
      <c r="D131" s="325" t="s">
        <v>1245</v>
      </c>
      <c r="E131" s="2">
        <v>5500</v>
      </c>
      <c r="F131" s="2">
        <v>200</v>
      </c>
      <c r="G131" s="60">
        <v>16.75</v>
      </c>
      <c r="H131" s="303">
        <f t="shared" si="4"/>
        <v>3350</v>
      </c>
      <c r="I131" s="60">
        <v>36</v>
      </c>
      <c r="J131" s="60">
        <v>14.3</v>
      </c>
      <c r="K131" s="60">
        <v>1</v>
      </c>
      <c r="L131" s="247">
        <v>7.67</v>
      </c>
      <c r="M131" s="60">
        <f t="shared" si="5"/>
        <v>58.97</v>
      </c>
      <c r="N131" s="299">
        <f t="shared" si="6"/>
        <v>3408.97</v>
      </c>
      <c r="O131" s="263" t="s">
        <v>1343</v>
      </c>
      <c r="P131" s="263" t="s">
        <v>197</v>
      </c>
    </row>
    <row r="132" spans="2:18" ht="12.75" customHeight="1" x14ac:dyDescent="0.25">
      <c r="B132" s="325" t="s">
        <v>47</v>
      </c>
      <c r="C132" s="325" t="s">
        <v>2480</v>
      </c>
      <c r="D132" s="325" t="s">
        <v>1245</v>
      </c>
      <c r="E132" s="2">
        <v>5900</v>
      </c>
      <c r="F132" s="2">
        <v>200</v>
      </c>
      <c r="G132" s="60">
        <v>220</v>
      </c>
      <c r="H132" s="303">
        <f t="shared" si="4"/>
        <v>44000</v>
      </c>
      <c r="I132" s="60">
        <v>36</v>
      </c>
      <c r="J132" s="247">
        <v>8.26</v>
      </c>
      <c r="K132" s="247">
        <v>3</v>
      </c>
      <c r="L132" s="247">
        <v>30.8</v>
      </c>
      <c r="M132" s="60">
        <f t="shared" ref="M132:M140" si="7">SUM(I132:L132)</f>
        <v>78.06</v>
      </c>
      <c r="N132" s="299">
        <f t="shared" si="6"/>
        <v>44078.06</v>
      </c>
      <c r="O132" s="263" t="s">
        <v>2060</v>
      </c>
      <c r="P132" s="263" t="s">
        <v>197</v>
      </c>
    </row>
    <row r="133" spans="2:18" ht="12.75" customHeight="1" x14ac:dyDescent="0.25">
      <c r="B133" s="325" t="s">
        <v>48</v>
      </c>
      <c r="C133" s="325" t="s">
        <v>2246</v>
      </c>
      <c r="D133" s="325" t="s">
        <v>1249</v>
      </c>
      <c r="E133" s="2">
        <v>5700</v>
      </c>
      <c r="F133" s="2">
        <v>1000</v>
      </c>
      <c r="G133" s="60">
        <v>29.2</v>
      </c>
      <c r="H133" s="303">
        <f t="shared" si="4"/>
        <v>29200</v>
      </c>
      <c r="I133" s="60">
        <v>180</v>
      </c>
      <c r="J133" s="312"/>
      <c r="K133" s="312"/>
      <c r="L133" s="312"/>
      <c r="M133" s="60">
        <f t="shared" si="7"/>
        <v>180</v>
      </c>
      <c r="N133" s="299">
        <f t="shared" si="6"/>
        <v>29380</v>
      </c>
      <c r="O133" s="263" t="s">
        <v>49</v>
      </c>
      <c r="P133" s="263" t="s">
        <v>197</v>
      </c>
    </row>
    <row r="134" spans="2:18" ht="12.75" customHeight="1" x14ac:dyDescent="0.25">
      <c r="B134" s="325" t="s">
        <v>50</v>
      </c>
      <c r="C134" s="325" t="s">
        <v>2246</v>
      </c>
      <c r="D134" s="325" t="s">
        <v>1245</v>
      </c>
      <c r="E134" s="2">
        <v>5600</v>
      </c>
      <c r="F134" s="2">
        <v>900</v>
      </c>
      <c r="G134" s="60">
        <v>6</v>
      </c>
      <c r="H134" s="303">
        <f t="shared" si="4"/>
        <v>5400</v>
      </c>
      <c r="I134" s="60">
        <v>162</v>
      </c>
      <c r="J134" s="316"/>
      <c r="K134" s="316"/>
      <c r="L134" s="316"/>
      <c r="M134" s="60">
        <f t="shared" si="7"/>
        <v>162</v>
      </c>
      <c r="N134" s="299">
        <f t="shared" si="6"/>
        <v>5562</v>
      </c>
      <c r="O134" s="263" t="s">
        <v>51</v>
      </c>
      <c r="P134" s="263" t="s">
        <v>197</v>
      </c>
    </row>
    <row r="135" spans="2:18" ht="12.75" customHeight="1" x14ac:dyDescent="0.25">
      <c r="B135" s="325" t="s">
        <v>50</v>
      </c>
      <c r="C135" s="325" t="s">
        <v>2246</v>
      </c>
      <c r="D135" s="325" t="s">
        <v>1245</v>
      </c>
      <c r="E135" s="2">
        <v>5600</v>
      </c>
      <c r="F135" s="2">
        <v>100</v>
      </c>
      <c r="G135" s="60">
        <v>6</v>
      </c>
      <c r="H135" s="303">
        <f t="shared" si="4"/>
        <v>600</v>
      </c>
      <c r="I135" s="60">
        <v>18</v>
      </c>
      <c r="J135" s="312"/>
      <c r="K135" s="312"/>
      <c r="L135" s="312"/>
      <c r="M135" s="60">
        <f t="shared" si="7"/>
        <v>18</v>
      </c>
      <c r="N135" s="299">
        <f t="shared" si="6"/>
        <v>618</v>
      </c>
      <c r="O135" s="263" t="s">
        <v>51</v>
      </c>
      <c r="P135" s="263" t="s">
        <v>197</v>
      </c>
    </row>
    <row r="136" spans="2:18" ht="12.75" customHeight="1" x14ac:dyDescent="0.25">
      <c r="B136" s="325" t="s">
        <v>50</v>
      </c>
      <c r="C136" s="325" t="s">
        <v>2246</v>
      </c>
      <c r="D136" s="325" t="s">
        <v>1249</v>
      </c>
      <c r="E136" s="2">
        <v>5700</v>
      </c>
      <c r="F136" s="2">
        <v>400</v>
      </c>
      <c r="G136" s="60">
        <v>25.4</v>
      </c>
      <c r="H136" s="303">
        <f t="shared" si="4"/>
        <v>10160</v>
      </c>
      <c r="I136" s="60">
        <v>72</v>
      </c>
      <c r="J136" s="312"/>
      <c r="K136" s="312"/>
      <c r="L136" s="312"/>
      <c r="M136" s="60">
        <f t="shared" si="7"/>
        <v>72</v>
      </c>
      <c r="N136" s="299">
        <f t="shared" si="6"/>
        <v>10232</v>
      </c>
      <c r="O136" s="263" t="s">
        <v>51</v>
      </c>
      <c r="P136" s="263" t="s">
        <v>197</v>
      </c>
    </row>
    <row r="137" spans="2:18" ht="12.75" customHeight="1" x14ac:dyDescent="0.25">
      <c r="B137" s="325" t="s">
        <v>50</v>
      </c>
      <c r="C137" s="325" t="s">
        <v>2246</v>
      </c>
      <c r="D137" s="325" t="s">
        <v>1249</v>
      </c>
      <c r="E137" s="2">
        <v>5700</v>
      </c>
      <c r="F137" s="2">
        <v>100</v>
      </c>
      <c r="G137" s="60">
        <v>25.45</v>
      </c>
      <c r="H137" s="303">
        <f t="shared" si="4"/>
        <v>2545</v>
      </c>
      <c r="I137" s="60">
        <v>18</v>
      </c>
      <c r="J137" s="247">
        <v>57.65</v>
      </c>
      <c r="K137" s="247">
        <v>3</v>
      </c>
      <c r="L137" s="247">
        <v>16.420000000000002</v>
      </c>
      <c r="M137" s="60">
        <f t="shared" si="7"/>
        <v>95.070000000000007</v>
      </c>
      <c r="N137" s="299">
        <f t="shared" si="6"/>
        <v>2640.07</v>
      </c>
      <c r="O137" s="263" t="s">
        <v>51</v>
      </c>
      <c r="P137" s="263" t="s">
        <v>197</v>
      </c>
    </row>
    <row r="138" spans="2:18" ht="12.75" customHeight="1" x14ac:dyDescent="0.25">
      <c r="B138" s="325" t="s">
        <v>52</v>
      </c>
      <c r="C138" s="325" t="s">
        <v>2246</v>
      </c>
      <c r="D138" s="16" t="s">
        <v>1249</v>
      </c>
      <c r="E138" s="2">
        <v>5700</v>
      </c>
      <c r="F138" s="2">
        <v>2000</v>
      </c>
      <c r="G138" s="60">
        <v>11</v>
      </c>
      <c r="H138" s="303">
        <f t="shared" si="4"/>
        <v>22000</v>
      </c>
      <c r="I138" s="60">
        <v>360</v>
      </c>
      <c r="J138" s="312"/>
      <c r="K138" s="312"/>
      <c r="L138" s="312"/>
      <c r="M138" s="60">
        <f t="shared" si="7"/>
        <v>360</v>
      </c>
      <c r="N138" s="299">
        <f t="shared" si="6"/>
        <v>22360</v>
      </c>
      <c r="O138" s="263" t="s">
        <v>2067</v>
      </c>
      <c r="P138" s="263" t="s">
        <v>197</v>
      </c>
    </row>
    <row r="139" spans="2:18" ht="12.75" customHeight="1" x14ac:dyDescent="0.25">
      <c r="B139" s="325" t="s">
        <v>52</v>
      </c>
      <c r="C139" s="325" t="s">
        <v>2246</v>
      </c>
      <c r="D139" s="16" t="s">
        <v>1245</v>
      </c>
      <c r="E139" s="2">
        <v>5700</v>
      </c>
      <c r="F139" s="2">
        <v>400</v>
      </c>
      <c r="G139" s="60">
        <v>50.65</v>
      </c>
      <c r="H139" s="303">
        <f t="shared" si="4"/>
        <v>20260</v>
      </c>
      <c r="I139" s="60">
        <v>72</v>
      </c>
      <c r="J139" s="316"/>
      <c r="K139" s="316"/>
      <c r="L139" s="316"/>
      <c r="M139" s="60">
        <f t="shared" si="7"/>
        <v>72</v>
      </c>
      <c r="N139" s="299">
        <f t="shared" si="6"/>
        <v>20332</v>
      </c>
      <c r="O139" s="263" t="s">
        <v>2067</v>
      </c>
      <c r="P139" s="263" t="s">
        <v>197</v>
      </c>
    </row>
    <row r="140" spans="2:18" ht="12.75" customHeight="1" x14ac:dyDescent="0.25">
      <c r="B140" s="325" t="s">
        <v>52</v>
      </c>
      <c r="C140" s="325" t="s">
        <v>2246</v>
      </c>
      <c r="D140" s="16" t="s">
        <v>1245</v>
      </c>
      <c r="E140" s="2">
        <v>5700</v>
      </c>
      <c r="F140" s="2">
        <v>300</v>
      </c>
      <c r="G140" s="60">
        <v>50.65</v>
      </c>
      <c r="H140" s="303">
        <f t="shared" si="4"/>
        <v>15195</v>
      </c>
      <c r="I140" s="60">
        <v>54</v>
      </c>
      <c r="J140" s="316"/>
      <c r="K140" s="316"/>
      <c r="L140" s="316"/>
      <c r="M140" s="60">
        <f t="shared" si="7"/>
        <v>54</v>
      </c>
      <c r="N140" s="299">
        <f t="shared" si="6"/>
        <v>15249</v>
      </c>
      <c r="O140" s="263" t="s">
        <v>2067</v>
      </c>
      <c r="P140" s="263" t="s">
        <v>197</v>
      </c>
    </row>
    <row r="141" spans="2:18" ht="12.75" customHeight="1" x14ac:dyDescent="0.25">
      <c r="B141" s="325" t="s">
        <v>20</v>
      </c>
      <c r="C141" s="325" t="s">
        <v>2480</v>
      </c>
      <c r="D141" s="325" t="s">
        <v>1245</v>
      </c>
      <c r="E141" s="2">
        <v>5500</v>
      </c>
      <c r="F141" s="2">
        <v>200</v>
      </c>
      <c r="G141" s="60">
        <v>36.1</v>
      </c>
      <c r="H141" s="303">
        <f t="shared" si="4"/>
        <v>7220</v>
      </c>
      <c r="I141" s="60">
        <v>36</v>
      </c>
      <c r="J141" s="312"/>
      <c r="K141" s="312"/>
      <c r="L141" s="312"/>
      <c r="M141" s="60">
        <f t="shared" ref="M141:M149" si="8">SUM(I141:L141)</f>
        <v>36</v>
      </c>
      <c r="N141" s="255">
        <f t="shared" si="6"/>
        <v>7256</v>
      </c>
      <c r="O141" s="263" t="s">
        <v>21</v>
      </c>
      <c r="P141" s="263" t="s">
        <v>197</v>
      </c>
    </row>
    <row r="142" spans="2:18" ht="12.75" customHeight="1" x14ac:dyDescent="0.25">
      <c r="B142" s="325" t="s">
        <v>20</v>
      </c>
      <c r="C142" s="325" t="s">
        <v>2480</v>
      </c>
      <c r="D142" s="325" t="s">
        <v>1245</v>
      </c>
      <c r="E142" s="2">
        <v>5500</v>
      </c>
      <c r="F142" s="2">
        <v>250</v>
      </c>
      <c r="G142" s="60">
        <v>36.15</v>
      </c>
      <c r="H142" s="303">
        <f t="shared" si="4"/>
        <v>9037.5</v>
      </c>
      <c r="I142" s="60">
        <v>45</v>
      </c>
      <c r="J142" s="312"/>
      <c r="K142" s="312"/>
      <c r="L142" s="312"/>
      <c r="M142" s="60">
        <f t="shared" si="8"/>
        <v>45</v>
      </c>
      <c r="N142" s="255">
        <f t="shared" si="6"/>
        <v>9082.5</v>
      </c>
      <c r="O142" s="263" t="s">
        <v>21</v>
      </c>
      <c r="P142" s="263" t="s">
        <v>197</v>
      </c>
    </row>
    <row r="143" spans="2:18" ht="13.2" x14ac:dyDescent="0.25">
      <c r="B143" s="325" t="s">
        <v>20</v>
      </c>
      <c r="C143" s="325" t="s">
        <v>2480</v>
      </c>
      <c r="D143" s="325" t="s">
        <v>1245</v>
      </c>
      <c r="E143" s="2">
        <v>5500</v>
      </c>
      <c r="F143" s="2">
        <v>150</v>
      </c>
      <c r="G143" s="60">
        <v>36.15</v>
      </c>
      <c r="H143" s="303">
        <f t="shared" si="4"/>
        <v>5422.5</v>
      </c>
      <c r="I143" s="60">
        <v>27</v>
      </c>
      <c r="J143" s="302"/>
      <c r="K143" s="302"/>
      <c r="L143" s="312"/>
      <c r="M143" s="60">
        <f t="shared" si="8"/>
        <v>27</v>
      </c>
      <c r="N143" s="255">
        <f t="shared" si="6"/>
        <v>5449.5</v>
      </c>
      <c r="O143" s="263" t="s">
        <v>21</v>
      </c>
      <c r="P143" s="263" t="s">
        <v>197</v>
      </c>
      <c r="R143" s="247"/>
    </row>
    <row r="144" spans="2:18" ht="13.2" x14ac:dyDescent="0.25">
      <c r="B144" s="325" t="s">
        <v>20</v>
      </c>
      <c r="C144" s="325" t="s">
        <v>2480</v>
      </c>
      <c r="D144" s="16" t="s">
        <v>1245</v>
      </c>
      <c r="E144" s="2">
        <v>5500</v>
      </c>
      <c r="F144" s="2">
        <v>400</v>
      </c>
      <c r="G144" s="60">
        <v>36.15</v>
      </c>
      <c r="H144" s="303">
        <f t="shared" si="4"/>
        <v>14460</v>
      </c>
      <c r="I144" s="60">
        <v>72</v>
      </c>
      <c r="J144" s="302"/>
      <c r="K144" s="302"/>
      <c r="L144" s="312"/>
      <c r="M144" s="60">
        <f t="shared" si="8"/>
        <v>72</v>
      </c>
      <c r="N144" s="255">
        <f t="shared" si="6"/>
        <v>14532</v>
      </c>
      <c r="O144" s="263" t="s">
        <v>21</v>
      </c>
      <c r="P144" s="263" t="s">
        <v>197</v>
      </c>
      <c r="R144" s="247"/>
    </row>
    <row r="145" spans="2:16" ht="12.75" customHeight="1" x14ac:dyDescent="0.25">
      <c r="B145" s="325" t="s">
        <v>20</v>
      </c>
      <c r="C145" s="325" t="s">
        <v>2246</v>
      </c>
      <c r="D145" s="16" t="s">
        <v>1249</v>
      </c>
      <c r="E145" s="2">
        <v>5700</v>
      </c>
      <c r="F145" s="2">
        <v>50</v>
      </c>
      <c r="G145" s="60">
        <v>3.9</v>
      </c>
      <c r="H145" s="303">
        <f t="shared" si="4"/>
        <v>195</v>
      </c>
      <c r="I145" s="60">
        <v>9</v>
      </c>
      <c r="J145" s="302"/>
      <c r="K145" s="302"/>
      <c r="L145" s="312"/>
      <c r="M145" s="60">
        <f t="shared" si="8"/>
        <v>9</v>
      </c>
      <c r="N145" s="299">
        <f t="shared" si="6"/>
        <v>204</v>
      </c>
      <c r="O145" s="263" t="s">
        <v>21</v>
      </c>
      <c r="P145" s="263" t="s">
        <v>197</v>
      </c>
    </row>
    <row r="146" spans="2:16" ht="13.2" x14ac:dyDescent="0.25">
      <c r="B146" s="325" t="s">
        <v>20</v>
      </c>
      <c r="C146" s="325" t="s">
        <v>2246</v>
      </c>
      <c r="D146" s="16" t="s">
        <v>1249</v>
      </c>
      <c r="E146" s="2">
        <v>5700</v>
      </c>
      <c r="F146" s="2">
        <v>200</v>
      </c>
      <c r="G146" s="60">
        <v>3.95</v>
      </c>
      <c r="H146" s="303">
        <f t="shared" si="4"/>
        <v>790</v>
      </c>
      <c r="I146" s="60">
        <v>36</v>
      </c>
      <c r="J146" s="302"/>
      <c r="K146" s="302"/>
      <c r="L146" s="312"/>
      <c r="M146" s="60">
        <f t="shared" si="8"/>
        <v>36</v>
      </c>
      <c r="N146" s="299">
        <f t="shared" si="6"/>
        <v>826</v>
      </c>
      <c r="O146" s="263" t="s">
        <v>21</v>
      </c>
      <c r="P146" s="263" t="s">
        <v>197</v>
      </c>
    </row>
    <row r="147" spans="2:16" ht="12.75" customHeight="1" x14ac:dyDescent="0.25">
      <c r="B147" s="325" t="s">
        <v>20</v>
      </c>
      <c r="C147" s="325" t="s">
        <v>2246</v>
      </c>
      <c r="D147" s="16" t="s">
        <v>1249</v>
      </c>
      <c r="E147" s="2">
        <v>5700</v>
      </c>
      <c r="F147" s="2">
        <v>250</v>
      </c>
      <c r="G147" s="60">
        <v>3.95</v>
      </c>
      <c r="H147" s="303">
        <f t="shared" si="4"/>
        <v>987.5</v>
      </c>
      <c r="I147" s="60">
        <v>45</v>
      </c>
      <c r="J147" s="302"/>
      <c r="K147" s="302"/>
      <c r="L147" s="312"/>
      <c r="M147" s="60">
        <f t="shared" si="8"/>
        <v>45</v>
      </c>
      <c r="N147" s="299">
        <f t="shared" si="6"/>
        <v>1032.5</v>
      </c>
      <c r="O147" s="263" t="s">
        <v>21</v>
      </c>
      <c r="P147" s="263" t="s">
        <v>197</v>
      </c>
    </row>
    <row r="148" spans="2:16" ht="12.75" customHeight="1" x14ac:dyDescent="0.25">
      <c r="B148" s="325" t="s">
        <v>20</v>
      </c>
      <c r="C148" s="325" t="s">
        <v>2246</v>
      </c>
      <c r="D148" s="16" t="s">
        <v>1249</v>
      </c>
      <c r="E148" s="2">
        <v>5700</v>
      </c>
      <c r="F148" s="2">
        <v>150</v>
      </c>
      <c r="G148" s="60">
        <v>5.4</v>
      </c>
      <c r="H148" s="303">
        <f t="shared" si="4"/>
        <v>810</v>
      </c>
      <c r="I148" s="60">
        <v>27</v>
      </c>
      <c r="J148" s="302"/>
      <c r="K148" s="302"/>
      <c r="L148" s="312"/>
      <c r="M148" s="60">
        <f t="shared" si="8"/>
        <v>27</v>
      </c>
      <c r="N148" s="299">
        <f t="shared" si="6"/>
        <v>837</v>
      </c>
      <c r="O148" s="263" t="s">
        <v>21</v>
      </c>
      <c r="P148" s="263" t="s">
        <v>197</v>
      </c>
    </row>
    <row r="149" spans="2:16" ht="12.75" customHeight="1" x14ac:dyDescent="0.25">
      <c r="B149" s="325" t="s">
        <v>20</v>
      </c>
      <c r="C149" s="325" t="s">
        <v>2246</v>
      </c>
      <c r="D149" s="16" t="s">
        <v>1249</v>
      </c>
      <c r="E149" s="2">
        <v>5700</v>
      </c>
      <c r="F149" s="2">
        <v>50</v>
      </c>
      <c r="G149" s="60">
        <v>5.4</v>
      </c>
      <c r="H149" s="303">
        <f t="shared" si="4"/>
        <v>270</v>
      </c>
      <c r="I149" s="60">
        <v>9</v>
      </c>
      <c r="J149" s="299">
        <v>41.21</v>
      </c>
      <c r="K149" s="299">
        <v>3</v>
      </c>
      <c r="L149" s="247">
        <v>27.43</v>
      </c>
      <c r="M149" s="60">
        <f t="shared" si="8"/>
        <v>80.64</v>
      </c>
      <c r="N149" s="299">
        <f t="shared" si="6"/>
        <v>350.64</v>
      </c>
      <c r="O149" s="263" t="s">
        <v>21</v>
      </c>
      <c r="P149" s="263" t="s">
        <v>197</v>
      </c>
    </row>
    <row r="150" spans="2:16" ht="12.75" customHeight="1" x14ac:dyDescent="0.25">
      <c r="B150" s="325" t="s">
        <v>22</v>
      </c>
      <c r="C150" s="325" t="s">
        <v>2480</v>
      </c>
      <c r="D150" s="16" t="s">
        <v>1245</v>
      </c>
      <c r="E150" s="2">
        <v>5500</v>
      </c>
      <c r="F150" s="2">
        <v>300</v>
      </c>
      <c r="G150" s="60">
        <v>24</v>
      </c>
      <c r="H150" s="303">
        <f t="shared" si="4"/>
        <v>7200</v>
      </c>
      <c r="I150" s="60">
        <v>54</v>
      </c>
      <c r="J150" s="315"/>
      <c r="K150" s="315"/>
      <c r="L150" s="312"/>
      <c r="M150" s="60">
        <f t="shared" ref="M150:M156" si="9">SUM(I150:L150)</f>
        <v>54</v>
      </c>
      <c r="N150" s="299">
        <f t="shared" si="6"/>
        <v>7254</v>
      </c>
      <c r="O150" s="263" t="s">
        <v>1366</v>
      </c>
      <c r="P150" s="263" t="s">
        <v>197</v>
      </c>
    </row>
    <row r="151" spans="2:16" ht="12.75" customHeight="1" x14ac:dyDescent="0.25">
      <c r="B151" s="325" t="s">
        <v>22</v>
      </c>
      <c r="C151" s="325" t="s">
        <v>2480</v>
      </c>
      <c r="D151" s="16" t="s">
        <v>1245</v>
      </c>
      <c r="E151" s="2">
        <v>5500</v>
      </c>
      <c r="F151" s="2">
        <v>500</v>
      </c>
      <c r="G151" s="60">
        <v>24</v>
      </c>
      <c r="H151" s="303">
        <f t="shared" si="4"/>
        <v>12000</v>
      </c>
      <c r="I151" s="60">
        <v>90</v>
      </c>
      <c r="J151" s="315"/>
      <c r="K151" s="315"/>
      <c r="L151" s="312"/>
      <c r="M151" s="60">
        <f t="shared" si="9"/>
        <v>90</v>
      </c>
      <c r="N151" s="299">
        <f t="shared" si="6"/>
        <v>12090</v>
      </c>
      <c r="O151" s="263" t="s">
        <v>1366</v>
      </c>
      <c r="P151" s="263" t="s">
        <v>197</v>
      </c>
    </row>
    <row r="152" spans="2:16" ht="13.2" x14ac:dyDescent="0.25">
      <c r="B152" s="325" t="s">
        <v>22</v>
      </c>
      <c r="C152" s="325" t="s">
        <v>2480</v>
      </c>
      <c r="D152" s="16" t="s">
        <v>1245</v>
      </c>
      <c r="E152" s="2">
        <v>5500</v>
      </c>
      <c r="F152" s="2">
        <v>200</v>
      </c>
      <c r="G152" s="60">
        <v>24</v>
      </c>
      <c r="H152" s="303">
        <f t="shared" si="4"/>
        <v>4800</v>
      </c>
      <c r="I152" s="60">
        <v>36</v>
      </c>
      <c r="J152" s="299">
        <v>24.33</v>
      </c>
      <c r="K152" s="299">
        <v>2</v>
      </c>
      <c r="L152" s="247">
        <v>16.8</v>
      </c>
      <c r="M152" s="60">
        <f t="shared" si="9"/>
        <v>79.13</v>
      </c>
      <c r="N152" s="299">
        <f t="shared" si="6"/>
        <v>4879.13</v>
      </c>
      <c r="O152" s="263" t="s">
        <v>1366</v>
      </c>
      <c r="P152" s="263" t="s">
        <v>197</v>
      </c>
    </row>
    <row r="153" spans="2:16" ht="12.75" customHeight="1" x14ac:dyDescent="0.25">
      <c r="B153" s="325" t="s">
        <v>82</v>
      </c>
      <c r="C153" s="325" t="s">
        <v>2480</v>
      </c>
      <c r="D153" s="16" t="s">
        <v>1245</v>
      </c>
      <c r="E153" s="2">
        <v>5500</v>
      </c>
      <c r="F153" s="2">
        <v>200</v>
      </c>
      <c r="G153" s="60">
        <v>20.149999999999999</v>
      </c>
      <c r="H153" s="303">
        <f t="shared" si="4"/>
        <v>4029.9999999999995</v>
      </c>
      <c r="I153" s="60">
        <v>36</v>
      </c>
      <c r="J153" s="315"/>
      <c r="K153" s="315"/>
      <c r="L153" s="312"/>
      <c r="M153" s="60">
        <f t="shared" si="9"/>
        <v>36</v>
      </c>
      <c r="N153" s="299">
        <f t="shared" si="6"/>
        <v>4065.9999999999995</v>
      </c>
      <c r="O153" s="263" t="s">
        <v>1395</v>
      </c>
      <c r="P153" s="263" t="s">
        <v>197</v>
      </c>
    </row>
    <row r="154" spans="2:16" ht="12.75" customHeight="1" x14ac:dyDescent="0.25">
      <c r="B154" s="325" t="s">
        <v>82</v>
      </c>
      <c r="C154" s="325" t="s">
        <v>2480</v>
      </c>
      <c r="D154" s="16" t="s">
        <v>1245</v>
      </c>
      <c r="E154" s="2">
        <v>5500</v>
      </c>
      <c r="F154" s="2">
        <v>100</v>
      </c>
      <c r="G154" s="60">
        <v>20.2</v>
      </c>
      <c r="H154" s="303">
        <f t="shared" si="4"/>
        <v>2020</v>
      </c>
      <c r="I154" s="60">
        <v>18</v>
      </c>
      <c r="J154" s="315"/>
      <c r="K154" s="315"/>
      <c r="L154" s="312"/>
      <c r="M154" s="60">
        <f t="shared" si="9"/>
        <v>18</v>
      </c>
      <c r="N154" s="299">
        <f t="shared" si="6"/>
        <v>2038</v>
      </c>
      <c r="O154" s="263" t="s">
        <v>1395</v>
      </c>
      <c r="P154" s="263" t="s">
        <v>197</v>
      </c>
    </row>
    <row r="155" spans="2:16" ht="13.2" x14ac:dyDescent="0.25">
      <c r="B155" s="325" t="s">
        <v>82</v>
      </c>
      <c r="C155" s="325" t="s">
        <v>2480</v>
      </c>
      <c r="D155" s="16" t="s">
        <v>1245</v>
      </c>
      <c r="E155" s="2">
        <v>5500</v>
      </c>
      <c r="F155" s="2">
        <v>100</v>
      </c>
      <c r="G155" s="60">
        <v>20.2</v>
      </c>
      <c r="H155" s="303">
        <f t="shared" si="4"/>
        <v>2020</v>
      </c>
      <c r="I155" s="60">
        <v>18</v>
      </c>
      <c r="J155" s="302"/>
      <c r="K155" s="310"/>
      <c r="L155" s="302"/>
      <c r="M155" s="60">
        <f t="shared" si="9"/>
        <v>18</v>
      </c>
      <c r="N155" s="299">
        <f t="shared" si="6"/>
        <v>2038</v>
      </c>
      <c r="O155" s="263" t="s">
        <v>1395</v>
      </c>
      <c r="P155" s="263" t="s">
        <v>197</v>
      </c>
    </row>
    <row r="156" spans="2:16" ht="12.75" customHeight="1" x14ac:dyDescent="0.25">
      <c r="B156" s="325" t="s">
        <v>82</v>
      </c>
      <c r="C156" s="325" t="s">
        <v>2480</v>
      </c>
      <c r="D156" s="16" t="s">
        <v>1245</v>
      </c>
      <c r="E156" s="2">
        <v>5500</v>
      </c>
      <c r="F156" s="2">
        <v>100</v>
      </c>
      <c r="G156" s="60">
        <v>20.2</v>
      </c>
      <c r="H156" s="303">
        <f t="shared" si="4"/>
        <v>2020</v>
      </c>
      <c r="I156" s="60">
        <v>18</v>
      </c>
      <c r="J156" s="299">
        <v>11.99</v>
      </c>
      <c r="K156" s="299">
        <v>1</v>
      </c>
      <c r="L156" s="247">
        <v>7.06</v>
      </c>
      <c r="M156" s="60">
        <f t="shared" si="9"/>
        <v>38.050000000000004</v>
      </c>
      <c r="N156" s="299">
        <f t="shared" si="6"/>
        <v>2058.0500000000002</v>
      </c>
      <c r="O156" s="263" t="s">
        <v>1395</v>
      </c>
      <c r="P156" s="263" t="s">
        <v>197</v>
      </c>
    </row>
    <row r="157" spans="2:16" ht="12.75" customHeight="1" x14ac:dyDescent="0.25">
      <c r="B157" s="325" t="s">
        <v>1443</v>
      </c>
      <c r="C157" s="325" t="s">
        <v>2480</v>
      </c>
      <c r="D157" s="325" t="s">
        <v>1245</v>
      </c>
      <c r="E157" s="2">
        <v>5700</v>
      </c>
      <c r="F157" s="2">
        <v>500</v>
      </c>
      <c r="G157" s="60">
        <v>40.5</v>
      </c>
      <c r="H157" s="303">
        <f t="shared" si="4"/>
        <v>20250</v>
      </c>
      <c r="I157" s="60">
        <v>90</v>
      </c>
      <c r="J157" s="316"/>
      <c r="K157" s="316"/>
      <c r="L157" s="316"/>
      <c r="M157" s="60">
        <f>SUM(I157:L157)</f>
        <v>90</v>
      </c>
      <c r="N157" s="299">
        <f t="shared" si="6"/>
        <v>20340</v>
      </c>
      <c r="O157" s="263" t="s">
        <v>2280</v>
      </c>
      <c r="P157" s="263" t="s">
        <v>197</v>
      </c>
    </row>
    <row r="158" spans="2:16" ht="12.75" customHeight="1" x14ac:dyDescent="0.25">
      <c r="B158" s="325" t="s">
        <v>1443</v>
      </c>
      <c r="C158" s="325" t="s">
        <v>2480</v>
      </c>
      <c r="D158" s="325" t="s">
        <v>1245</v>
      </c>
      <c r="E158" s="2">
        <v>5700</v>
      </c>
      <c r="F158" s="2">
        <v>250</v>
      </c>
      <c r="G158" s="60">
        <v>40.5</v>
      </c>
      <c r="H158" s="303">
        <f t="shared" si="4"/>
        <v>10125</v>
      </c>
      <c r="I158" s="60">
        <v>45</v>
      </c>
      <c r="J158" s="312"/>
      <c r="K158" s="312"/>
      <c r="L158" s="312"/>
      <c r="M158" s="60">
        <f>SUM(I158:L158)</f>
        <v>45</v>
      </c>
      <c r="N158" s="299">
        <f t="shared" si="6"/>
        <v>10170</v>
      </c>
      <c r="O158" s="263" t="s">
        <v>2280</v>
      </c>
      <c r="P158" s="263" t="s">
        <v>197</v>
      </c>
    </row>
    <row r="159" spans="2:16" ht="12.75" customHeight="1" x14ac:dyDescent="0.25">
      <c r="B159" s="325" t="s">
        <v>1443</v>
      </c>
      <c r="C159" s="325" t="s">
        <v>2480</v>
      </c>
      <c r="D159" s="325" t="s">
        <v>1245</v>
      </c>
      <c r="E159" s="2">
        <v>5700</v>
      </c>
      <c r="F159" s="2">
        <v>250</v>
      </c>
      <c r="G159" s="60">
        <v>37.299999999999997</v>
      </c>
      <c r="H159" s="303">
        <f t="shared" si="4"/>
        <v>9325</v>
      </c>
      <c r="I159" s="60">
        <v>45</v>
      </c>
      <c r="J159" s="312"/>
      <c r="K159" s="312"/>
      <c r="L159" s="312"/>
      <c r="M159" s="60">
        <f>SUM(I159:L159)</f>
        <v>45</v>
      </c>
      <c r="N159" s="299">
        <f t="shared" si="6"/>
        <v>9370</v>
      </c>
      <c r="O159" s="263" t="s">
        <v>2280</v>
      </c>
      <c r="P159" s="263" t="s">
        <v>197</v>
      </c>
    </row>
    <row r="160" spans="2:16" ht="12.75" customHeight="1" x14ac:dyDescent="0.25">
      <c r="B160" s="325" t="s">
        <v>1446</v>
      </c>
      <c r="C160" s="325" t="s">
        <v>2480</v>
      </c>
      <c r="D160" s="325" t="s">
        <v>1245</v>
      </c>
      <c r="E160" s="2">
        <v>5600</v>
      </c>
      <c r="F160" s="2">
        <v>750</v>
      </c>
      <c r="G160" s="60">
        <v>32.700000000000003</v>
      </c>
      <c r="H160" s="303">
        <f t="shared" si="4"/>
        <v>24525.000000000004</v>
      </c>
      <c r="I160" s="60">
        <v>135</v>
      </c>
      <c r="J160" s="312"/>
      <c r="K160" s="312"/>
      <c r="L160" s="312"/>
      <c r="M160" s="60">
        <f t="shared" ref="M160:M167" si="10">SUM(I160:L160)</f>
        <v>135</v>
      </c>
      <c r="N160" s="299">
        <f t="shared" si="6"/>
        <v>24660.000000000004</v>
      </c>
      <c r="O160" s="263" t="s">
        <v>1447</v>
      </c>
      <c r="P160" s="263" t="s">
        <v>197</v>
      </c>
    </row>
    <row r="161" spans="2:18" ht="12.75" customHeight="1" x14ac:dyDescent="0.25">
      <c r="B161" s="325" t="s">
        <v>1446</v>
      </c>
      <c r="C161" s="325" t="s">
        <v>2480</v>
      </c>
      <c r="D161" s="325" t="s">
        <v>1245</v>
      </c>
      <c r="E161" s="2">
        <v>5600</v>
      </c>
      <c r="F161" s="2">
        <v>100</v>
      </c>
      <c r="G161" s="60">
        <v>32.700000000000003</v>
      </c>
      <c r="H161" s="303">
        <f t="shared" si="4"/>
        <v>3270.0000000000005</v>
      </c>
      <c r="I161" s="60">
        <v>18</v>
      </c>
      <c r="J161" s="312"/>
      <c r="K161" s="312"/>
      <c r="L161" s="312"/>
      <c r="M161" s="60">
        <f t="shared" si="10"/>
        <v>18</v>
      </c>
      <c r="N161" s="299">
        <f t="shared" si="6"/>
        <v>3288.0000000000005</v>
      </c>
      <c r="O161" s="263" t="s">
        <v>1447</v>
      </c>
      <c r="P161" s="263" t="s">
        <v>197</v>
      </c>
    </row>
    <row r="162" spans="2:18" ht="12.75" customHeight="1" x14ac:dyDescent="0.25">
      <c r="B162" s="325" t="s">
        <v>1446</v>
      </c>
      <c r="C162" s="325" t="s">
        <v>2480</v>
      </c>
      <c r="D162" s="325" t="s">
        <v>1245</v>
      </c>
      <c r="E162" s="2">
        <v>5600</v>
      </c>
      <c r="F162" s="2">
        <v>100</v>
      </c>
      <c r="G162" s="60">
        <v>32.700000000000003</v>
      </c>
      <c r="H162" s="303">
        <f t="shared" si="4"/>
        <v>3270.0000000000005</v>
      </c>
      <c r="I162" s="60">
        <v>18</v>
      </c>
      <c r="J162" s="312"/>
      <c r="K162" s="312"/>
      <c r="L162" s="312"/>
      <c r="M162" s="60">
        <f t="shared" si="10"/>
        <v>18</v>
      </c>
      <c r="N162" s="299">
        <f t="shared" si="6"/>
        <v>3288.0000000000005</v>
      </c>
      <c r="O162" s="263" t="s">
        <v>1447</v>
      </c>
      <c r="P162" s="263" t="s">
        <v>197</v>
      </c>
    </row>
    <row r="163" spans="2:18" ht="12.75" customHeight="1" x14ac:dyDescent="0.25">
      <c r="B163" s="325" t="s">
        <v>1446</v>
      </c>
      <c r="C163" s="325" t="s">
        <v>2480</v>
      </c>
      <c r="D163" s="325" t="s">
        <v>1245</v>
      </c>
      <c r="E163" s="2">
        <v>5600</v>
      </c>
      <c r="F163" s="2">
        <v>50</v>
      </c>
      <c r="G163" s="60">
        <v>32.700000000000003</v>
      </c>
      <c r="H163" s="303">
        <f t="shared" si="4"/>
        <v>1635.0000000000002</v>
      </c>
      <c r="I163" s="60">
        <v>9</v>
      </c>
      <c r="J163" s="312"/>
      <c r="K163" s="312"/>
      <c r="L163" s="312"/>
      <c r="M163" s="60">
        <f t="shared" si="10"/>
        <v>9</v>
      </c>
      <c r="N163" s="299">
        <f t="shared" si="6"/>
        <v>1644.0000000000002</v>
      </c>
      <c r="O163" s="263" t="s">
        <v>1447</v>
      </c>
      <c r="P163" s="263" t="s">
        <v>197</v>
      </c>
    </row>
    <row r="164" spans="2:18" ht="12.75" customHeight="1" x14ac:dyDescent="0.25">
      <c r="B164" s="325" t="s">
        <v>1446</v>
      </c>
      <c r="C164" s="325" t="s">
        <v>2480</v>
      </c>
      <c r="D164" s="325" t="s">
        <v>1245</v>
      </c>
      <c r="E164" s="2">
        <v>5600</v>
      </c>
      <c r="F164" s="2">
        <v>100</v>
      </c>
      <c r="G164" s="60">
        <v>39.200000000000003</v>
      </c>
      <c r="H164" s="303">
        <f t="shared" si="4"/>
        <v>3920.0000000000005</v>
      </c>
      <c r="I164" s="60">
        <v>18</v>
      </c>
      <c r="J164" s="312"/>
      <c r="K164" s="312"/>
      <c r="L164" s="312"/>
      <c r="M164" s="60">
        <f t="shared" si="10"/>
        <v>18</v>
      </c>
      <c r="N164" s="299">
        <f t="shared" si="6"/>
        <v>3938.0000000000005</v>
      </c>
      <c r="O164" s="263" t="s">
        <v>1447</v>
      </c>
      <c r="P164" s="263" t="s">
        <v>197</v>
      </c>
    </row>
    <row r="165" spans="2:18" ht="12.75" customHeight="1" x14ac:dyDescent="0.25">
      <c r="B165" s="325" t="s">
        <v>1446</v>
      </c>
      <c r="C165" s="325" t="s">
        <v>2480</v>
      </c>
      <c r="D165" s="325" t="s">
        <v>1245</v>
      </c>
      <c r="E165" s="2">
        <v>5600</v>
      </c>
      <c r="F165" s="2">
        <v>900</v>
      </c>
      <c r="G165" s="60">
        <v>39.200000000000003</v>
      </c>
      <c r="H165" s="303">
        <f t="shared" si="4"/>
        <v>35280</v>
      </c>
      <c r="I165" s="60">
        <v>162</v>
      </c>
      <c r="J165" s="312"/>
      <c r="K165" s="312"/>
      <c r="L165" s="312"/>
      <c r="M165" s="60">
        <f t="shared" si="10"/>
        <v>162</v>
      </c>
      <c r="N165" s="299">
        <f t="shared" si="6"/>
        <v>35442</v>
      </c>
      <c r="O165" s="263" t="s">
        <v>1447</v>
      </c>
      <c r="P165" s="263" t="s">
        <v>197</v>
      </c>
    </row>
    <row r="166" spans="2:18" ht="12.75" customHeight="1" x14ac:dyDescent="0.25">
      <c r="B166" s="325" t="s">
        <v>1446</v>
      </c>
      <c r="C166" s="325" t="s">
        <v>1444</v>
      </c>
      <c r="D166" s="325" t="s">
        <v>1249</v>
      </c>
      <c r="E166" s="2">
        <v>75</v>
      </c>
      <c r="F166" s="2">
        <v>4000</v>
      </c>
      <c r="G166" s="60">
        <v>2.6</v>
      </c>
      <c r="H166" s="303">
        <f t="shared" si="4"/>
        <v>10400</v>
      </c>
      <c r="I166" s="60">
        <v>9</v>
      </c>
      <c r="J166" s="312"/>
      <c r="K166" s="312"/>
      <c r="L166" s="312"/>
      <c r="M166" s="60">
        <f t="shared" si="10"/>
        <v>9</v>
      </c>
      <c r="N166" s="299">
        <f t="shared" si="6"/>
        <v>10409</v>
      </c>
      <c r="O166" s="263" t="s">
        <v>1447</v>
      </c>
      <c r="P166" s="263" t="s">
        <v>197</v>
      </c>
    </row>
    <row r="167" spans="2:18" ht="12.75" customHeight="1" x14ac:dyDescent="0.25">
      <c r="B167" s="325" t="s">
        <v>1446</v>
      </c>
      <c r="C167" s="325" t="s">
        <v>1445</v>
      </c>
      <c r="D167" s="325" t="s">
        <v>1249</v>
      </c>
      <c r="E167" s="2">
        <v>32.5</v>
      </c>
      <c r="F167" s="2">
        <v>16000</v>
      </c>
      <c r="G167" s="60">
        <v>1.35</v>
      </c>
      <c r="H167" s="303">
        <f t="shared" ref="H167:H230" si="11">F167*G167</f>
        <v>21600</v>
      </c>
      <c r="I167" s="60">
        <v>18</v>
      </c>
      <c r="J167" s="247">
        <v>135.43</v>
      </c>
      <c r="K167" s="247">
        <v>38</v>
      </c>
      <c r="L167" s="247">
        <v>168.7</v>
      </c>
      <c r="M167" s="60">
        <f t="shared" si="10"/>
        <v>360.13</v>
      </c>
      <c r="N167" s="299">
        <f t="shared" ref="N167:N230" si="12">H167+M167</f>
        <v>21960.13</v>
      </c>
      <c r="O167" s="263" t="s">
        <v>1447</v>
      </c>
      <c r="P167" s="263" t="s">
        <v>197</v>
      </c>
    </row>
    <row r="168" spans="2:18" ht="13.2" x14ac:dyDescent="0.25">
      <c r="B168" s="325" t="s">
        <v>116</v>
      </c>
      <c r="C168" s="325" t="s">
        <v>2480</v>
      </c>
      <c r="D168" s="325" t="s">
        <v>1245</v>
      </c>
      <c r="E168" s="2">
        <v>5600</v>
      </c>
      <c r="F168" s="2">
        <v>1000</v>
      </c>
      <c r="G168" s="60">
        <v>35.950000000000003</v>
      </c>
      <c r="H168" s="303">
        <f t="shared" si="11"/>
        <v>35950</v>
      </c>
      <c r="I168" s="60">
        <v>180</v>
      </c>
      <c r="J168" s="315"/>
      <c r="K168" s="315"/>
      <c r="L168" s="316"/>
      <c r="M168" s="60">
        <f t="shared" ref="M168:M182" si="13">SUM(I168:L168)</f>
        <v>180</v>
      </c>
      <c r="N168" s="299">
        <f t="shared" si="12"/>
        <v>36130</v>
      </c>
      <c r="O168" s="263" t="s">
        <v>115</v>
      </c>
      <c r="P168" s="304" t="s">
        <v>197</v>
      </c>
      <c r="R168" s="247"/>
    </row>
    <row r="169" spans="2:18" ht="12.75" customHeight="1" x14ac:dyDescent="0.25">
      <c r="B169" s="325" t="s">
        <v>116</v>
      </c>
      <c r="C169" s="325" t="s">
        <v>2480</v>
      </c>
      <c r="D169" s="325" t="s">
        <v>1245</v>
      </c>
      <c r="E169" s="2">
        <v>5600</v>
      </c>
      <c r="F169" s="2">
        <v>650</v>
      </c>
      <c r="G169" s="60">
        <v>34.6</v>
      </c>
      <c r="H169" s="303">
        <f t="shared" si="11"/>
        <v>22490</v>
      </c>
      <c r="I169" s="60">
        <v>117</v>
      </c>
      <c r="J169" s="306"/>
      <c r="K169" s="312"/>
      <c r="L169" s="312"/>
      <c r="M169" s="60">
        <f t="shared" si="13"/>
        <v>117</v>
      </c>
      <c r="N169" s="299">
        <f t="shared" si="12"/>
        <v>22607</v>
      </c>
      <c r="O169" s="263" t="s">
        <v>115</v>
      </c>
      <c r="P169" s="304" t="s">
        <v>197</v>
      </c>
    </row>
    <row r="170" spans="2:18" ht="12.75" customHeight="1" x14ac:dyDescent="0.25">
      <c r="B170" s="325" t="s">
        <v>116</v>
      </c>
      <c r="C170" s="325" t="s">
        <v>2480</v>
      </c>
      <c r="D170" s="325" t="s">
        <v>1245</v>
      </c>
      <c r="E170" s="2">
        <v>5600</v>
      </c>
      <c r="F170" s="2">
        <v>350</v>
      </c>
      <c r="G170" s="60">
        <v>34.6</v>
      </c>
      <c r="H170" s="303">
        <f t="shared" si="11"/>
        <v>12110</v>
      </c>
      <c r="I170" s="60">
        <v>63</v>
      </c>
      <c r="J170" s="312"/>
      <c r="K170" s="312"/>
      <c r="L170" s="312"/>
      <c r="M170" s="60">
        <f t="shared" si="13"/>
        <v>63</v>
      </c>
      <c r="N170" s="299">
        <f t="shared" si="12"/>
        <v>12173</v>
      </c>
      <c r="O170" s="263" t="s">
        <v>115</v>
      </c>
      <c r="P170" s="304" t="s">
        <v>197</v>
      </c>
    </row>
    <row r="171" spans="2:18" ht="12.75" customHeight="1" x14ac:dyDescent="0.25">
      <c r="B171" s="325" t="s">
        <v>116</v>
      </c>
      <c r="C171" s="325" t="s">
        <v>2480</v>
      </c>
      <c r="D171" s="325" t="s">
        <v>1245</v>
      </c>
      <c r="E171" s="2">
        <v>5800</v>
      </c>
      <c r="F171" s="2">
        <v>250</v>
      </c>
      <c r="G171" s="60">
        <v>108</v>
      </c>
      <c r="H171" s="303">
        <f t="shared" si="11"/>
        <v>27000</v>
      </c>
      <c r="I171" s="60">
        <v>45</v>
      </c>
      <c r="J171" s="312"/>
      <c r="K171" s="312"/>
      <c r="L171" s="312"/>
      <c r="M171" s="60">
        <f t="shared" si="13"/>
        <v>45</v>
      </c>
      <c r="N171" s="299">
        <f t="shared" si="12"/>
        <v>27045</v>
      </c>
      <c r="O171" s="263" t="s">
        <v>115</v>
      </c>
      <c r="P171" s="304" t="s">
        <v>197</v>
      </c>
    </row>
    <row r="172" spans="2:18" ht="12.75" customHeight="1" x14ac:dyDescent="0.25">
      <c r="B172" s="325" t="s">
        <v>116</v>
      </c>
      <c r="C172" s="325" t="s">
        <v>2480</v>
      </c>
      <c r="D172" s="325" t="s">
        <v>1245</v>
      </c>
      <c r="E172" s="2">
        <v>5800</v>
      </c>
      <c r="F172" s="2">
        <v>250</v>
      </c>
      <c r="G172" s="60">
        <v>108</v>
      </c>
      <c r="H172" s="303">
        <f t="shared" si="11"/>
        <v>27000</v>
      </c>
      <c r="I172" s="60">
        <v>45</v>
      </c>
      <c r="J172" s="247">
        <v>89.12</v>
      </c>
      <c r="K172" s="247">
        <v>30</v>
      </c>
      <c r="L172" s="247">
        <v>154.02000000000001</v>
      </c>
      <c r="M172" s="60">
        <f t="shared" si="13"/>
        <v>318.14</v>
      </c>
      <c r="N172" s="299">
        <f t="shared" si="12"/>
        <v>27318.14</v>
      </c>
      <c r="O172" s="263" t="s">
        <v>115</v>
      </c>
      <c r="P172" s="304" t="s">
        <v>197</v>
      </c>
    </row>
    <row r="173" spans="2:18" ht="12.75" customHeight="1" x14ac:dyDescent="0.25">
      <c r="B173" s="325" t="s">
        <v>119</v>
      </c>
      <c r="C173" s="325" t="s">
        <v>2480</v>
      </c>
      <c r="D173" s="325" t="s">
        <v>1245</v>
      </c>
      <c r="E173" s="2">
        <v>5600</v>
      </c>
      <c r="F173" s="2">
        <v>50</v>
      </c>
      <c r="G173" s="60">
        <v>37.700000000000003</v>
      </c>
      <c r="H173" s="303">
        <f t="shared" si="11"/>
        <v>1885.0000000000002</v>
      </c>
      <c r="I173" s="60">
        <v>9</v>
      </c>
      <c r="J173" s="312"/>
      <c r="K173" s="312"/>
      <c r="L173" s="312"/>
      <c r="M173" s="60">
        <f t="shared" si="13"/>
        <v>9</v>
      </c>
      <c r="N173" s="299">
        <f t="shared" si="12"/>
        <v>1894.0000000000002</v>
      </c>
      <c r="O173" s="263" t="s">
        <v>2285</v>
      </c>
      <c r="P173" s="263" t="s">
        <v>197</v>
      </c>
    </row>
    <row r="174" spans="2:18" ht="12.75" customHeight="1" x14ac:dyDescent="0.25">
      <c r="B174" s="325" t="s">
        <v>119</v>
      </c>
      <c r="C174" s="325" t="s">
        <v>2480</v>
      </c>
      <c r="D174" s="325" t="s">
        <v>1245</v>
      </c>
      <c r="E174" s="2">
        <v>5600</v>
      </c>
      <c r="F174" s="2">
        <v>950</v>
      </c>
      <c r="G174" s="60">
        <v>37.700000000000003</v>
      </c>
      <c r="H174" s="303">
        <f t="shared" si="11"/>
        <v>35815</v>
      </c>
      <c r="I174" s="60">
        <v>171</v>
      </c>
      <c r="J174" s="312"/>
      <c r="K174" s="312"/>
      <c r="L174" s="312"/>
      <c r="M174" s="60">
        <f t="shared" si="13"/>
        <v>171</v>
      </c>
      <c r="N174" s="299">
        <f t="shared" si="12"/>
        <v>35986</v>
      </c>
      <c r="O174" s="263" t="s">
        <v>2285</v>
      </c>
      <c r="P174" s="263" t="s">
        <v>197</v>
      </c>
    </row>
    <row r="175" spans="2:18" ht="12.75" customHeight="1" x14ac:dyDescent="0.25">
      <c r="B175" s="325" t="s">
        <v>119</v>
      </c>
      <c r="C175" s="325" t="s">
        <v>2480</v>
      </c>
      <c r="D175" s="325" t="s">
        <v>1245</v>
      </c>
      <c r="E175" s="2">
        <v>5600</v>
      </c>
      <c r="F175" s="2">
        <v>800</v>
      </c>
      <c r="G175" s="60">
        <v>37.6</v>
      </c>
      <c r="H175" s="303">
        <f t="shared" si="11"/>
        <v>30080</v>
      </c>
      <c r="I175" s="60">
        <v>144</v>
      </c>
      <c r="J175" s="312"/>
      <c r="K175" s="312"/>
      <c r="L175" s="312"/>
      <c r="M175" s="60">
        <f t="shared" si="13"/>
        <v>144</v>
      </c>
      <c r="N175" s="299">
        <f t="shared" si="12"/>
        <v>30224</v>
      </c>
      <c r="O175" s="263" t="s">
        <v>2285</v>
      </c>
      <c r="P175" s="263" t="s">
        <v>197</v>
      </c>
    </row>
    <row r="176" spans="2:18" ht="12.75" customHeight="1" x14ac:dyDescent="0.25">
      <c r="B176" s="325" t="s">
        <v>119</v>
      </c>
      <c r="C176" s="325" t="s">
        <v>2480</v>
      </c>
      <c r="D176" s="325" t="s">
        <v>1245</v>
      </c>
      <c r="E176" s="2">
        <v>5600</v>
      </c>
      <c r="F176" s="2">
        <v>100</v>
      </c>
      <c r="G176" s="60">
        <v>37.6</v>
      </c>
      <c r="H176" s="303">
        <f t="shared" si="11"/>
        <v>3760</v>
      </c>
      <c r="I176" s="60">
        <v>18</v>
      </c>
      <c r="J176" s="312"/>
      <c r="K176" s="312"/>
      <c r="L176" s="312"/>
      <c r="M176" s="60">
        <f t="shared" si="13"/>
        <v>18</v>
      </c>
      <c r="N176" s="299">
        <f t="shared" si="12"/>
        <v>3778</v>
      </c>
      <c r="O176" s="263" t="s">
        <v>2285</v>
      </c>
      <c r="P176" s="263" t="s">
        <v>197</v>
      </c>
    </row>
    <row r="177" spans="2:16" ht="12.75" customHeight="1" x14ac:dyDescent="0.25">
      <c r="B177" s="325" t="s">
        <v>119</v>
      </c>
      <c r="C177" s="325" t="s">
        <v>2480</v>
      </c>
      <c r="D177" s="325" t="s">
        <v>1245</v>
      </c>
      <c r="E177" s="2">
        <v>5600</v>
      </c>
      <c r="F177" s="2">
        <v>100</v>
      </c>
      <c r="G177" s="60">
        <v>37.6</v>
      </c>
      <c r="H177" s="303">
        <f t="shared" si="11"/>
        <v>3760</v>
      </c>
      <c r="I177" s="60">
        <v>18</v>
      </c>
      <c r="J177" s="247">
        <v>102.1</v>
      </c>
      <c r="K177" s="247">
        <v>23</v>
      </c>
      <c r="L177" s="247">
        <v>106.05</v>
      </c>
      <c r="M177" s="60">
        <f t="shared" si="13"/>
        <v>249.14999999999998</v>
      </c>
      <c r="N177" s="299">
        <f t="shared" si="12"/>
        <v>4009.15</v>
      </c>
      <c r="O177" s="263" t="s">
        <v>2285</v>
      </c>
      <c r="P177" s="263" t="s">
        <v>197</v>
      </c>
    </row>
    <row r="178" spans="2:16" ht="12.75" customHeight="1" x14ac:dyDescent="0.25">
      <c r="B178" s="325" t="s">
        <v>97</v>
      </c>
      <c r="C178" s="325" t="s">
        <v>2480</v>
      </c>
      <c r="D178" s="325" t="s">
        <v>1249</v>
      </c>
      <c r="E178" s="2">
        <v>5700</v>
      </c>
      <c r="F178" s="2">
        <v>500</v>
      </c>
      <c r="G178" s="60">
        <v>55</v>
      </c>
      <c r="H178" s="303">
        <f t="shared" si="11"/>
        <v>27500</v>
      </c>
      <c r="I178" s="60">
        <v>90</v>
      </c>
      <c r="J178" s="312"/>
      <c r="K178" s="312"/>
      <c r="L178" s="312"/>
      <c r="M178" s="60">
        <f t="shared" si="13"/>
        <v>90</v>
      </c>
      <c r="N178" s="299">
        <f t="shared" si="12"/>
        <v>27590</v>
      </c>
      <c r="O178" s="263" t="s">
        <v>1569</v>
      </c>
      <c r="P178" s="263" t="s">
        <v>197</v>
      </c>
    </row>
    <row r="179" spans="2:16" ht="12.75" customHeight="1" x14ac:dyDescent="0.25">
      <c r="B179" s="325" t="s">
        <v>97</v>
      </c>
      <c r="C179" s="325" t="s">
        <v>2480</v>
      </c>
      <c r="D179" s="325" t="s">
        <v>1249</v>
      </c>
      <c r="E179" s="2">
        <v>5700</v>
      </c>
      <c r="F179" s="2">
        <v>500</v>
      </c>
      <c r="G179" s="60">
        <v>74.05</v>
      </c>
      <c r="H179" s="303">
        <f t="shared" si="11"/>
        <v>37025</v>
      </c>
      <c r="I179" s="60">
        <v>90</v>
      </c>
      <c r="J179" s="312"/>
      <c r="K179" s="312"/>
      <c r="L179" s="312"/>
      <c r="M179" s="60">
        <f t="shared" si="13"/>
        <v>90</v>
      </c>
      <c r="N179" s="299">
        <f t="shared" si="12"/>
        <v>37115</v>
      </c>
      <c r="O179" s="263" t="s">
        <v>1569</v>
      </c>
      <c r="P179" s="263" t="s">
        <v>197</v>
      </c>
    </row>
    <row r="180" spans="2:16" ht="12.75" customHeight="1" x14ac:dyDescent="0.25">
      <c r="B180" s="325" t="s">
        <v>97</v>
      </c>
      <c r="C180" s="325" t="s">
        <v>2480</v>
      </c>
      <c r="D180" s="325" t="s">
        <v>1245</v>
      </c>
      <c r="E180" s="2">
        <v>5800</v>
      </c>
      <c r="F180" s="2">
        <v>400</v>
      </c>
      <c r="G180" s="60">
        <v>95.3</v>
      </c>
      <c r="H180" s="303">
        <f t="shared" si="11"/>
        <v>38120</v>
      </c>
      <c r="I180" s="60">
        <v>72</v>
      </c>
      <c r="J180" s="312"/>
      <c r="K180" s="312"/>
      <c r="L180" s="312"/>
      <c r="M180" s="60">
        <f t="shared" si="13"/>
        <v>72</v>
      </c>
      <c r="N180" s="299">
        <f t="shared" si="12"/>
        <v>38192</v>
      </c>
      <c r="O180" s="263" t="s">
        <v>1569</v>
      </c>
      <c r="P180" s="263" t="s">
        <v>197</v>
      </c>
    </row>
    <row r="181" spans="2:16" ht="12.75" customHeight="1" x14ac:dyDescent="0.25">
      <c r="B181" s="325" t="s">
        <v>97</v>
      </c>
      <c r="C181" s="325" t="s">
        <v>2480</v>
      </c>
      <c r="D181" s="325" t="s">
        <v>1245</v>
      </c>
      <c r="E181" s="2">
        <v>5800</v>
      </c>
      <c r="F181" s="2">
        <v>50</v>
      </c>
      <c r="G181" s="60">
        <v>95.4</v>
      </c>
      <c r="H181" s="303">
        <f t="shared" si="11"/>
        <v>4770</v>
      </c>
      <c r="I181" s="60">
        <v>9</v>
      </c>
      <c r="J181" s="312"/>
      <c r="K181" s="312"/>
      <c r="L181" s="312"/>
      <c r="M181" s="60">
        <f t="shared" si="13"/>
        <v>9</v>
      </c>
      <c r="N181" s="299">
        <f t="shared" si="12"/>
        <v>4779</v>
      </c>
      <c r="O181" s="263" t="s">
        <v>1569</v>
      </c>
      <c r="P181" s="263" t="s">
        <v>197</v>
      </c>
    </row>
    <row r="182" spans="2:16" ht="12.75" customHeight="1" x14ac:dyDescent="0.25">
      <c r="B182" s="325" t="s">
        <v>97</v>
      </c>
      <c r="C182" s="325" t="s">
        <v>2480</v>
      </c>
      <c r="D182" s="325" t="s">
        <v>1245</v>
      </c>
      <c r="E182" s="2">
        <v>5800</v>
      </c>
      <c r="F182" s="2">
        <v>50</v>
      </c>
      <c r="G182" s="60">
        <v>95.5</v>
      </c>
      <c r="H182" s="303">
        <f t="shared" si="11"/>
        <v>4775</v>
      </c>
      <c r="I182" s="60">
        <v>9</v>
      </c>
      <c r="J182" s="247">
        <v>125.52</v>
      </c>
      <c r="K182" s="247">
        <v>49</v>
      </c>
      <c r="L182" s="247">
        <v>205.48</v>
      </c>
      <c r="M182" s="60">
        <f t="shared" si="13"/>
        <v>389</v>
      </c>
      <c r="N182" s="299">
        <f t="shared" si="12"/>
        <v>5164</v>
      </c>
      <c r="O182" s="263" t="s">
        <v>1569</v>
      </c>
      <c r="P182" s="263" t="s">
        <v>197</v>
      </c>
    </row>
    <row r="183" spans="2:16" ht="12.75" customHeight="1" x14ac:dyDescent="0.25">
      <c r="B183" s="325" t="s">
        <v>98</v>
      </c>
      <c r="C183" s="325" t="s">
        <v>2480</v>
      </c>
      <c r="D183" s="325" t="s">
        <v>1245</v>
      </c>
      <c r="E183" s="2">
        <v>5800</v>
      </c>
      <c r="F183" s="2">
        <v>300</v>
      </c>
      <c r="G183" s="60">
        <v>116</v>
      </c>
      <c r="H183" s="303">
        <f t="shared" si="11"/>
        <v>34800</v>
      </c>
      <c r="I183" s="60">
        <v>54</v>
      </c>
      <c r="J183" s="312"/>
      <c r="K183" s="312"/>
      <c r="L183" s="312"/>
      <c r="M183" s="60">
        <f t="shared" ref="M183:M188" si="14">SUM(I183:L183)</f>
        <v>54</v>
      </c>
      <c r="N183" s="299">
        <f t="shared" si="12"/>
        <v>34854</v>
      </c>
      <c r="O183" s="263" t="s">
        <v>99</v>
      </c>
      <c r="P183" s="263" t="s">
        <v>197</v>
      </c>
    </row>
    <row r="184" spans="2:16" ht="12.75" customHeight="1" x14ac:dyDescent="0.25">
      <c r="B184" s="325" t="s">
        <v>98</v>
      </c>
      <c r="C184" s="325" t="s">
        <v>2480</v>
      </c>
      <c r="D184" s="325" t="s">
        <v>1245</v>
      </c>
      <c r="E184" s="2">
        <v>5800</v>
      </c>
      <c r="F184" s="2">
        <v>50</v>
      </c>
      <c r="G184" s="60">
        <v>116</v>
      </c>
      <c r="H184" s="303">
        <f t="shared" si="11"/>
        <v>5800</v>
      </c>
      <c r="I184" s="60">
        <v>9</v>
      </c>
      <c r="J184" s="312"/>
      <c r="K184" s="312"/>
      <c r="L184" s="312"/>
      <c r="M184" s="60">
        <f t="shared" si="14"/>
        <v>9</v>
      </c>
      <c r="N184" s="299">
        <f t="shared" si="12"/>
        <v>5809</v>
      </c>
      <c r="O184" s="263" t="s">
        <v>99</v>
      </c>
      <c r="P184" s="263" t="s">
        <v>197</v>
      </c>
    </row>
    <row r="185" spans="2:16" ht="12.75" customHeight="1" x14ac:dyDescent="0.25">
      <c r="B185" s="325" t="s">
        <v>98</v>
      </c>
      <c r="C185" s="325" t="s">
        <v>2480</v>
      </c>
      <c r="D185" s="325" t="s">
        <v>1245</v>
      </c>
      <c r="E185" s="2">
        <v>5800</v>
      </c>
      <c r="F185" s="2">
        <v>50</v>
      </c>
      <c r="G185" s="60">
        <v>116</v>
      </c>
      <c r="H185" s="303">
        <f t="shared" si="11"/>
        <v>5800</v>
      </c>
      <c r="I185" s="60">
        <v>9</v>
      </c>
      <c r="J185" s="312"/>
      <c r="K185" s="312"/>
      <c r="L185" s="312"/>
      <c r="M185" s="60">
        <f t="shared" si="14"/>
        <v>9</v>
      </c>
      <c r="N185" s="299">
        <f t="shared" si="12"/>
        <v>5809</v>
      </c>
      <c r="O185" s="263" t="s">
        <v>99</v>
      </c>
      <c r="P185" s="263" t="s">
        <v>197</v>
      </c>
    </row>
    <row r="186" spans="2:16" ht="12.75" customHeight="1" x14ac:dyDescent="0.25">
      <c r="B186" s="325" t="s">
        <v>98</v>
      </c>
      <c r="C186" s="325" t="s">
        <v>2480</v>
      </c>
      <c r="D186" s="325" t="s">
        <v>1245</v>
      </c>
      <c r="E186" s="2">
        <v>5800</v>
      </c>
      <c r="F186" s="2">
        <v>50</v>
      </c>
      <c r="G186" s="60">
        <v>116</v>
      </c>
      <c r="H186" s="303">
        <f t="shared" si="11"/>
        <v>5800</v>
      </c>
      <c r="I186" s="60">
        <v>9</v>
      </c>
      <c r="J186" s="312"/>
      <c r="K186" s="312"/>
      <c r="L186" s="312"/>
      <c r="M186" s="60">
        <f t="shared" si="14"/>
        <v>9</v>
      </c>
      <c r="N186" s="299">
        <f t="shared" si="12"/>
        <v>5809</v>
      </c>
      <c r="O186" s="263" t="s">
        <v>99</v>
      </c>
      <c r="P186" s="263" t="s">
        <v>197</v>
      </c>
    </row>
    <row r="187" spans="2:16" ht="12.75" customHeight="1" x14ac:dyDescent="0.25">
      <c r="B187" s="325" t="s">
        <v>98</v>
      </c>
      <c r="C187" s="325" t="s">
        <v>2480</v>
      </c>
      <c r="D187" s="325" t="s">
        <v>1245</v>
      </c>
      <c r="E187" s="2">
        <v>5800</v>
      </c>
      <c r="F187" s="2">
        <v>50</v>
      </c>
      <c r="G187" s="60">
        <v>116</v>
      </c>
      <c r="H187" s="303">
        <f t="shared" si="11"/>
        <v>5800</v>
      </c>
      <c r="I187" s="60">
        <v>9</v>
      </c>
      <c r="J187" s="312"/>
      <c r="K187" s="312"/>
      <c r="L187" s="312"/>
      <c r="M187" s="60">
        <f t="shared" si="14"/>
        <v>9</v>
      </c>
      <c r="N187" s="299">
        <f t="shared" si="12"/>
        <v>5809</v>
      </c>
      <c r="O187" s="263" t="s">
        <v>99</v>
      </c>
      <c r="P187" s="263" t="s">
        <v>197</v>
      </c>
    </row>
    <row r="188" spans="2:16" ht="12.75" customHeight="1" x14ac:dyDescent="0.25">
      <c r="B188" s="325" t="s">
        <v>98</v>
      </c>
      <c r="C188" s="325" t="s">
        <v>2480</v>
      </c>
      <c r="D188" s="325" t="s">
        <v>1245</v>
      </c>
      <c r="E188" s="2">
        <v>5800</v>
      </c>
      <c r="F188" s="2">
        <v>300</v>
      </c>
      <c r="G188" s="60">
        <v>110</v>
      </c>
      <c r="H188" s="303">
        <f t="shared" si="11"/>
        <v>33000</v>
      </c>
      <c r="I188" s="60">
        <v>54</v>
      </c>
      <c r="J188" s="247">
        <v>41.9</v>
      </c>
      <c r="K188" s="247">
        <v>19</v>
      </c>
      <c r="L188" s="247">
        <v>105</v>
      </c>
      <c r="M188" s="60">
        <f t="shared" si="14"/>
        <v>219.9</v>
      </c>
      <c r="N188" s="299">
        <f t="shared" si="12"/>
        <v>33219.9</v>
      </c>
      <c r="O188" s="263" t="s">
        <v>99</v>
      </c>
      <c r="P188" s="263" t="s">
        <v>197</v>
      </c>
    </row>
    <row r="189" spans="2:16" ht="12.75" customHeight="1" x14ac:dyDescent="0.25">
      <c r="B189" s="325" t="s">
        <v>95</v>
      </c>
      <c r="C189" s="325" t="s">
        <v>92</v>
      </c>
      <c r="D189" s="325" t="s">
        <v>1249</v>
      </c>
      <c r="E189" s="2">
        <v>70</v>
      </c>
      <c r="F189" s="2">
        <v>4000</v>
      </c>
      <c r="G189" s="60">
        <v>1.7</v>
      </c>
      <c r="H189" s="303">
        <f t="shared" si="11"/>
        <v>6800</v>
      </c>
      <c r="I189" s="60">
        <v>9</v>
      </c>
      <c r="J189" s="306"/>
      <c r="K189" s="312"/>
      <c r="L189" s="312"/>
      <c r="M189" s="60">
        <f t="shared" ref="M189:M199" si="15">SUM(I189:L189)</f>
        <v>9</v>
      </c>
      <c r="N189" s="299">
        <f t="shared" si="12"/>
        <v>6809</v>
      </c>
      <c r="O189" s="263" t="s">
        <v>94</v>
      </c>
      <c r="P189" s="263" t="s">
        <v>197</v>
      </c>
    </row>
    <row r="190" spans="2:16" ht="12.75" customHeight="1" x14ac:dyDescent="0.25">
      <c r="B190" s="325" t="s">
        <v>95</v>
      </c>
      <c r="C190" s="325" t="s">
        <v>92</v>
      </c>
      <c r="D190" s="325" t="s">
        <v>1249</v>
      </c>
      <c r="E190" s="2">
        <v>70</v>
      </c>
      <c r="F190" s="2">
        <v>4000</v>
      </c>
      <c r="G190" s="60">
        <v>1.6</v>
      </c>
      <c r="H190" s="303">
        <f t="shared" si="11"/>
        <v>6400</v>
      </c>
      <c r="I190" s="60">
        <v>9</v>
      </c>
      <c r="J190" s="312"/>
      <c r="K190" s="312"/>
      <c r="L190" s="312"/>
      <c r="M190" s="60">
        <f t="shared" si="15"/>
        <v>9</v>
      </c>
      <c r="N190" s="299">
        <f t="shared" si="12"/>
        <v>6409</v>
      </c>
      <c r="O190" s="263" t="s">
        <v>94</v>
      </c>
      <c r="P190" s="263" t="s">
        <v>197</v>
      </c>
    </row>
    <row r="191" spans="2:16" ht="12.75" customHeight="1" x14ac:dyDescent="0.25">
      <c r="B191" s="325" t="s">
        <v>95</v>
      </c>
      <c r="C191" s="325" t="s">
        <v>92</v>
      </c>
      <c r="D191" s="325" t="s">
        <v>1249</v>
      </c>
      <c r="E191" s="2">
        <v>70</v>
      </c>
      <c r="F191" s="2">
        <v>4000</v>
      </c>
      <c r="G191" s="60">
        <v>1.75</v>
      </c>
      <c r="H191" s="303">
        <f t="shared" si="11"/>
        <v>7000</v>
      </c>
      <c r="I191" s="60">
        <v>9</v>
      </c>
      <c r="J191" s="312"/>
      <c r="K191" s="312"/>
      <c r="L191" s="312"/>
      <c r="M191" s="60">
        <f t="shared" si="15"/>
        <v>9</v>
      </c>
      <c r="N191" s="299">
        <f t="shared" si="12"/>
        <v>7009</v>
      </c>
      <c r="O191" s="263" t="s">
        <v>94</v>
      </c>
      <c r="P191" s="263" t="s">
        <v>197</v>
      </c>
    </row>
    <row r="192" spans="2:16" ht="12.75" customHeight="1" x14ac:dyDescent="0.25">
      <c r="B192" s="325" t="s">
        <v>95</v>
      </c>
      <c r="C192" s="325" t="s">
        <v>93</v>
      </c>
      <c r="D192" s="325" t="s">
        <v>1249</v>
      </c>
      <c r="E192" s="2">
        <v>2300</v>
      </c>
      <c r="F192" s="2">
        <v>125</v>
      </c>
      <c r="G192" s="60">
        <v>38</v>
      </c>
      <c r="H192" s="303">
        <f t="shared" si="11"/>
        <v>4750</v>
      </c>
      <c r="I192" s="60">
        <v>9</v>
      </c>
      <c r="J192" s="312"/>
      <c r="K192" s="312"/>
      <c r="L192" s="312"/>
      <c r="M192" s="60">
        <f t="shared" si="15"/>
        <v>9</v>
      </c>
      <c r="N192" s="299">
        <f t="shared" si="12"/>
        <v>4759</v>
      </c>
      <c r="O192" s="263" t="s">
        <v>94</v>
      </c>
      <c r="P192" s="263" t="s">
        <v>197</v>
      </c>
    </row>
    <row r="193" spans="2:18" ht="12.75" customHeight="1" x14ac:dyDescent="0.25">
      <c r="B193" s="325" t="s">
        <v>95</v>
      </c>
      <c r="C193" s="325" t="s">
        <v>93</v>
      </c>
      <c r="D193" s="325" t="s">
        <v>1249</v>
      </c>
      <c r="E193" s="2">
        <v>2300</v>
      </c>
      <c r="F193" s="2">
        <v>125</v>
      </c>
      <c r="G193" s="60">
        <v>38</v>
      </c>
      <c r="H193" s="303">
        <f t="shared" si="11"/>
        <v>4750</v>
      </c>
      <c r="I193" s="60">
        <v>9</v>
      </c>
      <c r="J193" s="312"/>
      <c r="K193" s="312"/>
      <c r="L193" s="312"/>
      <c r="M193" s="60">
        <f t="shared" si="15"/>
        <v>9</v>
      </c>
      <c r="N193" s="299">
        <f t="shared" si="12"/>
        <v>4759</v>
      </c>
      <c r="O193" s="263" t="s">
        <v>94</v>
      </c>
      <c r="P193" s="263" t="s">
        <v>197</v>
      </c>
    </row>
    <row r="194" spans="2:18" ht="12.75" customHeight="1" x14ac:dyDescent="0.25">
      <c r="B194" s="325" t="s">
        <v>95</v>
      </c>
      <c r="C194" s="325" t="s">
        <v>93</v>
      </c>
      <c r="D194" s="325" t="s">
        <v>1249</v>
      </c>
      <c r="E194" s="2">
        <v>2300</v>
      </c>
      <c r="F194" s="2">
        <v>125</v>
      </c>
      <c r="G194" s="60">
        <v>38</v>
      </c>
      <c r="H194" s="303">
        <f t="shared" si="11"/>
        <v>4750</v>
      </c>
      <c r="I194" s="60">
        <v>9</v>
      </c>
      <c r="J194" s="312"/>
      <c r="K194" s="312"/>
      <c r="L194" s="312"/>
      <c r="M194" s="60">
        <f t="shared" si="15"/>
        <v>9</v>
      </c>
      <c r="N194" s="299">
        <f t="shared" si="12"/>
        <v>4759</v>
      </c>
      <c r="O194" s="263" t="s">
        <v>94</v>
      </c>
      <c r="P194" s="263" t="s">
        <v>197</v>
      </c>
    </row>
    <row r="195" spans="2:18" ht="13.2" x14ac:dyDescent="0.25">
      <c r="B195" s="325" t="s">
        <v>95</v>
      </c>
      <c r="C195" s="325" t="s">
        <v>93</v>
      </c>
      <c r="D195" s="325" t="s">
        <v>1249</v>
      </c>
      <c r="E195" s="2">
        <v>2300</v>
      </c>
      <c r="F195" s="2">
        <v>125</v>
      </c>
      <c r="G195" s="60">
        <v>38</v>
      </c>
      <c r="H195" s="303">
        <f t="shared" si="11"/>
        <v>4750</v>
      </c>
      <c r="I195" s="60">
        <v>9</v>
      </c>
      <c r="J195" s="315"/>
      <c r="K195" s="315"/>
      <c r="L195" s="316"/>
      <c r="M195" s="60">
        <f t="shared" si="15"/>
        <v>9</v>
      </c>
      <c r="N195" s="299">
        <f t="shared" si="12"/>
        <v>4759</v>
      </c>
      <c r="O195" s="263" t="s">
        <v>94</v>
      </c>
      <c r="P195" s="304" t="s">
        <v>197</v>
      </c>
      <c r="R195" s="247"/>
    </row>
    <row r="196" spans="2:18" ht="12.75" customHeight="1" x14ac:dyDescent="0.25">
      <c r="B196" s="325" t="s">
        <v>95</v>
      </c>
      <c r="C196" s="325" t="s">
        <v>93</v>
      </c>
      <c r="D196" s="325" t="s">
        <v>1249</v>
      </c>
      <c r="E196" s="2">
        <v>2300</v>
      </c>
      <c r="F196" s="2">
        <v>125</v>
      </c>
      <c r="G196" s="60">
        <v>38</v>
      </c>
      <c r="H196" s="303">
        <f t="shared" si="11"/>
        <v>4750</v>
      </c>
      <c r="I196" s="60">
        <v>9</v>
      </c>
      <c r="J196" s="306"/>
      <c r="K196" s="312"/>
      <c r="L196" s="312"/>
      <c r="M196" s="60">
        <f t="shared" si="15"/>
        <v>9</v>
      </c>
      <c r="N196" s="299">
        <f t="shared" si="12"/>
        <v>4759</v>
      </c>
      <c r="O196" s="263" t="s">
        <v>94</v>
      </c>
      <c r="P196" s="263" t="s">
        <v>197</v>
      </c>
    </row>
    <row r="197" spans="2:18" ht="12.75" customHeight="1" x14ac:dyDescent="0.25">
      <c r="B197" s="325" t="s">
        <v>95</v>
      </c>
      <c r="C197" s="325" t="s">
        <v>93</v>
      </c>
      <c r="D197" s="325" t="s">
        <v>1249</v>
      </c>
      <c r="E197" s="2">
        <v>2300</v>
      </c>
      <c r="F197" s="2">
        <v>125</v>
      </c>
      <c r="G197" s="60">
        <v>38</v>
      </c>
      <c r="H197" s="303">
        <f t="shared" si="11"/>
        <v>4750</v>
      </c>
      <c r="I197" s="60">
        <v>9</v>
      </c>
      <c r="J197" s="312"/>
      <c r="K197" s="312"/>
      <c r="L197" s="312"/>
      <c r="M197" s="60">
        <f t="shared" si="15"/>
        <v>9</v>
      </c>
      <c r="N197" s="299">
        <f t="shared" si="12"/>
        <v>4759</v>
      </c>
      <c r="O197" s="263" t="s">
        <v>94</v>
      </c>
      <c r="P197" s="263" t="s">
        <v>197</v>
      </c>
    </row>
    <row r="198" spans="2:18" ht="12.75" customHeight="1" x14ac:dyDescent="0.25">
      <c r="B198" s="325" t="s">
        <v>95</v>
      </c>
      <c r="C198" s="325" t="s">
        <v>93</v>
      </c>
      <c r="D198" s="325" t="s">
        <v>1249</v>
      </c>
      <c r="E198" s="2">
        <v>2300</v>
      </c>
      <c r="F198" s="2">
        <v>125</v>
      </c>
      <c r="G198" s="60">
        <v>38</v>
      </c>
      <c r="H198" s="303">
        <f t="shared" si="11"/>
        <v>4750</v>
      </c>
      <c r="I198" s="60">
        <v>9</v>
      </c>
      <c r="J198" s="312"/>
      <c r="K198" s="312"/>
      <c r="L198" s="312"/>
      <c r="M198" s="60">
        <f t="shared" si="15"/>
        <v>9</v>
      </c>
      <c r="N198" s="299">
        <f t="shared" si="12"/>
        <v>4759</v>
      </c>
      <c r="O198" s="263" t="s">
        <v>94</v>
      </c>
      <c r="P198" s="263" t="s">
        <v>197</v>
      </c>
    </row>
    <row r="199" spans="2:18" ht="12.75" customHeight="1" x14ac:dyDescent="0.25">
      <c r="B199" s="325" t="s">
        <v>95</v>
      </c>
      <c r="C199" s="325" t="s">
        <v>93</v>
      </c>
      <c r="D199" s="325" t="s">
        <v>1249</v>
      </c>
      <c r="E199" s="2">
        <v>2300</v>
      </c>
      <c r="F199" s="2">
        <v>125</v>
      </c>
      <c r="G199" s="60">
        <v>38</v>
      </c>
      <c r="H199" s="303">
        <f t="shared" si="11"/>
        <v>4750</v>
      </c>
      <c r="I199" s="60">
        <v>9</v>
      </c>
      <c r="J199" s="247">
        <v>43.3</v>
      </c>
      <c r="K199" s="247">
        <v>26</v>
      </c>
      <c r="L199" s="247">
        <v>107.38</v>
      </c>
      <c r="M199" s="60">
        <f t="shared" si="15"/>
        <v>185.68</v>
      </c>
      <c r="N199" s="299">
        <f t="shared" si="12"/>
        <v>4935.68</v>
      </c>
      <c r="O199" s="263" t="s">
        <v>94</v>
      </c>
      <c r="P199" s="263" t="s">
        <v>197</v>
      </c>
    </row>
    <row r="200" spans="2:18" ht="12.75" customHeight="1" x14ac:dyDescent="0.25">
      <c r="B200" s="325" t="s">
        <v>1467</v>
      </c>
      <c r="C200" s="325" t="s">
        <v>2480</v>
      </c>
      <c r="D200" s="325" t="s">
        <v>1245</v>
      </c>
      <c r="E200" s="2">
        <v>5800</v>
      </c>
      <c r="F200" s="2">
        <v>50</v>
      </c>
      <c r="G200" s="60">
        <v>102.75</v>
      </c>
      <c r="H200" s="303">
        <f t="shared" si="11"/>
        <v>5137.5</v>
      </c>
      <c r="I200" s="60">
        <v>9</v>
      </c>
      <c r="J200" s="312"/>
      <c r="K200" s="312"/>
      <c r="L200" s="312"/>
      <c r="M200" s="60">
        <f t="shared" ref="M200:M205" si="16">SUM(I200:L200)</f>
        <v>9</v>
      </c>
      <c r="N200" s="299">
        <f t="shared" si="12"/>
        <v>5146.5</v>
      </c>
      <c r="O200" s="263" t="s">
        <v>96</v>
      </c>
      <c r="P200" s="263" t="s">
        <v>197</v>
      </c>
    </row>
    <row r="201" spans="2:18" ht="12.75" customHeight="1" x14ac:dyDescent="0.25">
      <c r="B201" s="325" t="s">
        <v>1467</v>
      </c>
      <c r="C201" s="325" t="s">
        <v>2480</v>
      </c>
      <c r="D201" s="325" t="s">
        <v>1245</v>
      </c>
      <c r="E201" s="2">
        <v>5800</v>
      </c>
      <c r="F201" s="2">
        <v>100</v>
      </c>
      <c r="G201" s="60">
        <v>102.75</v>
      </c>
      <c r="H201" s="303">
        <f t="shared" si="11"/>
        <v>10275</v>
      </c>
      <c r="I201" s="60">
        <v>18</v>
      </c>
      <c r="J201" s="312"/>
      <c r="K201" s="312"/>
      <c r="L201" s="312"/>
      <c r="M201" s="60">
        <f t="shared" si="16"/>
        <v>18</v>
      </c>
      <c r="N201" s="299">
        <f t="shared" si="12"/>
        <v>10293</v>
      </c>
      <c r="O201" s="263" t="s">
        <v>96</v>
      </c>
      <c r="P201" s="263" t="s">
        <v>197</v>
      </c>
    </row>
    <row r="202" spans="2:18" ht="12.75" customHeight="1" x14ac:dyDescent="0.25">
      <c r="B202" s="325" t="s">
        <v>1467</v>
      </c>
      <c r="C202" s="325" t="s">
        <v>2480</v>
      </c>
      <c r="D202" s="325" t="s">
        <v>1245</v>
      </c>
      <c r="E202" s="2">
        <v>5800</v>
      </c>
      <c r="F202" s="2">
        <v>100</v>
      </c>
      <c r="G202" s="60">
        <v>102.75</v>
      </c>
      <c r="H202" s="303">
        <f t="shared" si="11"/>
        <v>10275</v>
      </c>
      <c r="I202" s="60">
        <v>18</v>
      </c>
      <c r="J202" s="312"/>
      <c r="K202" s="312"/>
      <c r="L202" s="312"/>
      <c r="M202" s="60">
        <f t="shared" si="16"/>
        <v>18</v>
      </c>
      <c r="N202" s="299">
        <f t="shared" si="12"/>
        <v>10293</v>
      </c>
      <c r="O202" s="263" t="s">
        <v>96</v>
      </c>
      <c r="P202" s="263" t="s">
        <v>197</v>
      </c>
    </row>
    <row r="203" spans="2:18" ht="12.75" customHeight="1" x14ac:dyDescent="0.25">
      <c r="B203" s="325" t="s">
        <v>1467</v>
      </c>
      <c r="C203" s="325" t="s">
        <v>2480</v>
      </c>
      <c r="D203" s="325" t="s">
        <v>1245</v>
      </c>
      <c r="E203" s="2">
        <v>5800</v>
      </c>
      <c r="F203" s="2">
        <v>50</v>
      </c>
      <c r="G203" s="60">
        <v>102.8</v>
      </c>
      <c r="H203" s="303">
        <f t="shared" si="11"/>
        <v>5140</v>
      </c>
      <c r="I203" s="60">
        <v>9</v>
      </c>
      <c r="J203" s="312"/>
      <c r="K203" s="312"/>
      <c r="L203" s="312"/>
      <c r="M203" s="60">
        <f t="shared" si="16"/>
        <v>9</v>
      </c>
      <c r="N203" s="299">
        <f t="shared" si="12"/>
        <v>5149</v>
      </c>
      <c r="O203" s="263" t="s">
        <v>96</v>
      </c>
      <c r="P203" s="263" t="s">
        <v>197</v>
      </c>
    </row>
    <row r="204" spans="2:18" ht="13.2" x14ac:dyDescent="0.25">
      <c r="B204" s="325" t="s">
        <v>1467</v>
      </c>
      <c r="C204" s="325" t="s">
        <v>2480</v>
      </c>
      <c r="D204" s="325" t="s">
        <v>1245</v>
      </c>
      <c r="E204" s="2">
        <v>5800</v>
      </c>
      <c r="F204" s="2">
        <v>500</v>
      </c>
      <c r="G204" s="60">
        <v>102.85</v>
      </c>
      <c r="H204" s="303">
        <f t="shared" si="11"/>
        <v>51425</v>
      </c>
      <c r="I204" s="60">
        <v>90</v>
      </c>
      <c r="J204" s="315"/>
      <c r="K204" s="315"/>
      <c r="L204" s="316"/>
      <c r="M204" s="60">
        <f t="shared" si="16"/>
        <v>90</v>
      </c>
      <c r="N204" s="299">
        <f t="shared" si="12"/>
        <v>51515</v>
      </c>
      <c r="O204" s="263" t="s">
        <v>96</v>
      </c>
      <c r="P204" s="304" t="s">
        <v>197</v>
      </c>
      <c r="R204" s="247"/>
    </row>
    <row r="205" spans="2:18" ht="12.75" customHeight="1" x14ac:dyDescent="0.25">
      <c r="B205" s="325" t="s">
        <v>1467</v>
      </c>
      <c r="C205" s="325" t="s">
        <v>92</v>
      </c>
      <c r="D205" s="325" t="s">
        <v>1249</v>
      </c>
      <c r="E205" s="2">
        <v>70</v>
      </c>
      <c r="F205" s="2">
        <v>4000</v>
      </c>
      <c r="G205" s="60">
        <v>1.05</v>
      </c>
      <c r="H205" s="303">
        <f t="shared" si="11"/>
        <v>4200</v>
      </c>
      <c r="I205" s="60">
        <v>9</v>
      </c>
      <c r="J205" s="247">
        <v>68.86</v>
      </c>
      <c r="K205" s="247">
        <v>45</v>
      </c>
      <c r="L205" s="247">
        <v>179.1</v>
      </c>
      <c r="M205" s="60">
        <f t="shared" si="16"/>
        <v>301.95999999999998</v>
      </c>
      <c r="N205" s="299">
        <f t="shared" si="12"/>
        <v>4501.96</v>
      </c>
      <c r="O205" s="263" t="s">
        <v>96</v>
      </c>
      <c r="P205" s="263" t="s">
        <v>197</v>
      </c>
    </row>
    <row r="206" spans="2:18" ht="12.75" customHeight="1" x14ac:dyDescent="0.25">
      <c r="B206" s="325" t="s">
        <v>1464</v>
      </c>
      <c r="C206" s="325" t="s">
        <v>2480</v>
      </c>
      <c r="D206" s="325" t="s">
        <v>1249</v>
      </c>
      <c r="E206" s="2">
        <v>5700</v>
      </c>
      <c r="F206" s="2">
        <v>100</v>
      </c>
      <c r="G206" s="60">
        <v>30.85</v>
      </c>
      <c r="H206" s="303">
        <f t="shared" si="11"/>
        <v>3085</v>
      </c>
      <c r="I206" s="60">
        <v>18</v>
      </c>
      <c r="J206" s="312"/>
      <c r="K206" s="312"/>
      <c r="L206" s="312"/>
      <c r="M206" s="60">
        <f t="shared" ref="M206:M219" si="17">SUM(I206:L206)</f>
        <v>18</v>
      </c>
      <c r="N206" s="299">
        <f t="shared" si="12"/>
        <v>3103</v>
      </c>
      <c r="O206" s="263" t="s">
        <v>1584</v>
      </c>
      <c r="P206" s="263" t="s">
        <v>197</v>
      </c>
    </row>
    <row r="207" spans="2:18" ht="12.75" customHeight="1" x14ac:dyDescent="0.25">
      <c r="B207" s="325" t="s">
        <v>1464</v>
      </c>
      <c r="C207" s="325" t="s">
        <v>2480</v>
      </c>
      <c r="D207" s="325" t="s">
        <v>1249</v>
      </c>
      <c r="E207" s="2">
        <v>5700</v>
      </c>
      <c r="F207" s="2">
        <v>650</v>
      </c>
      <c r="G207" s="60">
        <v>30.9</v>
      </c>
      <c r="H207" s="303">
        <f t="shared" si="11"/>
        <v>20085</v>
      </c>
      <c r="I207" s="60">
        <v>117</v>
      </c>
      <c r="J207" s="312"/>
      <c r="K207" s="312"/>
      <c r="L207" s="312"/>
      <c r="M207" s="60">
        <f t="shared" si="17"/>
        <v>117</v>
      </c>
      <c r="N207" s="299">
        <f t="shared" si="12"/>
        <v>20202</v>
      </c>
      <c r="O207" s="263" t="s">
        <v>1584</v>
      </c>
      <c r="P207" s="263" t="s">
        <v>197</v>
      </c>
    </row>
    <row r="208" spans="2:18" ht="12.75" customHeight="1" x14ac:dyDescent="0.25">
      <c r="B208" s="325" t="s">
        <v>1464</v>
      </c>
      <c r="C208" s="325" t="s">
        <v>2480</v>
      </c>
      <c r="D208" s="325" t="s">
        <v>1249</v>
      </c>
      <c r="E208" s="2">
        <v>5700</v>
      </c>
      <c r="F208" s="2">
        <v>50</v>
      </c>
      <c r="G208" s="60">
        <v>30.9</v>
      </c>
      <c r="H208" s="303">
        <f t="shared" si="11"/>
        <v>1545</v>
      </c>
      <c r="I208" s="60">
        <v>9</v>
      </c>
      <c r="J208" s="312"/>
      <c r="K208" s="312"/>
      <c r="L208" s="312"/>
      <c r="M208" s="60">
        <f t="shared" si="17"/>
        <v>9</v>
      </c>
      <c r="N208" s="299">
        <f t="shared" si="12"/>
        <v>1554</v>
      </c>
      <c r="O208" s="263" t="s">
        <v>1584</v>
      </c>
      <c r="P208" s="263" t="s">
        <v>197</v>
      </c>
    </row>
    <row r="209" spans="2:18" ht="12.75" customHeight="1" x14ac:dyDescent="0.25">
      <c r="B209" s="325" t="s">
        <v>1464</v>
      </c>
      <c r="C209" s="325" t="s">
        <v>2480</v>
      </c>
      <c r="D209" s="325" t="s">
        <v>1249</v>
      </c>
      <c r="E209" s="2">
        <v>5700</v>
      </c>
      <c r="F209" s="2">
        <v>200</v>
      </c>
      <c r="G209" s="60">
        <v>30.95</v>
      </c>
      <c r="H209" s="303">
        <f t="shared" si="11"/>
        <v>6190</v>
      </c>
      <c r="I209" s="60">
        <v>36</v>
      </c>
      <c r="J209" s="312"/>
      <c r="K209" s="312"/>
      <c r="L209" s="312"/>
      <c r="M209" s="60">
        <f t="shared" si="17"/>
        <v>36</v>
      </c>
      <c r="N209" s="299">
        <f t="shared" si="12"/>
        <v>6226</v>
      </c>
      <c r="O209" s="263" t="s">
        <v>1584</v>
      </c>
      <c r="P209" s="263" t="s">
        <v>197</v>
      </c>
    </row>
    <row r="210" spans="2:18" ht="12.75" customHeight="1" x14ac:dyDescent="0.25">
      <c r="B210" s="325" t="s">
        <v>1464</v>
      </c>
      <c r="C210" s="325" t="s">
        <v>2480</v>
      </c>
      <c r="D210" s="325" t="s">
        <v>1249</v>
      </c>
      <c r="E210" s="2">
        <v>5700</v>
      </c>
      <c r="F210" s="2">
        <v>50</v>
      </c>
      <c r="G210" s="60">
        <v>49.6</v>
      </c>
      <c r="H210" s="303">
        <f t="shared" si="11"/>
        <v>2480</v>
      </c>
      <c r="I210" s="60">
        <v>9</v>
      </c>
      <c r="J210" s="312"/>
      <c r="K210" s="312"/>
      <c r="L210" s="312"/>
      <c r="M210" s="60">
        <f t="shared" si="17"/>
        <v>9</v>
      </c>
      <c r="N210" s="299">
        <f t="shared" si="12"/>
        <v>2489</v>
      </c>
      <c r="O210" s="263" t="s">
        <v>1584</v>
      </c>
      <c r="P210" s="263" t="s">
        <v>197</v>
      </c>
    </row>
    <row r="211" spans="2:18" ht="13.2" x14ac:dyDescent="0.25">
      <c r="B211" s="325" t="s">
        <v>1464</v>
      </c>
      <c r="C211" s="325" t="s">
        <v>2480</v>
      </c>
      <c r="D211" s="325" t="s">
        <v>1249</v>
      </c>
      <c r="E211" s="2">
        <v>5700</v>
      </c>
      <c r="F211" s="2">
        <v>200</v>
      </c>
      <c r="G211" s="60">
        <v>49.65</v>
      </c>
      <c r="H211" s="303">
        <f t="shared" si="11"/>
        <v>9930</v>
      </c>
      <c r="I211" s="60">
        <v>36</v>
      </c>
      <c r="J211" s="315"/>
      <c r="K211" s="315"/>
      <c r="L211" s="316"/>
      <c r="M211" s="60">
        <f t="shared" si="17"/>
        <v>36</v>
      </c>
      <c r="N211" s="299">
        <f t="shared" si="12"/>
        <v>9966</v>
      </c>
      <c r="O211" s="263" t="s">
        <v>1584</v>
      </c>
      <c r="P211" s="304" t="s">
        <v>197</v>
      </c>
      <c r="R211" s="247"/>
    </row>
    <row r="212" spans="2:18" ht="12.75" customHeight="1" x14ac:dyDescent="0.25">
      <c r="B212" s="325" t="s">
        <v>1464</v>
      </c>
      <c r="C212" s="325" t="s">
        <v>2480</v>
      </c>
      <c r="D212" s="325" t="s">
        <v>1249</v>
      </c>
      <c r="E212" s="2">
        <v>5700</v>
      </c>
      <c r="F212" s="2">
        <v>250</v>
      </c>
      <c r="G212" s="60">
        <v>49.7</v>
      </c>
      <c r="H212" s="303">
        <f t="shared" si="11"/>
        <v>12425</v>
      </c>
      <c r="I212" s="60">
        <v>45</v>
      </c>
      <c r="J212" s="306"/>
      <c r="K212" s="312"/>
      <c r="L212" s="312"/>
      <c r="M212" s="60">
        <f t="shared" si="17"/>
        <v>45</v>
      </c>
      <c r="N212" s="299">
        <f t="shared" si="12"/>
        <v>12470</v>
      </c>
      <c r="O212" s="263" t="s">
        <v>1584</v>
      </c>
      <c r="P212" s="263" t="s">
        <v>197</v>
      </c>
    </row>
    <row r="213" spans="2:18" ht="12.75" customHeight="1" x14ac:dyDescent="0.25">
      <c r="B213" s="325" t="s">
        <v>1464</v>
      </c>
      <c r="C213" s="325" t="s">
        <v>2480</v>
      </c>
      <c r="D213" s="325" t="s">
        <v>1249</v>
      </c>
      <c r="E213" s="2">
        <v>5700</v>
      </c>
      <c r="F213" s="2">
        <v>200</v>
      </c>
      <c r="G213" s="60">
        <v>49.55</v>
      </c>
      <c r="H213" s="303">
        <f t="shared" si="11"/>
        <v>9910</v>
      </c>
      <c r="I213" s="60">
        <v>36</v>
      </c>
      <c r="J213" s="312"/>
      <c r="K213" s="312"/>
      <c r="L213" s="312"/>
      <c r="M213" s="60">
        <f t="shared" si="17"/>
        <v>36</v>
      </c>
      <c r="N213" s="299">
        <f t="shared" si="12"/>
        <v>9946</v>
      </c>
      <c r="O213" s="263" t="s">
        <v>1584</v>
      </c>
      <c r="P213" s="263" t="s">
        <v>197</v>
      </c>
    </row>
    <row r="214" spans="2:18" ht="12.75" customHeight="1" x14ac:dyDescent="0.25">
      <c r="B214" s="325" t="s">
        <v>1464</v>
      </c>
      <c r="C214" s="325" t="s">
        <v>2480</v>
      </c>
      <c r="D214" s="325" t="s">
        <v>1249</v>
      </c>
      <c r="E214" s="2">
        <v>5700</v>
      </c>
      <c r="F214" s="2">
        <v>300</v>
      </c>
      <c r="G214" s="60">
        <v>49.6</v>
      </c>
      <c r="H214" s="303">
        <f t="shared" si="11"/>
        <v>14880</v>
      </c>
      <c r="I214" s="60">
        <v>54</v>
      </c>
      <c r="J214" s="312"/>
      <c r="K214" s="312"/>
      <c r="L214" s="312"/>
      <c r="M214" s="60">
        <f t="shared" si="17"/>
        <v>54</v>
      </c>
      <c r="N214" s="299">
        <f t="shared" si="12"/>
        <v>14934</v>
      </c>
      <c r="O214" s="263" t="s">
        <v>1584</v>
      </c>
      <c r="P214" s="263" t="s">
        <v>197</v>
      </c>
    </row>
    <row r="215" spans="2:18" ht="13.2" x14ac:dyDescent="0.25">
      <c r="B215" s="325" t="s">
        <v>1465</v>
      </c>
      <c r="C215" s="325" t="s">
        <v>2480</v>
      </c>
      <c r="D215" s="325" t="s">
        <v>1249</v>
      </c>
      <c r="E215" s="2">
        <v>5600</v>
      </c>
      <c r="F215" s="2">
        <v>200</v>
      </c>
      <c r="G215" s="60">
        <v>114.4</v>
      </c>
      <c r="H215" s="303">
        <f t="shared" si="11"/>
        <v>22880</v>
      </c>
      <c r="I215" s="60">
        <v>36</v>
      </c>
      <c r="J215" s="315"/>
      <c r="K215" s="315"/>
      <c r="L215" s="316"/>
      <c r="M215" s="60">
        <f t="shared" si="17"/>
        <v>36</v>
      </c>
      <c r="N215" s="299">
        <f t="shared" si="12"/>
        <v>22916</v>
      </c>
      <c r="O215" s="263" t="s">
        <v>1466</v>
      </c>
      <c r="P215" s="304" t="s">
        <v>197</v>
      </c>
      <c r="R215" s="247"/>
    </row>
    <row r="216" spans="2:18" ht="12.75" customHeight="1" x14ac:dyDescent="0.25">
      <c r="B216" s="325" t="s">
        <v>1465</v>
      </c>
      <c r="C216" s="325" t="s">
        <v>2480</v>
      </c>
      <c r="D216" s="325" t="s">
        <v>1249</v>
      </c>
      <c r="E216" s="2">
        <v>5600</v>
      </c>
      <c r="F216" s="2">
        <v>300</v>
      </c>
      <c r="G216" s="60">
        <v>114.4</v>
      </c>
      <c r="H216" s="303">
        <f t="shared" si="11"/>
        <v>34320</v>
      </c>
      <c r="I216" s="60">
        <v>54</v>
      </c>
      <c r="J216" s="306"/>
      <c r="K216" s="312"/>
      <c r="L216" s="312"/>
      <c r="M216" s="60">
        <f t="shared" si="17"/>
        <v>54</v>
      </c>
      <c r="N216" s="299">
        <f t="shared" si="12"/>
        <v>34374</v>
      </c>
      <c r="O216" s="263" t="s">
        <v>1466</v>
      </c>
      <c r="P216" s="263" t="s">
        <v>197</v>
      </c>
    </row>
    <row r="217" spans="2:18" ht="12.75" customHeight="1" x14ac:dyDescent="0.25">
      <c r="B217" s="325" t="s">
        <v>1465</v>
      </c>
      <c r="C217" s="325" t="s">
        <v>2480</v>
      </c>
      <c r="D217" s="325" t="s">
        <v>1249</v>
      </c>
      <c r="E217" s="2">
        <v>5600</v>
      </c>
      <c r="F217" s="2">
        <v>100</v>
      </c>
      <c r="G217" s="60">
        <v>113.75</v>
      </c>
      <c r="H217" s="303">
        <f t="shared" si="11"/>
        <v>11375</v>
      </c>
      <c r="I217" s="60">
        <v>18</v>
      </c>
      <c r="J217" s="312"/>
      <c r="K217" s="312"/>
      <c r="L217" s="312"/>
      <c r="M217" s="60">
        <f t="shared" si="17"/>
        <v>18</v>
      </c>
      <c r="N217" s="299">
        <f t="shared" si="12"/>
        <v>11393</v>
      </c>
      <c r="O217" s="263" t="s">
        <v>1466</v>
      </c>
      <c r="P217" s="263" t="s">
        <v>197</v>
      </c>
    </row>
    <row r="218" spans="2:18" ht="12.75" customHeight="1" x14ac:dyDescent="0.25">
      <c r="B218" s="325" t="s">
        <v>1465</v>
      </c>
      <c r="C218" s="325" t="s">
        <v>2480</v>
      </c>
      <c r="D218" s="325" t="s">
        <v>1249</v>
      </c>
      <c r="E218" s="2">
        <v>5600</v>
      </c>
      <c r="F218" s="2">
        <v>50</v>
      </c>
      <c r="G218" s="60">
        <v>113.9</v>
      </c>
      <c r="H218" s="303">
        <f t="shared" si="11"/>
        <v>5695</v>
      </c>
      <c r="I218" s="60">
        <v>9</v>
      </c>
      <c r="J218" s="312"/>
      <c r="K218" s="312"/>
      <c r="L218" s="312"/>
      <c r="M218" s="60">
        <f t="shared" si="17"/>
        <v>9</v>
      </c>
      <c r="N218" s="299">
        <f t="shared" si="12"/>
        <v>5704</v>
      </c>
      <c r="O218" s="263" t="s">
        <v>1466</v>
      </c>
      <c r="P218" s="263" t="s">
        <v>197</v>
      </c>
    </row>
    <row r="219" spans="2:18" ht="12.75" customHeight="1" x14ac:dyDescent="0.25">
      <c r="B219" s="325" t="s">
        <v>1465</v>
      </c>
      <c r="C219" s="325" t="s">
        <v>2480</v>
      </c>
      <c r="D219" s="325" t="s">
        <v>1249</v>
      </c>
      <c r="E219" s="2">
        <v>5600</v>
      </c>
      <c r="F219" s="2">
        <v>50</v>
      </c>
      <c r="G219" s="60">
        <v>113.95</v>
      </c>
      <c r="H219" s="303">
        <f t="shared" si="11"/>
        <v>5697.5</v>
      </c>
      <c r="I219" s="60">
        <v>9</v>
      </c>
      <c r="J219" s="312"/>
      <c r="K219" s="312"/>
      <c r="L219" s="312"/>
      <c r="M219" s="60">
        <f t="shared" si="17"/>
        <v>9</v>
      </c>
      <c r="N219" s="299">
        <f t="shared" si="12"/>
        <v>5706.5</v>
      </c>
      <c r="O219" s="263" t="s">
        <v>1466</v>
      </c>
      <c r="P219" s="263" t="s">
        <v>197</v>
      </c>
    </row>
    <row r="220" spans="2:18" ht="12.75" customHeight="1" x14ac:dyDescent="0.25">
      <c r="B220" s="325" t="s">
        <v>1498</v>
      </c>
      <c r="C220" s="325" t="s">
        <v>1496</v>
      </c>
      <c r="D220" s="325" t="s">
        <v>1249</v>
      </c>
      <c r="E220" s="2">
        <v>5900</v>
      </c>
      <c r="F220" s="2">
        <v>50</v>
      </c>
      <c r="G220" s="60">
        <v>36.700000000000003</v>
      </c>
      <c r="H220" s="303">
        <f t="shared" si="11"/>
        <v>1835.0000000000002</v>
      </c>
      <c r="I220" s="60">
        <v>9</v>
      </c>
      <c r="J220" s="312"/>
      <c r="K220" s="312"/>
      <c r="L220" s="312"/>
      <c r="M220" s="60">
        <f t="shared" ref="M220:M241" si="18">SUM(I220:L220)</f>
        <v>9</v>
      </c>
      <c r="N220" s="299">
        <f t="shared" si="12"/>
        <v>1844.0000000000002</v>
      </c>
      <c r="O220" s="263" t="s">
        <v>1497</v>
      </c>
      <c r="P220" s="263" t="s">
        <v>197</v>
      </c>
    </row>
    <row r="221" spans="2:18" ht="12.75" customHeight="1" x14ac:dyDescent="0.25">
      <c r="B221" s="325" t="s">
        <v>1498</v>
      </c>
      <c r="C221" s="325" t="s">
        <v>1496</v>
      </c>
      <c r="D221" s="325" t="s">
        <v>1249</v>
      </c>
      <c r="E221" s="2">
        <v>5900</v>
      </c>
      <c r="F221" s="2">
        <v>50</v>
      </c>
      <c r="G221" s="60">
        <v>36.700000000000003</v>
      </c>
      <c r="H221" s="303">
        <f t="shared" si="11"/>
        <v>1835.0000000000002</v>
      </c>
      <c r="I221" s="60">
        <v>9</v>
      </c>
      <c r="J221" s="312"/>
      <c r="K221" s="312"/>
      <c r="L221" s="312"/>
      <c r="M221" s="60">
        <f t="shared" si="18"/>
        <v>9</v>
      </c>
      <c r="N221" s="299">
        <f t="shared" si="12"/>
        <v>1844.0000000000002</v>
      </c>
      <c r="O221" s="263" t="s">
        <v>1497</v>
      </c>
      <c r="P221" s="263" t="s">
        <v>197</v>
      </c>
    </row>
    <row r="222" spans="2:18" ht="12.75" customHeight="1" x14ac:dyDescent="0.25">
      <c r="B222" s="325" t="s">
        <v>1498</v>
      </c>
      <c r="C222" s="325" t="s">
        <v>1496</v>
      </c>
      <c r="D222" s="325" t="s">
        <v>1249</v>
      </c>
      <c r="E222" s="2">
        <v>5900</v>
      </c>
      <c r="F222" s="2">
        <v>50</v>
      </c>
      <c r="G222" s="60">
        <v>36.700000000000003</v>
      </c>
      <c r="H222" s="303">
        <f t="shared" si="11"/>
        <v>1835.0000000000002</v>
      </c>
      <c r="I222" s="60">
        <v>9</v>
      </c>
      <c r="J222" s="312"/>
      <c r="K222" s="312"/>
      <c r="L222" s="312"/>
      <c r="M222" s="60">
        <f t="shared" si="18"/>
        <v>9</v>
      </c>
      <c r="N222" s="299">
        <f t="shared" si="12"/>
        <v>1844.0000000000002</v>
      </c>
      <c r="O222" s="263" t="s">
        <v>1497</v>
      </c>
      <c r="P222" s="263" t="s">
        <v>197</v>
      </c>
    </row>
    <row r="223" spans="2:18" ht="13.2" x14ac:dyDescent="0.25">
      <c r="B223" s="325" t="s">
        <v>1498</v>
      </c>
      <c r="C223" s="325" t="s">
        <v>1496</v>
      </c>
      <c r="D223" s="325" t="s">
        <v>1249</v>
      </c>
      <c r="E223" s="2">
        <v>5900</v>
      </c>
      <c r="F223" s="2">
        <v>50</v>
      </c>
      <c r="G223" s="60">
        <v>36.700000000000003</v>
      </c>
      <c r="H223" s="303">
        <f t="shared" si="11"/>
        <v>1835.0000000000002</v>
      </c>
      <c r="I223" s="60">
        <v>9</v>
      </c>
      <c r="J223" s="315"/>
      <c r="K223" s="315"/>
      <c r="L223" s="316"/>
      <c r="M223" s="60">
        <f t="shared" si="18"/>
        <v>9</v>
      </c>
      <c r="N223" s="299">
        <f t="shared" si="12"/>
        <v>1844.0000000000002</v>
      </c>
      <c r="O223" s="263" t="s">
        <v>1497</v>
      </c>
      <c r="P223" s="304" t="s">
        <v>197</v>
      </c>
      <c r="R223" s="247"/>
    </row>
    <row r="224" spans="2:18" ht="12.75" customHeight="1" x14ac:dyDescent="0.25">
      <c r="B224" s="325" t="s">
        <v>1498</v>
      </c>
      <c r="C224" s="325" t="s">
        <v>1496</v>
      </c>
      <c r="D224" s="325" t="s">
        <v>1249</v>
      </c>
      <c r="E224" s="2">
        <v>5900</v>
      </c>
      <c r="F224" s="2">
        <v>50</v>
      </c>
      <c r="G224" s="60">
        <v>36.700000000000003</v>
      </c>
      <c r="H224" s="303">
        <f t="shared" si="11"/>
        <v>1835.0000000000002</v>
      </c>
      <c r="I224" s="60">
        <v>9</v>
      </c>
      <c r="J224" s="306"/>
      <c r="K224" s="312"/>
      <c r="L224" s="312"/>
      <c r="M224" s="60">
        <f t="shared" si="18"/>
        <v>9</v>
      </c>
      <c r="N224" s="299">
        <f t="shared" si="12"/>
        <v>1844.0000000000002</v>
      </c>
      <c r="O224" s="263" t="s">
        <v>1497</v>
      </c>
      <c r="P224" s="263" t="s">
        <v>197</v>
      </c>
    </row>
    <row r="225" spans="2:18" ht="12.75" customHeight="1" x14ac:dyDescent="0.25">
      <c r="B225" s="325" t="s">
        <v>1498</v>
      </c>
      <c r="C225" s="325" t="s">
        <v>1496</v>
      </c>
      <c r="D225" s="325" t="s">
        <v>1249</v>
      </c>
      <c r="E225" s="2">
        <v>5900</v>
      </c>
      <c r="F225" s="2">
        <v>50</v>
      </c>
      <c r="G225" s="60">
        <v>36.700000000000003</v>
      </c>
      <c r="H225" s="303">
        <f t="shared" si="11"/>
        <v>1835.0000000000002</v>
      </c>
      <c r="I225" s="60">
        <v>9</v>
      </c>
      <c r="J225" s="312"/>
      <c r="K225" s="312"/>
      <c r="L225" s="312"/>
      <c r="M225" s="60">
        <f t="shared" si="18"/>
        <v>9</v>
      </c>
      <c r="N225" s="299">
        <f t="shared" si="12"/>
        <v>1844.0000000000002</v>
      </c>
      <c r="O225" s="263" t="s">
        <v>1497</v>
      </c>
      <c r="P225" s="263" t="s">
        <v>197</v>
      </c>
    </row>
    <row r="226" spans="2:18" ht="12.75" customHeight="1" x14ac:dyDescent="0.25">
      <c r="B226" s="325" t="s">
        <v>1498</v>
      </c>
      <c r="C226" s="325" t="s">
        <v>1496</v>
      </c>
      <c r="D226" s="325" t="s">
        <v>1249</v>
      </c>
      <c r="E226" s="2">
        <v>5900</v>
      </c>
      <c r="F226" s="2">
        <v>50</v>
      </c>
      <c r="G226" s="60">
        <v>36.700000000000003</v>
      </c>
      <c r="H226" s="303">
        <f t="shared" si="11"/>
        <v>1835.0000000000002</v>
      </c>
      <c r="I226" s="60">
        <v>9</v>
      </c>
      <c r="J226" s="312"/>
      <c r="K226" s="312"/>
      <c r="L226" s="312"/>
      <c r="M226" s="60">
        <f t="shared" si="18"/>
        <v>9</v>
      </c>
      <c r="N226" s="299">
        <f t="shared" si="12"/>
        <v>1844.0000000000002</v>
      </c>
      <c r="O226" s="263" t="s">
        <v>1497</v>
      </c>
      <c r="P226" s="263" t="s">
        <v>197</v>
      </c>
    </row>
    <row r="227" spans="2:18" ht="12.75" customHeight="1" x14ac:dyDescent="0.25">
      <c r="B227" s="325" t="s">
        <v>1498</v>
      </c>
      <c r="C227" s="325" t="s">
        <v>1496</v>
      </c>
      <c r="D227" s="325" t="s">
        <v>1249</v>
      </c>
      <c r="E227" s="2">
        <v>5900</v>
      </c>
      <c r="F227" s="2">
        <v>50</v>
      </c>
      <c r="G227" s="60">
        <v>36.700000000000003</v>
      </c>
      <c r="H227" s="303">
        <f t="shared" si="11"/>
        <v>1835.0000000000002</v>
      </c>
      <c r="I227" s="60">
        <v>9</v>
      </c>
      <c r="J227" s="312"/>
      <c r="K227" s="312"/>
      <c r="L227" s="312"/>
      <c r="M227" s="60">
        <f t="shared" si="18"/>
        <v>9</v>
      </c>
      <c r="N227" s="299">
        <f t="shared" si="12"/>
        <v>1844.0000000000002</v>
      </c>
      <c r="O227" s="263" t="s">
        <v>1497</v>
      </c>
      <c r="P227" s="263" t="s">
        <v>197</v>
      </c>
    </row>
    <row r="228" spans="2:18" ht="12.75" customHeight="1" x14ac:dyDescent="0.25">
      <c r="B228" s="325" t="s">
        <v>1498</v>
      </c>
      <c r="C228" s="325" t="s">
        <v>1496</v>
      </c>
      <c r="D228" s="325" t="s">
        <v>1249</v>
      </c>
      <c r="E228" s="2">
        <v>5900</v>
      </c>
      <c r="F228" s="2">
        <v>50</v>
      </c>
      <c r="G228" s="60">
        <v>36.700000000000003</v>
      </c>
      <c r="H228" s="303">
        <f t="shared" si="11"/>
        <v>1835.0000000000002</v>
      </c>
      <c r="I228" s="60">
        <v>9</v>
      </c>
      <c r="J228" s="312"/>
      <c r="K228" s="312"/>
      <c r="L228" s="312"/>
      <c r="M228" s="60">
        <f t="shared" si="18"/>
        <v>9</v>
      </c>
      <c r="N228" s="299">
        <f t="shared" si="12"/>
        <v>1844.0000000000002</v>
      </c>
      <c r="O228" s="263" t="s">
        <v>1497</v>
      </c>
      <c r="P228" s="263" t="s">
        <v>197</v>
      </c>
    </row>
    <row r="229" spans="2:18" ht="12.75" customHeight="1" x14ac:dyDescent="0.25">
      <c r="B229" s="325" t="s">
        <v>1498</v>
      </c>
      <c r="C229" s="325" t="s">
        <v>1496</v>
      </c>
      <c r="D229" s="325" t="s">
        <v>1249</v>
      </c>
      <c r="E229" s="2">
        <v>5900</v>
      </c>
      <c r="F229" s="2">
        <v>50</v>
      </c>
      <c r="G229" s="60">
        <v>36.700000000000003</v>
      </c>
      <c r="H229" s="303">
        <f t="shared" si="11"/>
        <v>1835.0000000000002</v>
      </c>
      <c r="I229" s="60">
        <v>9</v>
      </c>
      <c r="J229" s="312"/>
      <c r="K229" s="312"/>
      <c r="L229" s="312"/>
      <c r="M229" s="60">
        <f t="shared" si="18"/>
        <v>9</v>
      </c>
      <c r="N229" s="299">
        <f t="shared" si="12"/>
        <v>1844.0000000000002</v>
      </c>
      <c r="O229" s="263" t="s">
        <v>1497</v>
      </c>
      <c r="P229" s="263" t="s">
        <v>197</v>
      </c>
    </row>
    <row r="230" spans="2:18" ht="12.75" customHeight="1" x14ac:dyDescent="0.25">
      <c r="B230" s="325" t="s">
        <v>1498</v>
      </c>
      <c r="C230" s="325" t="s">
        <v>1496</v>
      </c>
      <c r="D230" s="325" t="s">
        <v>1249</v>
      </c>
      <c r="E230" s="2">
        <v>5900</v>
      </c>
      <c r="F230" s="2">
        <v>50</v>
      </c>
      <c r="G230" s="60">
        <v>36.700000000000003</v>
      </c>
      <c r="H230" s="303">
        <f t="shared" si="11"/>
        <v>1835.0000000000002</v>
      </c>
      <c r="I230" s="60">
        <v>9</v>
      </c>
      <c r="J230" s="312"/>
      <c r="K230" s="312"/>
      <c r="L230" s="312"/>
      <c r="M230" s="60">
        <f t="shared" si="18"/>
        <v>9</v>
      </c>
      <c r="N230" s="299">
        <f t="shared" si="12"/>
        <v>1844.0000000000002</v>
      </c>
      <c r="O230" s="263" t="s">
        <v>1497</v>
      </c>
      <c r="P230" s="263" t="s">
        <v>197</v>
      </c>
    </row>
    <row r="231" spans="2:18" ht="13.2" x14ac:dyDescent="0.25">
      <c r="B231" s="325" t="s">
        <v>1498</v>
      </c>
      <c r="C231" s="325" t="s">
        <v>1496</v>
      </c>
      <c r="D231" s="325" t="s">
        <v>1249</v>
      </c>
      <c r="E231" s="2">
        <v>5900</v>
      </c>
      <c r="F231" s="2">
        <v>50</v>
      </c>
      <c r="G231" s="60">
        <v>36.700000000000003</v>
      </c>
      <c r="H231" s="303">
        <f t="shared" ref="H231:H276" si="19">F231*G231</f>
        <v>1835.0000000000002</v>
      </c>
      <c r="I231" s="60">
        <v>9</v>
      </c>
      <c r="J231" s="315"/>
      <c r="K231" s="315"/>
      <c r="L231" s="316"/>
      <c r="M231" s="60">
        <f t="shared" si="18"/>
        <v>9</v>
      </c>
      <c r="N231" s="299">
        <f t="shared" ref="N231:N294" si="20">H231+M231</f>
        <v>1844.0000000000002</v>
      </c>
      <c r="O231" s="263" t="s">
        <v>1497</v>
      </c>
      <c r="P231" s="304" t="s">
        <v>197</v>
      </c>
      <c r="R231" s="247"/>
    </row>
    <row r="232" spans="2:18" ht="12.75" customHeight="1" x14ac:dyDescent="0.25">
      <c r="B232" s="325" t="s">
        <v>1498</v>
      </c>
      <c r="C232" s="325" t="s">
        <v>1496</v>
      </c>
      <c r="D232" s="325" t="s">
        <v>1249</v>
      </c>
      <c r="E232" s="2">
        <v>5900</v>
      </c>
      <c r="F232" s="2">
        <v>50</v>
      </c>
      <c r="G232" s="60">
        <v>36.700000000000003</v>
      </c>
      <c r="H232" s="303">
        <f t="shared" si="19"/>
        <v>1835.0000000000002</v>
      </c>
      <c r="I232" s="60">
        <v>9</v>
      </c>
      <c r="J232" s="306"/>
      <c r="K232" s="312"/>
      <c r="L232" s="312"/>
      <c r="M232" s="60">
        <f t="shared" si="18"/>
        <v>9</v>
      </c>
      <c r="N232" s="299">
        <f t="shared" si="20"/>
        <v>1844.0000000000002</v>
      </c>
      <c r="O232" s="263" t="s">
        <v>1497</v>
      </c>
      <c r="P232" s="263" t="s">
        <v>197</v>
      </c>
    </row>
    <row r="233" spans="2:18" ht="12.75" customHeight="1" x14ac:dyDescent="0.25">
      <c r="B233" s="325" t="s">
        <v>1498</v>
      </c>
      <c r="C233" s="325" t="s">
        <v>1496</v>
      </c>
      <c r="D233" s="325" t="s">
        <v>1249</v>
      </c>
      <c r="E233" s="2">
        <v>5900</v>
      </c>
      <c r="F233" s="2">
        <v>50</v>
      </c>
      <c r="G233" s="60">
        <v>36.700000000000003</v>
      </c>
      <c r="H233" s="303">
        <f t="shared" si="19"/>
        <v>1835.0000000000002</v>
      </c>
      <c r="I233" s="60">
        <v>9</v>
      </c>
      <c r="J233" s="312"/>
      <c r="K233" s="312"/>
      <c r="L233" s="312"/>
      <c r="M233" s="60">
        <f t="shared" si="18"/>
        <v>9</v>
      </c>
      <c r="N233" s="299">
        <f t="shared" si="20"/>
        <v>1844.0000000000002</v>
      </c>
      <c r="O233" s="263" t="s">
        <v>1497</v>
      </c>
      <c r="P233" s="263" t="s">
        <v>197</v>
      </c>
    </row>
    <row r="234" spans="2:18" ht="12.75" customHeight="1" x14ac:dyDescent="0.25">
      <c r="B234" s="325" t="s">
        <v>1498</v>
      </c>
      <c r="C234" s="325" t="s">
        <v>1496</v>
      </c>
      <c r="D234" s="325" t="s">
        <v>1249</v>
      </c>
      <c r="E234" s="2">
        <v>5900</v>
      </c>
      <c r="F234" s="2">
        <v>50</v>
      </c>
      <c r="G234" s="60">
        <v>36.700000000000003</v>
      </c>
      <c r="H234" s="303">
        <f t="shared" si="19"/>
        <v>1835.0000000000002</v>
      </c>
      <c r="I234" s="60">
        <v>9</v>
      </c>
      <c r="J234" s="312"/>
      <c r="K234" s="312"/>
      <c r="L234" s="312"/>
      <c r="M234" s="60">
        <f t="shared" si="18"/>
        <v>9</v>
      </c>
      <c r="N234" s="299">
        <f t="shared" si="20"/>
        <v>1844.0000000000002</v>
      </c>
      <c r="O234" s="263" t="s">
        <v>1497</v>
      </c>
      <c r="P234" s="263" t="s">
        <v>197</v>
      </c>
    </row>
    <row r="235" spans="2:18" ht="12.75" customHeight="1" x14ac:dyDescent="0.25">
      <c r="B235" s="325" t="s">
        <v>1498</v>
      </c>
      <c r="C235" s="325" t="s">
        <v>1496</v>
      </c>
      <c r="D235" s="325" t="s">
        <v>1249</v>
      </c>
      <c r="E235" s="2">
        <v>5900</v>
      </c>
      <c r="F235" s="2">
        <v>50</v>
      </c>
      <c r="G235" s="60">
        <v>36.700000000000003</v>
      </c>
      <c r="H235" s="303">
        <f t="shared" si="19"/>
        <v>1835.0000000000002</v>
      </c>
      <c r="I235" s="60">
        <v>9</v>
      </c>
      <c r="J235" s="312"/>
      <c r="K235" s="312"/>
      <c r="L235" s="312"/>
      <c r="M235" s="60">
        <f t="shared" si="18"/>
        <v>9</v>
      </c>
      <c r="N235" s="299">
        <f t="shared" si="20"/>
        <v>1844.0000000000002</v>
      </c>
      <c r="O235" s="263" t="s">
        <v>1497</v>
      </c>
      <c r="P235" s="263" t="s">
        <v>197</v>
      </c>
    </row>
    <row r="236" spans="2:18" ht="12.75" customHeight="1" x14ac:dyDescent="0.25">
      <c r="B236" s="325" t="s">
        <v>1498</v>
      </c>
      <c r="C236" s="325" t="s">
        <v>1496</v>
      </c>
      <c r="D236" s="325" t="s">
        <v>1249</v>
      </c>
      <c r="E236" s="2">
        <v>5900</v>
      </c>
      <c r="F236" s="2">
        <v>50</v>
      </c>
      <c r="G236" s="60">
        <v>36.700000000000003</v>
      </c>
      <c r="H236" s="303">
        <f t="shared" si="19"/>
        <v>1835.0000000000002</v>
      </c>
      <c r="I236" s="60">
        <v>9</v>
      </c>
      <c r="J236" s="312"/>
      <c r="K236" s="312"/>
      <c r="L236" s="312"/>
      <c r="M236" s="60">
        <f t="shared" si="18"/>
        <v>9</v>
      </c>
      <c r="N236" s="299">
        <f t="shared" si="20"/>
        <v>1844.0000000000002</v>
      </c>
      <c r="O236" s="263" t="s">
        <v>1497</v>
      </c>
      <c r="P236" s="263" t="s">
        <v>197</v>
      </c>
    </row>
    <row r="237" spans="2:18" ht="12.75" customHeight="1" x14ac:dyDescent="0.25">
      <c r="B237" s="325" t="s">
        <v>1498</v>
      </c>
      <c r="C237" s="325" t="s">
        <v>1496</v>
      </c>
      <c r="D237" s="325" t="s">
        <v>1249</v>
      </c>
      <c r="E237" s="2">
        <v>5900</v>
      </c>
      <c r="F237" s="2">
        <v>50</v>
      </c>
      <c r="G237" s="60">
        <v>36.700000000000003</v>
      </c>
      <c r="H237" s="303">
        <f t="shared" si="19"/>
        <v>1835.0000000000002</v>
      </c>
      <c r="I237" s="60">
        <v>9</v>
      </c>
      <c r="J237" s="312"/>
      <c r="K237" s="312"/>
      <c r="L237" s="312"/>
      <c r="M237" s="60">
        <f t="shared" si="18"/>
        <v>9</v>
      </c>
      <c r="N237" s="299">
        <f t="shared" si="20"/>
        <v>1844.0000000000002</v>
      </c>
      <c r="O237" s="263" t="s">
        <v>1497</v>
      </c>
      <c r="P237" s="263" t="s">
        <v>197</v>
      </c>
    </row>
    <row r="238" spans="2:18" ht="12.75" customHeight="1" x14ac:dyDescent="0.25">
      <c r="B238" s="325" t="s">
        <v>1498</v>
      </c>
      <c r="C238" s="325" t="s">
        <v>1496</v>
      </c>
      <c r="D238" s="325" t="s">
        <v>1249</v>
      </c>
      <c r="E238" s="2">
        <v>5900</v>
      </c>
      <c r="F238" s="2">
        <v>50</v>
      </c>
      <c r="G238" s="60">
        <v>36.700000000000003</v>
      </c>
      <c r="H238" s="303">
        <f t="shared" si="19"/>
        <v>1835.0000000000002</v>
      </c>
      <c r="I238" s="60">
        <v>9</v>
      </c>
      <c r="J238" s="312"/>
      <c r="K238" s="312"/>
      <c r="L238" s="312"/>
      <c r="M238" s="60">
        <f t="shared" si="18"/>
        <v>9</v>
      </c>
      <c r="N238" s="299">
        <f t="shared" si="20"/>
        <v>1844.0000000000002</v>
      </c>
      <c r="O238" s="263" t="s">
        <v>1497</v>
      </c>
      <c r="P238" s="263" t="s">
        <v>197</v>
      </c>
    </row>
    <row r="239" spans="2:18" ht="13.2" x14ac:dyDescent="0.25">
      <c r="B239" s="325" t="s">
        <v>1498</v>
      </c>
      <c r="C239" s="325" t="s">
        <v>1496</v>
      </c>
      <c r="D239" s="325" t="s">
        <v>1249</v>
      </c>
      <c r="E239" s="2">
        <v>5900</v>
      </c>
      <c r="F239" s="2">
        <v>50</v>
      </c>
      <c r="G239" s="60">
        <v>36.700000000000003</v>
      </c>
      <c r="H239" s="303">
        <f t="shared" si="19"/>
        <v>1835.0000000000002</v>
      </c>
      <c r="I239" s="60">
        <v>9</v>
      </c>
      <c r="J239" s="315"/>
      <c r="K239" s="315"/>
      <c r="L239" s="316"/>
      <c r="M239" s="60">
        <f t="shared" si="18"/>
        <v>9</v>
      </c>
      <c r="N239" s="299">
        <f t="shared" si="20"/>
        <v>1844.0000000000002</v>
      </c>
      <c r="O239" s="263" t="s">
        <v>1497</v>
      </c>
      <c r="P239" s="304" t="s">
        <v>197</v>
      </c>
      <c r="R239" s="247"/>
    </row>
    <row r="240" spans="2:18" ht="12.75" customHeight="1" x14ac:dyDescent="0.25">
      <c r="B240" s="325" t="s">
        <v>1498</v>
      </c>
      <c r="C240" s="325" t="s">
        <v>1496</v>
      </c>
      <c r="D240" s="325" t="s">
        <v>1249</v>
      </c>
      <c r="E240" s="2">
        <v>5900</v>
      </c>
      <c r="F240" s="2">
        <v>400</v>
      </c>
      <c r="G240" s="60">
        <v>34.450000000000003</v>
      </c>
      <c r="H240" s="303">
        <f t="shared" si="19"/>
        <v>13780.000000000002</v>
      </c>
      <c r="I240" s="60">
        <v>72</v>
      </c>
      <c r="J240" s="306"/>
      <c r="K240" s="312"/>
      <c r="L240" s="312"/>
      <c r="M240" s="60">
        <f t="shared" si="18"/>
        <v>72</v>
      </c>
      <c r="N240" s="299">
        <f t="shared" si="20"/>
        <v>13852.000000000002</v>
      </c>
      <c r="O240" s="263" t="s">
        <v>1497</v>
      </c>
      <c r="P240" s="263" t="s">
        <v>197</v>
      </c>
    </row>
    <row r="241" spans="2:18" ht="12.75" customHeight="1" x14ac:dyDescent="0.25">
      <c r="B241" s="325" t="s">
        <v>1498</v>
      </c>
      <c r="C241" s="325" t="s">
        <v>1496</v>
      </c>
      <c r="D241" s="325" t="s">
        <v>1249</v>
      </c>
      <c r="E241" s="2">
        <v>5900</v>
      </c>
      <c r="F241" s="2">
        <v>400</v>
      </c>
      <c r="G241" s="60">
        <v>34.450000000000003</v>
      </c>
      <c r="H241" s="303">
        <f t="shared" si="19"/>
        <v>13780.000000000002</v>
      </c>
      <c r="I241" s="60">
        <v>72</v>
      </c>
      <c r="J241" s="312"/>
      <c r="K241" s="312"/>
      <c r="L241" s="312"/>
      <c r="M241" s="60">
        <f t="shared" si="18"/>
        <v>72</v>
      </c>
      <c r="N241" s="299">
        <f t="shared" si="20"/>
        <v>13852.000000000002</v>
      </c>
      <c r="O241" s="263" t="s">
        <v>1497</v>
      </c>
      <c r="P241" s="263" t="s">
        <v>197</v>
      </c>
    </row>
    <row r="242" spans="2:18" ht="12.75" customHeight="1" x14ac:dyDescent="0.25">
      <c r="B242" s="325" t="s">
        <v>1498</v>
      </c>
      <c r="C242" s="325" t="s">
        <v>1496</v>
      </c>
      <c r="D242" s="325" t="s">
        <v>1249</v>
      </c>
      <c r="E242" s="2">
        <v>5900</v>
      </c>
      <c r="F242" s="2">
        <v>200</v>
      </c>
      <c r="G242" s="60">
        <v>34.450000000000003</v>
      </c>
      <c r="H242" s="303">
        <f t="shared" si="19"/>
        <v>6890.0000000000009</v>
      </c>
      <c r="I242" s="60">
        <v>36</v>
      </c>
      <c r="J242" s="312"/>
      <c r="K242" s="312"/>
      <c r="L242" s="312"/>
      <c r="M242" s="60">
        <f t="shared" ref="M242:M252" si="21">SUM(I242:L242)</f>
        <v>36</v>
      </c>
      <c r="N242" s="299">
        <f t="shared" si="20"/>
        <v>6926.0000000000009</v>
      </c>
      <c r="O242" s="263" t="s">
        <v>1497</v>
      </c>
      <c r="P242" s="263" t="s">
        <v>197</v>
      </c>
    </row>
    <row r="243" spans="2:18" ht="12.75" customHeight="1" x14ac:dyDescent="0.25">
      <c r="B243" s="325" t="s">
        <v>1500</v>
      </c>
      <c r="C243" s="325" t="s">
        <v>2480</v>
      </c>
      <c r="D243" s="325" t="s">
        <v>1245</v>
      </c>
      <c r="E243" s="2">
        <v>5700</v>
      </c>
      <c r="F243" s="2">
        <v>150</v>
      </c>
      <c r="G243" s="60">
        <v>9</v>
      </c>
      <c r="H243" s="303">
        <f t="shared" si="19"/>
        <v>1350</v>
      </c>
      <c r="I243" s="60">
        <v>27</v>
      </c>
      <c r="J243" s="312"/>
      <c r="K243" s="312"/>
      <c r="L243" s="312"/>
      <c r="M243" s="60">
        <f t="shared" si="21"/>
        <v>27</v>
      </c>
      <c r="N243" s="299">
        <f t="shared" si="20"/>
        <v>1377</v>
      </c>
      <c r="O243" s="263" t="s">
        <v>729</v>
      </c>
      <c r="P243" s="263" t="s">
        <v>197</v>
      </c>
    </row>
    <row r="244" spans="2:18" ht="12.75" customHeight="1" x14ac:dyDescent="0.25">
      <c r="B244" s="325" t="s">
        <v>1500</v>
      </c>
      <c r="C244" s="325" t="s">
        <v>2480</v>
      </c>
      <c r="D244" s="325" t="s">
        <v>1245</v>
      </c>
      <c r="E244" s="2">
        <v>5700</v>
      </c>
      <c r="F244" s="2">
        <v>500</v>
      </c>
      <c r="G244" s="60">
        <v>9</v>
      </c>
      <c r="H244" s="303">
        <f t="shared" si="19"/>
        <v>4500</v>
      </c>
      <c r="I244" s="60">
        <v>90</v>
      </c>
      <c r="J244" s="312"/>
      <c r="K244" s="312"/>
      <c r="L244" s="312"/>
      <c r="M244" s="60">
        <f t="shared" si="21"/>
        <v>90</v>
      </c>
      <c r="N244" s="299">
        <f t="shared" si="20"/>
        <v>4590</v>
      </c>
      <c r="O244" s="263" t="s">
        <v>729</v>
      </c>
      <c r="P244" s="263" t="s">
        <v>197</v>
      </c>
    </row>
    <row r="245" spans="2:18" ht="12.75" customHeight="1" x14ac:dyDescent="0.25">
      <c r="B245" s="325" t="s">
        <v>1500</v>
      </c>
      <c r="C245" s="325" t="s">
        <v>2480</v>
      </c>
      <c r="D245" s="325" t="s">
        <v>1245</v>
      </c>
      <c r="E245" s="2">
        <v>5700</v>
      </c>
      <c r="F245" s="2">
        <v>350</v>
      </c>
      <c r="G245" s="60">
        <v>9</v>
      </c>
      <c r="H245" s="303">
        <f t="shared" si="19"/>
        <v>3150</v>
      </c>
      <c r="I245" s="60">
        <v>63</v>
      </c>
      <c r="J245" s="247">
        <v>45.88</v>
      </c>
      <c r="K245" s="247">
        <v>2</v>
      </c>
      <c r="L245" s="247">
        <v>11.2</v>
      </c>
      <c r="M245" s="60">
        <f t="shared" si="21"/>
        <v>122.08</v>
      </c>
      <c r="N245" s="299">
        <f t="shared" si="20"/>
        <v>3272.08</v>
      </c>
      <c r="O245" s="263" t="s">
        <v>729</v>
      </c>
      <c r="P245" s="263" t="s">
        <v>197</v>
      </c>
    </row>
    <row r="246" spans="2:18" ht="12.75" customHeight="1" x14ac:dyDescent="0.25">
      <c r="B246" s="325" t="s">
        <v>1499</v>
      </c>
      <c r="C246" s="325" t="s">
        <v>1496</v>
      </c>
      <c r="D246" s="325" t="s">
        <v>1249</v>
      </c>
      <c r="E246" s="2">
        <v>5900</v>
      </c>
      <c r="F246" s="2">
        <v>1000</v>
      </c>
      <c r="G246" s="60">
        <v>22</v>
      </c>
      <c r="H246" s="303">
        <f t="shared" si="19"/>
        <v>22000</v>
      </c>
      <c r="I246" s="60">
        <v>180</v>
      </c>
      <c r="J246" s="224">
        <v>24.15</v>
      </c>
      <c r="K246" s="247">
        <v>2</v>
      </c>
      <c r="L246" s="224">
        <v>15.4</v>
      </c>
      <c r="M246" s="60">
        <f t="shared" si="21"/>
        <v>221.55</v>
      </c>
      <c r="N246" s="299">
        <f t="shared" si="20"/>
        <v>22221.55</v>
      </c>
      <c r="O246" s="263" t="s">
        <v>2069</v>
      </c>
      <c r="P246" s="263" t="s">
        <v>197</v>
      </c>
    </row>
    <row r="247" spans="2:18" ht="12.75" customHeight="1" x14ac:dyDescent="0.25">
      <c r="B247" s="325" t="s">
        <v>1492</v>
      </c>
      <c r="C247" s="325" t="s">
        <v>1496</v>
      </c>
      <c r="D247" s="325" t="s">
        <v>1249</v>
      </c>
      <c r="E247" s="2">
        <v>5800</v>
      </c>
      <c r="F247" s="2">
        <v>150</v>
      </c>
      <c r="G247" s="60">
        <v>27.5</v>
      </c>
      <c r="H247" s="303">
        <f t="shared" si="19"/>
        <v>4125</v>
      </c>
      <c r="I247" s="60">
        <v>27</v>
      </c>
      <c r="J247" s="312"/>
      <c r="K247" s="312"/>
      <c r="L247" s="312"/>
      <c r="M247" s="60">
        <f t="shared" si="21"/>
        <v>27</v>
      </c>
      <c r="N247" s="303">
        <f t="shared" si="20"/>
        <v>4152</v>
      </c>
      <c r="O247" s="304" t="s">
        <v>737</v>
      </c>
      <c r="P247" s="263" t="s">
        <v>197</v>
      </c>
    </row>
    <row r="248" spans="2:18" ht="12.75" customHeight="1" x14ac:dyDescent="0.25">
      <c r="B248" s="325" t="s">
        <v>1492</v>
      </c>
      <c r="C248" s="325" t="s">
        <v>1496</v>
      </c>
      <c r="D248" s="325" t="s">
        <v>1249</v>
      </c>
      <c r="E248" s="2">
        <v>5800</v>
      </c>
      <c r="F248" s="2">
        <v>400</v>
      </c>
      <c r="G248" s="60">
        <v>27.5</v>
      </c>
      <c r="H248" s="303">
        <f t="shared" si="19"/>
        <v>11000</v>
      </c>
      <c r="I248" s="60">
        <v>72</v>
      </c>
      <c r="J248" s="312"/>
      <c r="K248" s="312"/>
      <c r="L248" s="312"/>
      <c r="M248" s="60">
        <f t="shared" si="21"/>
        <v>72</v>
      </c>
      <c r="N248" s="303">
        <f t="shared" si="20"/>
        <v>11072</v>
      </c>
      <c r="O248" s="304" t="s">
        <v>737</v>
      </c>
      <c r="P248" s="263" t="s">
        <v>197</v>
      </c>
    </row>
    <row r="249" spans="2:18" ht="12.75" customHeight="1" x14ac:dyDescent="0.25">
      <c r="B249" s="325" t="s">
        <v>1492</v>
      </c>
      <c r="C249" s="325" t="s">
        <v>1496</v>
      </c>
      <c r="D249" s="325" t="s">
        <v>1249</v>
      </c>
      <c r="E249" s="2">
        <v>5800</v>
      </c>
      <c r="F249" s="2">
        <v>400</v>
      </c>
      <c r="G249" s="60">
        <v>27.5</v>
      </c>
      <c r="H249" s="303">
        <f t="shared" si="19"/>
        <v>11000</v>
      </c>
      <c r="I249" s="60">
        <v>72</v>
      </c>
      <c r="J249" s="312"/>
      <c r="K249" s="312"/>
      <c r="L249" s="312"/>
      <c r="M249" s="60">
        <f t="shared" si="21"/>
        <v>72</v>
      </c>
      <c r="N249" s="303">
        <f t="shared" si="20"/>
        <v>11072</v>
      </c>
      <c r="O249" s="304" t="s">
        <v>737</v>
      </c>
      <c r="P249" s="263" t="s">
        <v>197</v>
      </c>
    </row>
    <row r="250" spans="2:18" ht="12.75" customHeight="1" x14ac:dyDescent="0.25">
      <c r="B250" s="325" t="s">
        <v>1492</v>
      </c>
      <c r="C250" s="325" t="s">
        <v>1496</v>
      </c>
      <c r="D250" s="325" t="s">
        <v>1249</v>
      </c>
      <c r="E250" s="2">
        <v>5800</v>
      </c>
      <c r="F250" s="2">
        <v>50</v>
      </c>
      <c r="G250" s="60">
        <v>27.5</v>
      </c>
      <c r="H250" s="303">
        <f t="shared" si="19"/>
        <v>1375</v>
      </c>
      <c r="I250" s="60">
        <v>9</v>
      </c>
      <c r="J250" s="312"/>
      <c r="K250" s="312"/>
      <c r="L250" s="312"/>
      <c r="M250" s="60">
        <f t="shared" si="21"/>
        <v>9</v>
      </c>
      <c r="N250" s="303">
        <f t="shared" si="20"/>
        <v>1384</v>
      </c>
      <c r="O250" s="304" t="s">
        <v>737</v>
      </c>
      <c r="P250" s="263" t="s">
        <v>197</v>
      </c>
    </row>
    <row r="251" spans="2:18" ht="13.2" x14ac:dyDescent="0.25">
      <c r="B251" s="325" t="s">
        <v>1492</v>
      </c>
      <c r="C251" s="325" t="s">
        <v>1496</v>
      </c>
      <c r="D251" s="325" t="s">
        <v>1249</v>
      </c>
      <c r="E251" s="2">
        <v>5800</v>
      </c>
      <c r="F251" s="2">
        <v>50</v>
      </c>
      <c r="G251" s="60">
        <v>27.3</v>
      </c>
      <c r="H251" s="303">
        <f t="shared" si="19"/>
        <v>1365</v>
      </c>
      <c r="I251" s="60">
        <v>9</v>
      </c>
      <c r="J251" s="315"/>
      <c r="K251" s="315"/>
      <c r="L251" s="316"/>
      <c r="M251" s="60">
        <f t="shared" si="21"/>
        <v>9</v>
      </c>
      <c r="N251" s="303">
        <f t="shared" si="20"/>
        <v>1374</v>
      </c>
      <c r="O251" s="304" t="s">
        <v>737</v>
      </c>
      <c r="P251" s="304" t="s">
        <v>197</v>
      </c>
      <c r="R251" s="247"/>
    </row>
    <row r="252" spans="2:18" ht="12.75" customHeight="1" x14ac:dyDescent="0.25">
      <c r="B252" s="325" t="s">
        <v>1492</v>
      </c>
      <c r="C252" s="325" t="s">
        <v>1496</v>
      </c>
      <c r="D252" s="325" t="s">
        <v>1249</v>
      </c>
      <c r="E252" s="2">
        <v>5800</v>
      </c>
      <c r="F252" s="2">
        <v>950</v>
      </c>
      <c r="G252" s="60">
        <v>27.3</v>
      </c>
      <c r="H252" s="303">
        <f t="shared" si="19"/>
        <v>25935</v>
      </c>
      <c r="I252" s="60">
        <v>171</v>
      </c>
      <c r="J252" s="247">
        <v>118.76</v>
      </c>
      <c r="K252" s="247">
        <v>11</v>
      </c>
      <c r="L252" s="247">
        <v>60.83</v>
      </c>
      <c r="M252" s="60">
        <f t="shared" si="21"/>
        <v>361.59</v>
      </c>
      <c r="N252" s="303">
        <f t="shared" si="20"/>
        <v>26296.59</v>
      </c>
      <c r="O252" s="304" t="s">
        <v>737</v>
      </c>
      <c r="P252" s="263" t="s">
        <v>197</v>
      </c>
    </row>
    <row r="253" spans="2:18" ht="12.75" customHeight="1" x14ac:dyDescent="0.25">
      <c r="B253" s="325" t="s">
        <v>138</v>
      </c>
      <c r="C253" s="325" t="s">
        <v>1496</v>
      </c>
      <c r="D253" s="325" t="s">
        <v>1249</v>
      </c>
      <c r="E253" s="2">
        <v>5800</v>
      </c>
      <c r="F253" s="2">
        <v>150</v>
      </c>
      <c r="G253" s="60">
        <v>41</v>
      </c>
      <c r="H253" s="303">
        <f t="shared" si="19"/>
        <v>6150</v>
      </c>
      <c r="I253" s="60">
        <v>27</v>
      </c>
      <c r="J253" s="316"/>
      <c r="K253" s="316"/>
      <c r="L253" s="316"/>
      <c r="M253" s="60">
        <f t="shared" ref="M253:M258" si="22">SUM(I253:L253)</f>
        <v>27</v>
      </c>
      <c r="N253" s="303">
        <f t="shared" si="20"/>
        <v>6177</v>
      </c>
      <c r="O253" s="304" t="s">
        <v>1486</v>
      </c>
      <c r="P253" s="263" t="s">
        <v>197</v>
      </c>
    </row>
    <row r="254" spans="2:18" ht="12.75" customHeight="1" x14ac:dyDescent="0.25">
      <c r="B254" s="325" t="s">
        <v>138</v>
      </c>
      <c r="C254" s="325" t="s">
        <v>1496</v>
      </c>
      <c r="D254" s="325" t="s">
        <v>1249</v>
      </c>
      <c r="E254" s="2">
        <v>5800</v>
      </c>
      <c r="F254" s="2">
        <v>350</v>
      </c>
      <c r="G254" s="60">
        <v>41</v>
      </c>
      <c r="H254" s="303">
        <f t="shared" si="19"/>
        <v>14350</v>
      </c>
      <c r="I254" s="60">
        <v>63</v>
      </c>
      <c r="J254" s="224">
        <v>12.89</v>
      </c>
      <c r="K254" s="247">
        <v>2</v>
      </c>
      <c r="L254" s="224">
        <v>14.35</v>
      </c>
      <c r="M254" s="60">
        <f t="shared" si="22"/>
        <v>92.24</v>
      </c>
      <c r="N254" s="303">
        <f t="shared" si="20"/>
        <v>14442.24</v>
      </c>
      <c r="O254" s="304" t="s">
        <v>1486</v>
      </c>
      <c r="P254" s="263" t="s">
        <v>197</v>
      </c>
    </row>
    <row r="255" spans="2:18" ht="12.75" customHeight="1" x14ac:dyDescent="0.25">
      <c r="B255" s="325" t="s">
        <v>1488</v>
      </c>
      <c r="C255" s="325" t="s">
        <v>1496</v>
      </c>
      <c r="D255" s="325" t="s">
        <v>1245</v>
      </c>
      <c r="E255" s="2">
        <v>5600</v>
      </c>
      <c r="F255" s="2">
        <v>400</v>
      </c>
      <c r="G255" s="60">
        <v>28.3</v>
      </c>
      <c r="H255" s="303">
        <f t="shared" si="19"/>
        <v>11320</v>
      </c>
      <c r="I255" s="60">
        <v>72</v>
      </c>
      <c r="J255" s="312"/>
      <c r="K255" s="312"/>
      <c r="L255" s="312"/>
      <c r="M255" s="60">
        <f t="shared" si="22"/>
        <v>72</v>
      </c>
      <c r="N255" s="303">
        <f t="shared" si="20"/>
        <v>11392</v>
      </c>
      <c r="O255" s="263" t="s">
        <v>1487</v>
      </c>
      <c r="P255" s="263" t="s">
        <v>197</v>
      </c>
    </row>
    <row r="256" spans="2:18" ht="12.75" customHeight="1" x14ac:dyDescent="0.25">
      <c r="B256" s="325" t="s">
        <v>1488</v>
      </c>
      <c r="C256" s="325" t="s">
        <v>1496</v>
      </c>
      <c r="D256" s="325" t="s">
        <v>1245</v>
      </c>
      <c r="E256" s="2">
        <v>5600</v>
      </c>
      <c r="F256" s="2">
        <v>500</v>
      </c>
      <c r="G256" s="60">
        <v>28.35</v>
      </c>
      <c r="H256" s="303">
        <f t="shared" si="19"/>
        <v>14175</v>
      </c>
      <c r="I256" s="60">
        <v>90</v>
      </c>
      <c r="J256" s="312"/>
      <c r="K256" s="312"/>
      <c r="L256" s="312"/>
      <c r="M256" s="60">
        <f t="shared" si="22"/>
        <v>90</v>
      </c>
      <c r="N256" s="303">
        <f t="shared" si="20"/>
        <v>14265</v>
      </c>
      <c r="O256" s="263" t="s">
        <v>1487</v>
      </c>
      <c r="P256" s="263" t="s">
        <v>197</v>
      </c>
    </row>
    <row r="257" spans="2:18" ht="12.75" customHeight="1" x14ac:dyDescent="0.25">
      <c r="B257" s="325" t="s">
        <v>1488</v>
      </c>
      <c r="C257" s="325" t="s">
        <v>1496</v>
      </c>
      <c r="D257" s="325" t="s">
        <v>1245</v>
      </c>
      <c r="E257" s="2">
        <v>5600</v>
      </c>
      <c r="F257" s="2">
        <v>100</v>
      </c>
      <c r="G257" s="60">
        <v>28.35</v>
      </c>
      <c r="H257" s="303">
        <f t="shared" si="19"/>
        <v>2835</v>
      </c>
      <c r="I257" s="60">
        <v>18</v>
      </c>
      <c r="J257" s="247">
        <v>92.7</v>
      </c>
      <c r="K257" s="247">
        <v>35</v>
      </c>
      <c r="L257" s="247">
        <v>120.02</v>
      </c>
      <c r="M257" s="60">
        <f t="shared" si="22"/>
        <v>265.71999999999997</v>
      </c>
      <c r="N257" s="303">
        <f t="shared" si="20"/>
        <v>3100.72</v>
      </c>
      <c r="O257" s="263" t="s">
        <v>1487</v>
      </c>
      <c r="P257" s="263" t="s">
        <v>197</v>
      </c>
    </row>
    <row r="258" spans="2:18" ht="12.75" customHeight="1" x14ac:dyDescent="0.25">
      <c r="B258" s="325" t="s">
        <v>1489</v>
      </c>
      <c r="C258" s="325" t="s">
        <v>1496</v>
      </c>
      <c r="D258" s="325" t="s">
        <v>1249</v>
      </c>
      <c r="E258" s="2">
        <v>5900</v>
      </c>
      <c r="F258" s="2">
        <v>300</v>
      </c>
      <c r="G258" s="60">
        <v>28.9</v>
      </c>
      <c r="H258" s="303">
        <f t="shared" si="19"/>
        <v>8670</v>
      </c>
      <c r="I258" s="60">
        <v>54</v>
      </c>
      <c r="J258" s="312"/>
      <c r="K258" s="312"/>
      <c r="L258" s="312"/>
      <c r="M258" s="60">
        <f t="shared" si="22"/>
        <v>54</v>
      </c>
      <c r="N258" s="303">
        <f t="shared" si="20"/>
        <v>8724</v>
      </c>
      <c r="O258" s="263" t="s">
        <v>1490</v>
      </c>
      <c r="P258" s="263" t="s">
        <v>197</v>
      </c>
    </row>
    <row r="259" spans="2:18" ht="12.75" customHeight="1" x14ac:dyDescent="0.25">
      <c r="B259" s="325" t="s">
        <v>1489</v>
      </c>
      <c r="C259" s="325" t="s">
        <v>1496</v>
      </c>
      <c r="D259" s="325" t="s">
        <v>1249</v>
      </c>
      <c r="E259" s="2">
        <v>5900</v>
      </c>
      <c r="F259" s="2">
        <v>200</v>
      </c>
      <c r="G259" s="60">
        <v>28.9</v>
      </c>
      <c r="H259" s="303">
        <f t="shared" si="19"/>
        <v>5780</v>
      </c>
      <c r="I259" s="60">
        <v>36</v>
      </c>
      <c r="J259" s="312"/>
      <c r="K259" s="312"/>
      <c r="L259" s="312"/>
      <c r="M259" s="60">
        <f t="shared" ref="M259:M273" si="23">SUM(I259:L259)</f>
        <v>36</v>
      </c>
      <c r="N259" s="303">
        <f t="shared" si="20"/>
        <v>5816</v>
      </c>
      <c r="O259" s="263" t="s">
        <v>1490</v>
      </c>
      <c r="P259" s="263" t="s">
        <v>197</v>
      </c>
    </row>
    <row r="260" spans="2:18" ht="13.2" x14ac:dyDescent="0.25">
      <c r="B260" s="325" t="s">
        <v>1489</v>
      </c>
      <c r="C260" s="325" t="s">
        <v>1496</v>
      </c>
      <c r="D260" s="325" t="s">
        <v>1249</v>
      </c>
      <c r="E260" s="2">
        <v>5900</v>
      </c>
      <c r="F260" s="2">
        <v>500</v>
      </c>
      <c r="G260" s="60">
        <v>28.95</v>
      </c>
      <c r="H260" s="303">
        <f t="shared" si="19"/>
        <v>14475</v>
      </c>
      <c r="I260" s="60">
        <v>90</v>
      </c>
      <c r="J260" s="315"/>
      <c r="K260" s="315"/>
      <c r="L260" s="316"/>
      <c r="M260" s="60">
        <f t="shared" si="23"/>
        <v>90</v>
      </c>
      <c r="N260" s="303">
        <f t="shared" si="20"/>
        <v>14565</v>
      </c>
      <c r="O260" s="263" t="s">
        <v>1490</v>
      </c>
      <c r="P260" s="263" t="s">
        <v>197</v>
      </c>
      <c r="R260" s="247"/>
    </row>
    <row r="261" spans="2:18" ht="12.75" customHeight="1" x14ac:dyDescent="0.25">
      <c r="B261" s="325" t="s">
        <v>1489</v>
      </c>
      <c r="C261" s="325" t="s">
        <v>1496</v>
      </c>
      <c r="D261" s="325" t="s">
        <v>1249</v>
      </c>
      <c r="E261" s="2">
        <v>5900</v>
      </c>
      <c r="F261" s="2">
        <v>200</v>
      </c>
      <c r="G261" s="60">
        <v>28.95</v>
      </c>
      <c r="H261" s="303">
        <f t="shared" si="19"/>
        <v>5790</v>
      </c>
      <c r="I261" s="60">
        <v>36</v>
      </c>
      <c r="J261" s="306"/>
      <c r="K261" s="312"/>
      <c r="L261" s="312"/>
      <c r="M261" s="60">
        <f t="shared" si="23"/>
        <v>36</v>
      </c>
      <c r="N261" s="303">
        <f t="shared" si="20"/>
        <v>5826</v>
      </c>
      <c r="O261" s="263" t="s">
        <v>1490</v>
      </c>
      <c r="P261" s="263" t="s">
        <v>197</v>
      </c>
    </row>
    <row r="262" spans="2:18" ht="12.75" customHeight="1" x14ac:dyDescent="0.25">
      <c r="B262" s="325" t="s">
        <v>1489</v>
      </c>
      <c r="C262" s="325" t="s">
        <v>1496</v>
      </c>
      <c r="D262" s="325" t="s">
        <v>1249</v>
      </c>
      <c r="E262" s="2">
        <v>5900</v>
      </c>
      <c r="F262" s="2">
        <v>100</v>
      </c>
      <c r="G262" s="60">
        <v>29</v>
      </c>
      <c r="H262" s="303">
        <f t="shared" si="19"/>
        <v>2900</v>
      </c>
      <c r="I262" s="60">
        <v>18</v>
      </c>
      <c r="J262" s="312"/>
      <c r="K262" s="312"/>
      <c r="L262" s="312"/>
      <c r="M262" s="60">
        <f t="shared" si="23"/>
        <v>18</v>
      </c>
      <c r="N262" s="303">
        <f t="shared" si="20"/>
        <v>2918</v>
      </c>
      <c r="O262" s="263" t="s">
        <v>1490</v>
      </c>
      <c r="P262" s="263" t="s">
        <v>197</v>
      </c>
    </row>
    <row r="263" spans="2:18" ht="12.75" customHeight="1" x14ac:dyDescent="0.25">
      <c r="B263" s="325" t="s">
        <v>1489</v>
      </c>
      <c r="C263" s="325" t="s">
        <v>1496</v>
      </c>
      <c r="D263" s="325" t="s">
        <v>1249</v>
      </c>
      <c r="E263" s="2">
        <v>5900</v>
      </c>
      <c r="F263" s="2">
        <v>100</v>
      </c>
      <c r="G263" s="60">
        <v>29</v>
      </c>
      <c r="H263" s="303">
        <f t="shared" si="19"/>
        <v>2900</v>
      </c>
      <c r="I263" s="60">
        <v>18</v>
      </c>
      <c r="J263" s="312"/>
      <c r="K263" s="312"/>
      <c r="L263" s="312"/>
      <c r="M263" s="60">
        <f t="shared" si="23"/>
        <v>18</v>
      </c>
      <c r="N263" s="303">
        <f t="shared" si="20"/>
        <v>2918</v>
      </c>
      <c r="O263" s="263" t="s">
        <v>1490</v>
      </c>
      <c r="P263" s="263" t="s">
        <v>197</v>
      </c>
    </row>
    <row r="264" spans="2:18" ht="12.75" customHeight="1" x14ac:dyDescent="0.25">
      <c r="B264" s="325" t="s">
        <v>1489</v>
      </c>
      <c r="C264" s="325" t="s">
        <v>1496</v>
      </c>
      <c r="D264" s="325" t="s">
        <v>1249</v>
      </c>
      <c r="E264" s="2">
        <v>5900</v>
      </c>
      <c r="F264" s="2">
        <v>400</v>
      </c>
      <c r="G264" s="60">
        <v>29</v>
      </c>
      <c r="H264" s="303">
        <f t="shared" si="19"/>
        <v>11600</v>
      </c>
      <c r="I264" s="60">
        <v>72</v>
      </c>
      <c r="J264" s="312"/>
      <c r="K264" s="312"/>
      <c r="L264" s="312"/>
      <c r="M264" s="60">
        <f t="shared" si="23"/>
        <v>72</v>
      </c>
      <c r="N264" s="303">
        <f t="shared" si="20"/>
        <v>11672</v>
      </c>
      <c r="O264" s="263" t="s">
        <v>1490</v>
      </c>
      <c r="P264" s="263" t="s">
        <v>197</v>
      </c>
    </row>
    <row r="265" spans="2:18" ht="12.75" customHeight="1" x14ac:dyDescent="0.25">
      <c r="B265" s="325" t="s">
        <v>1489</v>
      </c>
      <c r="C265" s="325" t="s">
        <v>1496</v>
      </c>
      <c r="D265" s="325" t="s">
        <v>1249</v>
      </c>
      <c r="E265" s="2">
        <v>5900</v>
      </c>
      <c r="F265" s="2">
        <v>450</v>
      </c>
      <c r="G265" s="60">
        <v>29</v>
      </c>
      <c r="H265" s="303">
        <f t="shared" si="19"/>
        <v>13050</v>
      </c>
      <c r="I265" s="60">
        <v>81</v>
      </c>
      <c r="J265" s="312"/>
      <c r="K265" s="312"/>
      <c r="L265" s="312"/>
      <c r="M265" s="60">
        <f t="shared" si="23"/>
        <v>81</v>
      </c>
      <c r="N265" s="303">
        <f t="shared" si="20"/>
        <v>13131</v>
      </c>
      <c r="O265" s="263" t="s">
        <v>1490</v>
      </c>
      <c r="P265" s="263" t="s">
        <v>197</v>
      </c>
    </row>
    <row r="266" spans="2:18" ht="12.75" customHeight="1" x14ac:dyDescent="0.25">
      <c r="B266" s="325" t="s">
        <v>1489</v>
      </c>
      <c r="C266" s="325" t="s">
        <v>1496</v>
      </c>
      <c r="D266" s="325" t="s">
        <v>1249</v>
      </c>
      <c r="E266" s="2">
        <v>5900</v>
      </c>
      <c r="F266" s="2">
        <v>450</v>
      </c>
      <c r="G266" s="60">
        <v>29</v>
      </c>
      <c r="H266" s="303">
        <f t="shared" si="19"/>
        <v>13050</v>
      </c>
      <c r="I266" s="60">
        <v>81</v>
      </c>
      <c r="J266" s="312"/>
      <c r="K266" s="312"/>
      <c r="L266" s="312"/>
      <c r="M266" s="60">
        <f t="shared" si="23"/>
        <v>81</v>
      </c>
      <c r="N266" s="303">
        <f t="shared" si="20"/>
        <v>13131</v>
      </c>
      <c r="O266" s="263" t="s">
        <v>1490</v>
      </c>
      <c r="P266" s="263" t="s">
        <v>197</v>
      </c>
    </row>
    <row r="267" spans="2:18" ht="12.75" customHeight="1" x14ac:dyDescent="0.25">
      <c r="B267" s="325" t="s">
        <v>1489</v>
      </c>
      <c r="C267" s="325" t="s">
        <v>1496</v>
      </c>
      <c r="D267" s="325" t="s">
        <v>1249</v>
      </c>
      <c r="E267" s="2">
        <v>5900</v>
      </c>
      <c r="F267" s="2">
        <v>300</v>
      </c>
      <c r="G267" s="60">
        <v>29</v>
      </c>
      <c r="H267" s="303">
        <f t="shared" si="19"/>
        <v>8700</v>
      </c>
      <c r="I267" s="60">
        <v>54</v>
      </c>
      <c r="J267" s="312"/>
      <c r="K267" s="312"/>
      <c r="L267" s="312"/>
      <c r="M267" s="60">
        <f t="shared" si="23"/>
        <v>54</v>
      </c>
      <c r="N267" s="303">
        <f t="shared" si="20"/>
        <v>8754</v>
      </c>
      <c r="O267" s="263" t="s">
        <v>1490</v>
      </c>
      <c r="P267" s="263" t="s">
        <v>197</v>
      </c>
    </row>
    <row r="268" spans="2:18" ht="12.75" customHeight="1" x14ac:dyDescent="0.25">
      <c r="B268" s="325" t="s">
        <v>1489</v>
      </c>
      <c r="C268" s="325" t="s">
        <v>1496</v>
      </c>
      <c r="D268" s="325" t="s">
        <v>1249</v>
      </c>
      <c r="E268" s="2">
        <v>5900</v>
      </c>
      <c r="F268" s="2">
        <v>550</v>
      </c>
      <c r="G268" s="60">
        <v>32</v>
      </c>
      <c r="H268" s="303">
        <f t="shared" si="19"/>
        <v>17600</v>
      </c>
      <c r="I268" s="60">
        <v>99</v>
      </c>
      <c r="J268" s="312"/>
      <c r="K268" s="312"/>
      <c r="L268" s="312"/>
      <c r="M268" s="60">
        <f t="shared" si="23"/>
        <v>99</v>
      </c>
      <c r="N268" s="303">
        <f t="shared" si="20"/>
        <v>17699</v>
      </c>
      <c r="O268" s="263" t="s">
        <v>1490</v>
      </c>
      <c r="P268" s="263" t="s">
        <v>197</v>
      </c>
    </row>
    <row r="269" spans="2:18" ht="12.75" customHeight="1" x14ac:dyDescent="0.25">
      <c r="B269" s="325" t="s">
        <v>1489</v>
      </c>
      <c r="C269" s="325" t="s">
        <v>1496</v>
      </c>
      <c r="D269" s="325" t="s">
        <v>1249</v>
      </c>
      <c r="E269" s="2">
        <v>5900</v>
      </c>
      <c r="F269" s="2">
        <v>450</v>
      </c>
      <c r="G269" s="60">
        <v>32</v>
      </c>
      <c r="H269" s="303">
        <f t="shared" si="19"/>
        <v>14400</v>
      </c>
      <c r="I269" s="60">
        <v>81</v>
      </c>
      <c r="J269" s="312"/>
      <c r="K269" s="312"/>
      <c r="L269" s="312"/>
      <c r="M269" s="60">
        <f t="shared" si="23"/>
        <v>81</v>
      </c>
      <c r="N269" s="303">
        <f t="shared" si="20"/>
        <v>14481</v>
      </c>
      <c r="O269" s="263" t="s">
        <v>1490</v>
      </c>
      <c r="P269" s="263" t="s">
        <v>197</v>
      </c>
    </row>
    <row r="270" spans="2:18" ht="12.75" customHeight="1" x14ac:dyDescent="0.25">
      <c r="B270" s="325" t="s">
        <v>1489</v>
      </c>
      <c r="C270" s="325" t="s">
        <v>1496</v>
      </c>
      <c r="D270" s="325" t="s">
        <v>1249</v>
      </c>
      <c r="E270" s="2">
        <v>5900</v>
      </c>
      <c r="F270" s="2">
        <v>50</v>
      </c>
      <c r="G270" s="60">
        <v>30.6</v>
      </c>
      <c r="H270" s="303">
        <f t="shared" si="19"/>
        <v>1530</v>
      </c>
      <c r="I270" s="60">
        <v>9</v>
      </c>
      <c r="J270" s="312"/>
      <c r="K270" s="312"/>
      <c r="L270" s="312"/>
      <c r="M270" s="60">
        <f t="shared" si="23"/>
        <v>9</v>
      </c>
      <c r="N270" s="303">
        <f t="shared" si="20"/>
        <v>1539</v>
      </c>
      <c r="O270" s="263" t="s">
        <v>1490</v>
      </c>
      <c r="P270" s="263" t="s">
        <v>197</v>
      </c>
    </row>
    <row r="271" spans="2:18" ht="12.75" customHeight="1" x14ac:dyDescent="0.25">
      <c r="B271" s="325" t="s">
        <v>1489</v>
      </c>
      <c r="C271" s="325" t="s">
        <v>1496</v>
      </c>
      <c r="D271" s="325" t="s">
        <v>1249</v>
      </c>
      <c r="E271" s="2">
        <v>5900</v>
      </c>
      <c r="F271" s="2">
        <v>50</v>
      </c>
      <c r="G271" s="60">
        <v>30.6</v>
      </c>
      <c r="H271" s="303">
        <f t="shared" si="19"/>
        <v>1530</v>
      </c>
      <c r="I271" s="60">
        <v>9</v>
      </c>
      <c r="J271" s="312"/>
      <c r="K271" s="312"/>
      <c r="L271" s="312"/>
      <c r="M271" s="60">
        <f t="shared" si="23"/>
        <v>9</v>
      </c>
      <c r="N271" s="303">
        <f t="shared" si="20"/>
        <v>1539</v>
      </c>
      <c r="O271" s="263" t="s">
        <v>1490</v>
      </c>
      <c r="P271" s="263" t="s">
        <v>197</v>
      </c>
    </row>
    <row r="272" spans="2:18" ht="13.2" x14ac:dyDescent="0.25">
      <c r="B272" s="325" t="s">
        <v>1489</v>
      </c>
      <c r="C272" s="325" t="s">
        <v>1496</v>
      </c>
      <c r="D272" s="325" t="s">
        <v>1249</v>
      </c>
      <c r="E272" s="2">
        <v>5900</v>
      </c>
      <c r="F272" s="2">
        <v>50</v>
      </c>
      <c r="G272" s="60">
        <v>30.6</v>
      </c>
      <c r="H272" s="303">
        <f t="shared" si="19"/>
        <v>1530</v>
      </c>
      <c r="I272" s="60">
        <v>9</v>
      </c>
      <c r="J272" s="315"/>
      <c r="K272" s="315"/>
      <c r="L272" s="316"/>
      <c r="M272" s="60">
        <f t="shared" si="23"/>
        <v>9</v>
      </c>
      <c r="N272" s="303">
        <f t="shared" si="20"/>
        <v>1539</v>
      </c>
      <c r="O272" s="263" t="s">
        <v>1490</v>
      </c>
      <c r="P272" s="263" t="s">
        <v>197</v>
      </c>
      <c r="R272" s="247"/>
    </row>
    <row r="273" spans="2:18" ht="12.75" customHeight="1" x14ac:dyDescent="0.25">
      <c r="B273" s="325" t="s">
        <v>1489</v>
      </c>
      <c r="C273" s="325" t="s">
        <v>1496</v>
      </c>
      <c r="D273" s="325" t="s">
        <v>1249</v>
      </c>
      <c r="E273" s="2">
        <v>5900</v>
      </c>
      <c r="F273" s="2">
        <v>350</v>
      </c>
      <c r="G273" s="60">
        <v>30.6</v>
      </c>
      <c r="H273" s="303">
        <f t="shared" si="19"/>
        <v>10710</v>
      </c>
      <c r="I273" s="60">
        <v>63</v>
      </c>
      <c r="J273" s="299">
        <v>135.91999999999999</v>
      </c>
      <c r="K273" s="299">
        <v>14</v>
      </c>
      <c r="L273" s="299">
        <v>109.68</v>
      </c>
      <c r="M273" s="60">
        <f t="shared" si="23"/>
        <v>322.60000000000002</v>
      </c>
      <c r="N273" s="303">
        <f t="shared" si="20"/>
        <v>11032.6</v>
      </c>
      <c r="O273" s="263" t="s">
        <v>1490</v>
      </c>
      <c r="P273" s="263" t="s">
        <v>197</v>
      </c>
    </row>
    <row r="274" spans="2:18" ht="12.75" customHeight="1" x14ac:dyDescent="0.25">
      <c r="B274" s="325" t="s">
        <v>1491</v>
      </c>
      <c r="C274" s="325" t="s">
        <v>1496</v>
      </c>
      <c r="D274" s="325" t="s">
        <v>1249</v>
      </c>
      <c r="E274" s="2">
        <v>5900</v>
      </c>
      <c r="F274" s="2">
        <v>50</v>
      </c>
      <c r="G274" s="60">
        <v>20.2</v>
      </c>
      <c r="H274" s="303">
        <f t="shared" si="19"/>
        <v>1010</v>
      </c>
      <c r="I274" s="60">
        <v>9</v>
      </c>
      <c r="J274" s="312"/>
      <c r="K274" s="312"/>
      <c r="L274" s="312"/>
      <c r="M274" s="60">
        <f t="shared" ref="M274:M291" si="24">SUM(I274:L274)</f>
        <v>9</v>
      </c>
      <c r="N274" s="303">
        <f t="shared" si="20"/>
        <v>1019</v>
      </c>
      <c r="O274" s="263" t="s">
        <v>2398</v>
      </c>
      <c r="P274" s="263" t="s">
        <v>197</v>
      </c>
    </row>
    <row r="275" spans="2:18" ht="12.75" customHeight="1" x14ac:dyDescent="0.25">
      <c r="B275" s="325" t="s">
        <v>1491</v>
      </c>
      <c r="C275" s="325" t="s">
        <v>1496</v>
      </c>
      <c r="D275" s="325" t="s">
        <v>1249</v>
      </c>
      <c r="E275" s="2">
        <v>5900</v>
      </c>
      <c r="F275" s="2">
        <v>100</v>
      </c>
      <c r="G275" s="60">
        <v>20.2</v>
      </c>
      <c r="H275" s="303">
        <f t="shared" si="19"/>
        <v>2020</v>
      </c>
      <c r="I275" s="60">
        <v>18</v>
      </c>
      <c r="J275" s="312"/>
      <c r="K275" s="312"/>
      <c r="L275" s="312"/>
      <c r="M275" s="60">
        <f t="shared" si="24"/>
        <v>18</v>
      </c>
      <c r="N275" s="303">
        <f t="shared" si="20"/>
        <v>2038</v>
      </c>
      <c r="O275" s="263" t="s">
        <v>2398</v>
      </c>
      <c r="P275" s="263" t="s">
        <v>197</v>
      </c>
    </row>
    <row r="276" spans="2:18" ht="12.75" customHeight="1" x14ac:dyDescent="0.25">
      <c r="B276" s="325" t="s">
        <v>1491</v>
      </c>
      <c r="C276" s="325" t="s">
        <v>1496</v>
      </c>
      <c r="D276" s="325" t="s">
        <v>1249</v>
      </c>
      <c r="E276" s="2">
        <v>5900</v>
      </c>
      <c r="F276" s="2">
        <v>350</v>
      </c>
      <c r="G276" s="60">
        <v>20.25</v>
      </c>
      <c r="H276" s="303">
        <f t="shared" si="19"/>
        <v>7087.5</v>
      </c>
      <c r="I276" s="60">
        <v>63</v>
      </c>
      <c r="J276" s="247">
        <v>12</v>
      </c>
      <c r="K276" s="247">
        <v>1</v>
      </c>
      <c r="L276" s="247">
        <v>7.08</v>
      </c>
      <c r="M276" s="60">
        <f t="shared" si="24"/>
        <v>83.08</v>
      </c>
      <c r="N276" s="303">
        <f t="shared" si="20"/>
        <v>7170.58</v>
      </c>
      <c r="O276" s="263" t="s">
        <v>2398</v>
      </c>
      <c r="P276" s="263" t="s">
        <v>197</v>
      </c>
    </row>
    <row r="277" spans="2:18" ht="12.75" customHeight="1" x14ac:dyDescent="0.25">
      <c r="B277" s="325" t="s">
        <v>129</v>
      </c>
      <c r="C277" s="325" t="s">
        <v>132</v>
      </c>
      <c r="D277" s="325" t="s">
        <v>1249</v>
      </c>
      <c r="E277" s="2">
        <v>660</v>
      </c>
      <c r="F277" s="2">
        <v>2500</v>
      </c>
      <c r="G277" s="60">
        <v>2.9</v>
      </c>
      <c r="H277" s="303">
        <f t="shared" ref="H277:H291" si="25">F277*G277</f>
        <v>7250</v>
      </c>
      <c r="I277" s="60">
        <v>45</v>
      </c>
      <c r="J277" s="312"/>
      <c r="K277" s="312"/>
      <c r="L277" s="312"/>
      <c r="M277" s="60">
        <f t="shared" si="24"/>
        <v>45</v>
      </c>
      <c r="N277" s="303">
        <f t="shared" si="20"/>
        <v>7295</v>
      </c>
      <c r="O277" s="263" t="s">
        <v>2410</v>
      </c>
      <c r="P277" s="263" t="s">
        <v>197</v>
      </c>
    </row>
    <row r="278" spans="2:18" ht="12.75" customHeight="1" x14ac:dyDescent="0.25">
      <c r="B278" s="325" t="s">
        <v>129</v>
      </c>
      <c r="C278" s="325" t="s">
        <v>132</v>
      </c>
      <c r="D278" s="325" t="s">
        <v>1249</v>
      </c>
      <c r="E278" s="2">
        <v>660</v>
      </c>
      <c r="F278" s="2">
        <v>1500</v>
      </c>
      <c r="G278" s="60">
        <v>2.9</v>
      </c>
      <c r="H278" s="303">
        <f t="shared" si="25"/>
        <v>4350</v>
      </c>
      <c r="I278" s="60">
        <v>27</v>
      </c>
      <c r="J278" s="312"/>
      <c r="K278" s="312"/>
      <c r="L278" s="312"/>
      <c r="M278" s="60">
        <f t="shared" si="24"/>
        <v>27</v>
      </c>
      <c r="N278" s="303">
        <f t="shared" si="20"/>
        <v>4377</v>
      </c>
      <c r="O278" s="263" t="s">
        <v>2410</v>
      </c>
      <c r="P278" s="263" t="s">
        <v>197</v>
      </c>
    </row>
    <row r="279" spans="2:18" ht="12.75" customHeight="1" x14ac:dyDescent="0.25">
      <c r="B279" s="325" t="s">
        <v>129</v>
      </c>
      <c r="C279" s="325" t="s">
        <v>132</v>
      </c>
      <c r="D279" s="325" t="s">
        <v>1249</v>
      </c>
      <c r="E279" s="2">
        <v>660</v>
      </c>
      <c r="F279" s="2">
        <v>500</v>
      </c>
      <c r="G279" s="60">
        <v>2.9</v>
      </c>
      <c r="H279" s="303">
        <f t="shared" si="25"/>
        <v>1450</v>
      </c>
      <c r="I279" s="60">
        <v>9</v>
      </c>
      <c r="J279" s="312"/>
      <c r="K279" s="312"/>
      <c r="L279" s="312"/>
      <c r="M279" s="60">
        <f t="shared" si="24"/>
        <v>9</v>
      </c>
      <c r="N279" s="303">
        <f t="shared" si="20"/>
        <v>1459</v>
      </c>
      <c r="O279" s="263" t="s">
        <v>2410</v>
      </c>
      <c r="P279" s="263" t="s">
        <v>197</v>
      </c>
    </row>
    <row r="280" spans="2:18" ht="13.2" x14ac:dyDescent="0.25">
      <c r="B280" s="325" t="s">
        <v>129</v>
      </c>
      <c r="C280" s="325" t="s">
        <v>132</v>
      </c>
      <c r="D280" s="325" t="s">
        <v>1249</v>
      </c>
      <c r="E280" s="2">
        <v>660</v>
      </c>
      <c r="F280" s="2">
        <v>500</v>
      </c>
      <c r="G280" s="60">
        <v>2.9</v>
      </c>
      <c r="H280" s="303">
        <f t="shared" si="25"/>
        <v>1450</v>
      </c>
      <c r="I280" s="60">
        <v>9</v>
      </c>
      <c r="J280" s="315"/>
      <c r="K280" s="315"/>
      <c r="L280" s="316"/>
      <c r="M280" s="60">
        <f t="shared" si="24"/>
        <v>9</v>
      </c>
      <c r="N280" s="303">
        <f t="shared" si="20"/>
        <v>1459</v>
      </c>
      <c r="O280" s="263" t="s">
        <v>2410</v>
      </c>
      <c r="P280" s="304" t="s">
        <v>197</v>
      </c>
      <c r="R280" s="247"/>
    </row>
    <row r="281" spans="2:18" ht="12.75" customHeight="1" x14ac:dyDescent="0.25">
      <c r="B281" s="325" t="s">
        <v>129</v>
      </c>
      <c r="C281" s="325" t="s">
        <v>132</v>
      </c>
      <c r="D281" s="325" t="s">
        <v>1249</v>
      </c>
      <c r="E281" s="2">
        <v>660</v>
      </c>
      <c r="F281" s="2">
        <v>500</v>
      </c>
      <c r="G281" s="60">
        <v>2.9</v>
      </c>
      <c r="H281" s="303">
        <f t="shared" si="25"/>
        <v>1450</v>
      </c>
      <c r="I281" s="60">
        <v>9</v>
      </c>
      <c r="J281" s="306"/>
      <c r="K281" s="312"/>
      <c r="L281" s="312"/>
      <c r="M281" s="60">
        <f t="shared" si="24"/>
        <v>9</v>
      </c>
      <c r="N281" s="303">
        <f t="shared" si="20"/>
        <v>1459</v>
      </c>
      <c r="O281" s="263" t="s">
        <v>2410</v>
      </c>
      <c r="P281" s="263" t="s">
        <v>197</v>
      </c>
    </row>
    <row r="282" spans="2:18" ht="12.75" customHeight="1" x14ac:dyDescent="0.25">
      <c r="B282" s="325" t="s">
        <v>129</v>
      </c>
      <c r="C282" s="325" t="s">
        <v>132</v>
      </c>
      <c r="D282" s="325" t="s">
        <v>1249</v>
      </c>
      <c r="E282" s="2">
        <v>660</v>
      </c>
      <c r="F282" s="2">
        <v>1000</v>
      </c>
      <c r="G282" s="60">
        <v>2.9</v>
      </c>
      <c r="H282" s="303">
        <f t="shared" si="25"/>
        <v>2900</v>
      </c>
      <c r="I282" s="60">
        <v>18</v>
      </c>
      <c r="J282" s="312"/>
      <c r="K282" s="312"/>
      <c r="L282" s="312"/>
      <c r="M282" s="60">
        <f t="shared" si="24"/>
        <v>18</v>
      </c>
      <c r="N282" s="303">
        <f t="shared" si="20"/>
        <v>2918</v>
      </c>
      <c r="O282" s="263" t="s">
        <v>2410</v>
      </c>
      <c r="P282" s="263" t="s">
        <v>197</v>
      </c>
    </row>
    <row r="283" spans="2:18" ht="12.75" customHeight="1" x14ac:dyDescent="0.25">
      <c r="B283" s="325" t="s">
        <v>129</v>
      </c>
      <c r="C283" s="325" t="s">
        <v>132</v>
      </c>
      <c r="D283" s="325" t="s">
        <v>1249</v>
      </c>
      <c r="E283" s="2">
        <v>660</v>
      </c>
      <c r="F283" s="2">
        <v>500</v>
      </c>
      <c r="G283" s="60">
        <v>2.9</v>
      </c>
      <c r="H283" s="303">
        <f t="shared" si="25"/>
        <v>1450</v>
      </c>
      <c r="I283" s="60">
        <v>9</v>
      </c>
      <c r="J283" s="312"/>
      <c r="K283" s="312"/>
      <c r="L283" s="312"/>
      <c r="M283" s="60">
        <f t="shared" si="24"/>
        <v>9</v>
      </c>
      <c r="N283" s="303">
        <f t="shared" si="20"/>
        <v>1459</v>
      </c>
      <c r="O283" s="263" t="s">
        <v>2410</v>
      </c>
      <c r="P283" s="263" t="s">
        <v>197</v>
      </c>
    </row>
    <row r="284" spans="2:18" ht="12.75" customHeight="1" x14ac:dyDescent="0.25">
      <c r="B284" s="325" t="s">
        <v>129</v>
      </c>
      <c r="C284" s="325" t="s">
        <v>132</v>
      </c>
      <c r="D284" s="325" t="s">
        <v>1249</v>
      </c>
      <c r="E284" s="2">
        <v>660</v>
      </c>
      <c r="F284" s="2">
        <v>500</v>
      </c>
      <c r="G284" s="60">
        <v>2.9</v>
      </c>
      <c r="H284" s="303">
        <f t="shared" si="25"/>
        <v>1450</v>
      </c>
      <c r="I284" s="60">
        <v>9</v>
      </c>
      <c r="J284" s="312"/>
      <c r="K284" s="312"/>
      <c r="L284" s="312"/>
      <c r="M284" s="60">
        <f t="shared" si="24"/>
        <v>9</v>
      </c>
      <c r="N284" s="303">
        <f t="shared" si="20"/>
        <v>1459</v>
      </c>
      <c r="O284" s="263" t="s">
        <v>2410</v>
      </c>
      <c r="P284" s="263" t="s">
        <v>197</v>
      </c>
    </row>
    <row r="285" spans="2:18" ht="12.75" customHeight="1" x14ac:dyDescent="0.25">
      <c r="B285" s="325" t="s">
        <v>129</v>
      </c>
      <c r="C285" s="325" t="s">
        <v>132</v>
      </c>
      <c r="D285" s="325" t="s">
        <v>1249</v>
      </c>
      <c r="E285" s="2">
        <v>660</v>
      </c>
      <c r="F285" s="2">
        <v>500</v>
      </c>
      <c r="G285" s="60">
        <v>2.9</v>
      </c>
      <c r="H285" s="303">
        <f t="shared" si="25"/>
        <v>1450</v>
      </c>
      <c r="I285" s="60">
        <v>9</v>
      </c>
      <c r="J285" s="247">
        <v>132.54</v>
      </c>
      <c r="K285" s="247">
        <v>6</v>
      </c>
      <c r="L285" s="247">
        <v>28.32</v>
      </c>
      <c r="M285" s="60">
        <f t="shared" si="24"/>
        <v>175.85999999999999</v>
      </c>
      <c r="N285" s="303">
        <f t="shared" si="20"/>
        <v>1625.86</v>
      </c>
      <c r="O285" s="263" t="s">
        <v>2410</v>
      </c>
      <c r="P285" s="263" t="s">
        <v>197</v>
      </c>
    </row>
    <row r="286" spans="2:18" ht="12.75" customHeight="1" x14ac:dyDescent="0.25">
      <c r="B286" s="325" t="s">
        <v>130</v>
      </c>
      <c r="C286" s="325" t="s">
        <v>1496</v>
      </c>
      <c r="D286" s="325" t="s">
        <v>1249</v>
      </c>
      <c r="E286" s="2">
        <v>5600</v>
      </c>
      <c r="F286" s="2">
        <v>2000</v>
      </c>
      <c r="G286" s="60">
        <v>32</v>
      </c>
      <c r="H286" s="303">
        <f t="shared" si="25"/>
        <v>64000</v>
      </c>
      <c r="I286" s="60">
        <v>360</v>
      </c>
      <c r="J286" s="312"/>
      <c r="K286" s="312"/>
      <c r="L286" s="312"/>
      <c r="M286" s="60">
        <f t="shared" si="24"/>
        <v>360</v>
      </c>
      <c r="N286" s="303">
        <f t="shared" si="20"/>
        <v>64360</v>
      </c>
      <c r="O286" s="263" t="s">
        <v>2420</v>
      </c>
      <c r="P286" s="263" t="s">
        <v>197</v>
      </c>
    </row>
    <row r="287" spans="2:18" ht="12.75" customHeight="1" x14ac:dyDescent="0.25">
      <c r="B287" s="325" t="s">
        <v>130</v>
      </c>
      <c r="C287" s="325" t="s">
        <v>1496</v>
      </c>
      <c r="D287" s="325" t="s">
        <v>1249</v>
      </c>
      <c r="E287" s="2">
        <v>5600</v>
      </c>
      <c r="F287" s="2">
        <v>100</v>
      </c>
      <c r="G287" s="60">
        <v>46.5</v>
      </c>
      <c r="H287" s="303">
        <f t="shared" si="25"/>
        <v>4650</v>
      </c>
      <c r="I287" s="60">
        <v>18</v>
      </c>
      <c r="J287" s="312"/>
      <c r="K287" s="312"/>
      <c r="L287" s="312"/>
      <c r="M287" s="60">
        <f t="shared" si="24"/>
        <v>18</v>
      </c>
      <c r="N287" s="303">
        <f t="shared" si="20"/>
        <v>4668</v>
      </c>
      <c r="O287" s="263" t="s">
        <v>2420</v>
      </c>
      <c r="P287" s="263" t="s">
        <v>197</v>
      </c>
    </row>
    <row r="288" spans="2:18" ht="13.2" x14ac:dyDescent="0.25">
      <c r="B288" s="325" t="s">
        <v>130</v>
      </c>
      <c r="C288" s="325" t="s">
        <v>1496</v>
      </c>
      <c r="D288" s="325" t="s">
        <v>1249</v>
      </c>
      <c r="E288" s="2">
        <v>5600</v>
      </c>
      <c r="F288" s="2">
        <v>50</v>
      </c>
      <c r="G288" s="60">
        <v>46.5</v>
      </c>
      <c r="H288" s="303">
        <f t="shared" si="25"/>
        <v>2325</v>
      </c>
      <c r="I288" s="60">
        <v>9</v>
      </c>
      <c r="J288" s="315"/>
      <c r="K288" s="315"/>
      <c r="L288" s="316"/>
      <c r="M288" s="60">
        <f t="shared" si="24"/>
        <v>9</v>
      </c>
      <c r="N288" s="303">
        <f t="shared" si="20"/>
        <v>2334</v>
      </c>
      <c r="O288" s="263" t="s">
        <v>2420</v>
      </c>
      <c r="P288" s="304" t="s">
        <v>197</v>
      </c>
      <c r="R288" s="247"/>
    </row>
    <row r="289" spans="2:18" ht="12.75" customHeight="1" x14ac:dyDescent="0.25">
      <c r="B289" s="325" t="s">
        <v>130</v>
      </c>
      <c r="C289" s="325" t="s">
        <v>1496</v>
      </c>
      <c r="D289" s="325" t="s">
        <v>1249</v>
      </c>
      <c r="E289" s="2">
        <v>5600</v>
      </c>
      <c r="F289" s="2">
        <v>50</v>
      </c>
      <c r="G289" s="60">
        <v>46.5</v>
      </c>
      <c r="H289" s="303">
        <f t="shared" si="25"/>
        <v>2325</v>
      </c>
      <c r="I289" s="60">
        <v>9</v>
      </c>
      <c r="J289" s="306"/>
      <c r="K289" s="312"/>
      <c r="L289" s="312"/>
      <c r="M289" s="60">
        <f t="shared" si="24"/>
        <v>9</v>
      </c>
      <c r="N289" s="303">
        <f t="shared" si="20"/>
        <v>2334</v>
      </c>
      <c r="O289" s="263" t="s">
        <v>2420</v>
      </c>
      <c r="P289" s="263" t="s">
        <v>197</v>
      </c>
    </row>
    <row r="290" spans="2:18" ht="12.75" customHeight="1" x14ac:dyDescent="0.25">
      <c r="B290" s="325" t="s">
        <v>130</v>
      </c>
      <c r="C290" s="325" t="s">
        <v>1496</v>
      </c>
      <c r="D290" s="325" t="s">
        <v>1249</v>
      </c>
      <c r="E290" s="2">
        <v>5600</v>
      </c>
      <c r="F290" s="2">
        <v>700</v>
      </c>
      <c r="G290" s="60">
        <v>46.5</v>
      </c>
      <c r="H290" s="303">
        <f t="shared" si="25"/>
        <v>32550</v>
      </c>
      <c r="I290" s="60">
        <v>126</v>
      </c>
      <c r="J290" s="312"/>
      <c r="K290" s="312"/>
      <c r="L290" s="312"/>
      <c r="M290" s="60">
        <f t="shared" si="24"/>
        <v>126</v>
      </c>
      <c r="N290" s="303">
        <f t="shared" si="20"/>
        <v>32676</v>
      </c>
      <c r="O290" s="263" t="s">
        <v>2420</v>
      </c>
      <c r="P290" s="263" t="s">
        <v>197</v>
      </c>
    </row>
    <row r="291" spans="2:18" ht="12.75" customHeight="1" x14ac:dyDescent="0.25">
      <c r="B291" s="325" t="s">
        <v>130</v>
      </c>
      <c r="C291" s="325" t="s">
        <v>1496</v>
      </c>
      <c r="D291" s="325" t="s">
        <v>1249</v>
      </c>
      <c r="E291" s="2">
        <v>5600</v>
      </c>
      <c r="F291" s="2">
        <v>100</v>
      </c>
      <c r="G291" s="60">
        <v>46.65</v>
      </c>
      <c r="H291" s="303">
        <f t="shared" si="25"/>
        <v>4665</v>
      </c>
      <c r="I291" s="60">
        <v>18</v>
      </c>
      <c r="J291" s="247">
        <v>97.32</v>
      </c>
      <c r="K291" s="247">
        <v>15</v>
      </c>
      <c r="L291" s="247">
        <v>103.4</v>
      </c>
      <c r="M291" s="60">
        <f t="shared" si="24"/>
        <v>233.72</v>
      </c>
      <c r="N291" s="303">
        <f t="shared" si="20"/>
        <v>4898.72</v>
      </c>
      <c r="O291" s="263" t="s">
        <v>2420</v>
      </c>
      <c r="P291" s="263" t="s">
        <v>197</v>
      </c>
    </row>
    <row r="292" spans="2:18" ht="12.75" customHeight="1" x14ac:dyDescent="0.25">
      <c r="B292" s="325" t="s">
        <v>1469</v>
      </c>
      <c r="C292" s="325" t="s">
        <v>1496</v>
      </c>
      <c r="D292" s="325" t="s">
        <v>1245</v>
      </c>
      <c r="E292" s="2">
        <v>5600</v>
      </c>
      <c r="F292" s="2">
        <v>50</v>
      </c>
      <c r="G292" s="60">
        <v>27.55</v>
      </c>
      <c r="H292" s="303">
        <f t="shared" ref="H292:H301" si="26">F292*G292</f>
        <v>1377.5</v>
      </c>
      <c r="I292" s="60">
        <v>9</v>
      </c>
      <c r="J292" s="312"/>
      <c r="K292" s="312"/>
      <c r="L292" s="312"/>
      <c r="M292" s="60">
        <f t="shared" ref="M292:M301" si="27">SUM(I292:L292)</f>
        <v>9</v>
      </c>
      <c r="N292" s="303">
        <f t="shared" si="20"/>
        <v>1386.5</v>
      </c>
      <c r="O292" s="263" t="s">
        <v>1692</v>
      </c>
      <c r="P292" s="263" t="s">
        <v>197</v>
      </c>
    </row>
    <row r="293" spans="2:18" ht="12.75" customHeight="1" x14ac:dyDescent="0.25">
      <c r="B293" s="325" t="s">
        <v>1469</v>
      </c>
      <c r="C293" s="325" t="s">
        <v>1496</v>
      </c>
      <c r="D293" s="325" t="s">
        <v>1245</v>
      </c>
      <c r="E293" s="2">
        <v>5600</v>
      </c>
      <c r="F293" s="2">
        <v>400</v>
      </c>
      <c r="G293" s="60">
        <v>27.6</v>
      </c>
      <c r="H293" s="303">
        <f t="shared" si="26"/>
        <v>11040</v>
      </c>
      <c r="I293" s="60">
        <v>72</v>
      </c>
      <c r="J293" s="312"/>
      <c r="K293" s="312"/>
      <c r="L293" s="312"/>
      <c r="M293" s="60">
        <f t="shared" si="27"/>
        <v>72</v>
      </c>
      <c r="N293" s="303">
        <f t="shared" si="20"/>
        <v>11112</v>
      </c>
      <c r="O293" s="263" t="s">
        <v>1692</v>
      </c>
      <c r="P293" s="263" t="s">
        <v>197</v>
      </c>
    </row>
    <row r="294" spans="2:18" ht="13.2" x14ac:dyDescent="0.25">
      <c r="B294" s="325" t="s">
        <v>1469</v>
      </c>
      <c r="C294" s="325" t="s">
        <v>1496</v>
      </c>
      <c r="D294" s="325" t="s">
        <v>1245</v>
      </c>
      <c r="E294" s="2">
        <v>5600</v>
      </c>
      <c r="F294" s="2">
        <v>50</v>
      </c>
      <c r="G294" s="60">
        <v>27.6</v>
      </c>
      <c r="H294" s="303">
        <f t="shared" si="26"/>
        <v>1380</v>
      </c>
      <c r="I294" s="60">
        <v>9</v>
      </c>
      <c r="J294" s="315"/>
      <c r="K294" s="315"/>
      <c r="L294" s="316"/>
      <c r="M294" s="60">
        <f t="shared" si="27"/>
        <v>9</v>
      </c>
      <c r="N294" s="303">
        <f t="shared" si="20"/>
        <v>1389</v>
      </c>
      <c r="O294" s="263" t="s">
        <v>1692</v>
      </c>
      <c r="P294" s="304" t="s">
        <v>197</v>
      </c>
      <c r="R294" s="247"/>
    </row>
    <row r="295" spans="2:18" ht="12.75" customHeight="1" x14ac:dyDescent="0.25">
      <c r="B295" s="325" t="s">
        <v>1469</v>
      </c>
      <c r="C295" s="325" t="s">
        <v>1496</v>
      </c>
      <c r="D295" s="325" t="s">
        <v>1245</v>
      </c>
      <c r="E295" s="2">
        <v>5600</v>
      </c>
      <c r="F295" s="2">
        <v>350</v>
      </c>
      <c r="G295" s="60">
        <v>27.6</v>
      </c>
      <c r="H295" s="303">
        <f t="shared" si="26"/>
        <v>9660</v>
      </c>
      <c r="I295" s="60">
        <v>63</v>
      </c>
      <c r="J295" s="306"/>
      <c r="K295" s="312"/>
      <c r="L295" s="312"/>
      <c r="M295" s="60">
        <f t="shared" si="27"/>
        <v>63</v>
      </c>
      <c r="N295" s="303">
        <f t="shared" ref="N295:N302" si="28">H295+M295</f>
        <v>9723</v>
      </c>
      <c r="O295" s="263" t="s">
        <v>1692</v>
      </c>
      <c r="P295" s="263" t="s">
        <v>197</v>
      </c>
    </row>
    <row r="296" spans="2:18" ht="12.75" customHeight="1" x14ac:dyDescent="0.25">
      <c r="B296" s="325" t="s">
        <v>1469</v>
      </c>
      <c r="C296" s="325" t="s">
        <v>1496</v>
      </c>
      <c r="D296" s="325" t="s">
        <v>1245</v>
      </c>
      <c r="E296" s="2">
        <v>5600</v>
      </c>
      <c r="F296" s="2">
        <v>150</v>
      </c>
      <c r="G296" s="60">
        <v>27.6</v>
      </c>
      <c r="H296" s="303">
        <f t="shared" si="26"/>
        <v>4140</v>
      </c>
      <c r="I296" s="60">
        <v>27</v>
      </c>
      <c r="J296" s="312"/>
      <c r="K296" s="312"/>
      <c r="L296" s="312"/>
      <c r="M296" s="60">
        <f t="shared" si="27"/>
        <v>27</v>
      </c>
      <c r="N296" s="303">
        <f t="shared" si="28"/>
        <v>4167</v>
      </c>
      <c r="O296" s="263" t="s">
        <v>1692</v>
      </c>
      <c r="P296" s="263" t="s">
        <v>197</v>
      </c>
    </row>
    <row r="297" spans="2:18" ht="13.2" x14ac:dyDescent="0.25">
      <c r="B297" s="325" t="s">
        <v>1469</v>
      </c>
      <c r="C297" s="325" t="s">
        <v>1496</v>
      </c>
      <c r="D297" s="325" t="s">
        <v>1249</v>
      </c>
      <c r="E297" s="2">
        <v>5600</v>
      </c>
      <c r="F297" s="2">
        <v>800</v>
      </c>
      <c r="G297" s="60">
        <v>39.299999999999997</v>
      </c>
      <c r="H297" s="303">
        <f t="shared" si="26"/>
        <v>31439.999999999996</v>
      </c>
      <c r="I297" s="60">
        <v>144</v>
      </c>
      <c r="J297" s="315"/>
      <c r="K297" s="315"/>
      <c r="L297" s="316"/>
      <c r="M297" s="60">
        <f t="shared" si="27"/>
        <v>144</v>
      </c>
      <c r="N297" s="303">
        <f t="shared" si="28"/>
        <v>31583.999999999996</v>
      </c>
      <c r="O297" s="263" t="s">
        <v>1692</v>
      </c>
      <c r="P297" s="304" t="s">
        <v>197</v>
      </c>
      <c r="R297" s="247"/>
    </row>
    <row r="298" spans="2:18" ht="12.75" customHeight="1" x14ac:dyDescent="0.25">
      <c r="B298" s="325" t="s">
        <v>1469</v>
      </c>
      <c r="C298" s="325" t="s">
        <v>1496</v>
      </c>
      <c r="D298" s="325" t="s">
        <v>1249</v>
      </c>
      <c r="E298" s="2">
        <v>5600</v>
      </c>
      <c r="F298" s="2">
        <v>500</v>
      </c>
      <c r="G298" s="60">
        <v>39.299999999999997</v>
      </c>
      <c r="H298" s="303">
        <f t="shared" si="26"/>
        <v>19650</v>
      </c>
      <c r="I298" s="60">
        <v>90</v>
      </c>
      <c r="J298" s="306"/>
      <c r="K298" s="312"/>
      <c r="L298" s="312"/>
      <c r="M298" s="60">
        <f t="shared" si="27"/>
        <v>90</v>
      </c>
      <c r="N298" s="303">
        <f t="shared" si="28"/>
        <v>19740</v>
      </c>
      <c r="O298" s="263" t="s">
        <v>1692</v>
      </c>
      <c r="P298" s="263" t="s">
        <v>197</v>
      </c>
    </row>
    <row r="299" spans="2:18" ht="12.75" customHeight="1" x14ac:dyDescent="0.25">
      <c r="B299" s="325" t="s">
        <v>1469</v>
      </c>
      <c r="C299" s="325" t="s">
        <v>1496</v>
      </c>
      <c r="D299" s="325" t="s">
        <v>1249</v>
      </c>
      <c r="E299" s="2">
        <v>5600</v>
      </c>
      <c r="F299" s="2">
        <v>100</v>
      </c>
      <c r="G299" s="60">
        <v>39.299999999999997</v>
      </c>
      <c r="H299" s="303">
        <f t="shared" si="26"/>
        <v>3929.9999999999995</v>
      </c>
      <c r="I299" s="60">
        <v>18</v>
      </c>
      <c r="J299" s="312"/>
      <c r="K299" s="312"/>
      <c r="L299" s="312"/>
      <c r="M299" s="60">
        <f t="shared" si="27"/>
        <v>18</v>
      </c>
      <c r="N299" s="303">
        <f t="shared" si="28"/>
        <v>3947.9999999999995</v>
      </c>
      <c r="O299" s="263" t="s">
        <v>1692</v>
      </c>
      <c r="P299" s="263" t="s">
        <v>197</v>
      </c>
    </row>
    <row r="300" spans="2:18" ht="12.75" customHeight="1" x14ac:dyDescent="0.25">
      <c r="B300" s="325" t="s">
        <v>1469</v>
      </c>
      <c r="C300" s="325" t="s">
        <v>1496</v>
      </c>
      <c r="D300" s="325" t="s">
        <v>1249</v>
      </c>
      <c r="E300" s="2">
        <v>5600</v>
      </c>
      <c r="F300" s="2">
        <v>500</v>
      </c>
      <c r="G300" s="60">
        <v>39.35</v>
      </c>
      <c r="H300" s="303">
        <f t="shared" si="26"/>
        <v>19675</v>
      </c>
      <c r="I300" s="60">
        <v>90</v>
      </c>
      <c r="J300" s="312"/>
      <c r="K300" s="312"/>
      <c r="L300" s="312"/>
      <c r="M300" s="60">
        <f t="shared" si="27"/>
        <v>90</v>
      </c>
      <c r="N300" s="303">
        <f t="shared" si="28"/>
        <v>19765</v>
      </c>
      <c r="O300" s="263" t="s">
        <v>1692</v>
      </c>
      <c r="P300" s="263" t="s">
        <v>197</v>
      </c>
    </row>
    <row r="301" spans="2:18" ht="12.75" customHeight="1" x14ac:dyDescent="0.25">
      <c r="B301" s="325" t="s">
        <v>1469</v>
      </c>
      <c r="C301" s="325" t="s">
        <v>1496</v>
      </c>
      <c r="D301" s="325" t="s">
        <v>1249</v>
      </c>
      <c r="E301" s="2">
        <v>5600</v>
      </c>
      <c r="F301" s="2">
        <v>1100</v>
      </c>
      <c r="G301" s="60">
        <v>39.4</v>
      </c>
      <c r="H301" s="303">
        <f t="shared" si="26"/>
        <v>43340</v>
      </c>
      <c r="I301" s="60">
        <v>198</v>
      </c>
      <c r="J301" s="247">
        <v>203.51</v>
      </c>
      <c r="K301" s="247">
        <f>25+18</f>
        <v>43</v>
      </c>
      <c r="L301" s="247">
        <v>206.59</v>
      </c>
      <c r="M301" s="60">
        <f t="shared" si="27"/>
        <v>651.1</v>
      </c>
      <c r="N301" s="303">
        <f t="shared" si="28"/>
        <v>43991.1</v>
      </c>
      <c r="O301" s="263" t="s">
        <v>1692</v>
      </c>
      <c r="P301" s="263" t="s">
        <v>197</v>
      </c>
    </row>
    <row r="302" spans="2:18" ht="13.2" x14ac:dyDescent="0.25">
      <c r="B302" s="325" t="s">
        <v>106</v>
      </c>
      <c r="C302" s="325" t="s">
        <v>104</v>
      </c>
      <c r="D302" s="325" t="s">
        <v>1249</v>
      </c>
      <c r="E302" s="2">
        <v>2100</v>
      </c>
      <c r="F302" s="2">
        <v>125</v>
      </c>
      <c r="G302" s="60">
        <v>34.5</v>
      </c>
      <c r="H302" s="303">
        <f t="shared" ref="H302:H314" si="29">F302*G302</f>
        <v>4312.5</v>
      </c>
      <c r="I302" s="60">
        <v>9</v>
      </c>
      <c r="J302" s="315"/>
      <c r="K302" s="315"/>
      <c r="L302" s="316"/>
      <c r="M302" s="60">
        <f t="shared" ref="M302:M317" si="30">SUM(I302:L302)</f>
        <v>9</v>
      </c>
      <c r="N302" s="303">
        <f t="shared" si="28"/>
        <v>4321.5</v>
      </c>
      <c r="O302" s="263" t="s">
        <v>764</v>
      </c>
      <c r="P302" s="304" t="s">
        <v>197</v>
      </c>
      <c r="R302" s="247"/>
    </row>
    <row r="303" spans="2:18" ht="12.75" customHeight="1" x14ac:dyDescent="0.25">
      <c r="B303" s="325" t="s">
        <v>106</v>
      </c>
      <c r="C303" s="325" t="s">
        <v>104</v>
      </c>
      <c r="D303" s="325" t="s">
        <v>1249</v>
      </c>
      <c r="E303" s="2">
        <v>2100</v>
      </c>
      <c r="F303" s="2">
        <v>125</v>
      </c>
      <c r="G303" s="60">
        <v>34.799999999999997</v>
      </c>
      <c r="H303" s="303">
        <f t="shared" si="29"/>
        <v>4350</v>
      </c>
      <c r="I303" s="60">
        <v>9</v>
      </c>
      <c r="J303" s="306"/>
      <c r="K303" s="312"/>
      <c r="L303" s="312"/>
      <c r="M303" s="60">
        <f t="shared" si="30"/>
        <v>9</v>
      </c>
      <c r="N303" s="303">
        <f t="shared" ref="N303:N317" si="31">H303+M303</f>
        <v>4359</v>
      </c>
      <c r="O303" s="263" t="s">
        <v>764</v>
      </c>
      <c r="P303" s="304" t="s">
        <v>197</v>
      </c>
    </row>
    <row r="304" spans="2:18" ht="12.75" customHeight="1" x14ac:dyDescent="0.25">
      <c r="B304" s="325" t="s">
        <v>106</v>
      </c>
      <c r="C304" s="325" t="s">
        <v>104</v>
      </c>
      <c r="D304" s="325" t="s">
        <v>1249</v>
      </c>
      <c r="E304" s="2">
        <v>2100</v>
      </c>
      <c r="F304" s="2">
        <v>375</v>
      </c>
      <c r="G304" s="60">
        <v>34.950000000000003</v>
      </c>
      <c r="H304" s="303">
        <f t="shared" si="29"/>
        <v>13106.250000000002</v>
      </c>
      <c r="I304" s="60">
        <v>27</v>
      </c>
      <c r="J304" s="312"/>
      <c r="K304" s="312"/>
      <c r="L304" s="312"/>
      <c r="M304" s="60">
        <f t="shared" si="30"/>
        <v>27</v>
      </c>
      <c r="N304" s="303">
        <f t="shared" si="31"/>
        <v>13133.250000000002</v>
      </c>
      <c r="O304" s="263" t="s">
        <v>764</v>
      </c>
      <c r="P304" s="304" t="s">
        <v>197</v>
      </c>
    </row>
    <row r="305" spans="2:18" ht="12.75" customHeight="1" x14ac:dyDescent="0.25">
      <c r="B305" s="325" t="s">
        <v>106</v>
      </c>
      <c r="C305" s="325" t="s">
        <v>104</v>
      </c>
      <c r="D305" s="325" t="s">
        <v>1249</v>
      </c>
      <c r="E305" s="2">
        <v>2100</v>
      </c>
      <c r="F305" s="2">
        <v>125</v>
      </c>
      <c r="G305" s="60">
        <v>35</v>
      </c>
      <c r="H305" s="303">
        <f t="shared" si="29"/>
        <v>4375</v>
      </c>
      <c r="I305" s="60">
        <v>9</v>
      </c>
      <c r="J305" s="312"/>
      <c r="K305" s="312"/>
      <c r="L305" s="312"/>
      <c r="M305" s="60">
        <f t="shared" si="30"/>
        <v>9</v>
      </c>
      <c r="N305" s="303">
        <f t="shared" si="31"/>
        <v>4384</v>
      </c>
      <c r="O305" s="263" t="s">
        <v>764</v>
      </c>
      <c r="P305" s="304" t="s">
        <v>197</v>
      </c>
    </row>
    <row r="306" spans="2:18" ht="12.75" customHeight="1" x14ac:dyDescent="0.25">
      <c r="B306" s="325" t="s">
        <v>106</v>
      </c>
      <c r="C306" s="325" t="s">
        <v>104</v>
      </c>
      <c r="D306" s="325" t="s">
        <v>1249</v>
      </c>
      <c r="E306" s="2">
        <v>2100</v>
      </c>
      <c r="F306" s="2">
        <v>500</v>
      </c>
      <c r="G306" s="60">
        <v>35</v>
      </c>
      <c r="H306" s="303">
        <f t="shared" si="29"/>
        <v>17500</v>
      </c>
      <c r="I306" s="60">
        <v>36</v>
      </c>
      <c r="J306" s="312"/>
      <c r="K306" s="312"/>
      <c r="L306" s="312"/>
      <c r="M306" s="60">
        <f t="shared" si="30"/>
        <v>36</v>
      </c>
      <c r="N306" s="303">
        <f t="shared" si="31"/>
        <v>17536</v>
      </c>
      <c r="O306" s="263" t="s">
        <v>764</v>
      </c>
      <c r="P306" s="304" t="s">
        <v>197</v>
      </c>
    </row>
    <row r="307" spans="2:18" ht="12.75" customHeight="1" x14ac:dyDescent="0.25">
      <c r="B307" s="325" t="s">
        <v>106</v>
      </c>
      <c r="C307" s="325" t="s">
        <v>104</v>
      </c>
      <c r="D307" s="325" t="s">
        <v>1249</v>
      </c>
      <c r="E307" s="2">
        <v>2100</v>
      </c>
      <c r="F307" s="2">
        <v>125</v>
      </c>
      <c r="G307" s="60">
        <v>35</v>
      </c>
      <c r="H307" s="303">
        <f t="shared" si="29"/>
        <v>4375</v>
      </c>
      <c r="I307" s="60">
        <v>9</v>
      </c>
      <c r="J307" s="312"/>
      <c r="K307" s="312"/>
      <c r="L307" s="312"/>
      <c r="M307" s="60">
        <f t="shared" si="30"/>
        <v>9</v>
      </c>
      <c r="N307" s="303">
        <f t="shared" si="31"/>
        <v>4384</v>
      </c>
      <c r="O307" s="263" t="s">
        <v>764</v>
      </c>
      <c r="P307" s="304" t="s">
        <v>197</v>
      </c>
    </row>
    <row r="308" spans="2:18" ht="12.75" customHeight="1" x14ac:dyDescent="0.25">
      <c r="B308" s="325" t="s">
        <v>106</v>
      </c>
      <c r="C308" s="325" t="s">
        <v>104</v>
      </c>
      <c r="D308" s="325" t="s">
        <v>1249</v>
      </c>
      <c r="E308" s="2">
        <v>2100</v>
      </c>
      <c r="F308" s="2">
        <v>125</v>
      </c>
      <c r="G308" s="60">
        <v>35</v>
      </c>
      <c r="H308" s="303">
        <f t="shared" si="29"/>
        <v>4375</v>
      </c>
      <c r="I308" s="60">
        <v>9</v>
      </c>
      <c r="J308" s="312"/>
      <c r="K308" s="312"/>
      <c r="L308" s="312"/>
      <c r="M308" s="60">
        <f t="shared" si="30"/>
        <v>9</v>
      </c>
      <c r="N308" s="303">
        <f t="shared" si="31"/>
        <v>4384</v>
      </c>
      <c r="O308" s="263" t="s">
        <v>764</v>
      </c>
      <c r="P308" s="304" t="s">
        <v>197</v>
      </c>
    </row>
    <row r="309" spans="2:18" ht="12.75" customHeight="1" x14ac:dyDescent="0.25">
      <c r="B309" s="325" t="s">
        <v>106</v>
      </c>
      <c r="C309" s="325" t="s">
        <v>104</v>
      </c>
      <c r="D309" s="325" t="s">
        <v>1249</v>
      </c>
      <c r="E309" s="2">
        <v>2100</v>
      </c>
      <c r="F309" s="2">
        <v>375</v>
      </c>
      <c r="G309" s="60">
        <v>28.35</v>
      </c>
      <c r="H309" s="303">
        <f t="shared" si="29"/>
        <v>10631.25</v>
      </c>
      <c r="I309" s="60">
        <v>27</v>
      </c>
      <c r="J309" s="312"/>
      <c r="K309" s="312"/>
      <c r="L309" s="312"/>
      <c r="M309" s="60">
        <f t="shared" si="30"/>
        <v>27</v>
      </c>
      <c r="N309" s="303">
        <f t="shared" si="31"/>
        <v>10658.25</v>
      </c>
      <c r="O309" s="263" t="s">
        <v>764</v>
      </c>
      <c r="P309" s="304" t="s">
        <v>197</v>
      </c>
    </row>
    <row r="310" spans="2:18" ht="13.2" x14ac:dyDescent="0.25">
      <c r="B310" s="325" t="s">
        <v>106</v>
      </c>
      <c r="C310" s="325" t="s">
        <v>104</v>
      </c>
      <c r="D310" s="325" t="s">
        <v>1249</v>
      </c>
      <c r="E310" s="2">
        <v>2100</v>
      </c>
      <c r="F310" s="2">
        <v>125</v>
      </c>
      <c r="G310" s="60">
        <v>28.4</v>
      </c>
      <c r="H310" s="303">
        <f t="shared" si="29"/>
        <v>3550</v>
      </c>
      <c r="I310" s="60">
        <v>9</v>
      </c>
      <c r="J310" s="315"/>
      <c r="K310" s="315"/>
      <c r="L310" s="316"/>
      <c r="M310" s="60">
        <f t="shared" si="30"/>
        <v>9</v>
      </c>
      <c r="N310" s="303">
        <f t="shared" si="31"/>
        <v>3559</v>
      </c>
      <c r="O310" s="263" t="s">
        <v>764</v>
      </c>
      <c r="P310" s="304" t="s">
        <v>197</v>
      </c>
      <c r="R310" s="247"/>
    </row>
    <row r="311" spans="2:18" ht="12.75" customHeight="1" x14ac:dyDescent="0.25">
      <c r="B311" s="325" t="s">
        <v>106</v>
      </c>
      <c r="C311" s="325" t="s">
        <v>105</v>
      </c>
      <c r="D311" s="325" t="s">
        <v>1249</v>
      </c>
      <c r="E311" s="2">
        <v>5900</v>
      </c>
      <c r="F311" s="2">
        <v>50</v>
      </c>
      <c r="G311" s="60">
        <v>71.400000000000006</v>
      </c>
      <c r="H311" s="303">
        <f t="shared" si="29"/>
        <v>3570.0000000000005</v>
      </c>
      <c r="I311" s="60">
        <v>9</v>
      </c>
      <c r="J311" s="312"/>
      <c r="K311" s="312"/>
      <c r="L311" s="312"/>
      <c r="M311" s="60">
        <f t="shared" si="30"/>
        <v>9</v>
      </c>
      <c r="N311" s="303">
        <f t="shared" si="31"/>
        <v>3579.0000000000005</v>
      </c>
      <c r="O311" s="263" t="s">
        <v>764</v>
      </c>
      <c r="P311" s="304" t="s">
        <v>197</v>
      </c>
    </row>
    <row r="312" spans="2:18" ht="12.75" customHeight="1" x14ac:dyDescent="0.25">
      <c r="B312" s="325" t="s">
        <v>106</v>
      </c>
      <c r="C312" s="325" t="s">
        <v>105</v>
      </c>
      <c r="D312" s="325" t="s">
        <v>1249</v>
      </c>
      <c r="E312" s="2">
        <v>5900</v>
      </c>
      <c r="F312" s="2">
        <v>150</v>
      </c>
      <c r="G312" s="60">
        <v>71.45</v>
      </c>
      <c r="H312" s="303">
        <f t="shared" si="29"/>
        <v>10717.5</v>
      </c>
      <c r="I312" s="60">
        <v>27</v>
      </c>
      <c r="J312" s="312"/>
      <c r="K312" s="312"/>
      <c r="L312" s="312"/>
      <c r="M312" s="60">
        <f t="shared" si="30"/>
        <v>27</v>
      </c>
      <c r="N312" s="303">
        <f t="shared" si="31"/>
        <v>10744.5</v>
      </c>
      <c r="O312" s="263" t="s">
        <v>764</v>
      </c>
      <c r="P312" s="304" t="s">
        <v>197</v>
      </c>
    </row>
    <row r="313" spans="2:18" ht="12.75" customHeight="1" x14ac:dyDescent="0.25">
      <c r="B313" s="325" t="s">
        <v>106</v>
      </c>
      <c r="C313" s="325" t="s">
        <v>105</v>
      </c>
      <c r="D313" s="325" t="s">
        <v>1249</v>
      </c>
      <c r="E313" s="2">
        <v>5900</v>
      </c>
      <c r="F313" s="2">
        <v>100</v>
      </c>
      <c r="G313" s="60">
        <v>71.5</v>
      </c>
      <c r="H313" s="303">
        <f t="shared" si="29"/>
        <v>7150</v>
      </c>
      <c r="I313" s="60">
        <v>18</v>
      </c>
      <c r="J313" s="312"/>
      <c r="K313" s="312"/>
      <c r="L313" s="312"/>
      <c r="M313" s="60">
        <f t="shared" si="30"/>
        <v>18</v>
      </c>
      <c r="N313" s="303">
        <f t="shared" si="31"/>
        <v>7168</v>
      </c>
      <c r="O313" s="263" t="s">
        <v>764</v>
      </c>
      <c r="P313" s="304" t="s">
        <v>197</v>
      </c>
    </row>
    <row r="314" spans="2:18" ht="12.75" customHeight="1" x14ac:dyDescent="0.25">
      <c r="B314" s="325" t="s">
        <v>106</v>
      </c>
      <c r="C314" s="325" t="s">
        <v>105</v>
      </c>
      <c r="D314" s="325" t="s">
        <v>1249</v>
      </c>
      <c r="E314" s="2">
        <v>5900</v>
      </c>
      <c r="F314" s="2">
        <v>200</v>
      </c>
      <c r="G314" s="60">
        <v>71.5</v>
      </c>
      <c r="H314" s="303">
        <f t="shared" si="29"/>
        <v>14300</v>
      </c>
      <c r="I314" s="60">
        <v>36</v>
      </c>
      <c r="J314" s="312"/>
      <c r="K314" s="312"/>
      <c r="L314" s="312"/>
      <c r="M314" s="60">
        <f t="shared" si="30"/>
        <v>36</v>
      </c>
      <c r="N314" s="303">
        <f t="shared" si="31"/>
        <v>14336</v>
      </c>
      <c r="O314" s="263" t="s">
        <v>764</v>
      </c>
      <c r="P314" s="304" t="s">
        <v>197</v>
      </c>
    </row>
    <row r="315" spans="2:18" ht="12.75" customHeight="1" x14ac:dyDescent="0.25">
      <c r="B315" s="325" t="s">
        <v>106</v>
      </c>
      <c r="C315" s="325" t="s">
        <v>105</v>
      </c>
      <c r="D315" s="325" t="s">
        <v>1249</v>
      </c>
      <c r="E315" s="2">
        <v>5900</v>
      </c>
      <c r="F315" s="2">
        <v>200</v>
      </c>
      <c r="G315" s="60">
        <v>71.5</v>
      </c>
      <c r="H315" s="303">
        <f t="shared" ref="H315:H323" si="32">F315*G315</f>
        <v>14300</v>
      </c>
      <c r="I315" s="60">
        <v>36</v>
      </c>
      <c r="J315" s="312"/>
      <c r="K315" s="312"/>
      <c r="L315" s="312"/>
      <c r="M315" s="60">
        <f t="shared" si="30"/>
        <v>36</v>
      </c>
      <c r="N315" s="303">
        <f t="shared" si="31"/>
        <v>14336</v>
      </c>
      <c r="O315" s="263" t="s">
        <v>764</v>
      </c>
      <c r="P315" s="304" t="s">
        <v>197</v>
      </c>
    </row>
    <row r="316" spans="2:18" ht="12.75" customHeight="1" x14ac:dyDescent="0.25">
      <c r="B316" s="325" t="s">
        <v>106</v>
      </c>
      <c r="C316" s="325" t="s">
        <v>105</v>
      </c>
      <c r="D316" s="325" t="s">
        <v>1249</v>
      </c>
      <c r="E316" s="2">
        <v>5900</v>
      </c>
      <c r="F316" s="2">
        <v>50</v>
      </c>
      <c r="G316" s="60">
        <v>71.5</v>
      </c>
      <c r="H316" s="303">
        <f t="shared" si="32"/>
        <v>3575</v>
      </c>
      <c r="I316" s="60">
        <v>9</v>
      </c>
      <c r="J316" s="312"/>
      <c r="K316" s="312"/>
      <c r="L316" s="312"/>
      <c r="M316" s="60">
        <f t="shared" si="30"/>
        <v>9</v>
      </c>
      <c r="N316" s="303">
        <f t="shared" si="31"/>
        <v>3584</v>
      </c>
      <c r="O316" s="263" t="s">
        <v>764</v>
      </c>
      <c r="P316" s="304" t="s">
        <v>197</v>
      </c>
    </row>
    <row r="317" spans="2:18" ht="13.2" x14ac:dyDescent="0.25">
      <c r="B317" s="325" t="s">
        <v>106</v>
      </c>
      <c r="C317" s="325" t="s">
        <v>105</v>
      </c>
      <c r="D317" s="325" t="s">
        <v>1249</v>
      </c>
      <c r="E317" s="2">
        <v>5900</v>
      </c>
      <c r="F317" s="2">
        <v>250</v>
      </c>
      <c r="G317" s="60">
        <v>71.5</v>
      </c>
      <c r="H317" s="303">
        <f t="shared" si="32"/>
        <v>17875</v>
      </c>
      <c r="I317" s="60">
        <v>45</v>
      </c>
      <c r="J317" s="315"/>
      <c r="K317" s="315"/>
      <c r="L317" s="316"/>
      <c r="M317" s="60">
        <f t="shared" si="30"/>
        <v>45</v>
      </c>
      <c r="N317" s="303">
        <f t="shared" si="31"/>
        <v>17920</v>
      </c>
      <c r="O317" s="263" t="s">
        <v>764</v>
      </c>
      <c r="P317" s="304" t="s">
        <v>197</v>
      </c>
      <c r="R317" s="247"/>
    </row>
    <row r="318" spans="2:18" ht="13.2" x14ac:dyDescent="0.25">
      <c r="B318" s="325" t="s">
        <v>100</v>
      </c>
      <c r="C318" s="325" t="s">
        <v>105</v>
      </c>
      <c r="D318" s="325" t="s">
        <v>1249</v>
      </c>
      <c r="E318" s="2">
        <v>6000</v>
      </c>
      <c r="F318" s="2">
        <v>500</v>
      </c>
      <c r="G318" s="60">
        <v>39</v>
      </c>
      <c r="H318" s="303">
        <f t="shared" si="32"/>
        <v>19500</v>
      </c>
      <c r="I318" s="60">
        <v>90</v>
      </c>
      <c r="J318" s="315"/>
      <c r="K318" s="315"/>
      <c r="L318" s="316"/>
      <c r="M318" s="60">
        <f t="shared" ref="M318:M323" si="33">SUM(I318:L318)</f>
        <v>90</v>
      </c>
      <c r="N318" s="303">
        <f t="shared" ref="N318:N323" si="34">H318+M318</f>
        <v>19590</v>
      </c>
      <c r="O318" s="263" t="s">
        <v>767</v>
      </c>
      <c r="P318" s="304" t="s">
        <v>197</v>
      </c>
      <c r="R318" s="247"/>
    </row>
    <row r="319" spans="2:18" ht="12.75" customHeight="1" x14ac:dyDescent="0.25">
      <c r="B319" s="325" t="s">
        <v>100</v>
      </c>
      <c r="C319" s="325" t="s">
        <v>105</v>
      </c>
      <c r="D319" s="325" t="s">
        <v>1249</v>
      </c>
      <c r="E319" s="2">
        <v>6000</v>
      </c>
      <c r="F319" s="2">
        <v>100</v>
      </c>
      <c r="G319" s="60">
        <v>39</v>
      </c>
      <c r="H319" s="303">
        <f t="shared" si="32"/>
        <v>3900</v>
      </c>
      <c r="I319" s="60">
        <v>18</v>
      </c>
      <c r="J319" s="316"/>
      <c r="K319" s="316"/>
      <c r="L319" s="316"/>
      <c r="M319" s="60">
        <f t="shared" si="33"/>
        <v>18</v>
      </c>
      <c r="N319" s="303">
        <f t="shared" si="34"/>
        <v>3918</v>
      </c>
      <c r="O319" s="263" t="s">
        <v>767</v>
      </c>
      <c r="P319" s="304" t="s">
        <v>197</v>
      </c>
    </row>
    <row r="320" spans="2:18" ht="12.75" customHeight="1" x14ac:dyDescent="0.25">
      <c r="B320" s="325" t="s">
        <v>100</v>
      </c>
      <c r="C320" s="325" t="s">
        <v>105</v>
      </c>
      <c r="D320" s="325" t="s">
        <v>1249</v>
      </c>
      <c r="E320" s="2">
        <v>6000</v>
      </c>
      <c r="F320" s="2">
        <v>150</v>
      </c>
      <c r="G320" s="60">
        <v>39</v>
      </c>
      <c r="H320" s="303">
        <f t="shared" si="32"/>
        <v>5850</v>
      </c>
      <c r="I320" s="60">
        <v>27</v>
      </c>
      <c r="J320" s="316"/>
      <c r="K320" s="316"/>
      <c r="L320" s="316"/>
      <c r="M320" s="60">
        <f t="shared" si="33"/>
        <v>27</v>
      </c>
      <c r="N320" s="303">
        <f t="shared" si="34"/>
        <v>5877</v>
      </c>
      <c r="O320" s="263" t="s">
        <v>767</v>
      </c>
      <c r="P320" s="304" t="s">
        <v>197</v>
      </c>
    </row>
    <row r="321" spans="2:18" ht="12.75" customHeight="1" x14ac:dyDescent="0.25">
      <c r="B321" s="325" t="s">
        <v>100</v>
      </c>
      <c r="C321" s="325" t="s">
        <v>105</v>
      </c>
      <c r="D321" s="325" t="s">
        <v>1249</v>
      </c>
      <c r="E321" s="2">
        <v>6000</v>
      </c>
      <c r="F321" s="2">
        <v>200</v>
      </c>
      <c r="G321" s="60">
        <v>39</v>
      </c>
      <c r="H321" s="303">
        <f t="shared" si="32"/>
        <v>7800</v>
      </c>
      <c r="I321" s="60">
        <v>36</v>
      </c>
      <c r="J321" s="316"/>
      <c r="K321" s="316"/>
      <c r="L321" s="316"/>
      <c r="M321" s="60">
        <f t="shared" si="33"/>
        <v>36</v>
      </c>
      <c r="N321" s="303">
        <f t="shared" si="34"/>
        <v>7836</v>
      </c>
      <c r="O321" s="263" t="s">
        <v>767</v>
      </c>
      <c r="P321" s="304" t="s">
        <v>197</v>
      </c>
    </row>
    <row r="322" spans="2:18" ht="12.75" customHeight="1" x14ac:dyDescent="0.25">
      <c r="B322" s="325" t="s">
        <v>100</v>
      </c>
      <c r="C322" s="325" t="s">
        <v>105</v>
      </c>
      <c r="D322" s="325" t="s">
        <v>1249</v>
      </c>
      <c r="E322" s="2">
        <v>6000</v>
      </c>
      <c r="F322" s="2">
        <v>400</v>
      </c>
      <c r="G322" s="60">
        <v>39</v>
      </c>
      <c r="H322" s="303">
        <f t="shared" si="32"/>
        <v>15600</v>
      </c>
      <c r="I322" s="60">
        <v>72</v>
      </c>
      <c r="J322" s="312"/>
      <c r="K322" s="312"/>
      <c r="L322" s="312"/>
      <c r="M322" s="60">
        <f t="shared" si="33"/>
        <v>72</v>
      </c>
      <c r="N322" s="303">
        <f t="shared" si="34"/>
        <v>15672</v>
      </c>
      <c r="O322" s="263" t="s">
        <v>767</v>
      </c>
      <c r="P322" s="304" t="s">
        <v>197</v>
      </c>
    </row>
    <row r="323" spans="2:18" ht="12.75" customHeight="1" x14ac:dyDescent="0.25">
      <c r="B323" s="325" t="s">
        <v>100</v>
      </c>
      <c r="C323" s="325" t="s">
        <v>105</v>
      </c>
      <c r="D323" s="325" t="s">
        <v>1249</v>
      </c>
      <c r="E323" s="2">
        <v>6000</v>
      </c>
      <c r="F323" s="2">
        <v>650</v>
      </c>
      <c r="G323" s="60">
        <v>39</v>
      </c>
      <c r="H323" s="303">
        <f t="shared" si="32"/>
        <v>25350</v>
      </c>
      <c r="I323" s="60">
        <v>117</v>
      </c>
      <c r="J323" s="247">
        <v>80.23</v>
      </c>
      <c r="K323" s="247">
        <f>13+10</f>
        <v>23</v>
      </c>
      <c r="L323" s="247">
        <v>109.12</v>
      </c>
      <c r="M323" s="60">
        <f t="shared" si="33"/>
        <v>329.35</v>
      </c>
      <c r="N323" s="303">
        <f t="shared" si="34"/>
        <v>25679.35</v>
      </c>
      <c r="O323" s="263" t="s">
        <v>767</v>
      </c>
      <c r="P323" s="304" t="s">
        <v>197</v>
      </c>
    </row>
    <row r="324" spans="2:18" ht="12.75" customHeight="1" x14ac:dyDescent="0.25">
      <c r="B324" s="325" t="s">
        <v>41</v>
      </c>
      <c r="C324" s="325" t="s">
        <v>105</v>
      </c>
      <c r="D324" s="325" t="s">
        <v>1245</v>
      </c>
      <c r="E324" s="2">
        <v>5800</v>
      </c>
      <c r="F324" s="2">
        <v>50</v>
      </c>
      <c r="G324" s="60">
        <v>48.5</v>
      </c>
      <c r="H324" s="303">
        <f t="shared" ref="H324:H366" si="35">F324*G324</f>
        <v>2425</v>
      </c>
      <c r="I324" s="60">
        <v>9</v>
      </c>
      <c r="J324" s="312"/>
      <c r="K324" s="312"/>
      <c r="L324" s="312"/>
      <c r="M324" s="60">
        <f t="shared" ref="M324:M332" si="36">SUM(I324:L324)</f>
        <v>9</v>
      </c>
      <c r="N324" s="303">
        <f>H324+M324</f>
        <v>2434</v>
      </c>
      <c r="O324" s="263" t="s">
        <v>42</v>
      </c>
      <c r="P324" s="263" t="s">
        <v>197</v>
      </c>
    </row>
    <row r="325" spans="2:18" ht="12.75" customHeight="1" x14ac:dyDescent="0.25">
      <c r="B325" s="325" t="s">
        <v>41</v>
      </c>
      <c r="C325" s="325" t="s">
        <v>105</v>
      </c>
      <c r="D325" s="325" t="s">
        <v>1245</v>
      </c>
      <c r="E325" s="2">
        <v>5800</v>
      </c>
      <c r="F325" s="2">
        <v>200</v>
      </c>
      <c r="G325" s="60">
        <v>48.5</v>
      </c>
      <c r="H325" s="303">
        <f t="shared" si="35"/>
        <v>9700</v>
      </c>
      <c r="I325" s="60">
        <v>36</v>
      </c>
      <c r="J325" s="312"/>
      <c r="K325" s="312"/>
      <c r="L325" s="312"/>
      <c r="M325" s="60">
        <f t="shared" si="36"/>
        <v>36</v>
      </c>
      <c r="N325" s="303">
        <f t="shared" ref="N325:N332" si="37">H325+M325</f>
        <v>9736</v>
      </c>
      <c r="O325" s="263" t="s">
        <v>42</v>
      </c>
      <c r="P325" s="263" t="s">
        <v>197</v>
      </c>
    </row>
    <row r="326" spans="2:18" ht="12.75" customHeight="1" x14ac:dyDescent="0.25">
      <c r="B326" s="325" t="s">
        <v>41</v>
      </c>
      <c r="C326" s="325" t="s">
        <v>105</v>
      </c>
      <c r="D326" s="325" t="s">
        <v>1245</v>
      </c>
      <c r="E326" s="2">
        <v>5800</v>
      </c>
      <c r="F326" s="2">
        <v>750</v>
      </c>
      <c r="G326" s="60">
        <v>48.5</v>
      </c>
      <c r="H326" s="303">
        <f t="shared" si="35"/>
        <v>36375</v>
      </c>
      <c r="I326" s="60">
        <v>135</v>
      </c>
      <c r="J326" s="312"/>
      <c r="K326" s="312"/>
      <c r="L326" s="312"/>
      <c r="M326" s="60">
        <f t="shared" si="36"/>
        <v>135</v>
      </c>
      <c r="N326" s="303">
        <f t="shared" si="37"/>
        <v>36510</v>
      </c>
      <c r="O326" s="263" t="s">
        <v>42</v>
      </c>
      <c r="P326" s="263" t="s">
        <v>197</v>
      </c>
    </row>
    <row r="327" spans="2:18" ht="13.2" x14ac:dyDescent="0.25">
      <c r="B327" s="325" t="s">
        <v>41</v>
      </c>
      <c r="C327" s="325" t="s">
        <v>105</v>
      </c>
      <c r="D327" s="325" t="s">
        <v>1245</v>
      </c>
      <c r="E327" s="2">
        <v>5800</v>
      </c>
      <c r="F327" s="2">
        <v>100</v>
      </c>
      <c r="G327" s="60">
        <v>46.25</v>
      </c>
      <c r="H327" s="303">
        <f t="shared" si="35"/>
        <v>4625</v>
      </c>
      <c r="I327" s="60">
        <v>18</v>
      </c>
      <c r="J327" s="315"/>
      <c r="K327" s="315"/>
      <c r="L327" s="316"/>
      <c r="M327" s="60">
        <f t="shared" si="36"/>
        <v>18</v>
      </c>
      <c r="N327" s="303">
        <f t="shared" si="37"/>
        <v>4643</v>
      </c>
      <c r="O327" s="263" t="s">
        <v>42</v>
      </c>
      <c r="P327" s="304" t="s">
        <v>197</v>
      </c>
      <c r="R327" s="247"/>
    </row>
    <row r="328" spans="2:18" ht="12.75" customHeight="1" x14ac:dyDescent="0.25">
      <c r="B328" s="325" t="s">
        <v>41</v>
      </c>
      <c r="C328" s="325" t="s">
        <v>105</v>
      </c>
      <c r="D328" s="325" t="s">
        <v>1245</v>
      </c>
      <c r="E328" s="2">
        <v>5800</v>
      </c>
      <c r="F328" s="2">
        <v>50</v>
      </c>
      <c r="G328" s="60">
        <v>46.25</v>
      </c>
      <c r="H328" s="303">
        <f t="shared" si="35"/>
        <v>2312.5</v>
      </c>
      <c r="I328" s="60">
        <v>9</v>
      </c>
      <c r="J328" s="306"/>
      <c r="K328" s="312"/>
      <c r="L328" s="312"/>
      <c r="M328" s="60">
        <f t="shared" si="36"/>
        <v>9</v>
      </c>
      <c r="N328" s="303">
        <f t="shared" si="37"/>
        <v>2321.5</v>
      </c>
      <c r="O328" s="263" t="s">
        <v>42</v>
      </c>
      <c r="P328" s="263" t="s">
        <v>197</v>
      </c>
    </row>
    <row r="329" spans="2:18" ht="12.75" customHeight="1" x14ac:dyDescent="0.25">
      <c r="B329" s="325" t="s">
        <v>41</v>
      </c>
      <c r="C329" s="325" t="s">
        <v>105</v>
      </c>
      <c r="D329" s="325" t="s">
        <v>1245</v>
      </c>
      <c r="E329" s="2">
        <v>5800</v>
      </c>
      <c r="F329" s="2">
        <v>200</v>
      </c>
      <c r="G329" s="60">
        <v>46.3</v>
      </c>
      <c r="H329" s="303">
        <f t="shared" si="35"/>
        <v>9260</v>
      </c>
      <c r="I329" s="60">
        <v>36</v>
      </c>
      <c r="J329" s="312"/>
      <c r="K329" s="312"/>
      <c r="L329" s="312"/>
      <c r="M329" s="60">
        <f t="shared" si="36"/>
        <v>36</v>
      </c>
      <c r="N329" s="303">
        <f t="shared" si="37"/>
        <v>9296</v>
      </c>
      <c r="O329" s="263" t="s">
        <v>42</v>
      </c>
      <c r="P329" s="263" t="s">
        <v>197</v>
      </c>
    </row>
    <row r="330" spans="2:18" ht="12.75" customHeight="1" x14ac:dyDescent="0.25">
      <c r="B330" s="325" t="s">
        <v>41</v>
      </c>
      <c r="C330" s="325" t="s">
        <v>105</v>
      </c>
      <c r="D330" s="325" t="s">
        <v>1245</v>
      </c>
      <c r="E330" s="2">
        <v>5800</v>
      </c>
      <c r="F330" s="2">
        <v>400</v>
      </c>
      <c r="G330" s="60">
        <v>46.3</v>
      </c>
      <c r="H330" s="303">
        <f t="shared" si="35"/>
        <v>18520</v>
      </c>
      <c r="I330" s="60">
        <v>72</v>
      </c>
      <c r="J330" s="312"/>
      <c r="K330" s="312"/>
      <c r="L330" s="312"/>
      <c r="M330" s="60">
        <f t="shared" si="36"/>
        <v>72</v>
      </c>
      <c r="N330" s="303">
        <f t="shared" si="37"/>
        <v>18592</v>
      </c>
      <c r="O330" s="263" t="s">
        <v>42</v>
      </c>
      <c r="P330" s="263" t="s">
        <v>197</v>
      </c>
    </row>
    <row r="331" spans="2:18" ht="12.75" customHeight="1" x14ac:dyDescent="0.25">
      <c r="B331" s="325" t="s">
        <v>41</v>
      </c>
      <c r="C331" s="325" t="s">
        <v>105</v>
      </c>
      <c r="D331" s="325" t="s">
        <v>1245</v>
      </c>
      <c r="E331" s="2">
        <v>5800</v>
      </c>
      <c r="F331" s="2">
        <v>150</v>
      </c>
      <c r="G331" s="60">
        <v>46.35</v>
      </c>
      <c r="H331" s="303">
        <f t="shared" si="35"/>
        <v>6952.5</v>
      </c>
      <c r="I331" s="60">
        <v>27</v>
      </c>
      <c r="J331" s="312"/>
      <c r="K331" s="312"/>
      <c r="L331" s="312"/>
      <c r="M331" s="60">
        <f t="shared" si="36"/>
        <v>27</v>
      </c>
      <c r="N331" s="303">
        <f t="shared" si="37"/>
        <v>6979.5</v>
      </c>
      <c r="O331" s="263" t="s">
        <v>42</v>
      </c>
      <c r="P331" s="263" t="s">
        <v>197</v>
      </c>
    </row>
    <row r="332" spans="2:18" ht="12.75" customHeight="1" x14ac:dyDescent="0.25">
      <c r="B332" s="325" t="s">
        <v>41</v>
      </c>
      <c r="C332" s="325" t="s">
        <v>105</v>
      </c>
      <c r="D332" s="325" t="s">
        <v>1245</v>
      </c>
      <c r="E332" s="2">
        <v>5800</v>
      </c>
      <c r="F332" s="2">
        <v>100</v>
      </c>
      <c r="G332" s="60">
        <v>46.4</v>
      </c>
      <c r="H332" s="303">
        <f t="shared" si="35"/>
        <v>4640</v>
      </c>
      <c r="I332" s="60">
        <v>18</v>
      </c>
      <c r="J332" s="247">
        <v>156.62</v>
      </c>
      <c r="K332" s="247">
        <f>29+17</f>
        <v>46</v>
      </c>
      <c r="L332" s="247">
        <v>187.11</v>
      </c>
      <c r="M332" s="60">
        <f t="shared" si="36"/>
        <v>407.73</v>
      </c>
      <c r="N332" s="303">
        <f t="shared" si="37"/>
        <v>5047.7299999999996</v>
      </c>
      <c r="O332" s="263" t="s">
        <v>42</v>
      </c>
      <c r="P332" s="263" t="s">
        <v>197</v>
      </c>
    </row>
    <row r="333" spans="2:18" ht="12.75" customHeight="1" x14ac:dyDescent="0.25">
      <c r="B333" s="325" t="s">
        <v>2795</v>
      </c>
      <c r="C333" s="325" t="s">
        <v>105</v>
      </c>
      <c r="D333" s="325" t="s">
        <v>1245</v>
      </c>
      <c r="E333" s="2">
        <v>5800</v>
      </c>
      <c r="F333" s="2">
        <v>2000</v>
      </c>
      <c r="G333" s="60">
        <v>38</v>
      </c>
      <c r="H333" s="303">
        <f t="shared" si="35"/>
        <v>76000</v>
      </c>
      <c r="I333" s="60">
        <v>360</v>
      </c>
      <c r="J333" s="439"/>
      <c r="K333" s="439"/>
      <c r="L333" s="439"/>
      <c r="M333" s="60">
        <f t="shared" ref="M333:M341" si="38">SUM(I333:L333)</f>
        <v>360</v>
      </c>
      <c r="N333" s="303">
        <f t="shared" ref="N333:N341" si="39">H333+M333</f>
        <v>76360</v>
      </c>
      <c r="O333" s="249" t="s">
        <v>774</v>
      </c>
      <c r="P333" s="263" t="s">
        <v>197</v>
      </c>
    </row>
    <row r="334" spans="2:18" ht="12.75" customHeight="1" x14ac:dyDescent="0.25">
      <c r="B334" s="325" t="s">
        <v>2795</v>
      </c>
      <c r="C334" s="325" t="s">
        <v>105</v>
      </c>
      <c r="D334" s="325" t="s">
        <v>1245</v>
      </c>
      <c r="E334" s="2">
        <v>5800</v>
      </c>
      <c r="F334" s="2">
        <v>650</v>
      </c>
      <c r="G334" s="60">
        <v>39.299999999999997</v>
      </c>
      <c r="H334" s="303">
        <f t="shared" si="35"/>
        <v>25544.999999999996</v>
      </c>
      <c r="I334" s="60">
        <v>117</v>
      </c>
      <c r="J334" s="439"/>
      <c r="K334" s="439"/>
      <c r="L334" s="439"/>
      <c r="M334" s="60">
        <f t="shared" si="38"/>
        <v>117</v>
      </c>
      <c r="N334" s="303">
        <f t="shared" si="39"/>
        <v>25661.999999999996</v>
      </c>
      <c r="O334" s="249" t="s">
        <v>774</v>
      </c>
      <c r="P334" s="263" t="s">
        <v>197</v>
      </c>
    </row>
    <row r="335" spans="2:18" ht="12.75" customHeight="1" x14ac:dyDescent="0.25">
      <c r="B335" s="325" t="s">
        <v>2795</v>
      </c>
      <c r="C335" s="325" t="s">
        <v>105</v>
      </c>
      <c r="D335" s="325" t="s">
        <v>1245</v>
      </c>
      <c r="E335" s="2">
        <v>5800</v>
      </c>
      <c r="F335" s="2">
        <v>50</v>
      </c>
      <c r="G335" s="60">
        <v>39.299999999999997</v>
      </c>
      <c r="H335" s="303">
        <f t="shared" si="35"/>
        <v>1964.9999999999998</v>
      </c>
      <c r="I335" s="60">
        <v>9</v>
      </c>
      <c r="J335" s="439"/>
      <c r="K335" s="439"/>
      <c r="L335" s="439"/>
      <c r="M335" s="60">
        <f t="shared" si="38"/>
        <v>9</v>
      </c>
      <c r="N335" s="303">
        <f t="shared" si="39"/>
        <v>1973.9999999999998</v>
      </c>
      <c r="O335" s="249" t="s">
        <v>774</v>
      </c>
      <c r="P335" s="263" t="s">
        <v>197</v>
      </c>
    </row>
    <row r="336" spans="2:18" ht="12.75" customHeight="1" x14ac:dyDescent="0.25">
      <c r="B336" s="325" t="s">
        <v>2795</v>
      </c>
      <c r="C336" s="325" t="s">
        <v>105</v>
      </c>
      <c r="D336" s="325" t="s">
        <v>1245</v>
      </c>
      <c r="E336" s="2">
        <v>5800</v>
      </c>
      <c r="F336" s="2">
        <v>50</v>
      </c>
      <c r="G336" s="60">
        <v>39.299999999999997</v>
      </c>
      <c r="H336" s="303">
        <f t="shared" si="35"/>
        <v>1964.9999999999998</v>
      </c>
      <c r="I336" s="60">
        <v>9</v>
      </c>
      <c r="J336" s="439"/>
      <c r="K336" s="439"/>
      <c r="L336" s="439"/>
      <c r="M336" s="60">
        <f t="shared" si="38"/>
        <v>9</v>
      </c>
      <c r="N336" s="303">
        <f t="shared" si="39"/>
        <v>1973.9999999999998</v>
      </c>
      <c r="O336" s="249" t="s">
        <v>774</v>
      </c>
      <c r="P336" s="263" t="s">
        <v>197</v>
      </c>
    </row>
    <row r="337" spans="2:16" ht="12.75" customHeight="1" x14ac:dyDescent="0.25">
      <c r="B337" s="325" t="s">
        <v>2795</v>
      </c>
      <c r="C337" s="325" t="s">
        <v>105</v>
      </c>
      <c r="D337" s="325" t="s">
        <v>1245</v>
      </c>
      <c r="E337" s="2">
        <v>5800</v>
      </c>
      <c r="F337" s="2">
        <v>50</v>
      </c>
      <c r="G337" s="60">
        <v>39.299999999999997</v>
      </c>
      <c r="H337" s="303">
        <f t="shared" si="35"/>
        <v>1964.9999999999998</v>
      </c>
      <c r="I337" s="60">
        <v>9</v>
      </c>
      <c r="J337" s="439"/>
      <c r="K337" s="439"/>
      <c r="L337" s="439"/>
      <c r="M337" s="60">
        <f t="shared" si="38"/>
        <v>9</v>
      </c>
      <c r="N337" s="303">
        <f t="shared" si="39"/>
        <v>1973.9999999999998</v>
      </c>
      <c r="O337" s="249" t="s">
        <v>774</v>
      </c>
      <c r="P337" s="263" t="s">
        <v>197</v>
      </c>
    </row>
    <row r="338" spans="2:16" ht="12.75" customHeight="1" x14ac:dyDescent="0.25">
      <c r="B338" s="325" t="s">
        <v>2795</v>
      </c>
      <c r="C338" s="325" t="s">
        <v>105</v>
      </c>
      <c r="D338" s="325" t="s">
        <v>1245</v>
      </c>
      <c r="E338" s="2">
        <v>5800</v>
      </c>
      <c r="F338" s="2">
        <v>50</v>
      </c>
      <c r="G338" s="60">
        <v>39.299999999999997</v>
      </c>
      <c r="H338" s="303">
        <f t="shared" si="35"/>
        <v>1964.9999999999998</v>
      </c>
      <c r="I338" s="60">
        <v>9</v>
      </c>
      <c r="J338" s="439"/>
      <c r="K338" s="439"/>
      <c r="L338" s="439"/>
      <c r="M338" s="60">
        <f t="shared" si="38"/>
        <v>9</v>
      </c>
      <c r="N338" s="303">
        <f t="shared" si="39"/>
        <v>1973.9999999999998</v>
      </c>
      <c r="O338" s="249" t="s">
        <v>774</v>
      </c>
      <c r="P338" s="263" t="s">
        <v>197</v>
      </c>
    </row>
    <row r="339" spans="2:16" ht="12.75" customHeight="1" x14ac:dyDescent="0.25">
      <c r="B339" s="325" t="s">
        <v>2795</v>
      </c>
      <c r="C339" s="325" t="s">
        <v>105</v>
      </c>
      <c r="D339" s="325" t="s">
        <v>1245</v>
      </c>
      <c r="E339" s="2">
        <v>5800</v>
      </c>
      <c r="F339" s="2">
        <v>50</v>
      </c>
      <c r="G339" s="60">
        <v>39.299999999999997</v>
      </c>
      <c r="H339" s="303">
        <f t="shared" si="35"/>
        <v>1964.9999999999998</v>
      </c>
      <c r="I339" s="60">
        <v>9</v>
      </c>
      <c r="J339" s="439"/>
      <c r="K339" s="439"/>
      <c r="L339" s="439"/>
      <c r="M339" s="60">
        <f t="shared" si="38"/>
        <v>9</v>
      </c>
      <c r="N339" s="303">
        <f t="shared" si="39"/>
        <v>1973.9999999999998</v>
      </c>
      <c r="O339" s="249" t="s">
        <v>774</v>
      </c>
      <c r="P339" s="263" t="s">
        <v>197</v>
      </c>
    </row>
    <row r="340" spans="2:16" ht="12.75" customHeight="1" x14ac:dyDescent="0.25">
      <c r="B340" s="325" t="s">
        <v>2795</v>
      </c>
      <c r="C340" s="325" t="s">
        <v>105</v>
      </c>
      <c r="D340" s="325" t="s">
        <v>1245</v>
      </c>
      <c r="E340" s="2">
        <v>5800</v>
      </c>
      <c r="F340" s="2">
        <v>50</v>
      </c>
      <c r="G340" s="60">
        <v>39.299999999999997</v>
      </c>
      <c r="H340" s="303">
        <f t="shared" si="35"/>
        <v>1964.9999999999998</v>
      </c>
      <c r="I340" s="60">
        <v>9</v>
      </c>
      <c r="J340" s="439"/>
      <c r="K340" s="439"/>
      <c r="L340" s="439"/>
      <c r="M340" s="60">
        <f t="shared" si="38"/>
        <v>9</v>
      </c>
      <c r="N340" s="303">
        <f t="shared" si="39"/>
        <v>1973.9999999999998</v>
      </c>
      <c r="O340" s="249" t="s">
        <v>774</v>
      </c>
      <c r="P340" s="263" t="s">
        <v>197</v>
      </c>
    </row>
    <row r="341" spans="2:16" ht="12.75" customHeight="1" x14ac:dyDescent="0.25">
      <c r="B341" s="325" t="s">
        <v>2795</v>
      </c>
      <c r="C341" s="325" t="s">
        <v>105</v>
      </c>
      <c r="D341" s="325" t="s">
        <v>1245</v>
      </c>
      <c r="E341" s="2">
        <v>5800</v>
      </c>
      <c r="F341" s="2">
        <v>50</v>
      </c>
      <c r="G341" s="60">
        <v>39.299999999999997</v>
      </c>
      <c r="H341" s="303">
        <f t="shared" si="35"/>
        <v>1964.9999999999998</v>
      </c>
      <c r="I341" s="60">
        <v>9</v>
      </c>
      <c r="J341" s="299">
        <v>76.72</v>
      </c>
      <c r="K341" s="299">
        <v>7</v>
      </c>
      <c r="L341" s="247">
        <v>80.709999999999994</v>
      </c>
      <c r="M341" s="60">
        <f t="shared" si="38"/>
        <v>173.43</v>
      </c>
      <c r="N341" s="303">
        <f t="shared" si="39"/>
        <v>2138.4299999999998</v>
      </c>
      <c r="O341" s="249" t="s">
        <v>774</v>
      </c>
      <c r="P341" s="263" t="s">
        <v>197</v>
      </c>
    </row>
    <row r="342" spans="2:16" ht="13.2" x14ac:dyDescent="0.25">
      <c r="B342" s="325" t="s">
        <v>2801</v>
      </c>
      <c r="C342" s="325" t="s">
        <v>105</v>
      </c>
      <c r="D342" s="325" t="s">
        <v>1245</v>
      </c>
      <c r="E342" s="2">
        <v>6000</v>
      </c>
      <c r="F342" s="2">
        <v>150</v>
      </c>
      <c r="G342" s="60">
        <v>99</v>
      </c>
      <c r="H342" s="303">
        <f t="shared" si="35"/>
        <v>14850</v>
      </c>
      <c r="I342" s="60">
        <v>27</v>
      </c>
      <c r="J342" s="442"/>
      <c r="K342" s="443"/>
      <c r="L342" s="442"/>
      <c r="M342" s="60">
        <f t="shared" ref="M342:M353" si="40">SUM(I342:L342)</f>
        <v>27</v>
      </c>
      <c r="N342" s="303">
        <f t="shared" ref="N342:N353" si="41">H342+M342</f>
        <v>14877</v>
      </c>
      <c r="O342" s="319" t="s">
        <v>2807</v>
      </c>
      <c r="P342" s="263" t="s">
        <v>197</v>
      </c>
    </row>
    <row r="343" spans="2:16" ht="12.75" customHeight="1" x14ac:dyDescent="0.25">
      <c r="B343" s="325" t="s">
        <v>2801</v>
      </c>
      <c r="C343" s="325" t="s">
        <v>105</v>
      </c>
      <c r="D343" s="325" t="s">
        <v>1245</v>
      </c>
      <c r="E343" s="2">
        <v>6000</v>
      </c>
      <c r="F343" s="2">
        <v>50</v>
      </c>
      <c r="G343" s="60">
        <v>99</v>
      </c>
      <c r="H343" s="303">
        <f t="shared" si="35"/>
        <v>4950</v>
      </c>
      <c r="I343" s="60">
        <v>9</v>
      </c>
      <c r="J343" s="440"/>
      <c r="K343" s="440"/>
      <c r="L343" s="439"/>
      <c r="M343" s="60">
        <f t="shared" si="40"/>
        <v>9</v>
      </c>
      <c r="N343" s="303">
        <f t="shared" si="41"/>
        <v>4959</v>
      </c>
      <c r="O343" s="319" t="s">
        <v>2807</v>
      </c>
      <c r="P343" s="263" t="s">
        <v>197</v>
      </c>
    </row>
    <row r="344" spans="2:16" ht="12.75" customHeight="1" x14ac:dyDescent="0.25">
      <c r="B344" s="325" t="s">
        <v>2801</v>
      </c>
      <c r="C344" s="325" t="s">
        <v>105</v>
      </c>
      <c r="D344" s="325" t="s">
        <v>1245</v>
      </c>
      <c r="E344" s="2">
        <v>6000</v>
      </c>
      <c r="F344" s="2">
        <v>50</v>
      </c>
      <c r="G344" s="60">
        <v>99</v>
      </c>
      <c r="H344" s="303">
        <f t="shared" si="35"/>
        <v>4950</v>
      </c>
      <c r="I344" s="60">
        <v>9</v>
      </c>
      <c r="J344" s="439"/>
      <c r="K344" s="439"/>
      <c r="L344" s="439"/>
      <c r="M344" s="60">
        <f t="shared" si="40"/>
        <v>9</v>
      </c>
      <c r="N344" s="303">
        <f t="shared" si="41"/>
        <v>4959</v>
      </c>
      <c r="O344" s="319" t="s">
        <v>2807</v>
      </c>
      <c r="P344" s="263" t="s">
        <v>197</v>
      </c>
    </row>
    <row r="345" spans="2:16" ht="12.75" customHeight="1" x14ac:dyDescent="0.25">
      <c r="B345" s="325" t="s">
        <v>2801</v>
      </c>
      <c r="C345" s="325" t="s">
        <v>105</v>
      </c>
      <c r="D345" s="325" t="s">
        <v>1245</v>
      </c>
      <c r="E345" s="2">
        <v>6000</v>
      </c>
      <c r="F345" s="2">
        <v>100</v>
      </c>
      <c r="G345" s="60">
        <v>99</v>
      </c>
      <c r="H345" s="303">
        <f t="shared" si="35"/>
        <v>9900</v>
      </c>
      <c r="I345" s="60">
        <v>18</v>
      </c>
      <c r="J345" s="439"/>
      <c r="K345" s="439"/>
      <c r="L345" s="439"/>
      <c r="M345" s="60">
        <f t="shared" si="40"/>
        <v>18</v>
      </c>
      <c r="N345" s="303">
        <f t="shared" si="41"/>
        <v>9918</v>
      </c>
      <c r="O345" s="319" t="s">
        <v>2807</v>
      </c>
      <c r="P345" s="263" t="s">
        <v>197</v>
      </c>
    </row>
    <row r="346" spans="2:16" ht="12.75" customHeight="1" x14ac:dyDescent="0.25">
      <c r="B346" s="325" t="s">
        <v>2801</v>
      </c>
      <c r="C346" s="325" t="s">
        <v>105</v>
      </c>
      <c r="D346" s="325" t="s">
        <v>1245</v>
      </c>
      <c r="E346" s="2">
        <v>6000</v>
      </c>
      <c r="F346" s="2">
        <v>50</v>
      </c>
      <c r="G346" s="60">
        <v>99</v>
      </c>
      <c r="H346" s="303">
        <f t="shared" si="35"/>
        <v>4950</v>
      </c>
      <c r="I346" s="60">
        <v>9</v>
      </c>
      <c r="J346" s="439"/>
      <c r="K346" s="439"/>
      <c r="L346" s="439"/>
      <c r="M346" s="60">
        <f t="shared" si="40"/>
        <v>9</v>
      </c>
      <c r="N346" s="303">
        <f t="shared" si="41"/>
        <v>4959</v>
      </c>
      <c r="O346" s="319" t="s">
        <v>2807</v>
      </c>
      <c r="P346" s="263" t="s">
        <v>197</v>
      </c>
    </row>
    <row r="347" spans="2:16" ht="12.75" customHeight="1" x14ac:dyDescent="0.25">
      <c r="B347" s="325" t="s">
        <v>2801</v>
      </c>
      <c r="C347" s="325" t="s">
        <v>105</v>
      </c>
      <c r="D347" s="325" t="s">
        <v>1245</v>
      </c>
      <c r="E347" s="2">
        <v>6000</v>
      </c>
      <c r="F347" s="2">
        <v>100</v>
      </c>
      <c r="G347" s="60">
        <v>99</v>
      </c>
      <c r="H347" s="303">
        <f t="shared" si="35"/>
        <v>9900</v>
      </c>
      <c r="I347" s="60">
        <v>18</v>
      </c>
      <c r="J347" s="439"/>
      <c r="K347" s="439"/>
      <c r="L347" s="439"/>
      <c r="M347" s="60">
        <f t="shared" si="40"/>
        <v>18</v>
      </c>
      <c r="N347" s="303">
        <f t="shared" si="41"/>
        <v>9918</v>
      </c>
      <c r="O347" s="319" t="s">
        <v>2807</v>
      </c>
      <c r="P347" s="263" t="s">
        <v>197</v>
      </c>
    </row>
    <row r="348" spans="2:16" ht="12.75" customHeight="1" x14ac:dyDescent="0.25">
      <c r="B348" s="325" t="s">
        <v>2801</v>
      </c>
      <c r="C348" s="325" t="s">
        <v>105</v>
      </c>
      <c r="D348" s="325" t="s">
        <v>1245</v>
      </c>
      <c r="E348" s="2">
        <v>6000</v>
      </c>
      <c r="F348" s="2">
        <v>100</v>
      </c>
      <c r="G348" s="60">
        <v>99</v>
      </c>
      <c r="H348" s="303">
        <f t="shared" si="35"/>
        <v>9900</v>
      </c>
      <c r="I348" s="60">
        <v>18</v>
      </c>
      <c r="J348" s="439"/>
      <c r="K348" s="439"/>
      <c r="L348" s="439"/>
      <c r="M348" s="60">
        <f t="shared" si="40"/>
        <v>18</v>
      </c>
      <c r="N348" s="303">
        <f t="shared" si="41"/>
        <v>9918</v>
      </c>
      <c r="O348" s="319" t="s">
        <v>2807</v>
      </c>
      <c r="P348" s="263" t="s">
        <v>197</v>
      </c>
    </row>
    <row r="349" spans="2:16" ht="12.75" customHeight="1" x14ac:dyDescent="0.25">
      <c r="B349" s="325" t="s">
        <v>2801</v>
      </c>
      <c r="C349" s="325" t="s">
        <v>105</v>
      </c>
      <c r="D349" s="325" t="s">
        <v>1245</v>
      </c>
      <c r="E349" s="2">
        <v>6000</v>
      </c>
      <c r="F349" s="2">
        <v>50</v>
      </c>
      <c r="G349" s="60">
        <v>99</v>
      </c>
      <c r="H349" s="303">
        <f t="shared" si="35"/>
        <v>4950</v>
      </c>
      <c r="I349" s="60">
        <v>9</v>
      </c>
      <c r="J349" s="439"/>
      <c r="K349" s="439"/>
      <c r="L349" s="439"/>
      <c r="M349" s="60">
        <f t="shared" si="40"/>
        <v>9</v>
      </c>
      <c r="N349" s="303">
        <f t="shared" si="41"/>
        <v>4959</v>
      </c>
      <c r="O349" s="319" t="s">
        <v>2807</v>
      </c>
      <c r="P349" s="263" t="s">
        <v>197</v>
      </c>
    </row>
    <row r="350" spans="2:16" ht="12.75" customHeight="1" x14ac:dyDescent="0.25">
      <c r="B350" s="325" t="s">
        <v>2801</v>
      </c>
      <c r="C350" s="325" t="s">
        <v>105</v>
      </c>
      <c r="D350" s="325" t="s">
        <v>1245</v>
      </c>
      <c r="E350" s="2">
        <v>6000</v>
      </c>
      <c r="F350" s="2">
        <v>100</v>
      </c>
      <c r="G350" s="60">
        <v>99</v>
      </c>
      <c r="H350" s="303">
        <f t="shared" si="35"/>
        <v>9900</v>
      </c>
      <c r="I350" s="60">
        <v>18</v>
      </c>
      <c r="J350" s="439"/>
      <c r="K350" s="439"/>
      <c r="L350" s="439"/>
      <c r="M350" s="60">
        <f t="shared" si="40"/>
        <v>18</v>
      </c>
      <c r="N350" s="303">
        <f t="shared" si="41"/>
        <v>9918</v>
      </c>
      <c r="O350" s="319" t="s">
        <v>2807</v>
      </c>
      <c r="P350" s="263" t="s">
        <v>197</v>
      </c>
    </row>
    <row r="351" spans="2:16" ht="12.75" customHeight="1" x14ac:dyDescent="0.25">
      <c r="B351" s="325" t="s">
        <v>2801</v>
      </c>
      <c r="C351" s="325" t="s">
        <v>105</v>
      </c>
      <c r="D351" s="325" t="s">
        <v>1245</v>
      </c>
      <c r="E351" s="2">
        <v>6000</v>
      </c>
      <c r="F351" s="2">
        <v>50</v>
      </c>
      <c r="G351" s="60">
        <v>99</v>
      </c>
      <c r="H351" s="303">
        <f t="shared" si="35"/>
        <v>4950</v>
      </c>
      <c r="I351" s="60">
        <v>9</v>
      </c>
      <c r="J351" s="439"/>
      <c r="K351" s="439"/>
      <c r="L351" s="439"/>
      <c r="M351" s="60">
        <f t="shared" si="40"/>
        <v>9</v>
      </c>
      <c r="N351" s="303">
        <f t="shared" si="41"/>
        <v>4959</v>
      </c>
      <c r="O351" s="319" t="s">
        <v>2807</v>
      </c>
      <c r="P351" s="263" t="s">
        <v>197</v>
      </c>
    </row>
    <row r="352" spans="2:16" ht="12.75" customHeight="1" x14ac:dyDescent="0.25">
      <c r="B352" s="325" t="s">
        <v>2801</v>
      </c>
      <c r="C352" s="325" t="s">
        <v>105</v>
      </c>
      <c r="D352" s="325" t="s">
        <v>1245</v>
      </c>
      <c r="E352" s="2">
        <v>6000</v>
      </c>
      <c r="F352" s="2">
        <v>50</v>
      </c>
      <c r="G352" s="60">
        <v>99</v>
      </c>
      <c r="H352" s="303">
        <f t="shared" si="35"/>
        <v>4950</v>
      </c>
      <c r="I352" s="60">
        <v>9</v>
      </c>
      <c r="J352" s="440"/>
      <c r="K352" s="440"/>
      <c r="L352" s="439"/>
      <c r="M352" s="60">
        <f t="shared" si="40"/>
        <v>9</v>
      </c>
      <c r="N352" s="303">
        <f t="shared" si="41"/>
        <v>4959</v>
      </c>
      <c r="O352" s="319" t="s">
        <v>2807</v>
      </c>
      <c r="P352" s="263" t="s">
        <v>197</v>
      </c>
    </row>
    <row r="353" spans="2:16" ht="13.2" x14ac:dyDescent="0.25">
      <c r="B353" s="325" t="s">
        <v>2801</v>
      </c>
      <c r="C353" s="325" t="s">
        <v>105</v>
      </c>
      <c r="D353" s="325" t="s">
        <v>1245</v>
      </c>
      <c r="E353" s="2">
        <v>6000</v>
      </c>
      <c r="F353" s="2">
        <v>150</v>
      </c>
      <c r="G353" s="60">
        <v>99</v>
      </c>
      <c r="H353" s="303">
        <f t="shared" si="35"/>
        <v>14850</v>
      </c>
      <c r="I353" s="60">
        <v>27</v>
      </c>
      <c r="J353" s="60">
        <v>30.82</v>
      </c>
      <c r="K353" s="299">
        <v>6</v>
      </c>
      <c r="L353" s="60">
        <v>69.3</v>
      </c>
      <c r="M353" s="60">
        <f t="shared" si="40"/>
        <v>133.12</v>
      </c>
      <c r="N353" s="303">
        <f t="shared" si="41"/>
        <v>14983.12</v>
      </c>
      <c r="O353" s="319" t="s">
        <v>2807</v>
      </c>
      <c r="P353" s="263" t="s">
        <v>197</v>
      </c>
    </row>
    <row r="354" spans="2:16" ht="12.75" customHeight="1" x14ac:dyDescent="0.25">
      <c r="B354" s="325" t="s">
        <v>2809</v>
      </c>
      <c r="C354" s="325" t="s">
        <v>105</v>
      </c>
      <c r="D354" s="325" t="s">
        <v>1245</v>
      </c>
      <c r="E354" s="2">
        <v>6000</v>
      </c>
      <c r="F354" s="2">
        <v>500</v>
      </c>
      <c r="G354" s="60">
        <v>68</v>
      </c>
      <c r="H354" s="303">
        <f t="shared" si="35"/>
        <v>34000</v>
      </c>
      <c r="I354" s="60">
        <v>90</v>
      </c>
      <c r="J354" s="299">
        <v>14.06</v>
      </c>
      <c r="K354" s="299">
        <v>3</v>
      </c>
      <c r="L354" s="247">
        <v>23.8</v>
      </c>
      <c r="M354" s="60">
        <f>SUM(I354:L354)</f>
        <v>130.86000000000001</v>
      </c>
      <c r="N354" s="303">
        <f>H354+M354</f>
        <v>34130.86</v>
      </c>
      <c r="O354" s="249" t="s">
        <v>2808</v>
      </c>
      <c r="P354" s="263" t="s">
        <v>197</v>
      </c>
    </row>
    <row r="355" spans="2:16" ht="12.75" customHeight="1" x14ac:dyDescent="0.25">
      <c r="B355" s="325" t="s">
        <v>2812</v>
      </c>
      <c r="C355" s="325" t="s">
        <v>105</v>
      </c>
      <c r="D355" s="325" t="s">
        <v>1245</v>
      </c>
      <c r="E355" s="2">
        <v>5800</v>
      </c>
      <c r="F355" s="2">
        <v>50</v>
      </c>
      <c r="G355" s="60">
        <v>22.3</v>
      </c>
      <c r="H355" s="303">
        <f t="shared" si="35"/>
        <v>1115</v>
      </c>
      <c r="I355" s="60">
        <v>9</v>
      </c>
      <c r="J355" s="439"/>
      <c r="K355" s="439"/>
      <c r="L355" s="439"/>
      <c r="M355" s="60">
        <f t="shared" ref="M355:M360" si="42">SUM(I355:L355)</f>
        <v>9</v>
      </c>
      <c r="N355" s="303">
        <f t="shared" ref="N355:N360" si="43">H355+M355</f>
        <v>1124</v>
      </c>
      <c r="O355" s="249" t="s">
        <v>1629</v>
      </c>
      <c r="P355" s="249" t="s">
        <v>197</v>
      </c>
    </row>
    <row r="356" spans="2:16" ht="12.75" customHeight="1" x14ac:dyDescent="0.25">
      <c r="B356" s="325" t="s">
        <v>2812</v>
      </c>
      <c r="C356" s="325" t="s">
        <v>105</v>
      </c>
      <c r="D356" s="325" t="s">
        <v>1245</v>
      </c>
      <c r="E356" s="2">
        <v>5800</v>
      </c>
      <c r="F356" s="2">
        <v>1500</v>
      </c>
      <c r="G356" s="60">
        <v>22.3</v>
      </c>
      <c r="H356" s="303">
        <f t="shared" si="35"/>
        <v>33450</v>
      </c>
      <c r="I356" s="60">
        <v>270</v>
      </c>
      <c r="J356" s="439"/>
      <c r="K356" s="439"/>
      <c r="L356" s="439"/>
      <c r="M356" s="60">
        <f t="shared" si="42"/>
        <v>270</v>
      </c>
      <c r="N356" s="303">
        <f t="shared" si="43"/>
        <v>33720</v>
      </c>
      <c r="O356" s="249" t="s">
        <v>1629</v>
      </c>
      <c r="P356" s="249" t="s">
        <v>197</v>
      </c>
    </row>
    <row r="357" spans="2:16" ht="12.75" customHeight="1" x14ac:dyDescent="0.25">
      <c r="B357" s="325" t="s">
        <v>2812</v>
      </c>
      <c r="C357" s="325" t="s">
        <v>105</v>
      </c>
      <c r="D357" s="325" t="s">
        <v>1245</v>
      </c>
      <c r="E357" s="2">
        <v>5800</v>
      </c>
      <c r="F357" s="2">
        <v>100</v>
      </c>
      <c r="G357" s="60">
        <v>22.3</v>
      </c>
      <c r="H357" s="303">
        <f t="shared" si="35"/>
        <v>2230</v>
      </c>
      <c r="I357" s="60">
        <v>18</v>
      </c>
      <c r="J357" s="439"/>
      <c r="K357" s="439"/>
      <c r="L357" s="439"/>
      <c r="M357" s="60">
        <f t="shared" si="42"/>
        <v>18</v>
      </c>
      <c r="N357" s="303">
        <f t="shared" si="43"/>
        <v>2248</v>
      </c>
      <c r="O357" s="249" t="s">
        <v>1629</v>
      </c>
      <c r="P357" s="249" t="s">
        <v>197</v>
      </c>
    </row>
    <row r="358" spans="2:16" ht="12.75" customHeight="1" x14ac:dyDescent="0.25">
      <c r="B358" s="325" t="s">
        <v>2812</v>
      </c>
      <c r="C358" s="325" t="s">
        <v>105</v>
      </c>
      <c r="D358" s="325" t="s">
        <v>1245</v>
      </c>
      <c r="E358" s="2">
        <v>5800</v>
      </c>
      <c r="F358" s="2">
        <v>100</v>
      </c>
      <c r="G358" s="60">
        <v>22.3</v>
      </c>
      <c r="H358" s="303">
        <f t="shared" si="35"/>
        <v>2230</v>
      </c>
      <c r="I358" s="60">
        <v>18</v>
      </c>
      <c r="J358" s="439"/>
      <c r="K358" s="439"/>
      <c r="L358" s="439"/>
      <c r="M358" s="60">
        <f t="shared" si="42"/>
        <v>18</v>
      </c>
      <c r="N358" s="303">
        <f t="shared" si="43"/>
        <v>2248</v>
      </c>
      <c r="O358" s="249" t="s">
        <v>1629</v>
      </c>
      <c r="P358" s="249" t="s">
        <v>197</v>
      </c>
    </row>
    <row r="359" spans="2:16" ht="12.75" customHeight="1" x14ac:dyDescent="0.25">
      <c r="B359" s="325" t="s">
        <v>2812</v>
      </c>
      <c r="C359" s="325" t="s">
        <v>105</v>
      </c>
      <c r="D359" s="325" t="s">
        <v>1245</v>
      </c>
      <c r="E359" s="2">
        <v>5800</v>
      </c>
      <c r="F359" s="2">
        <v>500</v>
      </c>
      <c r="G359" s="60">
        <v>22.3</v>
      </c>
      <c r="H359" s="303">
        <f t="shared" si="35"/>
        <v>11150</v>
      </c>
      <c r="I359" s="60">
        <v>90</v>
      </c>
      <c r="J359" s="439"/>
      <c r="K359" s="439"/>
      <c r="L359" s="439"/>
      <c r="M359" s="60">
        <f t="shared" si="42"/>
        <v>90</v>
      </c>
      <c r="N359" s="303">
        <f t="shared" si="43"/>
        <v>11240</v>
      </c>
      <c r="O359" s="249" t="s">
        <v>1629</v>
      </c>
      <c r="P359" s="249" t="s">
        <v>197</v>
      </c>
    </row>
    <row r="360" spans="2:16" ht="12.75" customHeight="1" x14ac:dyDescent="0.25">
      <c r="B360" s="325" t="s">
        <v>2812</v>
      </c>
      <c r="C360" s="325" t="s">
        <v>105</v>
      </c>
      <c r="D360" s="325" t="s">
        <v>1245</v>
      </c>
      <c r="E360" s="2">
        <v>5800</v>
      </c>
      <c r="F360" s="2">
        <v>250</v>
      </c>
      <c r="G360" s="60">
        <v>22.3</v>
      </c>
      <c r="H360" s="303">
        <f t="shared" si="35"/>
        <v>5575</v>
      </c>
      <c r="I360" s="60">
        <v>45</v>
      </c>
      <c r="J360" s="299">
        <v>76.69</v>
      </c>
      <c r="K360" s="299">
        <v>17</v>
      </c>
      <c r="L360" s="247">
        <v>80.47</v>
      </c>
      <c r="M360" s="60">
        <f t="shared" si="42"/>
        <v>219.16</v>
      </c>
      <c r="N360" s="303">
        <f t="shared" si="43"/>
        <v>5794.16</v>
      </c>
      <c r="O360" s="249" t="s">
        <v>1629</v>
      </c>
      <c r="P360" s="263" t="s">
        <v>197</v>
      </c>
    </row>
    <row r="361" spans="2:16" ht="12.75" customHeight="1" x14ac:dyDescent="0.25">
      <c r="B361" s="325" t="s">
        <v>2813</v>
      </c>
      <c r="C361" s="325" t="s">
        <v>2815</v>
      </c>
      <c r="D361" s="325" t="s">
        <v>1249</v>
      </c>
      <c r="E361" s="2">
        <v>120</v>
      </c>
      <c r="F361" s="2">
        <v>4000</v>
      </c>
      <c r="G361" s="60">
        <v>2.4500000000000002</v>
      </c>
      <c r="H361" s="303">
        <f t="shared" si="35"/>
        <v>9800</v>
      </c>
      <c r="I361" s="60">
        <v>9</v>
      </c>
      <c r="J361" s="439"/>
      <c r="K361" s="439"/>
      <c r="L361" s="439"/>
      <c r="M361" s="60">
        <f t="shared" ref="M361:M366" si="44">SUM(I361:L361)</f>
        <v>9</v>
      </c>
      <c r="N361" s="303">
        <f t="shared" ref="N361:N366" si="45">H361+M361</f>
        <v>9809</v>
      </c>
      <c r="O361" s="249" t="s">
        <v>2816</v>
      </c>
      <c r="P361" s="263" t="s">
        <v>197</v>
      </c>
    </row>
    <row r="362" spans="2:16" ht="12.75" customHeight="1" x14ac:dyDescent="0.25">
      <c r="B362" s="325" t="s">
        <v>2813</v>
      </c>
      <c r="C362" s="325" t="s">
        <v>2815</v>
      </c>
      <c r="D362" s="325" t="s">
        <v>1249</v>
      </c>
      <c r="E362" s="2">
        <v>120</v>
      </c>
      <c r="F362" s="2">
        <v>4000</v>
      </c>
      <c r="G362" s="60">
        <v>2.2999999999999998</v>
      </c>
      <c r="H362" s="303">
        <f t="shared" si="35"/>
        <v>9200</v>
      </c>
      <c r="I362" s="60">
        <v>9</v>
      </c>
      <c r="J362" s="439"/>
      <c r="K362" s="439"/>
      <c r="L362" s="439"/>
      <c r="M362" s="60">
        <f t="shared" si="44"/>
        <v>9</v>
      </c>
      <c r="N362" s="303">
        <f t="shared" si="45"/>
        <v>9209</v>
      </c>
      <c r="O362" s="249" t="s">
        <v>2816</v>
      </c>
      <c r="P362" s="263" t="s">
        <v>197</v>
      </c>
    </row>
    <row r="363" spans="2:16" ht="12.75" customHeight="1" x14ac:dyDescent="0.25">
      <c r="B363" s="325" t="s">
        <v>2813</v>
      </c>
      <c r="C363" s="325" t="s">
        <v>2815</v>
      </c>
      <c r="D363" s="325" t="s">
        <v>1249</v>
      </c>
      <c r="E363" s="2">
        <v>120</v>
      </c>
      <c r="F363" s="2">
        <v>4000</v>
      </c>
      <c r="G363" s="60">
        <v>2.2999999999999998</v>
      </c>
      <c r="H363" s="303">
        <f t="shared" si="35"/>
        <v>9200</v>
      </c>
      <c r="I363" s="60">
        <v>9</v>
      </c>
      <c r="J363" s="439"/>
      <c r="K363" s="439"/>
      <c r="L363" s="439"/>
      <c r="M363" s="60">
        <f t="shared" si="44"/>
        <v>9</v>
      </c>
      <c r="N363" s="303">
        <f t="shared" si="45"/>
        <v>9209</v>
      </c>
      <c r="O363" s="249" t="s">
        <v>2816</v>
      </c>
      <c r="P363" s="263" t="s">
        <v>197</v>
      </c>
    </row>
    <row r="364" spans="2:16" ht="13.2" x14ac:dyDescent="0.25">
      <c r="B364" s="325" t="s">
        <v>2813</v>
      </c>
      <c r="C364" s="325" t="s">
        <v>2815</v>
      </c>
      <c r="D364" s="325" t="s">
        <v>1249</v>
      </c>
      <c r="E364" s="2">
        <v>120</v>
      </c>
      <c r="F364" s="2">
        <v>4000</v>
      </c>
      <c r="G364" s="60">
        <v>2.2999999999999998</v>
      </c>
      <c r="H364" s="303">
        <f t="shared" si="35"/>
        <v>9200</v>
      </c>
      <c r="I364" s="60">
        <v>9</v>
      </c>
      <c r="J364" s="439"/>
      <c r="K364" s="439"/>
      <c r="L364" s="439"/>
      <c r="M364" s="60">
        <f t="shared" si="44"/>
        <v>9</v>
      </c>
      <c r="N364" s="303">
        <f t="shared" si="45"/>
        <v>9209</v>
      </c>
      <c r="O364" s="249" t="s">
        <v>2816</v>
      </c>
      <c r="P364" s="263" t="s">
        <v>197</v>
      </c>
    </row>
    <row r="365" spans="2:16" ht="12.75" customHeight="1" x14ac:dyDescent="0.25">
      <c r="B365" s="325" t="s">
        <v>2813</v>
      </c>
      <c r="C365" s="325" t="s">
        <v>2815</v>
      </c>
      <c r="D365" s="325" t="s">
        <v>1249</v>
      </c>
      <c r="E365" s="2">
        <v>120</v>
      </c>
      <c r="F365" s="2">
        <v>4000</v>
      </c>
      <c r="G365" s="60">
        <v>2.4500000000000002</v>
      </c>
      <c r="H365" s="303">
        <f t="shared" si="35"/>
        <v>9800</v>
      </c>
      <c r="I365" s="60">
        <v>9</v>
      </c>
      <c r="J365" s="439"/>
      <c r="K365" s="439"/>
      <c r="L365" s="439"/>
      <c r="M365" s="60">
        <f t="shared" si="44"/>
        <v>9</v>
      </c>
      <c r="N365" s="303">
        <f t="shared" si="45"/>
        <v>9809</v>
      </c>
      <c r="O365" s="249" t="s">
        <v>2816</v>
      </c>
      <c r="P365" s="263" t="s">
        <v>197</v>
      </c>
    </row>
    <row r="366" spans="2:16" ht="12.75" customHeight="1" x14ac:dyDescent="0.25">
      <c r="B366" s="325" t="s">
        <v>2813</v>
      </c>
      <c r="C366" s="325" t="s">
        <v>105</v>
      </c>
      <c r="D366" s="325" t="s">
        <v>1245</v>
      </c>
      <c r="E366" s="2">
        <v>6000</v>
      </c>
      <c r="F366" s="2">
        <v>1000</v>
      </c>
      <c r="G366" s="60">
        <v>76.5</v>
      </c>
      <c r="H366" s="303">
        <f t="shared" si="35"/>
        <v>76500</v>
      </c>
      <c r="I366" s="60">
        <v>180</v>
      </c>
      <c r="J366" s="247">
        <v>38.51</v>
      </c>
      <c r="K366" s="247">
        <v>8</v>
      </c>
      <c r="L366" s="247">
        <v>86.59</v>
      </c>
      <c r="M366" s="60">
        <f t="shared" si="44"/>
        <v>313.10000000000002</v>
      </c>
      <c r="N366" s="303">
        <f t="shared" si="45"/>
        <v>76813.100000000006</v>
      </c>
      <c r="O366" s="249" t="s">
        <v>2816</v>
      </c>
      <c r="P366" s="263" t="s">
        <v>197</v>
      </c>
    </row>
    <row r="367" spans="2:16" ht="12.75" customHeight="1" x14ac:dyDescent="0.25">
      <c r="B367" s="325" t="s">
        <v>2814</v>
      </c>
      <c r="C367" s="325" t="s">
        <v>105</v>
      </c>
      <c r="D367" s="325" t="s">
        <v>1245</v>
      </c>
      <c r="E367" s="2">
        <v>6000</v>
      </c>
      <c r="F367" s="2">
        <v>100</v>
      </c>
      <c r="G367" s="60">
        <v>97</v>
      </c>
      <c r="H367" s="303">
        <f t="shared" ref="H367:H374" si="46">F367*G367</f>
        <v>9700</v>
      </c>
      <c r="I367" s="60">
        <v>18</v>
      </c>
      <c r="J367" s="440"/>
      <c r="K367" s="440"/>
      <c r="L367" s="439"/>
      <c r="M367" s="60">
        <f t="shared" ref="M367:M374" si="47">SUM(I367:L367)</f>
        <v>18</v>
      </c>
      <c r="N367" s="303">
        <f>H367+M367</f>
        <v>9718</v>
      </c>
      <c r="O367" s="249" t="s">
        <v>2817</v>
      </c>
      <c r="P367" s="263" t="s">
        <v>197</v>
      </c>
    </row>
    <row r="368" spans="2:16" ht="13.2" x14ac:dyDescent="0.25">
      <c r="B368" s="325" t="s">
        <v>2814</v>
      </c>
      <c r="C368" s="325" t="s">
        <v>105</v>
      </c>
      <c r="D368" s="325" t="s">
        <v>1245</v>
      </c>
      <c r="E368" s="2">
        <v>6000</v>
      </c>
      <c r="F368" s="2">
        <v>50</v>
      </c>
      <c r="G368" s="60">
        <v>97</v>
      </c>
      <c r="H368" s="303">
        <f t="shared" si="46"/>
        <v>4850</v>
      </c>
      <c r="I368" s="60">
        <v>9</v>
      </c>
      <c r="J368" s="442"/>
      <c r="K368" s="443"/>
      <c r="L368" s="442"/>
      <c r="M368" s="60">
        <f t="shared" si="47"/>
        <v>9</v>
      </c>
      <c r="N368" s="303">
        <f t="shared" ref="N368:N374" si="48">H368+M368</f>
        <v>4859</v>
      </c>
      <c r="O368" s="249" t="s">
        <v>2817</v>
      </c>
      <c r="P368" s="263" t="s">
        <v>197</v>
      </c>
    </row>
    <row r="369" spans="2:18" ht="12.75" customHeight="1" x14ac:dyDescent="0.25">
      <c r="B369" s="325" t="s">
        <v>2814</v>
      </c>
      <c r="C369" s="325" t="s">
        <v>105</v>
      </c>
      <c r="D369" s="325" t="s">
        <v>1245</v>
      </c>
      <c r="E369" s="2">
        <v>6000</v>
      </c>
      <c r="F369" s="2">
        <v>400</v>
      </c>
      <c r="G369" s="60">
        <v>97</v>
      </c>
      <c r="H369" s="303">
        <f t="shared" si="46"/>
        <v>38800</v>
      </c>
      <c r="I369" s="60">
        <v>72</v>
      </c>
      <c r="J369" s="440"/>
      <c r="K369" s="440"/>
      <c r="L369" s="439"/>
      <c r="M369" s="60">
        <f t="shared" si="47"/>
        <v>72</v>
      </c>
      <c r="N369" s="303">
        <f t="shared" si="48"/>
        <v>38872</v>
      </c>
      <c r="O369" s="249" t="s">
        <v>2817</v>
      </c>
      <c r="P369" s="263" t="s">
        <v>197</v>
      </c>
    </row>
    <row r="370" spans="2:18" ht="12.75" customHeight="1" x14ac:dyDescent="0.25">
      <c r="B370" s="325" t="s">
        <v>2814</v>
      </c>
      <c r="C370" s="325" t="s">
        <v>105</v>
      </c>
      <c r="D370" s="325" t="s">
        <v>1245</v>
      </c>
      <c r="E370" s="2">
        <v>6000</v>
      </c>
      <c r="F370" s="2">
        <v>400</v>
      </c>
      <c r="G370" s="60">
        <v>97</v>
      </c>
      <c r="H370" s="303">
        <f t="shared" si="46"/>
        <v>38800</v>
      </c>
      <c r="I370" s="60">
        <v>72</v>
      </c>
      <c r="J370" s="439"/>
      <c r="K370" s="439"/>
      <c r="L370" s="439"/>
      <c r="M370" s="60">
        <f t="shared" si="47"/>
        <v>72</v>
      </c>
      <c r="N370" s="303">
        <f t="shared" si="48"/>
        <v>38872</v>
      </c>
      <c r="O370" s="249" t="s">
        <v>2817</v>
      </c>
      <c r="P370" s="263" t="s">
        <v>197</v>
      </c>
    </row>
    <row r="371" spans="2:18" ht="12.75" customHeight="1" x14ac:dyDescent="0.25">
      <c r="B371" s="325" t="s">
        <v>2814</v>
      </c>
      <c r="C371" s="325" t="s">
        <v>105</v>
      </c>
      <c r="D371" s="325" t="s">
        <v>1245</v>
      </c>
      <c r="E371" s="2">
        <v>6000</v>
      </c>
      <c r="F371" s="2">
        <v>100</v>
      </c>
      <c r="G371" s="60">
        <v>97</v>
      </c>
      <c r="H371" s="303">
        <f t="shared" si="46"/>
        <v>9700</v>
      </c>
      <c r="I371" s="60">
        <v>18</v>
      </c>
      <c r="J371" s="439"/>
      <c r="K371" s="439"/>
      <c r="L371" s="439"/>
      <c r="M371" s="60">
        <f t="shared" si="47"/>
        <v>18</v>
      </c>
      <c r="N371" s="303">
        <f t="shared" si="48"/>
        <v>9718</v>
      </c>
      <c r="O371" s="249" t="s">
        <v>2817</v>
      </c>
      <c r="P371" s="263" t="s">
        <v>197</v>
      </c>
    </row>
    <row r="372" spans="2:18" ht="12.75" customHeight="1" x14ac:dyDescent="0.25">
      <c r="B372" s="325" t="s">
        <v>2814</v>
      </c>
      <c r="C372" s="325" t="s">
        <v>105</v>
      </c>
      <c r="D372" s="325" t="s">
        <v>1245</v>
      </c>
      <c r="E372" s="2">
        <v>6000</v>
      </c>
      <c r="F372" s="2">
        <v>250</v>
      </c>
      <c r="G372" s="60">
        <v>97</v>
      </c>
      <c r="H372" s="303">
        <f t="shared" si="46"/>
        <v>24250</v>
      </c>
      <c r="I372" s="60">
        <v>45</v>
      </c>
      <c r="J372" s="439"/>
      <c r="K372" s="439"/>
      <c r="L372" s="439"/>
      <c r="M372" s="60">
        <f t="shared" si="47"/>
        <v>45</v>
      </c>
      <c r="N372" s="303">
        <f t="shared" si="48"/>
        <v>24295</v>
      </c>
      <c r="O372" s="249" t="s">
        <v>2817</v>
      </c>
      <c r="P372" s="263" t="s">
        <v>197</v>
      </c>
    </row>
    <row r="373" spans="2:18" ht="12.75" customHeight="1" x14ac:dyDescent="0.25">
      <c r="B373" s="325" t="s">
        <v>2814</v>
      </c>
      <c r="C373" s="325" t="s">
        <v>105</v>
      </c>
      <c r="D373" s="325" t="s">
        <v>1245</v>
      </c>
      <c r="E373" s="2">
        <v>6000</v>
      </c>
      <c r="F373" s="2">
        <v>150</v>
      </c>
      <c r="G373" s="60">
        <v>97</v>
      </c>
      <c r="H373" s="303">
        <f t="shared" si="46"/>
        <v>14550</v>
      </c>
      <c r="I373" s="60">
        <v>27</v>
      </c>
      <c r="J373" s="439"/>
      <c r="K373" s="439"/>
      <c r="L373" s="439"/>
      <c r="M373" s="60">
        <f t="shared" si="47"/>
        <v>27</v>
      </c>
      <c r="N373" s="303">
        <f t="shared" si="48"/>
        <v>14577</v>
      </c>
      <c r="O373" s="249" t="s">
        <v>2817</v>
      </c>
      <c r="P373" s="263" t="s">
        <v>197</v>
      </c>
    </row>
    <row r="374" spans="2:18" ht="12.75" customHeight="1" x14ac:dyDescent="0.25">
      <c r="B374" s="325" t="s">
        <v>2814</v>
      </c>
      <c r="C374" s="325" t="s">
        <v>105</v>
      </c>
      <c r="D374" s="325" t="s">
        <v>1245</v>
      </c>
      <c r="E374" s="2">
        <v>6000</v>
      </c>
      <c r="F374" s="2">
        <v>50</v>
      </c>
      <c r="G374" s="60">
        <v>97</v>
      </c>
      <c r="H374" s="303">
        <f t="shared" si="46"/>
        <v>4850</v>
      </c>
      <c r="I374" s="60">
        <v>9</v>
      </c>
      <c r="J374" s="247">
        <v>54.79</v>
      </c>
      <c r="K374" s="247">
        <f>6+11</f>
        <v>17</v>
      </c>
      <c r="L374" s="247">
        <v>128.31</v>
      </c>
      <c r="M374" s="60">
        <f t="shared" si="47"/>
        <v>209.1</v>
      </c>
      <c r="N374" s="303">
        <f t="shared" si="48"/>
        <v>5059.1000000000004</v>
      </c>
      <c r="O374" s="249" t="s">
        <v>2817</v>
      </c>
      <c r="P374" s="263" t="s">
        <v>197</v>
      </c>
    </row>
    <row r="375" spans="2:18" ht="13.2" x14ac:dyDescent="0.25">
      <c r="B375" s="325" t="s">
        <v>2819</v>
      </c>
      <c r="C375" s="325" t="s">
        <v>2818</v>
      </c>
      <c r="D375" s="325" t="s">
        <v>1249</v>
      </c>
      <c r="E375" s="2">
        <v>6000</v>
      </c>
      <c r="F375" s="2">
        <v>200</v>
      </c>
      <c r="G375" s="60">
        <v>79.900000000000006</v>
      </c>
      <c r="H375" s="303">
        <f t="shared" ref="H375:H396" si="49">F375*G375</f>
        <v>15980.000000000002</v>
      </c>
      <c r="I375" s="60">
        <v>36</v>
      </c>
      <c r="J375" s="439"/>
      <c r="K375" s="439"/>
      <c r="L375" s="439"/>
      <c r="M375" s="60">
        <f>SUM(I375:L375)</f>
        <v>36</v>
      </c>
      <c r="N375" s="303">
        <f>H375+M375</f>
        <v>16016.000000000002</v>
      </c>
      <c r="O375" s="249" t="s">
        <v>2071</v>
      </c>
      <c r="P375" s="304" t="s">
        <v>197</v>
      </c>
      <c r="R375" s="247"/>
    </row>
    <row r="376" spans="2:18" ht="12.75" customHeight="1" x14ac:dyDescent="0.25">
      <c r="B376" s="325" t="s">
        <v>2819</v>
      </c>
      <c r="C376" s="325" t="s">
        <v>2818</v>
      </c>
      <c r="D376" s="325" t="s">
        <v>1249</v>
      </c>
      <c r="E376" s="2">
        <v>6000</v>
      </c>
      <c r="F376" s="2">
        <v>750</v>
      </c>
      <c r="G376" s="60">
        <v>79.95</v>
      </c>
      <c r="H376" s="303">
        <f t="shared" si="49"/>
        <v>59962.5</v>
      </c>
      <c r="I376" s="60">
        <v>135</v>
      </c>
      <c r="J376" s="439"/>
      <c r="K376" s="439"/>
      <c r="L376" s="439"/>
      <c r="M376" s="60">
        <f t="shared" ref="M376:M396" si="50">SUM(I376:L376)</f>
        <v>135</v>
      </c>
      <c r="N376" s="303">
        <f t="shared" ref="N376:N396" si="51">H376+M376</f>
        <v>60097.5</v>
      </c>
      <c r="O376" s="249" t="s">
        <v>2071</v>
      </c>
      <c r="P376" s="304" t="s">
        <v>197</v>
      </c>
    </row>
    <row r="377" spans="2:18" ht="12.75" customHeight="1" x14ac:dyDescent="0.25">
      <c r="B377" s="325" t="s">
        <v>2819</v>
      </c>
      <c r="C377" s="325" t="s">
        <v>2818</v>
      </c>
      <c r="D377" s="325" t="s">
        <v>1249</v>
      </c>
      <c r="E377" s="2">
        <v>6000</v>
      </c>
      <c r="F377" s="2">
        <v>150</v>
      </c>
      <c r="G377" s="60">
        <v>80</v>
      </c>
      <c r="H377" s="303">
        <f t="shared" si="49"/>
        <v>12000</v>
      </c>
      <c r="I377" s="60">
        <v>27</v>
      </c>
      <c r="J377" s="439"/>
      <c r="K377" s="439"/>
      <c r="L377" s="439"/>
      <c r="M377" s="60">
        <f t="shared" si="50"/>
        <v>27</v>
      </c>
      <c r="N377" s="303">
        <f t="shared" si="51"/>
        <v>12027</v>
      </c>
      <c r="O377" s="249" t="s">
        <v>2071</v>
      </c>
      <c r="P377" s="304" t="s">
        <v>197</v>
      </c>
    </row>
    <row r="378" spans="2:18" ht="12.75" customHeight="1" x14ac:dyDescent="0.25">
      <c r="B378" s="325" t="s">
        <v>2819</v>
      </c>
      <c r="C378" s="325" t="s">
        <v>2818</v>
      </c>
      <c r="D378" s="325" t="s">
        <v>1249</v>
      </c>
      <c r="E378" s="2">
        <v>6000</v>
      </c>
      <c r="F378" s="2">
        <v>100</v>
      </c>
      <c r="G378" s="60">
        <v>80.05</v>
      </c>
      <c r="H378" s="303">
        <f t="shared" si="49"/>
        <v>8005</v>
      </c>
      <c r="I378" s="60">
        <v>18</v>
      </c>
      <c r="J378" s="439"/>
      <c r="K378" s="439"/>
      <c r="L378" s="439"/>
      <c r="M378" s="60">
        <f t="shared" si="50"/>
        <v>18</v>
      </c>
      <c r="N378" s="303">
        <f t="shared" si="51"/>
        <v>8023</v>
      </c>
      <c r="O378" s="249" t="s">
        <v>2071</v>
      </c>
      <c r="P378" s="304" t="s">
        <v>197</v>
      </c>
    </row>
    <row r="379" spans="2:18" ht="12.75" customHeight="1" x14ac:dyDescent="0.25">
      <c r="B379" s="325" t="s">
        <v>2819</v>
      </c>
      <c r="C379" s="325" t="s">
        <v>2818</v>
      </c>
      <c r="D379" s="325" t="s">
        <v>1249</v>
      </c>
      <c r="E379" s="2">
        <v>6000</v>
      </c>
      <c r="F379" s="2">
        <v>1000</v>
      </c>
      <c r="G379" s="60">
        <v>80.05</v>
      </c>
      <c r="H379" s="303">
        <f t="shared" si="49"/>
        <v>80050</v>
      </c>
      <c r="I379" s="60">
        <v>180</v>
      </c>
      <c r="J379" s="439"/>
      <c r="K379" s="439"/>
      <c r="L379" s="439"/>
      <c r="M379" s="60">
        <f t="shared" si="50"/>
        <v>180</v>
      </c>
      <c r="N379" s="303">
        <f t="shared" si="51"/>
        <v>80230</v>
      </c>
      <c r="O379" s="249" t="s">
        <v>2071</v>
      </c>
      <c r="P379" s="304" t="s">
        <v>197</v>
      </c>
    </row>
    <row r="380" spans="2:18" ht="12.75" customHeight="1" x14ac:dyDescent="0.25">
      <c r="B380" s="325" t="s">
        <v>2819</v>
      </c>
      <c r="C380" s="325" t="s">
        <v>2818</v>
      </c>
      <c r="D380" s="325" t="s">
        <v>1249</v>
      </c>
      <c r="E380" s="2">
        <v>6000</v>
      </c>
      <c r="F380" s="2">
        <v>300</v>
      </c>
      <c r="G380" s="60">
        <v>80.099999999999994</v>
      </c>
      <c r="H380" s="303">
        <f t="shared" si="49"/>
        <v>24030</v>
      </c>
      <c r="I380" s="60">
        <v>54</v>
      </c>
      <c r="J380" s="439"/>
      <c r="K380" s="439"/>
      <c r="L380" s="439"/>
      <c r="M380" s="60">
        <f t="shared" si="50"/>
        <v>54</v>
      </c>
      <c r="N380" s="303">
        <f t="shared" si="51"/>
        <v>24084</v>
      </c>
      <c r="O380" s="249" t="s">
        <v>2071</v>
      </c>
      <c r="P380" s="304" t="s">
        <v>197</v>
      </c>
    </row>
    <row r="381" spans="2:18" ht="12.75" customHeight="1" x14ac:dyDescent="0.25">
      <c r="B381" s="325" t="s">
        <v>2819</v>
      </c>
      <c r="C381" s="325" t="s">
        <v>2815</v>
      </c>
      <c r="D381" s="325" t="s">
        <v>1249</v>
      </c>
      <c r="E381" s="2">
        <v>120</v>
      </c>
      <c r="F381" s="2">
        <v>4000</v>
      </c>
      <c r="G381" s="60">
        <v>1.4</v>
      </c>
      <c r="H381" s="303">
        <f t="shared" si="49"/>
        <v>5600</v>
      </c>
      <c r="I381" s="60">
        <v>9</v>
      </c>
      <c r="J381" s="439"/>
      <c r="K381" s="439"/>
      <c r="L381" s="439"/>
      <c r="M381" s="60">
        <f t="shared" si="50"/>
        <v>9</v>
      </c>
      <c r="N381" s="303">
        <f t="shared" si="51"/>
        <v>5609</v>
      </c>
      <c r="O381" s="249" t="s">
        <v>2071</v>
      </c>
      <c r="P381" s="304" t="s">
        <v>197</v>
      </c>
    </row>
    <row r="382" spans="2:18" ht="12.75" customHeight="1" x14ac:dyDescent="0.25">
      <c r="B382" s="325" t="s">
        <v>2819</v>
      </c>
      <c r="C382" s="325" t="s">
        <v>2815</v>
      </c>
      <c r="D382" s="325" t="s">
        <v>1249</v>
      </c>
      <c r="E382" s="2">
        <v>120</v>
      </c>
      <c r="F382" s="2">
        <v>8000</v>
      </c>
      <c r="G382" s="60">
        <v>1.4</v>
      </c>
      <c r="H382" s="303">
        <f t="shared" si="49"/>
        <v>11200</v>
      </c>
      <c r="I382" s="60">
        <v>18</v>
      </c>
      <c r="J382" s="439"/>
      <c r="K382" s="439"/>
      <c r="L382" s="439"/>
      <c r="M382" s="60">
        <f t="shared" si="50"/>
        <v>18</v>
      </c>
      <c r="N382" s="303">
        <f t="shared" si="51"/>
        <v>11218</v>
      </c>
      <c r="O382" s="249" t="s">
        <v>2071</v>
      </c>
      <c r="P382" s="304" t="s">
        <v>197</v>
      </c>
    </row>
    <row r="383" spans="2:18" ht="12.75" customHeight="1" x14ac:dyDescent="0.25">
      <c r="B383" s="325" t="s">
        <v>2819</v>
      </c>
      <c r="C383" s="325" t="s">
        <v>2818</v>
      </c>
      <c r="D383" s="325" t="s">
        <v>1249</v>
      </c>
      <c r="E383" s="2">
        <v>6100</v>
      </c>
      <c r="F383" s="2">
        <v>250</v>
      </c>
      <c r="G383" s="60">
        <v>46</v>
      </c>
      <c r="H383" s="303">
        <f t="shared" si="49"/>
        <v>11500</v>
      </c>
      <c r="I383" s="60">
        <v>45</v>
      </c>
      <c r="J383" s="439"/>
      <c r="K383" s="439"/>
      <c r="L383" s="439"/>
      <c r="M383" s="60">
        <f t="shared" si="50"/>
        <v>45</v>
      </c>
      <c r="N383" s="303">
        <f t="shared" si="51"/>
        <v>11545</v>
      </c>
      <c r="O383" s="249" t="s">
        <v>2071</v>
      </c>
      <c r="P383" s="304" t="s">
        <v>197</v>
      </c>
    </row>
    <row r="384" spans="2:18" ht="12.75" customHeight="1" x14ac:dyDescent="0.25">
      <c r="B384" s="325" t="s">
        <v>2819</v>
      </c>
      <c r="C384" s="325" t="s">
        <v>2818</v>
      </c>
      <c r="D384" s="325" t="s">
        <v>1249</v>
      </c>
      <c r="E384" s="2">
        <v>6100</v>
      </c>
      <c r="F384" s="2">
        <v>300</v>
      </c>
      <c r="G384" s="60">
        <v>46</v>
      </c>
      <c r="H384" s="303">
        <f t="shared" si="49"/>
        <v>13800</v>
      </c>
      <c r="I384" s="60">
        <v>54</v>
      </c>
      <c r="J384" s="439"/>
      <c r="K384" s="439"/>
      <c r="L384" s="439"/>
      <c r="M384" s="60">
        <f t="shared" si="50"/>
        <v>54</v>
      </c>
      <c r="N384" s="303">
        <f t="shared" si="51"/>
        <v>13854</v>
      </c>
      <c r="O384" s="249" t="s">
        <v>2071</v>
      </c>
      <c r="P384" s="304" t="s">
        <v>197</v>
      </c>
    </row>
    <row r="385" spans="2:18" ht="12.75" customHeight="1" x14ac:dyDescent="0.25">
      <c r="B385" s="325" t="s">
        <v>2819</v>
      </c>
      <c r="C385" s="325" t="s">
        <v>2818</v>
      </c>
      <c r="D385" s="325" t="s">
        <v>1249</v>
      </c>
      <c r="E385" s="2">
        <v>6100</v>
      </c>
      <c r="F385" s="2">
        <v>50</v>
      </c>
      <c r="G385" s="60">
        <v>46</v>
      </c>
      <c r="H385" s="303">
        <f t="shared" si="49"/>
        <v>2300</v>
      </c>
      <c r="I385" s="60">
        <v>9</v>
      </c>
      <c r="J385" s="439"/>
      <c r="K385" s="439"/>
      <c r="L385" s="439"/>
      <c r="M385" s="60">
        <f t="shared" si="50"/>
        <v>9</v>
      </c>
      <c r="N385" s="303">
        <f t="shared" si="51"/>
        <v>2309</v>
      </c>
      <c r="O385" s="249" t="s">
        <v>2071</v>
      </c>
      <c r="P385" s="304" t="s">
        <v>197</v>
      </c>
    </row>
    <row r="386" spans="2:18" ht="13.2" x14ac:dyDescent="0.25">
      <c r="B386" s="325" t="s">
        <v>2819</v>
      </c>
      <c r="C386" s="325" t="s">
        <v>2818</v>
      </c>
      <c r="D386" s="325" t="s">
        <v>1249</v>
      </c>
      <c r="E386" s="2">
        <v>6100</v>
      </c>
      <c r="F386" s="2">
        <v>100</v>
      </c>
      <c r="G386" s="60">
        <v>46</v>
      </c>
      <c r="H386" s="303">
        <f t="shared" si="49"/>
        <v>4600</v>
      </c>
      <c r="I386" s="60">
        <v>18</v>
      </c>
      <c r="J386" s="439"/>
      <c r="K386" s="439"/>
      <c r="L386" s="439"/>
      <c r="M386" s="60">
        <f t="shared" si="50"/>
        <v>18</v>
      </c>
      <c r="N386" s="303">
        <f t="shared" si="51"/>
        <v>4618</v>
      </c>
      <c r="O386" s="249" t="s">
        <v>2071</v>
      </c>
      <c r="P386" s="304" t="s">
        <v>197</v>
      </c>
    </row>
    <row r="387" spans="2:18" ht="12.75" customHeight="1" x14ac:dyDescent="0.25">
      <c r="B387" s="325" t="s">
        <v>2819</v>
      </c>
      <c r="C387" s="325" t="s">
        <v>2818</v>
      </c>
      <c r="D387" s="325" t="s">
        <v>1249</v>
      </c>
      <c r="E387" s="2">
        <v>6100</v>
      </c>
      <c r="F387" s="2">
        <v>50</v>
      </c>
      <c r="G387" s="60">
        <v>46</v>
      </c>
      <c r="H387" s="303">
        <f t="shared" si="49"/>
        <v>2300</v>
      </c>
      <c r="I387" s="60">
        <v>9</v>
      </c>
      <c r="J387" s="439"/>
      <c r="K387" s="439"/>
      <c r="L387" s="439"/>
      <c r="M387" s="60">
        <f t="shared" si="50"/>
        <v>9</v>
      </c>
      <c r="N387" s="303">
        <f t="shared" si="51"/>
        <v>2309</v>
      </c>
      <c r="O387" s="249" t="s">
        <v>2071</v>
      </c>
      <c r="P387" s="304" t="s">
        <v>197</v>
      </c>
    </row>
    <row r="388" spans="2:18" ht="12.75" customHeight="1" x14ac:dyDescent="0.25">
      <c r="B388" s="325" t="s">
        <v>2819</v>
      </c>
      <c r="C388" s="325" t="s">
        <v>2818</v>
      </c>
      <c r="D388" s="325" t="s">
        <v>1249</v>
      </c>
      <c r="E388" s="2">
        <v>6100</v>
      </c>
      <c r="F388" s="2">
        <v>650</v>
      </c>
      <c r="G388" s="60">
        <v>46</v>
      </c>
      <c r="H388" s="303">
        <f t="shared" si="49"/>
        <v>29900</v>
      </c>
      <c r="I388" s="60">
        <v>117</v>
      </c>
      <c r="J388" s="439"/>
      <c r="K388" s="439"/>
      <c r="L388" s="439"/>
      <c r="M388" s="60">
        <f t="shared" si="50"/>
        <v>117</v>
      </c>
      <c r="N388" s="303">
        <f t="shared" si="51"/>
        <v>30017</v>
      </c>
      <c r="O388" s="249" t="s">
        <v>2071</v>
      </c>
      <c r="P388" s="304" t="s">
        <v>197</v>
      </c>
    </row>
    <row r="389" spans="2:18" ht="12.75" customHeight="1" x14ac:dyDescent="0.25">
      <c r="B389" s="325" t="s">
        <v>2819</v>
      </c>
      <c r="C389" s="325" t="s">
        <v>2818</v>
      </c>
      <c r="D389" s="325" t="s">
        <v>1249</v>
      </c>
      <c r="E389" s="2">
        <v>6100</v>
      </c>
      <c r="F389" s="2">
        <v>750</v>
      </c>
      <c r="G389" s="60">
        <v>46</v>
      </c>
      <c r="H389" s="303">
        <f t="shared" si="49"/>
        <v>34500</v>
      </c>
      <c r="I389" s="60">
        <v>135</v>
      </c>
      <c r="J389" s="439"/>
      <c r="K389" s="439"/>
      <c r="L389" s="439"/>
      <c r="M389" s="60">
        <f t="shared" si="50"/>
        <v>135</v>
      </c>
      <c r="N389" s="303">
        <f t="shared" si="51"/>
        <v>34635</v>
      </c>
      <c r="O389" s="249" t="s">
        <v>2071</v>
      </c>
      <c r="P389" s="304" t="s">
        <v>197</v>
      </c>
    </row>
    <row r="390" spans="2:18" ht="12.75" customHeight="1" x14ac:dyDescent="0.25">
      <c r="B390" s="325" t="s">
        <v>2819</v>
      </c>
      <c r="C390" s="325" t="s">
        <v>2818</v>
      </c>
      <c r="D390" s="325" t="s">
        <v>1249</v>
      </c>
      <c r="E390" s="2">
        <v>6100</v>
      </c>
      <c r="F390" s="2">
        <v>100</v>
      </c>
      <c r="G390" s="60">
        <v>46</v>
      </c>
      <c r="H390" s="303">
        <f t="shared" si="49"/>
        <v>4600</v>
      </c>
      <c r="I390" s="60">
        <v>18</v>
      </c>
      <c r="J390" s="439"/>
      <c r="K390" s="439"/>
      <c r="L390" s="439"/>
      <c r="M390" s="60">
        <f t="shared" si="50"/>
        <v>18</v>
      </c>
      <c r="N390" s="303">
        <f t="shared" si="51"/>
        <v>4618</v>
      </c>
      <c r="O390" s="249" t="s">
        <v>2071</v>
      </c>
      <c r="P390" s="304" t="s">
        <v>197</v>
      </c>
    </row>
    <row r="391" spans="2:18" ht="12.75" customHeight="1" x14ac:dyDescent="0.25">
      <c r="B391" s="325" t="s">
        <v>2819</v>
      </c>
      <c r="C391" s="325" t="s">
        <v>2818</v>
      </c>
      <c r="D391" s="325" t="s">
        <v>1249</v>
      </c>
      <c r="E391" s="2">
        <v>6100</v>
      </c>
      <c r="F391" s="2">
        <v>50</v>
      </c>
      <c r="G391" s="60">
        <v>46</v>
      </c>
      <c r="H391" s="303">
        <f t="shared" si="49"/>
        <v>2300</v>
      </c>
      <c r="I391" s="60">
        <v>9</v>
      </c>
      <c r="J391" s="439"/>
      <c r="K391" s="439"/>
      <c r="L391" s="439"/>
      <c r="M391" s="60">
        <f t="shared" si="50"/>
        <v>9</v>
      </c>
      <c r="N391" s="303">
        <f t="shared" si="51"/>
        <v>2309</v>
      </c>
      <c r="O391" s="249" t="s">
        <v>2071</v>
      </c>
      <c r="P391" s="304" t="s">
        <v>197</v>
      </c>
    </row>
    <row r="392" spans="2:18" ht="12.75" customHeight="1" x14ac:dyDescent="0.25">
      <c r="B392" s="325" t="s">
        <v>2819</v>
      </c>
      <c r="C392" s="325" t="s">
        <v>2818</v>
      </c>
      <c r="D392" s="325" t="s">
        <v>1249</v>
      </c>
      <c r="E392" s="2">
        <v>6100</v>
      </c>
      <c r="F392" s="2">
        <v>50</v>
      </c>
      <c r="G392" s="60">
        <v>46</v>
      </c>
      <c r="H392" s="303">
        <f t="shared" si="49"/>
        <v>2300</v>
      </c>
      <c r="I392" s="60">
        <v>9</v>
      </c>
      <c r="J392" s="439"/>
      <c r="K392" s="439"/>
      <c r="L392" s="439"/>
      <c r="M392" s="60">
        <f t="shared" si="50"/>
        <v>9</v>
      </c>
      <c r="N392" s="303">
        <f t="shared" si="51"/>
        <v>2309</v>
      </c>
      <c r="O392" s="249" t="s">
        <v>2071</v>
      </c>
      <c r="P392" s="304" t="s">
        <v>197</v>
      </c>
    </row>
    <row r="393" spans="2:18" ht="12.75" customHeight="1" x14ac:dyDescent="0.25">
      <c r="B393" s="325" t="s">
        <v>2819</v>
      </c>
      <c r="C393" s="325" t="s">
        <v>2818</v>
      </c>
      <c r="D393" s="325" t="s">
        <v>1249</v>
      </c>
      <c r="E393" s="2">
        <v>6100</v>
      </c>
      <c r="F393" s="2">
        <v>100</v>
      </c>
      <c r="G393" s="60">
        <v>46</v>
      </c>
      <c r="H393" s="303">
        <f t="shared" si="49"/>
        <v>4600</v>
      </c>
      <c r="I393" s="60">
        <v>18</v>
      </c>
      <c r="J393" s="439"/>
      <c r="K393" s="439"/>
      <c r="L393" s="439"/>
      <c r="M393" s="60">
        <f t="shared" si="50"/>
        <v>18</v>
      </c>
      <c r="N393" s="303">
        <f t="shared" si="51"/>
        <v>4618</v>
      </c>
      <c r="O393" s="249" t="s">
        <v>2071</v>
      </c>
      <c r="P393" s="304" t="s">
        <v>197</v>
      </c>
    </row>
    <row r="394" spans="2:18" ht="12.75" customHeight="1" x14ac:dyDescent="0.25">
      <c r="B394" s="325" t="s">
        <v>2819</v>
      </c>
      <c r="C394" s="325" t="s">
        <v>2818</v>
      </c>
      <c r="D394" s="325" t="s">
        <v>1249</v>
      </c>
      <c r="E394" s="2">
        <v>6100</v>
      </c>
      <c r="F394" s="2">
        <v>2050</v>
      </c>
      <c r="G394" s="60">
        <v>46</v>
      </c>
      <c r="H394" s="303">
        <f t="shared" si="49"/>
        <v>94300</v>
      </c>
      <c r="I394" s="60">
        <v>369</v>
      </c>
      <c r="J394" s="439"/>
      <c r="K394" s="439"/>
      <c r="L394" s="439"/>
      <c r="M394" s="60">
        <f t="shared" si="50"/>
        <v>369</v>
      </c>
      <c r="N394" s="303">
        <f t="shared" si="51"/>
        <v>94669</v>
      </c>
      <c r="O394" s="249" t="s">
        <v>2071</v>
      </c>
      <c r="P394" s="304" t="s">
        <v>197</v>
      </c>
    </row>
    <row r="395" spans="2:18" ht="13.2" x14ac:dyDescent="0.25">
      <c r="B395" s="325" t="s">
        <v>2819</v>
      </c>
      <c r="C395" s="325" t="s">
        <v>2818</v>
      </c>
      <c r="D395" s="325" t="s">
        <v>1249</v>
      </c>
      <c r="E395" s="2">
        <v>6100</v>
      </c>
      <c r="F395" s="2">
        <v>450</v>
      </c>
      <c r="G395" s="60">
        <v>44.7</v>
      </c>
      <c r="H395" s="303">
        <f t="shared" si="49"/>
        <v>20115</v>
      </c>
      <c r="I395" s="60">
        <v>81</v>
      </c>
      <c r="J395" s="439"/>
      <c r="K395" s="439"/>
      <c r="L395" s="439"/>
      <c r="M395" s="60">
        <f t="shared" si="50"/>
        <v>81</v>
      </c>
      <c r="N395" s="303">
        <f t="shared" si="51"/>
        <v>20196</v>
      </c>
      <c r="O395" s="249" t="s">
        <v>2071</v>
      </c>
      <c r="P395" s="304" t="s">
        <v>197</v>
      </c>
      <c r="R395" s="247"/>
    </row>
    <row r="396" spans="2:18" ht="12.75" customHeight="1" x14ac:dyDescent="0.25">
      <c r="B396" s="325" t="s">
        <v>2819</v>
      </c>
      <c r="C396" s="325" t="s">
        <v>2818</v>
      </c>
      <c r="D396" s="325" t="s">
        <v>1249</v>
      </c>
      <c r="E396" s="2">
        <v>6100</v>
      </c>
      <c r="F396" s="2">
        <v>50</v>
      </c>
      <c r="G396" s="60">
        <v>44.85</v>
      </c>
      <c r="H396" s="303">
        <f t="shared" si="49"/>
        <v>2242.5</v>
      </c>
      <c r="I396" s="60">
        <v>9</v>
      </c>
      <c r="J396" s="300">
        <v>357.14</v>
      </c>
      <c r="K396" s="247">
        <f>73+53</f>
        <v>126</v>
      </c>
      <c r="L396" s="247">
        <v>612.48</v>
      </c>
      <c r="M396" s="60">
        <f t="shared" si="50"/>
        <v>1104.6199999999999</v>
      </c>
      <c r="N396" s="303">
        <f t="shared" si="51"/>
        <v>3347.12</v>
      </c>
      <c r="O396" s="249" t="s">
        <v>2071</v>
      </c>
      <c r="P396" s="304" t="s">
        <v>197</v>
      </c>
    </row>
    <row r="397" spans="2:18" ht="12.75" customHeight="1" x14ac:dyDescent="0.25">
      <c r="B397" s="295" t="s">
        <v>2823</v>
      </c>
      <c r="C397" s="325" t="s">
        <v>2818</v>
      </c>
      <c r="D397" s="325" t="s">
        <v>1245</v>
      </c>
      <c r="E397" s="2">
        <v>6000</v>
      </c>
      <c r="F397" s="2">
        <v>250</v>
      </c>
      <c r="G397" s="60">
        <v>66.849999999999994</v>
      </c>
      <c r="H397" s="303">
        <f t="shared" ref="H397:H417" si="52">F397*G397</f>
        <v>16712.5</v>
      </c>
      <c r="I397" s="60">
        <v>45</v>
      </c>
      <c r="J397" s="439"/>
      <c r="K397" s="439"/>
      <c r="L397" s="439"/>
      <c r="M397" s="60">
        <f t="shared" ref="M397:M403" si="53">SUM(I397:L397)</f>
        <v>45</v>
      </c>
      <c r="N397" s="303">
        <f>H397+M397</f>
        <v>16757.5</v>
      </c>
      <c r="O397" s="249" t="s">
        <v>551</v>
      </c>
      <c r="P397" s="304" t="s">
        <v>197</v>
      </c>
    </row>
    <row r="398" spans="2:18" ht="12.75" customHeight="1" x14ac:dyDescent="0.25">
      <c r="B398" s="295" t="s">
        <v>2823</v>
      </c>
      <c r="C398" s="325" t="s">
        <v>2818</v>
      </c>
      <c r="D398" s="325" t="s">
        <v>1245</v>
      </c>
      <c r="E398" s="2">
        <v>6000</v>
      </c>
      <c r="F398" s="2">
        <v>100</v>
      </c>
      <c r="G398" s="60">
        <v>66.849999999999994</v>
      </c>
      <c r="H398" s="303">
        <f t="shared" si="52"/>
        <v>6684.9999999999991</v>
      </c>
      <c r="I398" s="60">
        <v>18</v>
      </c>
      <c r="J398" s="439"/>
      <c r="K398" s="439"/>
      <c r="L398" s="439"/>
      <c r="M398" s="60">
        <f t="shared" si="53"/>
        <v>18</v>
      </c>
      <c r="N398" s="303">
        <f t="shared" ref="N398:N403" si="54">H398+M398</f>
        <v>6702.9999999999991</v>
      </c>
      <c r="O398" s="249" t="s">
        <v>551</v>
      </c>
      <c r="P398" s="304" t="s">
        <v>197</v>
      </c>
    </row>
    <row r="399" spans="2:18" ht="12.75" customHeight="1" x14ac:dyDescent="0.25">
      <c r="B399" s="295" t="s">
        <v>2823</v>
      </c>
      <c r="C399" s="325" t="s">
        <v>2818</v>
      </c>
      <c r="D399" s="325" t="s">
        <v>1245</v>
      </c>
      <c r="E399" s="2">
        <v>6000</v>
      </c>
      <c r="F399" s="2">
        <v>250</v>
      </c>
      <c r="G399" s="60">
        <v>66.849999999999994</v>
      </c>
      <c r="H399" s="303">
        <f t="shared" si="52"/>
        <v>16712.5</v>
      </c>
      <c r="I399" s="60">
        <v>45</v>
      </c>
      <c r="J399" s="439"/>
      <c r="K399" s="439"/>
      <c r="L399" s="439"/>
      <c r="M399" s="60">
        <f t="shared" si="53"/>
        <v>45</v>
      </c>
      <c r="N399" s="303">
        <f t="shared" si="54"/>
        <v>16757.5</v>
      </c>
      <c r="O399" s="249" t="s">
        <v>551</v>
      </c>
      <c r="P399" s="304" t="s">
        <v>197</v>
      </c>
    </row>
    <row r="400" spans="2:18" ht="12.75" customHeight="1" x14ac:dyDescent="0.25">
      <c r="B400" s="295" t="s">
        <v>2823</v>
      </c>
      <c r="C400" s="325" t="s">
        <v>2818</v>
      </c>
      <c r="D400" s="325" t="s">
        <v>1245</v>
      </c>
      <c r="E400" s="2">
        <v>6000</v>
      </c>
      <c r="F400" s="2">
        <v>400</v>
      </c>
      <c r="G400" s="60">
        <v>66.900000000000006</v>
      </c>
      <c r="H400" s="303">
        <f t="shared" si="52"/>
        <v>26760.000000000004</v>
      </c>
      <c r="I400" s="60">
        <v>72</v>
      </c>
      <c r="J400" s="439"/>
      <c r="K400" s="439"/>
      <c r="L400" s="439"/>
      <c r="M400" s="60">
        <f t="shared" si="53"/>
        <v>72</v>
      </c>
      <c r="N400" s="303">
        <f t="shared" si="54"/>
        <v>26832.000000000004</v>
      </c>
      <c r="O400" s="249" t="s">
        <v>551</v>
      </c>
      <c r="P400" s="304" t="s">
        <v>197</v>
      </c>
    </row>
    <row r="401" spans="2:18" ht="12.75" customHeight="1" x14ac:dyDescent="0.25">
      <c r="B401" s="295" t="s">
        <v>2823</v>
      </c>
      <c r="C401" s="325" t="s">
        <v>2818</v>
      </c>
      <c r="D401" s="325" t="s">
        <v>1245</v>
      </c>
      <c r="E401" s="2">
        <v>6000</v>
      </c>
      <c r="F401" s="2">
        <v>500</v>
      </c>
      <c r="G401" s="60">
        <v>67</v>
      </c>
      <c r="H401" s="303">
        <f t="shared" si="52"/>
        <v>33500</v>
      </c>
      <c r="I401" s="60">
        <v>90</v>
      </c>
      <c r="J401" s="247">
        <v>176.23</v>
      </c>
      <c r="K401" s="247">
        <f>45+22</f>
        <v>67</v>
      </c>
      <c r="L401" s="247">
        <v>255.8</v>
      </c>
      <c r="M401" s="60">
        <f t="shared" si="53"/>
        <v>589.03</v>
      </c>
      <c r="N401" s="303">
        <f t="shared" si="54"/>
        <v>34089.03</v>
      </c>
      <c r="O401" s="249" t="s">
        <v>551</v>
      </c>
      <c r="P401" s="304" t="s">
        <v>197</v>
      </c>
    </row>
    <row r="402" spans="2:18" ht="13.2" x14ac:dyDescent="0.25">
      <c r="B402" s="295" t="s">
        <v>2825</v>
      </c>
      <c r="C402" s="325" t="s">
        <v>2818</v>
      </c>
      <c r="D402" s="325" t="s">
        <v>1245</v>
      </c>
      <c r="E402" s="2">
        <v>6000</v>
      </c>
      <c r="F402" s="2">
        <v>500</v>
      </c>
      <c r="G402" s="60">
        <v>67.400000000000006</v>
      </c>
      <c r="H402" s="303">
        <f t="shared" si="52"/>
        <v>33700</v>
      </c>
      <c r="I402" s="60">
        <v>90</v>
      </c>
      <c r="J402" s="439"/>
      <c r="K402" s="439"/>
      <c r="L402" s="439"/>
      <c r="M402" s="60">
        <f t="shared" si="53"/>
        <v>90</v>
      </c>
      <c r="N402" s="303">
        <f>H402+M402</f>
        <v>33790</v>
      </c>
      <c r="O402" s="249" t="s">
        <v>553</v>
      </c>
      <c r="P402" s="304" t="s">
        <v>197</v>
      </c>
      <c r="R402" s="247"/>
    </row>
    <row r="403" spans="2:18" ht="12.75" customHeight="1" x14ac:dyDescent="0.25">
      <c r="B403" s="295" t="s">
        <v>2825</v>
      </c>
      <c r="C403" s="325" t="s">
        <v>2818</v>
      </c>
      <c r="D403" s="325" t="s">
        <v>1249</v>
      </c>
      <c r="E403" s="2">
        <v>6100</v>
      </c>
      <c r="F403" s="2">
        <v>2000</v>
      </c>
      <c r="G403" s="60">
        <v>52</v>
      </c>
      <c r="H403" s="303">
        <f t="shared" si="52"/>
        <v>104000</v>
      </c>
      <c r="I403" s="60">
        <v>360</v>
      </c>
      <c r="J403" s="299">
        <v>123.21</v>
      </c>
      <c r="K403" s="299">
        <f>22+17</f>
        <v>39</v>
      </c>
      <c r="L403" s="224">
        <v>186.8</v>
      </c>
      <c r="M403" s="60">
        <f t="shared" si="53"/>
        <v>709.01</v>
      </c>
      <c r="N403" s="303">
        <f t="shared" si="54"/>
        <v>104709.01</v>
      </c>
      <c r="O403" s="249" t="s">
        <v>553</v>
      </c>
      <c r="P403" s="249" t="s">
        <v>197</v>
      </c>
    </row>
    <row r="404" spans="2:18" ht="12.75" customHeight="1" x14ac:dyDescent="0.25">
      <c r="B404" s="295" t="s">
        <v>2824</v>
      </c>
      <c r="C404" s="325" t="s">
        <v>2818</v>
      </c>
      <c r="D404" s="325" t="s">
        <v>1249</v>
      </c>
      <c r="E404" s="2">
        <v>6100</v>
      </c>
      <c r="F404" s="2">
        <v>500</v>
      </c>
      <c r="G404" s="60">
        <v>43.55</v>
      </c>
      <c r="H404" s="303">
        <f t="shared" si="52"/>
        <v>21775</v>
      </c>
      <c r="I404" s="60">
        <v>90</v>
      </c>
      <c r="J404" s="439"/>
      <c r="K404" s="439"/>
      <c r="L404" s="439"/>
      <c r="M404" s="60">
        <f t="shared" ref="M404:M417" si="55">SUM(I404:L404)</f>
        <v>90</v>
      </c>
      <c r="N404" s="303">
        <f t="shared" ref="N404:N417" si="56">H404+M404</f>
        <v>21865</v>
      </c>
      <c r="O404" s="249" t="s">
        <v>558</v>
      </c>
      <c r="P404" s="249" t="s">
        <v>197</v>
      </c>
    </row>
    <row r="405" spans="2:18" ht="12.75" customHeight="1" x14ac:dyDescent="0.25">
      <c r="B405" s="295" t="s">
        <v>2824</v>
      </c>
      <c r="C405" s="325" t="s">
        <v>2818</v>
      </c>
      <c r="D405" s="325" t="s">
        <v>1249</v>
      </c>
      <c r="E405" s="2">
        <v>6100</v>
      </c>
      <c r="F405" s="2">
        <v>200</v>
      </c>
      <c r="G405" s="60">
        <v>43.65</v>
      </c>
      <c r="H405" s="303">
        <f t="shared" si="52"/>
        <v>8730</v>
      </c>
      <c r="I405" s="60">
        <v>36</v>
      </c>
      <c r="J405" s="439"/>
      <c r="K405" s="439"/>
      <c r="L405" s="439"/>
      <c r="M405" s="60">
        <f t="shared" si="55"/>
        <v>36</v>
      </c>
      <c r="N405" s="303">
        <f t="shared" si="56"/>
        <v>8766</v>
      </c>
      <c r="O405" s="249" t="s">
        <v>558</v>
      </c>
      <c r="P405" s="249" t="s">
        <v>197</v>
      </c>
    </row>
    <row r="406" spans="2:18" ht="12.75" customHeight="1" x14ac:dyDescent="0.25">
      <c r="B406" s="295" t="s">
        <v>2824</v>
      </c>
      <c r="C406" s="325" t="s">
        <v>2818</v>
      </c>
      <c r="D406" s="325" t="s">
        <v>1249</v>
      </c>
      <c r="E406" s="2">
        <v>6100</v>
      </c>
      <c r="F406" s="2">
        <v>50</v>
      </c>
      <c r="G406" s="60">
        <v>43.65</v>
      </c>
      <c r="H406" s="303">
        <f t="shared" si="52"/>
        <v>2182.5</v>
      </c>
      <c r="I406" s="60">
        <v>9</v>
      </c>
      <c r="J406" s="439"/>
      <c r="K406" s="439"/>
      <c r="L406" s="439"/>
      <c r="M406" s="60">
        <f t="shared" si="55"/>
        <v>9</v>
      </c>
      <c r="N406" s="303">
        <f t="shared" si="56"/>
        <v>2191.5</v>
      </c>
      <c r="O406" s="249" t="s">
        <v>558</v>
      </c>
      <c r="P406" s="249" t="s">
        <v>197</v>
      </c>
    </row>
    <row r="407" spans="2:18" ht="12.75" customHeight="1" x14ac:dyDescent="0.25">
      <c r="B407" s="295" t="s">
        <v>2824</v>
      </c>
      <c r="C407" s="325" t="s">
        <v>2818</v>
      </c>
      <c r="D407" s="325" t="s">
        <v>1249</v>
      </c>
      <c r="E407" s="2">
        <v>6100</v>
      </c>
      <c r="F407" s="2">
        <v>400</v>
      </c>
      <c r="G407" s="60">
        <v>43.65</v>
      </c>
      <c r="H407" s="303">
        <f t="shared" si="52"/>
        <v>17460</v>
      </c>
      <c r="I407" s="60">
        <v>72</v>
      </c>
      <c r="J407" s="439"/>
      <c r="K407" s="439"/>
      <c r="L407" s="439"/>
      <c r="M407" s="60">
        <f t="shared" si="55"/>
        <v>72</v>
      </c>
      <c r="N407" s="303">
        <f t="shared" si="56"/>
        <v>17532</v>
      </c>
      <c r="O407" s="249" t="s">
        <v>558</v>
      </c>
      <c r="P407" s="249" t="s">
        <v>197</v>
      </c>
    </row>
    <row r="408" spans="2:18" ht="12.75" customHeight="1" x14ac:dyDescent="0.25">
      <c r="B408" s="295" t="s">
        <v>2824</v>
      </c>
      <c r="C408" s="325" t="s">
        <v>2818</v>
      </c>
      <c r="D408" s="325" t="s">
        <v>1249</v>
      </c>
      <c r="E408" s="2">
        <v>6100</v>
      </c>
      <c r="F408" s="2">
        <v>200</v>
      </c>
      <c r="G408" s="60">
        <v>43.65</v>
      </c>
      <c r="H408" s="303">
        <f t="shared" si="52"/>
        <v>8730</v>
      </c>
      <c r="I408" s="60">
        <v>36</v>
      </c>
      <c r="J408" s="439"/>
      <c r="K408" s="439"/>
      <c r="L408" s="439"/>
      <c r="M408" s="60">
        <f t="shared" si="55"/>
        <v>36</v>
      </c>
      <c r="N408" s="303">
        <f t="shared" si="56"/>
        <v>8766</v>
      </c>
      <c r="O408" s="249" t="s">
        <v>558</v>
      </c>
      <c r="P408" s="249" t="s">
        <v>197</v>
      </c>
    </row>
    <row r="409" spans="2:18" ht="12.75" customHeight="1" x14ac:dyDescent="0.25">
      <c r="B409" s="295" t="s">
        <v>2824</v>
      </c>
      <c r="C409" s="325" t="s">
        <v>2818</v>
      </c>
      <c r="D409" s="325" t="s">
        <v>1249</v>
      </c>
      <c r="E409" s="2">
        <v>6100</v>
      </c>
      <c r="F409" s="2">
        <v>50</v>
      </c>
      <c r="G409" s="60">
        <v>43.7</v>
      </c>
      <c r="H409" s="303">
        <f t="shared" si="52"/>
        <v>2185</v>
      </c>
      <c r="I409" s="60">
        <v>9</v>
      </c>
      <c r="J409" s="439"/>
      <c r="K409" s="439"/>
      <c r="L409" s="439"/>
      <c r="M409" s="60">
        <f t="shared" si="55"/>
        <v>9</v>
      </c>
      <c r="N409" s="303">
        <f t="shared" si="56"/>
        <v>2194</v>
      </c>
      <c r="O409" s="249" t="s">
        <v>558</v>
      </c>
      <c r="P409" s="249" t="s">
        <v>197</v>
      </c>
    </row>
    <row r="410" spans="2:18" ht="13.2" x14ac:dyDescent="0.25">
      <c r="B410" s="295" t="s">
        <v>2824</v>
      </c>
      <c r="C410" s="325" t="s">
        <v>2818</v>
      </c>
      <c r="D410" s="325" t="s">
        <v>1249</v>
      </c>
      <c r="E410" s="2">
        <v>6100</v>
      </c>
      <c r="F410" s="2">
        <v>1000</v>
      </c>
      <c r="G410" s="60">
        <v>43.7</v>
      </c>
      <c r="H410" s="303">
        <f t="shared" si="52"/>
        <v>43700</v>
      </c>
      <c r="I410" s="60">
        <v>180</v>
      </c>
      <c r="J410" s="439"/>
      <c r="K410" s="439"/>
      <c r="L410" s="439"/>
      <c r="M410" s="60">
        <f t="shared" si="55"/>
        <v>180</v>
      </c>
      <c r="N410" s="303">
        <f t="shared" si="56"/>
        <v>43880</v>
      </c>
      <c r="O410" s="249" t="s">
        <v>558</v>
      </c>
      <c r="P410" s="249" t="s">
        <v>197</v>
      </c>
      <c r="R410" s="247"/>
    </row>
    <row r="411" spans="2:18" ht="12.75" customHeight="1" x14ac:dyDescent="0.25">
      <c r="B411" s="295" t="s">
        <v>2824</v>
      </c>
      <c r="C411" s="325" t="s">
        <v>2818</v>
      </c>
      <c r="D411" s="325" t="s">
        <v>1249</v>
      </c>
      <c r="E411" s="2">
        <v>6100</v>
      </c>
      <c r="F411" s="2">
        <v>600</v>
      </c>
      <c r="G411" s="60">
        <v>43.7</v>
      </c>
      <c r="H411" s="303">
        <f t="shared" si="52"/>
        <v>26220</v>
      </c>
      <c r="I411" s="60">
        <v>108</v>
      </c>
      <c r="J411" s="439"/>
      <c r="K411" s="439"/>
      <c r="L411" s="439"/>
      <c r="M411" s="60">
        <f t="shared" si="55"/>
        <v>108</v>
      </c>
      <c r="N411" s="303">
        <f t="shared" si="56"/>
        <v>26328</v>
      </c>
      <c r="O411" s="249" t="s">
        <v>558</v>
      </c>
      <c r="P411" s="249" t="s">
        <v>197</v>
      </c>
    </row>
    <row r="412" spans="2:18" ht="12.75" customHeight="1" x14ac:dyDescent="0.25">
      <c r="B412" s="295" t="s">
        <v>2824</v>
      </c>
      <c r="C412" s="325" t="s">
        <v>2818</v>
      </c>
      <c r="D412" s="325" t="s">
        <v>1249</v>
      </c>
      <c r="E412" s="2">
        <v>6100</v>
      </c>
      <c r="F412" s="2">
        <v>300</v>
      </c>
      <c r="G412" s="60">
        <v>41.95</v>
      </c>
      <c r="H412" s="303">
        <f t="shared" si="52"/>
        <v>12585</v>
      </c>
      <c r="I412" s="60">
        <v>54</v>
      </c>
      <c r="J412" s="439"/>
      <c r="K412" s="439"/>
      <c r="L412" s="439"/>
      <c r="M412" s="60">
        <f t="shared" si="55"/>
        <v>54</v>
      </c>
      <c r="N412" s="303">
        <f t="shared" si="56"/>
        <v>12639</v>
      </c>
      <c r="O412" s="249" t="s">
        <v>558</v>
      </c>
      <c r="P412" s="249" t="s">
        <v>197</v>
      </c>
    </row>
    <row r="413" spans="2:18" ht="12.75" customHeight="1" x14ac:dyDescent="0.25">
      <c r="B413" s="295" t="s">
        <v>2824</v>
      </c>
      <c r="C413" s="325" t="s">
        <v>2818</v>
      </c>
      <c r="D413" s="325" t="s">
        <v>1249</v>
      </c>
      <c r="E413" s="2">
        <v>6100</v>
      </c>
      <c r="F413" s="2">
        <v>150</v>
      </c>
      <c r="G413" s="60">
        <v>41.95</v>
      </c>
      <c r="H413" s="303">
        <f t="shared" si="52"/>
        <v>6292.5</v>
      </c>
      <c r="I413" s="60">
        <v>27</v>
      </c>
      <c r="J413" s="439"/>
      <c r="K413" s="439"/>
      <c r="L413" s="439"/>
      <c r="M413" s="60">
        <f t="shared" si="55"/>
        <v>27</v>
      </c>
      <c r="N413" s="303">
        <f t="shared" si="56"/>
        <v>6319.5</v>
      </c>
      <c r="O413" s="249" t="s">
        <v>558</v>
      </c>
      <c r="P413" s="249" t="s">
        <v>197</v>
      </c>
    </row>
    <row r="414" spans="2:18" ht="12.75" customHeight="1" x14ac:dyDescent="0.25">
      <c r="B414" s="295" t="s">
        <v>2824</v>
      </c>
      <c r="C414" s="325" t="s">
        <v>2818</v>
      </c>
      <c r="D414" s="325" t="s">
        <v>1249</v>
      </c>
      <c r="E414" s="2">
        <v>6100</v>
      </c>
      <c r="F414" s="2">
        <v>50</v>
      </c>
      <c r="G414" s="60">
        <v>41.95</v>
      </c>
      <c r="H414" s="303">
        <f t="shared" si="52"/>
        <v>2097.5</v>
      </c>
      <c r="I414" s="60">
        <v>9</v>
      </c>
      <c r="J414" s="439"/>
      <c r="K414" s="439"/>
      <c r="L414" s="439"/>
      <c r="M414" s="60">
        <f t="shared" si="55"/>
        <v>9</v>
      </c>
      <c r="N414" s="303">
        <f t="shared" si="56"/>
        <v>2106.5</v>
      </c>
      <c r="O414" s="249" t="s">
        <v>558</v>
      </c>
      <c r="P414" s="249" t="s">
        <v>197</v>
      </c>
    </row>
    <row r="415" spans="2:18" ht="12.75" customHeight="1" x14ac:dyDescent="0.25">
      <c r="B415" s="295" t="s">
        <v>2824</v>
      </c>
      <c r="C415" s="325" t="s">
        <v>2818</v>
      </c>
      <c r="D415" s="325" t="s">
        <v>1249</v>
      </c>
      <c r="E415" s="2">
        <v>6100</v>
      </c>
      <c r="F415" s="2">
        <v>100</v>
      </c>
      <c r="G415" s="60">
        <v>41.95</v>
      </c>
      <c r="H415" s="303">
        <f t="shared" si="52"/>
        <v>4195</v>
      </c>
      <c r="I415" s="60">
        <v>18</v>
      </c>
      <c r="J415" s="439"/>
      <c r="K415" s="439"/>
      <c r="L415" s="439"/>
      <c r="M415" s="60">
        <f t="shared" si="55"/>
        <v>18</v>
      </c>
      <c r="N415" s="303">
        <f t="shared" si="56"/>
        <v>4213</v>
      </c>
      <c r="O415" s="249" t="s">
        <v>558</v>
      </c>
      <c r="P415" s="249" t="s">
        <v>197</v>
      </c>
    </row>
    <row r="416" spans="2:18" ht="12.75" customHeight="1" x14ac:dyDescent="0.25">
      <c r="B416" s="295" t="s">
        <v>2824</v>
      </c>
      <c r="C416" s="325" t="s">
        <v>2818</v>
      </c>
      <c r="D416" s="325" t="s">
        <v>1249</v>
      </c>
      <c r="E416" s="2">
        <v>6100</v>
      </c>
      <c r="F416" s="2">
        <v>2400</v>
      </c>
      <c r="G416" s="60">
        <v>42.1</v>
      </c>
      <c r="H416" s="303">
        <f t="shared" si="52"/>
        <v>101040</v>
      </c>
      <c r="I416" s="60">
        <v>432</v>
      </c>
      <c r="J416" s="439"/>
      <c r="K416" s="439"/>
      <c r="L416" s="439"/>
      <c r="M416" s="60">
        <f t="shared" si="55"/>
        <v>432</v>
      </c>
      <c r="N416" s="303">
        <f t="shared" si="56"/>
        <v>101472</v>
      </c>
      <c r="O416" s="249" t="s">
        <v>558</v>
      </c>
      <c r="P416" s="249" t="s">
        <v>197</v>
      </c>
    </row>
    <row r="417" spans="2:18" ht="12.75" customHeight="1" x14ac:dyDescent="0.25">
      <c r="B417" s="295" t="s">
        <v>2824</v>
      </c>
      <c r="C417" s="325" t="s">
        <v>2818</v>
      </c>
      <c r="D417" s="325" t="s">
        <v>1249</v>
      </c>
      <c r="E417" s="2">
        <v>6100</v>
      </c>
      <c r="F417" s="2">
        <v>500</v>
      </c>
      <c r="G417" s="60">
        <v>40.9</v>
      </c>
      <c r="H417" s="303">
        <f t="shared" si="52"/>
        <v>20450</v>
      </c>
      <c r="I417" s="60">
        <v>90</v>
      </c>
      <c r="J417" s="247">
        <v>168.63</v>
      </c>
      <c r="K417" s="247">
        <v>17</v>
      </c>
      <c r="L417" s="247">
        <v>194.35</v>
      </c>
      <c r="M417" s="60">
        <f t="shared" si="55"/>
        <v>469.98</v>
      </c>
      <c r="N417" s="303">
        <f t="shared" si="56"/>
        <v>20919.98</v>
      </c>
      <c r="O417" s="249" t="s">
        <v>558</v>
      </c>
      <c r="P417" s="249" t="s">
        <v>197</v>
      </c>
    </row>
    <row r="418" spans="2:18" ht="12.75" customHeight="1" x14ac:dyDescent="0.25">
      <c r="B418" s="295" t="s">
        <v>2831</v>
      </c>
      <c r="C418" s="325" t="s">
        <v>2818</v>
      </c>
      <c r="D418" s="325" t="s">
        <v>1249</v>
      </c>
      <c r="E418" s="2">
        <v>6100</v>
      </c>
      <c r="F418" s="2">
        <v>200</v>
      </c>
      <c r="G418" s="60">
        <v>44.95</v>
      </c>
      <c r="H418" s="303">
        <f t="shared" ref="H418:H458" si="57">F418*G418</f>
        <v>8990</v>
      </c>
      <c r="I418" s="60">
        <v>36</v>
      </c>
      <c r="J418" s="444"/>
      <c r="K418" s="444"/>
      <c r="L418" s="444"/>
      <c r="M418" s="60">
        <f t="shared" ref="M418:M428" si="58">SUM(I418:L418)</f>
        <v>36</v>
      </c>
      <c r="N418" s="303">
        <f>H418+M418</f>
        <v>9026</v>
      </c>
      <c r="O418" s="249" t="s">
        <v>2828</v>
      </c>
      <c r="P418" s="249" t="s">
        <v>197</v>
      </c>
    </row>
    <row r="419" spans="2:18" ht="12.75" customHeight="1" x14ac:dyDescent="0.25">
      <c r="B419" s="295" t="s">
        <v>2831</v>
      </c>
      <c r="C419" s="325" t="s">
        <v>2818</v>
      </c>
      <c r="D419" s="325" t="s">
        <v>1249</v>
      </c>
      <c r="E419" s="2">
        <v>6100</v>
      </c>
      <c r="F419" s="2">
        <v>500</v>
      </c>
      <c r="G419" s="60">
        <v>45</v>
      </c>
      <c r="H419" s="303">
        <f t="shared" si="57"/>
        <v>22500</v>
      </c>
      <c r="I419" s="60">
        <v>90</v>
      </c>
      <c r="J419" s="444"/>
      <c r="K419" s="444"/>
      <c r="L419" s="444"/>
      <c r="M419" s="60">
        <f t="shared" si="58"/>
        <v>90</v>
      </c>
      <c r="N419" s="303">
        <f t="shared" ref="N419:N428" si="59">H419+M419</f>
        <v>22590</v>
      </c>
      <c r="O419" s="249" t="s">
        <v>2828</v>
      </c>
      <c r="P419" s="249" t="s">
        <v>197</v>
      </c>
    </row>
    <row r="420" spans="2:18" ht="12.75" customHeight="1" x14ac:dyDescent="0.25">
      <c r="B420" s="295" t="s">
        <v>2831</v>
      </c>
      <c r="C420" s="325" t="s">
        <v>2818</v>
      </c>
      <c r="D420" s="325" t="s">
        <v>1249</v>
      </c>
      <c r="E420" s="2">
        <v>6100</v>
      </c>
      <c r="F420" s="2">
        <v>400</v>
      </c>
      <c r="G420" s="60">
        <v>45.05</v>
      </c>
      <c r="H420" s="303">
        <f t="shared" si="57"/>
        <v>18020</v>
      </c>
      <c r="I420" s="60">
        <v>72</v>
      </c>
      <c r="J420" s="444"/>
      <c r="K420" s="444"/>
      <c r="L420" s="444"/>
      <c r="M420" s="60">
        <f t="shared" si="58"/>
        <v>72</v>
      </c>
      <c r="N420" s="303">
        <f t="shared" si="59"/>
        <v>18092</v>
      </c>
      <c r="O420" s="249" t="s">
        <v>2828</v>
      </c>
      <c r="P420" s="249" t="s">
        <v>197</v>
      </c>
    </row>
    <row r="421" spans="2:18" ht="12.75" customHeight="1" x14ac:dyDescent="0.25">
      <c r="B421" s="295" t="s">
        <v>2831</v>
      </c>
      <c r="C421" s="325" t="s">
        <v>2818</v>
      </c>
      <c r="D421" s="325" t="s">
        <v>1249</v>
      </c>
      <c r="E421" s="2">
        <v>6100</v>
      </c>
      <c r="F421" s="2">
        <v>200</v>
      </c>
      <c r="G421" s="60">
        <v>45.05</v>
      </c>
      <c r="H421" s="303">
        <f t="shared" si="57"/>
        <v>9010</v>
      </c>
      <c r="I421" s="60">
        <v>36</v>
      </c>
      <c r="J421" s="444"/>
      <c r="K421" s="444"/>
      <c r="L421" s="444"/>
      <c r="M421" s="60">
        <f t="shared" si="58"/>
        <v>36</v>
      </c>
      <c r="N421" s="303">
        <f t="shared" si="59"/>
        <v>9046</v>
      </c>
      <c r="O421" s="249" t="s">
        <v>2828</v>
      </c>
      <c r="P421" s="249" t="s">
        <v>197</v>
      </c>
    </row>
    <row r="422" spans="2:18" ht="13.2" x14ac:dyDescent="0.25">
      <c r="B422" s="295" t="s">
        <v>2831</v>
      </c>
      <c r="C422" s="325" t="s">
        <v>2818</v>
      </c>
      <c r="D422" s="325" t="s">
        <v>1249</v>
      </c>
      <c r="E422" s="2">
        <v>6100</v>
      </c>
      <c r="F422" s="2">
        <v>200</v>
      </c>
      <c r="G422" s="60">
        <v>45.05</v>
      </c>
      <c r="H422" s="303">
        <f t="shared" si="57"/>
        <v>9010</v>
      </c>
      <c r="I422" s="60">
        <v>36</v>
      </c>
      <c r="J422" s="444"/>
      <c r="K422" s="444"/>
      <c r="L422" s="444"/>
      <c r="M422" s="60">
        <f t="shared" si="58"/>
        <v>36</v>
      </c>
      <c r="N422" s="303">
        <f t="shared" si="59"/>
        <v>9046</v>
      </c>
      <c r="O422" s="249" t="s">
        <v>2828</v>
      </c>
      <c r="P422" s="304" t="s">
        <v>197</v>
      </c>
      <c r="R422" s="247"/>
    </row>
    <row r="423" spans="2:18" ht="12.75" customHeight="1" x14ac:dyDescent="0.25">
      <c r="B423" s="295" t="s">
        <v>2831</v>
      </c>
      <c r="C423" s="325" t="s">
        <v>2818</v>
      </c>
      <c r="D423" s="325" t="s">
        <v>1249</v>
      </c>
      <c r="E423" s="2">
        <v>6100</v>
      </c>
      <c r="F423" s="2">
        <v>100</v>
      </c>
      <c r="G423" s="60">
        <v>45.1</v>
      </c>
      <c r="H423" s="303">
        <f t="shared" si="57"/>
        <v>4510</v>
      </c>
      <c r="I423" s="60">
        <v>18</v>
      </c>
      <c r="J423" s="444"/>
      <c r="K423" s="444"/>
      <c r="L423" s="444"/>
      <c r="M423" s="60">
        <f t="shared" si="58"/>
        <v>18</v>
      </c>
      <c r="N423" s="303">
        <f t="shared" si="59"/>
        <v>4528</v>
      </c>
      <c r="O423" s="249" t="s">
        <v>2828</v>
      </c>
      <c r="P423" s="249" t="s">
        <v>197</v>
      </c>
    </row>
    <row r="424" spans="2:18" ht="12.75" customHeight="1" x14ac:dyDescent="0.25">
      <c r="B424" s="295" t="s">
        <v>2831</v>
      </c>
      <c r="C424" s="325" t="s">
        <v>2818</v>
      </c>
      <c r="D424" s="325" t="s">
        <v>1249</v>
      </c>
      <c r="E424" s="2">
        <v>6100</v>
      </c>
      <c r="F424" s="2">
        <v>400</v>
      </c>
      <c r="G424" s="60">
        <v>45.1</v>
      </c>
      <c r="H424" s="303">
        <f t="shared" si="57"/>
        <v>18040</v>
      </c>
      <c r="I424" s="60">
        <v>72</v>
      </c>
      <c r="J424" s="444"/>
      <c r="K424" s="444"/>
      <c r="L424" s="444"/>
      <c r="M424" s="60">
        <f t="shared" si="58"/>
        <v>72</v>
      </c>
      <c r="N424" s="303">
        <f t="shared" si="59"/>
        <v>18112</v>
      </c>
      <c r="O424" s="249" t="s">
        <v>2828</v>
      </c>
      <c r="P424" s="249" t="s">
        <v>197</v>
      </c>
    </row>
    <row r="425" spans="2:18" ht="12.75" customHeight="1" x14ac:dyDescent="0.25">
      <c r="B425" s="295" t="s">
        <v>2831</v>
      </c>
      <c r="C425" s="325" t="s">
        <v>2818</v>
      </c>
      <c r="D425" s="325" t="s">
        <v>1249</v>
      </c>
      <c r="E425" s="2">
        <v>6100</v>
      </c>
      <c r="F425" s="2">
        <v>300</v>
      </c>
      <c r="G425" s="60">
        <v>45.1</v>
      </c>
      <c r="H425" s="303">
        <f t="shared" si="57"/>
        <v>13530</v>
      </c>
      <c r="I425" s="60">
        <v>54</v>
      </c>
      <c r="J425" s="444"/>
      <c r="K425" s="444"/>
      <c r="L425" s="444"/>
      <c r="M425" s="60">
        <f t="shared" si="58"/>
        <v>54</v>
      </c>
      <c r="N425" s="303">
        <f t="shared" si="59"/>
        <v>13584</v>
      </c>
      <c r="O425" s="249" t="s">
        <v>2828</v>
      </c>
      <c r="P425" s="249" t="s">
        <v>197</v>
      </c>
    </row>
    <row r="426" spans="2:18" ht="12.75" customHeight="1" x14ac:dyDescent="0.25">
      <c r="B426" s="295" t="s">
        <v>2831</v>
      </c>
      <c r="C426" s="325" t="s">
        <v>2818</v>
      </c>
      <c r="D426" s="325" t="s">
        <v>1249</v>
      </c>
      <c r="E426" s="2">
        <v>6100</v>
      </c>
      <c r="F426" s="2">
        <v>150</v>
      </c>
      <c r="G426" s="60">
        <v>45.1</v>
      </c>
      <c r="H426" s="303">
        <f t="shared" si="57"/>
        <v>6765</v>
      </c>
      <c r="I426" s="60">
        <v>27</v>
      </c>
      <c r="J426" s="444"/>
      <c r="K426" s="444"/>
      <c r="L426" s="444"/>
      <c r="M426" s="60">
        <f t="shared" si="58"/>
        <v>27</v>
      </c>
      <c r="N426" s="303">
        <f t="shared" si="59"/>
        <v>6792</v>
      </c>
      <c r="O426" s="249" t="s">
        <v>2828</v>
      </c>
      <c r="P426" s="249" t="s">
        <v>197</v>
      </c>
    </row>
    <row r="427" spans="2:18" ht="12.75" customHeight="1" x14ac:dyDescent="0.25">
      <c r="B427" s="295" t="s">
        <v>2831</v>
      </c>
      <c r="C427" s="325" t="s">
        <v>2818</v>
      </c>
      <c r="D427" s="325" t="s">
        <v>1249</v>
      </c>
      <c r="E427" s="2">
        <v>6100</v>
      </c>
      <c r="F427" s="2">
        <v>300</v>
      </c>
      <c r="G427" s="60">
        <v>45.15</v>
      </c>
      <c r="H427" s="303">
        <f t="shared" si="57"/>
        <v>13545</v>
      </c>
      <c r="I427" s="60">
        <v>54</v>
      </c>
      <c r="J427" s="444"/>
      <c r="K427" s="444"/>
      <c r="L427" s="444"/>
      <c r="M427" s="60">
        <f t="shared" si="58"/>
        <v>54</v>
      </c>
      <c r="N427" s="303">
        <f t="shared" si="59"/>
        <v>13599</v>
      </c>
      <c r="O427" s="249" t="s">
        <v>2828</v>
      </c>
      <c r="P427" s="249" t="s">
        <v>197</v>
      </c>
    </row>
    <row r="428" spans="2:18" ht="12.75" customHeight="1" x14ac:dyDescent="0.25">
      <c r="B428" s="295" t="s">
        <v>2831</v>
      </c>
      <c r="C428" s="325" t="s">
        <v>2818</v>
      </c>
      <c r="D428" s="325" t="s">
        <v>1249</v>
      </c>
      <c r="E428" s="2">
        <v>6100</v>
      </c>
      <c r="F428" s="2">
        <v>250</v>
      </c>
      <c r="G428" s="60">
        <v>45.15</v>
      </c>
      <c r="H428" s="303">
        <f t="shared" si="57"/>
        <v>11287.5</v>
      </c>
      <c r="I428" s="60">
        <v>45</v>
      </c>
      <c r="J428" s="247">
        <v>143.28</v>
      </c>
      <c r="K428" s="247">
        <f>18+15</f>
        <v>33</v>
      </c>
      <c r="L428" s="247">
        <v>169.29</v>
      </c>
      <c r="M428" s="60">
        <f t="shared" si="58"/>
        <v>390.57</v>
      </c>
      <c r="N428" s="303">
        <f t="shared" si="59"/>
        <v>11678.07</v>
      </c>
      <c r="O428" s="249" t="s">
        <v>2828</v>
      </c>
      <c r="P428" s="249" t="s">
        <v>197</v>
      </c>
    </row>
    <row r="429" spans="2:18" ht="13.2" x14ac:dyDescent="0.25">
      <c r="B429" s="295" t="s">
        <v>2833</v>
      </c>
      <c r="C429" s="325" t="s">
        <v>2818</v>
      </c>
      <c r="D429" s="325" t="s">
        <v>1249</v>
      </c>
      <c r="E429" s="2">
        <v>6100</v>
      </c>
      <c r="F429" s="2">
        <v>450</v>
      </c>
      <c r="G429" s="60">
        <v>33.6</v>
      </c>
      <c r="H429" s="303">
        <f t="shared" si="57"/>
        <v>15120</v>
      </c>
      <c r="I429" s="60">
        <v>81</v>
      </c>
      <c r="J429" s="444"/>
      <c r="K429" s="444"/>
      <c r="L429" s="444"/>
      <c r="M429" s="60">
        <f>SUM(I429:L429)</f>
        <v>81</v>
      </c>
      <c r="N429" s="303">
        <f>H429+M429</f>
        <v>15201</v>
      </c>
      <c r="O429" s="304" t="s">
        <v>584</v>
      </c>
      <c r="P429" s="304" t="s">
        <v>197</v>
      </c>
      <c r="R429" s="247"/>
    </row>
    <row r="430" spans="2:18" ht="12.75" customHeight="1" x14ac:dyDescent="0.25">
      <c r="B430" s="295" t="s">
        <v>2833</v>
      </c>
      <c r="C430" s="325" t="s">
        <v>2818</v>
      </c>
      <c r="D430" s="325" t="s">
        <v>1249</v>
      </c>
      <c r="E430" s="2">
        <v>6100</v>
      </c>
      <c r="F430" s="2">
        <v>50</v>
      </c>
      <c r="G430" s="60">
        <v>33.700000000000003</v>
      </c>
      <c r="H430" s="303">
        <f t="shared" si="57"/>
        <v>1685.0000000000002</v>
      </c>
      <c r="I430" s="60">
        <v>9</v>
      </c>
      <c r="J430" s="247">
        <v>12.57</v>
      </c>
      <c r="K430" s="247">
        <v>2</v>
      </c>
      <c r="L430" s="247">
        <v>11.76</v>
      </c>
      <c r="M430" s="60">
        <f>SUM(I430:L430)</f>
        <v>35.33</v>
      </c>
      <c r="N430" s="303">
        <f>H430+M430</f>
        <v>1720.3300000000002</v>
      </c>
      <c r="O430" s="304" t="s">
        <v>584</v>
      </c>
      <c r="P430" s="249" t="s">
        <v>197</v>
      </c>
    </row>
    <row r="431" spans="2:18" ht="12.75" customHeight="1" x14ac:dyDescent="0.25">
      <c r="B431" s="295" t="s">
        <v>2835</v>
      </c>
      <c r="C431" s="325" t="s">
        <v>2818</v>
      </c>
      <c r="D431" s="325" t="s">
        <v>1249</v>
      </c>
      <c r="E431" s="2">
        <v>6200</v>
      </c>
      <c r="F431" s="2">
        <v>850</v>
      </c>
      <c r="G431" s="60">
        <v>5.9</v>
      </c>
      <c r="H431" s="303">
        <f t="shared" si="57"/>
        <v>5015</v>
      </c>
      <c r="I431" s="60">
        <v>153</v>
      </c>
      <c r="J431" s="439"/>
      <c r="K431" s="439"/>
      <c r="L431" s="439"/>
      <c r="M431" s="60">
        <f>SUM(I431:L431)</f>
        <v>153</v>
      </c>
      <c r="N431" s="303">
        <f>H431+M431</f>
        <v>5168</v>
      </c>
      <c r="O431" s="249" t="s">
        <v>2837</v>
      </c>
      <c r="P431" s="249" t="s">
        <v>197</v>
      </c>
    </row>
    <row r="432" spans="2:18" ht="12.75" customHeight="1" x14ac:dyDescent="0.25">
      <c r="B432" s="295" t="s">
        <v>2835</v>
      </c>
      <c r="C432" s="325" t="s">
        <v>2818</v>
      </c>
      <c r="D432" s="325" t="s">
        <v>1249</v>
      </c>
      <c r="E432" s="2">
        <v>6200</v>
      </c>
      <c r="F432" s="2">
        <v>350</v>
      </c>
      <c r="G432" s="60">
        <v>5.9</v>
      </c>
      <c r="H432" s="303">
        <f t="shared" si="57"/>
        <v>2065</v>
      </c>
      <c r="I432" s="60">
        <v>63</v>
      </c>
      <c r="J432" s="247">
        <v>27.31</v>
      </c>
      <c r="K432" s="247">
        <v>1</v>
      </c>
      <c r="L432" s="247">
        <v>4.96</v>
      </c>
      <c r="M432" s="60">
        <f>SUM(I432:L432)</f>
        <v>96.27</v>
      </c>
      <c r="N432" s="303">
        <f>H432+M432</f>
        <v>2161.27</v>
      </c>
      <c r="O432" s="249" t="s">
        <v>2837</v>
      </c>
      <c r="P432" s="249" t="s">
        <v>197</v>
      </c>
    </row>
    <row r="433" spans="2:16" ht="13.2" x14ac:dyDescent="0.25">
      <c r="B433" s="295" t="s">
        <v>2839</v>
      </c>
      <c r="C433" s="325" t="s">
        <v>2843</v>
      </c>
      <c r="D433" s="325" t="s">
        <v>1245</v>
      </c>
      <c r="E433" s="2">
        <v>1500</v>
      </c>
      <c r="F433" s="2">
        <v>250</v>
      </c>
      <c r="G433" s="60">
        <v>9.9</v>
      </c>
      <c r="H433" s="303">
        <f t="shared" si="57"/>
        <v>2475</v>
      </c>
      <c r="I433" s="60">
        <v>9</v>
      </c>
      <c r="J433" s="439"/>
      <c r="K433" s="439"/>
      <c r="L433" s="439"/>
      <c r="M433" s="60">
        <f t="shared" ref="M433:M442" si="60">SUM(I433:L433)</f>
        <v>9</v>
      </c>
      <c r="N433" s="303">
        <f t="shared" ref="N433:N442" si="61">H433+M433</f>
        <v>2484</v>
      </c>
      <c r="O433" s="319" t="s">
        <v>1327</v>
      </c>
      <c r="P433" s="249" t="s">
        <v>197</v>
      </c>
    </row>
    <row r="434" spans="2:16" ht="12.75" customHeight="1" x14ac:dyDescent="0.25">
      <c r="B434" s="295" t="s">
        <v>2844</v>
      </c>
      <c r="C434" s="325" t="s">
        <v>2843</v>
      </c>
      <c r="D434" s="325" t="s">
        <v>1245</v>
      </c>
      <c r="E434" s="2">
        <v>1500</v>
      </c>
      <c r="F434" s="2">
        <v>250</v>
      </c>
      <c r="G434" s="60">
        <v>9.9</v>
      </c>
      <c r="H434" s="303">
        <f t="shared" si="57"/>
        <v>2475</v>
      </c>
      <c r="I434" s="60">
        <v>9</v>
      </c>
      <c r="J434" s="439"/>
      <c r="K434" s="439"/>
      <c r="L434" s="439"/>
      <c r="M434" s="60">
        <f t="shared" si="60"/>
        <v>9</v>
      </c>
      <c r="N434" s="303">
        <f t="shared" si="61"/>
        <v>2484</v>
      </c>
      <c r="O434" s="319" t="s">
        <v>1327</v>
      </c>
      <c r="P434" s="249" t="s">
        <v>197</v>
      </c>
    </row>
    <row r="435" spans="2:16" ht="12.75" customHeight="1" x14ac:dyDescent="0.25">
      <c r="B435" s="295" t="s">
        <v>2846</v>
      </c>
      <c r="C435" s="325" t="s">
        <v>2841</v>
      </c>
      <c r="D435" s="325" t="s">
        <v>1249</v>
      </c>
      <c r="E435" s="2">
        <v>6200</v>
      </c>
      <c r="F435" s="2">
        <v>200</v>
      </c>
      <c r="G435" s="60">
        <v>36.799999999999997</v>
      </c>
      <c r="H435" s="303">
        <f t="shared" si="57"/>
        <v>7359.9999999999991</v>
      </c>
      <c r="I435" s="60">
        <v>36</v>
      </c>
      <c r="J435" s="439"/>
      <c r="K435" s="439"/>
      <c r="L435" s="439"/>
      <c r="M435" s="60">
        <f t="shared" si="60"/>
        <v>36</v>
      </c>
      <c r="N435" s="303">
        <f t="shared" si="61"/>
        <v>7395.9999999999991</v>
      </c>
      <c r="O435" s="319" t="s">
        <v>1327</v>
      </c>
      <c r="P435" s="249" t="s">
        <v>197</v>
      </c>
    </row>
    <row r="436" spans="2:16" ht="12.75" customHeight="1" x14ac:dyDescent="0.25">
      <c r="B436" s="295" t="s">
        <v>2847</v>
      </c>
      <c r="C436" s="325" t="s">
        <v>2841</v>
      </c>
      <c r="D436" s="325" t="s">
        <v>1249</v>
      </c>
      <c r="E436" s="2">
        <v>6200</v>
      </c>
      <c r="F436" s="2">
        <v>50</v>
      </c>
      <c r="G436" s="60">
        <v>36.85</v>
      </c>
      <c r="H436" s="303">
        <f t="shared" si="57"/>
        <v>1842.5</v>
      </c>
      <c r="I436" s="60">
        <v>9</v>
      </c>
      <c r="J436" s="439"/>
      <c r="K436" s="439"/>
      <c r="L436" s="439"/>
      <c r="M436" s="60">
        <f t="shared" si="60"/>
        <v>9</v>
      </c>
      <c r="N436" s="303">
        <f t="shared" si="61"/>
        <v>1851.5</v>
      </c>
      <c r="O436" s="319" t="s">
        <v>1327</v>
      </c>
      <c r="P436" s="249" t="s">
        <v>197</v>
      </c>
    </row>
    <row r="437" spans="2:16" ht="12.75" customHeight="1" x14ac:dyDescent="0.25">
      <c r="B437" s="295" t="s">
        <v>2848</v>
      </c>
      <c r="C437" s="325" t="s">
        <v>2841</v>
      </c>
      <c r="D437" s="325" t="s">
        <v>1249</v>
      </c>
      <c r="E437" s="2">
        <v>6200</v>
      </c>
      <c r="F437" s="2">
        <v>200</v>
      </c>
      <c r="G437" s="60">
        <v>36.9</v>
      </c>
      <c r="H437" s="303">
        <f t="shared" si="57"/>
        <v>7380</v>
      </c>
      <c r="I437" s="60">
        <v>36</v>
      </c>
      <c r="J437" s="439"/>
      <c r="K437" s="439"/>
      <c r="L437" s="439"/>
      <c r="M437" s="60">
        <f t="shared" si="60"/>
        <v>36</v>
      </c>
      <c r="N437" s="303">
        <f t="shared" si="61"/>
        <v>7416</v>
      </c>
      <c r="O437" s="319" t="s">
        <v>1327</v>
      </c>
      <c r="P437" s="249" t="s">
        <v>197</v>
      </c>
    </row>
    <row r="438" spans="2:16" ht="12.75" customHeight="1" x14ac:dyDescent="0.25">
      <c r="B438" s="295" t="s">
        <v>2849</v>
      </c>
      <c r="C438" s="325" t="s">
        <v>2841</v>
      </c>
      <c r="D438" s="325" t="s">
        <v>1249</v>
      </c>
      <c r="E438" s="2">
        <v>6200</v>
      </c>
      <c r="F438" s="2">
        <v>100</v>
      </c>
      <c r="G438" s="60">
        <v>36.9</v>
      </c>
      <c r="H438" s="303">
        <f t="shared" si="57"/>
        <v>3690</v>
      </c>
      <c r="I438" s="60">
        <v>18</v>
      </c>
      <c r="J438" s="439"/>
      <c r="K438" s="439"/>
      <c r="L438" s="439"/>
      <c r="M438" s="60">
        <f t="shared" si="60"/>
        <v>18</v>
      </c>
      <c r="N438" s="303">
        <f t="shared" si="61"/>
        <v>3708</v>
      </c>
      <c r="O438" s="319" t="s">
        <v>1327</v>
      </c>
      <c r="P438" s="249" t="s">
        <v>197</v>
      </c>
    </row>
    <row r="439" spans="2:16" ht="12.75" customHeight="1" x14ac:dyDescent="0.25">
      <c r="B439" s="295" t="s">
        <v>2850</v>
      </c>
      <c r="C439" s="325" t="s">
        <v>2841</v>
      </c>
      <c r="D439" s="325" t="s">
        <v>1249</v>
      </c>
      <c r="E439" s="2">
        <v>6200</v>
      </c>
      <c r="F439" s="2">
        <v>250</v>
      </c>
      <c r="G439" s="60">
        <v>36.950000000000003</v>
      </c>
      <c r="H439" s="303">
        <f t="shared" si="57"/>
        <v>9237.5</v>
      </c>
      <c r="I439" s="60">
        <v>45</v>
      </c>
      <c r="J439" s="439"/>
      <c r="K439" s="439"/>
      <c r="L439" s="439"/>
      <c r="M439" s="60">
        <f t="shared" si="60"/>
        <v>45</v>
      </c>
      <c r="N439" s="303">
        <f t="shared" si="61"/>
        <v>9282.5</v>
      </c>
      <c r="O439" s="319" t="s">
        <v>1327</v>
      </c>
      <c r="P439" s="249" t="s">
        <v>197</v>
      </c>
    </row>
    <row r="440" spans="2:16" ht="12.75" customHeight="1" x14ac:dyDescent="0.25">
      <c r="B440" s="295" t="s">
        <v>2851</v>
      </c>
      <c r="C440" s="325" t="s">
        <v>2841</v>
      </c>
      <c r="D440" s="325" t="s">
        <v>1249</v>
      </c>
      <c r="E440" s="2">
        <v>6200</v>
      </c>
      <c r="F440" s="2">
        <v>200</v>
      </c>
      <c r="G440" s="60">
        <v>36.950000000000003</v>
      </c>
      <c r="H440" s="303">
        <f t="shared" si="57"/>
        <v>7390.0000000000009</v>
      </c>
      <c r="I440" s="60">
        <v>36</v>
      </c>
      <c r="J440" s="439"/>
      <c r="K440" s="439"/>
      <c r="L440" s="439"/>
      <c r="M440" s="60">
        <f t="shared" si="60"/>
        <v>36</v>
      </c>
      <c r="N440" s="303">
        <f t="shared" si="61"/>
        <v>7426.0000000000009</v>
      </c>
      <c r="O440" s="319" t="s">
        <v>1327</v>
      </c>
      <c r="P440" s="249" t="s">
        <v>197</v>
      </c>
    </row>
    <row r="441" spans="2:16" ht="13.2" x14ac:dyDescent="0.25">
      <c r="B441" s="295" t="s">
        <v>2852</v>
      </c>
      <c r="C441" s="325" t="s">
        <v>2840</v>
      </c>
      <c r="D441" s="325" t="s">
        <v>1249</v>
      </c>
      <c r="E441" s="2">
        <v>120</v>
      </c>
      <c r="F441" s="2">
        <v>4000</v>
      </c>
      <c r="G441" s="60">
        <v>1</v>
      </c>
      <c r="H441" s="303">
        <f t="shared" si="57"/>
        <v>4000</v>
      </c>
      <c r="I441" s="60">
        <v>9</v>
      </c>
      <c r="J441" s="439"/>
      <c r="K441" s="439"/>
      <c r="L441" s="439"/>
      <c r="M441" s="60">
        <f t="shared" si="60"/>
        <v>9</v>
      </c>
      <c r="N441" s="303">
        <f t="shared" si="61"/>
        <v>4009</v>
      </c>
      <c r="O441" s="319" t="s">
        <v>1327</v>
      </c>
      <c r="P441" s="249" t="s">
        <v>197</v>
      </c>
    </row>
    <row r="442" spans="2:16" ht="12.75" customHeight="1" x14ac:dyDescent="0.25">
      <c r="B442" s="295" t="s">
        <v>2853</v>
      </c>
      <c r="C442" s="325" t="s">
        <v>2840</v>
      </c>
      <c r="D442" s="325" t="s">
        <v>1249</v>
      </c>
      <c r="E442" s="2">
        <v>120</v>
      </c>
      <c r="F442" s="2">
        <v>8000</v>
      </c>
      <c r="G442" s="60">
        <v>1</v>
      </c>
      <c r="H442" s="303">
        <f t="shared" si="57"/>
        <v>8000</v>
      </c>
      <c r="I442" s="60">
        <v>18</v>
      </c>
      <c r="J442" s="299">
        <v>34.950000000000003</v>
      </c>
      <c r="K442" s="299">
        <v>5</v>
      </c>
      <c r="L442" s="247">
        <v>39.83</v>
      </c>
      <c r="M442" s="60">
        <f t="shared" si="60"/>
        <v>97.78</v>
      </c>
      <c r="N442" s="303">
        <f t="shared" si="61"/>
        <v>8097.78</v>
      </c>
      <c r="O442" s="319" t="s">
        <v>1327</v>
      </c>
      <c r="P442" s="249" t="s">
        <v>197</v>
      </c>
    </row>
    <row r="443" spans="2:16" ht="12.75" customHeight="1" x14ac:dyDescent="0.25">
      <c r="B443" s="295" t="s">
        <v>2842</v>
      </c>
      <c r="C443" s="325" t="s">
        <v>2840</v>
      </c>
      <c r="D443" s="325" t="s">
        <v>1249</v>
      </c>
      <c r="E443" s="2">
        <v>120</v>
      </c>
      <c r="F443" s="2">
        <v>4000</v>
      </c>
      <c r="G443" s="60">
        <v>0.9</v>
      </c>
      <c r="H443" s="303">
        <f t="shared" si="57"/>
        <v>3600</v>
      </c>
      <c r="I443" s="60">
        <v>9</v>
      </c>
      <c r="J443" s="439"/>
      <c r="K443" s="439"/>
      <c r="L443" s="439"/>
      <c r="M443" s="60">
        <f t="shared" ref="M443:M452" si="62">SUM(I443:L443)</f>
        <v>9</v>
      </c>
      <c r="N443" s="303">
        <f t="shared" ref="N443:N452" si="63">H443+M443</f>
        <v>3609</v>
      </c>
      <c r="O443" s="249" t="s">
        <v>379</v>
      </c>
      <c r="P443" s="249" t="s">
        <v>197</v>
      </c>
    </row>
    <row r="444" spans="2:16" ht="12.75" customHeight="1" x14ac:dyDescent="0.25">
      <c r="B444" s="295" t="s">
        <v>2842</v>
      </c>
      <c r="C444" s="325" t="s">
        <v>2841</v>
      </c>
      <c r="D444" s="325" t="s">
        <v>1249</v>
      </c>
      <c r="E444" s="2">
        <v>6200</v>
      </c>
      <c r="F444" s="2">
        <v>1000</v>
      </c>
      <c r="G444" s="60">
        <v>25</v>
      </c>
      <c r="H444" s="303">
        <f t="shared" si="57"/>
        <v>25000</v>
      </c>
      <c r="I444" s="60">
        <v>180</v>
      </c>
      <c r="J444" s="247">
        <v>25.83</v>
      </c>
      <c r="K444" s="247">
        <v>2</v>
      </c>
      <c r="L444" s="247">
        <v>20.02</v>
      </c>
      <c r="M444" s="60">
        <f t="shared" si="62"/>
        <v>227.85</v>
      </c>
      <c r="N444" s="303">
        <f t="shared" si="63"/>
        <v>25227.85</v>
      </c>
      <c r="O444" s="249" t="s">
        <v>379</v>
      </c>
      <c r="P444" s="249" t="s">
        <v>197</v>
      </c>
    </row>
    <row r="445" spans="2:16" ht="13.2" x14ac:dyDescent="0.25">
      <c r="B445" s="295" t="s">
        <v>2858</v>
      </c>
      <c r="C445" s="295" t="s">
        <v>2841</v>
      </c>
      <c r="D445" s="325" t="s">
        <v>1249</v>
      </c>
      <c r="E445" s="2">
        <v>6200</v>
      </c>
      <c r="F445" s="2">
        <v>350</v>
      </c>
      <c r="G445" s="60">
        <v>11.5</v>
      </c>
      <c r="H445" s="303">
        <f t="shared" si="57"/>
        <v>4025</v>
      </c>
      <c r="I445" s="60">
        <v>63</v>
      </c>
      <c r="J445" s="439"/>
      <c r="K445" s="439"/>
      <c r="L445" s="439"/>
      <c r="M445" s="60">
        <f t="shared" si="62"/>
        <v>63</v>
      </c>
      <c r="N445" s="303">
        <f t="shared" si="63"/>
        <v>4088</v>
      </c>
      <c r="O445" s="319" t="s">
        <v>2857</v>
      </c>
      <c r="P445" s="263" t="s">
        <v>197</v>
      </c>
    </row>
    <row r="446" spans="2:16" ht="12.75" customHeight="1" x14ac:dyDescent="0.25">
      <c r="B446" s="295" t="s">
        <v>2858</v>
      </c>
      <c r="C446" s="295" t="s">
        <v>2841</v>
      </c>
      <c r="D446" s="325" t="s">
        <v>1249</v>
      </c>
      <c r="E446" s="2">
        <v>6200</v>
      </c>
      <c r="F446" s="2">
        <v>400</v>
      </c>
      <c r="G446" s="60">
        <v>11.5</v>
      </c>
      <c r="H446" s="303">
        <f t="shared" si="57"/>
        <v>4600</v>
      </c>
      <c r="I446" s="60">
        <v>72</v>
      </c>
      <c r="J446" s="439"/>
      <c r="K446" s="439"/>
      <c r="L446" s="439"/>
      <c r="M446" s="60">
        <f t="shared" si="62"/>
        <v>72</v>
      </c>
      <c r="N446" s="303">
        <f t="shared" si="63"/>
        <v>4672</v>
      </c>
      <c r="O446" s="319" t="s">
        <v>2857</v>
      </c>
      <c r="P446" s="263" t="s">
        <v>197</v>
      </c>
    </row>
    <row r="447" spans="2:16" ht="12.75" customHeight="1" x14ac:dyDescent="0.25">
      <c r="B447" s="295" t="s">
        <v>2858</v>
      </c>
      <c r="C447" s="295" t="s">
        <v>2841</v>
      </c>
      <c r="D447" s="325" t="s">
        <v>1249</v>
      </c>
      <c r="E447" s="2">
        <v>6200</v>
      </c>
      <c r="F447" s="2">
        <v>150</v>
      </c>
      <c r="G447" s="60">
        <v>11.5</v>
      </c>
      <c r="H447" s="303">
        <f t="shared" si="57"/>
        <v>1725</v>
      </c>
      <c r="I447" s="60">
        <v>27</v>
      </c>
      <c r="J447" s="247">
        <v>20.92</v>
      </c>
      <c r="K447" s="247">
        <v>1</v>
      </c>
      <c r="L447" s="247">
        <v>7.25</v>
      </c>
      <c r="M447" s="60">
        <f t="shared" si="62"/>
        <v>56.17</v>
      </c>
      <c r="N447" s="303">
        <f t="shared" si="63"/>
        <v>1781.17</v>
      </c>
      <c r="O447" s="319" t="s">
        <v>2857</v>
      </c>
      <c r="P447" s="263" t="s">
        <v>197</v>
      </c>
    </row>
    <row r="448" spans="2:16" ht="12.75" customHeight="1" x14ac:dyDescent="0.25">
      <c r="B448" s="295" t="s">
        <v>2860</v>
      </c>
      <c r="C448" s="295" t="s">
        <v>2841</v>
      </c>
      <c r="D448" s="325" t="s">
        <v>1249</v>
      </c>
      <c r="E448" s="2">
        <v>6200</v>
      </c>
      <c r="F448" s="2">
        <v>50</v>
      </c>
      <c r="G448" s="60">
        <v>7.9</v>
      </c>
      <c r="H448" s="303">
        <f t="shared" si="57"/>
        <v>395</v>
      </c>
      <c r="I448" s="60">
        <v>9</v>
      </c>
      <c r="J448" s="447"/>
      <c r="K448" s="447"/>
      <c r="L448" s="447"/>
      <c r="M448" s="60">
        <f t="shared" si="62"/>
        <v>9</v>
      </c>
      <c r="N448" s="303">
        <f t="shared" si="63"/>
        <v>404</v>
      </c>
      <c r="O448" s="319" t="s">
        <v>55</v>
      </c>
      <c r="P448" s="263" t="s">
        <v>197</v>
      </c>
    </row>
    <row r="449" spans="2:16" ht="12.75" customHeight="1" x14ac:dyDescent="0.25">
      <c r="B449" s="295" t="s">
        <v>2860</v>
      </c>
      <c r="C449" s="295" t="s">
        <v>2841</v>
      </c>
      <c r="D449" s="325" t="s">
        <v>1249</v>
      </c>
      <c r="E449" s="2">
        <v>6200</v>
      </c>
      <c r="F449" s="2">
        <v>1350</v>
      </c>
      <c r="G449" s="60">
        <v>7.9</v>
      </c>
      <c r="H449" s="303">
        <f t="shared" si="57"/>
        <v>10665</v>
      </c>
      <c r="I449" s="60">
        <v>243</v>
      </c>
      <c r="J449" s="447"/>
      <c r="K449" s="447"/>
      <c r="L449" s="447"/>
      <c r="M449" s="60">
        <f t="shared" si="62"/>
        <v>243</v>
      </c>
      <c r="N449" s="303">
        <f t="shared" si="63"/>
        <v>10908</v>
      </c>
      <c r="O449" s="319" t="s">
        <v>55</v>
      </c>
      <c r="P449" s="263" t="s">
        <v>197</v>
      </c>
    </row>
    <row r="450" spans="2:16" ht="12.75" customHeight="1" x14ac:dyDescent="0.25">
      <c r="B450" s="295" t="s">
        <v>2860</v>
      </c>
      <c r="C450" s="295" t="s">
        <v>2841</v>
      </c>
      <c r="D450" s="325" t="s">
        <v>1249</v>
      </c>
      <c r="E450" s="2">
        <v>6200</v>
      </c>
      <c r="F450" s="2">
        <v>150</v>
      </c>
      <c r="G450" s="60">
        <v>7.9</v>
      </c>
      <c r="H450" s="303">
        <f t="shared" si="57"/>
        <v>1185</v>
      </c>
      <c r="I450" s="60">
        <v>27</v>
      </c>
      <c r="J450" s="447"/>
      <c r="K450" s="447"/>
      <c r="L450" s="447"/>
      <c r="M450" s="60">
        <f t="shared" si="62"/>
        <v>27</v>
      </c>
      <c r="N450" s="303">
        <f t="shared" si="63"/>
        <v>1212</v>
      </c>
      <c r="O450" s="319" t="s">
        <v>55</v>
      </c>
      <c r="P450" s="263" t="s">
        <v>197</v>
      </c>
    </row>
    <row r="451" spans="2:16" ht="12.75" customHeight="1" x14ac:dyDescent="0.25">
      <c r="B451" s="295" t="s">
        <v>2860</v>
      </c>
      <c r="C451" s="295" t="s">
        <v>2841</v>
      </c>
      <c r="D451" s="325" t="s">
        <v>1249</v>
      </c>
      <c r="E451" s="2">
        <v>6200</v>
      </c>
      <c r="F451" s="2">
        <v>50</v>
      </c>
      <c r="G451" s="60">
        <v>7.9</v>
      </c>
      <c r="H451" s="303">
        <f t="shared" si="57"/>
        <v>395</v>
      </c>
      <c r="I451" s="60">
        <v>9</v>
      </c>
      <c r="J451" s="447"/>
      <c r="K451" s="447"/>
      <c r="L451" s="447"/>
      <c r="M451" s="60">
        <f t="shared" si="62"/>
        <v>9</v>
      </c>
      <c r="N451" s="303">
        <f t="shared" si="63"/>
        <v>404</v>
      </c>
      <c r="O451" s="319" t="s">
        <v>55</v>
      </c>
      <c r="P451" s="263" t="s">
        <v>197</v>
      </c>
    </row>
    <row r="452" spans="2:16" ht="13.2" x14ac:dyDescent="0.25">
      <c r="B452" s="295" t="s">
        <v>2860</v>
      </c>
      <c r="C452" s="295" t="s">
        <v>2841</v>
      </c>
      <c r="D452" s="325" t="s">
        <v>1249</v>
      </c>
      <c r="E452" s="2">
        <v>6200</v>
      </c>
      <c r="F452" s="2">
        <v>500</v>
      </c>
      <c r="G452" s="60">
        <v>8.4</v>
      </c>
      <c r="H452" s="303">
        <f t="shared" si="57"/>
        <v>4200</v>
      </c>
      <c r="I452" s="60">
        <v>90</v>
      </c>
      <c r="J452" s="247">
        <v>50.61</v>
      </c>
      <c r="K452" s="247">
        <v>2</v>
      </c>
      <c r="L452" s="247">
        <v>13.47</v>
      </c>
      <c r="M452" s="60">
        <f t="shared" si="62"/>
        <v>156.08000000000001</v>
      </c>
      <c r="N452" s="303">
        <f t="shared" si="63"/>
        <v>4356.08</v>
      </c>
      <c r="O452" s="319" t="s">
        <v>55</v>
      </c>
      <c r="P452" s="263" t="s">
        <v>197</v>
      </c>
    </row>
    <row r="453" spans="2:16" ht="13.2" x14ac:dyDescent="0.25">
      <c r="B453" s="295" t="s">
        <v>2861</v>
      </c>
      <c r="C453" s="295" t="s">
        <v>2841</v>
      </c>
      <c r="D453" s="325" t="s">
        <v>1249</v>
      </c>
      <c r="E453" s="2">
        <v>6200</v>
      </c>
      <c r="F453" s="2">
        <v>550</v>
      </c>
      <c r="G453" s="60">
        <v>5.4</v>
      </c>
      <c r="H453" s="303">
        <f t="shared" si="57"/>
        <v>2970</v>
      </c>
      <c r="I453" s="60">
        <v>99</v>
      </c>
      <c r="J453" s="448"/>
      <c r="K453" s="449"/>
      <c r="L453" s="448"/>
      <c r="M453" s="60">
        <f t="shared" ref="M453:M458" si="64">SUM(I453:L453)</f>
        <v>99</v>
      </c>
      <c r="N453" s="303">
        <f t="shared" ref="N453:N458" si="65">H453+M453</f>
        <v>3069</v>
      </c>
      <c r="O453" s="319" t="s">
        <v>2865</v>
      </c>
      <c r="P453" s="263" t="s">
        <v>197</v>
      </c>
    </row>
    <row r="454" spans="2:16" ht="12.75" customHeight="1" x14ac:dyDescent="0.25">
      <c r="B454" s="295" t="s">
        <v>2861</v>
      </c>
      <c r="C454" s="295" t="s">
        <v>2841</v>
      </c>
      <c r="D454" s="325" t="s">
        <v>1249</v>
      </c>
      <c r="E454" s="2">
        <v>6200</v>
      </c>
      <c r="F454" s="2">
        <v>450</v>
      </c>
      <c r="G454" s="60">
        <v>5.4</v>
      </c>
      <c r="H454" s="303">
        <f t="shared" si="57"/>
        <v>2430</v>
      </c>
      <c r="I454" s="60">
        <v>81</v>
      </c>
      <c r="J454" s="450"/>
      <c r="K454" s="450"/>
      <c r="L454" s="447"/>
      <c r="M454" s="60">
        <f t="shared" si="64"/>
        <v>81</v>
      </c>
      <c r="N454" s="303">
        <f t="shared" si="65"/>
        <v>2511</v>
      </c>
      <c r="O454" s="319" t="s">
        <v>2865</v>
      </c>
      <c r="P454" s="263" t="s">
        <v>197</v>
      </c>
    </row>
    <row r="455" spans="2:16" ht="12.75" customHeight="1" x14ac:dyDescent="0.25">
      <c r="B455" s="295" t="s">
        <v>2861</v>
      </c>
      <c r="C455" s="295" t="s">
        <v>2841</v>
      </c>
      <c r="D455" s="325" t="s">
        <v>1249</v>
      </c>
      <c r="E455" s="2">
        <v>6200</v>
      </c>
      <c r="F455" s="2">
        <v>50</v>
      </c>
      <c r="G455" s="60">
        <v>5.55</v>
      </c>
      <c r="H455" s="303">
        <f t="shared" si="57"/>
        <v>277.5</v>
      </c>
      <c r="I455" s="60">
        <v>9</v>
      </c>
      <c r="J455" s="447"/>
      <c r="K455" s="447"/>
      <c r="L455" s="447"/>
      <c r="M455" s="60">
        <f t="shared" si="64"/>
        <v>9</v>
      </c>
      <c r="N455" s="303">
        <f t="shared" si="65"/>
        <v>286.5</v>
      </c>
      <c r="O455" s="319" t="s">
        <v>2865</v>
      </c>
      <c r="P455" s="263" t="s">
        <v>197</v>
      </c>
    </row>
    <row r="456" spans="2:16" ht="12.75" customHeight="1" x14ac:dyDescent="0.25">
      <c r="B456" s="295" t="s">
        <v>2861</v>
      </c>
      <c r="C456" s="295" t="s">
        <v>2841</v>
      </c>
      <c r="D456" s="325" t="s">
        <v>1249</v>
      </c>
      <c r="E456" s="2">
        <v>6200</v>
      </c>
      <c r="F456" s="2">
        <v>50</v>
      </c>
      <c r="G456" s="60">
        <v>5.55</v>
      </c>
      <c r="H456" s="303">
        <f t="shared" si="57"/>
        <v>277.5</v>
      </c>
      <c r="I456" s="60">
        <v>9</v>
      </c>
      <c r="J456" s="447"/>
      <c r="K456" s="447"/>
      <c r="L456" s="447"/>
      <c r="M456" s="60">
        <f t="shared" si="64"/>
        <v>9</v>
      </c>
      <c r="N456" s="303">
        <f t="shared" si="65"/>
        <v>286.5</v>
      </c>
      <c r="O456" s="319" t="s">
        <v>2865</v>
      </c>
      <c r="P456" s="263" t="s">
        <v>197</v>
      </c>
    </row>
    <row r="457" spans="2:16" ht="12.75" customHeight="1" x14ac:dyDescent="0.25">
      <c r="B457" s="295" t="s">
        <v>2861</v>
      </c>
      <c r="C457" s="295" t="s">
        <v>2841</v>
      </c>
      <c r="D457" s="325" t="s">
        <v>1249</v>
      </c>
      <c r="E457" s="2">
        <v>6200</v>
      </c>
      <c r="F457" s="2">
        <v>200</v>
      </c>
      <c r="G457" s="60">
        <v>5.55</v>
      </c>
      <c r="H457" s="303">
        <f t="shared" si="57"/>
        <v>1110</v>
      </c>
      <c r="I457" s="60">
        <v>36</v>
      </c>
      <c r="J457" s="247">
        <v>31.87</v>
      </c>
      <c r="K457" s="247">
        <v>1</v>
      </c>
      <c r="L457" s="247">
        <v>5.79</v>
      </c>
      <c r="M457" s="60">
        <f t="shared" si="64"/>
        <v>74.660000000000011</v>
      </c>
      <c r="N457" s="303">
        <f t="shared" si="65"/>
        <v>1184.6600000000001</v>
      </c>
      <c r="O457" s="319" t="s">
        <v>2865</v>
      </c>
      <c r="P457" s="263" t="s">
        <v>197</v>
      </c>
    </row>
    <row r="458" spans="2:16" ht="12.75" customHeight="1" x14ac:dyDescent="0.25">
      <c r="B458" s="295" t="s">
        <v>2863</v>
      </c>
      <c r="C458" s="295" t="s">
        <v>2841</v>
      </c>
      <c r="D458" s="325" t="s">
        <v>1249</v>
      </c>
      <c r="E458" s="2">
        <v>6200</v>
      </c>
      <c r="F458" s="2">
        <v>700</v>
      </c>
      <c r="G458" s="60">
        <v>3.85</v>
      </c>
      <c r="H458" s="303">
        <f t="shared" si="57"/>
        <v>2695</v>
      </c>
      <c r="I458" s="60">
        <v>126</v>
      </c>
      <c r="J458" s="247">
        <v>15.8</v>
      </c>
      <c r="K458" s="247">
        <v>1</v>
      </c>
      <c r="L458" s="247">
        <v>1.89</v>
      </c>
      <c r="M458" s="60">
        <f t="shared" si="64"/>
        <v>144.69</v>
      </c>
      <c r="N458" s="303">
        <f t="shared" si="65"/>
        <v>2839.69</v>
      </c>
      <c r="O458" s="249" t="s">
        <v>71</v>
      </c>
      <c r="P458" s="263" t="s">
        <v>197</v>
      </c>
    </row>
    <row r="459" spans="2:16" ht="12.75" customHeight="1" x14ac:dyDescent="0.25">
      <c r="B459" s="295" t="s">
        <v>2866</v>
      </c>
      <c r="C459" s="325" t="s">
        <v>2876</v>
      </c>
      <c r="D459" s="325" t="s">
        <v>1249</v>
      </c>
      <c r="E459" s="2">
        <v>880</v>
      </c>
      <c r="F459" s="2">
        <v>250</v>
      </c>
      <c r="G459" s="60">
        <v>5.2</v>
      </c>
      <c r="H459" s="303">
        <f t="shared" ref="H459:H467" si="66">F459*G459</f>
        <v>1300</v>
      </c>
      <c r="I459" s="60">
        <v>9</v>
      </c>
      <c r="J459" s="439"/>
      <c r="K459" s="439"/>
      <c r="L459" s="439"/>
      <c r="M459" s="60">
        <f t="shared" ref="M459:M473" si="67">SUM(I459:L459)</f>
        <v>9</v>
      </c>
      <c r="N459" s="303">
        <f t="shared" ref="N459:N473" si="68">H459+M459</f>
        <v>1309</v>
      </c>
      <c r="O459" s="249" t="s">
        <v>2868</v>
      </c>
      <c r="P459" s="249" t="s">
        <v>197</v>
      </c>
    </row>
    <row r="460" spans="2:16" ht="12.75" customHeight="1" x14ac:dyDescent="0.25">
      <c r="B460" s="295" t="s">
        <v>2866</v>
      </c>
      <c r="C460" s="325" t="s">
        <v>2876</v>
      </c>
      <c r="D460" s="325" t="s">
        <v>1249</v>
      </c>
      <c r="E460" s="2">
        <v>880</v>
      </c>
      <c r="F460" s="2">
        <v>250</v>
      </c>
      <c r="G460" s="60">
        <v>5.25</v>
      </c>
      <c r="H460" s="303">
        <f t="shared" si="66"/>
        <v>1312.5</v>
      </c>
      <c r="I460" s="60">
        <v>9</v>
      </c>
      <c r="J460" s="439"/>
      <c r="K460" s="439"/>
      <c r="L460" s="439"/>
      <c r="M460" s="60">
        <f t="shared" si="67"/>
        <v>9</v>
      </c>
      <c r="N460" s="303">
        <f t="shared" si="68"/>
        <v>1321.5</v>
      </c>
      <c r="O460" s="249" t="s">
        <v>2868</v>
      </c>
      <c r="P460" s="249" t="s">
        <v>197</v>
      </c>
    </row>
    <row r="461" spans="2:16" ht="12.75" customHeight="1" x14ac:dyDescent="0.25">
      <c r="B461" s="295" t="s">
        <v>2866</v>
      </c>
      <c r="C461" s="295" t="s">
        <v>2876</v>
      </c>
      <c r="D461" s="325" t="s">
        <v>1249</v>
      </c>
      <c r="E461" s="2">
        <v>880</v>
      </c>
      <c r="F461" s="2">
        <v>250</v>
      </c>
      <c r="G461" s="60">
        <v>5.25</v>
      </c>
      <c r="H461" s="303">
        <f t="shared" si="66"/>
        <v>1312.5</v>
      </c>
      <c r="I461" s="60">
        <v>9</v>
      </c>
      <c r="J461" s="439"/>
      <c r="K461" s="439"/>
      <c r="L461" s="439"/>
      <c r="M461" s="60">
        <f t="shared" si="67"/>
        <v>9</v>
      </c>
      <c r="N461" s="303">
        <f t="shared" si="68"/>
        <v>1321.5</v>
      </c>
      <c r="O461" s="249" t="s">
        <v>2868</v>
      </c>
      <c r="P461" s="249" t="s">
        <v>197</v>
      </c>
    </row>
    <row r="462" spans="2:16" ht="12.75" customHeight="1" x14ac:dyDescent="0.25">
      <c r="B462" s="295" t="s">
        <v>2866</v>
      </c>
      <c r="C462" s="325" t="s">
        <v>2876</v>
      </c>
      <c r="D462" s="325" t="s">
        <v>1249</v>
      </c>
      <c r="E462" s="2">
        <v>880</v>
      </c>
      <c r="F462" s="2">
        <v>2000</v>
      </c>
      <c r="G462" s="60">
        <v>5.25</v>
      </c>
      <c r="H462" s="303">
        <f t="shared" si="66"/>
        <v>10500</v>
      </c>
      <c r="I462" s="60">
        <v>72</v>
      </c>
      <c r="J462" s="439"/>
      <c r="K462" s="439"/>
      <c r="L462" s="439"/>
      <c r="M462" s="60">
        <f t="shared" si="67"/>
        <v>72</v>
      </c>
      <c r="N462" s="303">
        <f t="shared" si="68"/>
        <v>10572</v>
      </c>
      <c r="O462" s="249" t="s">
        <v>2868</v>
      </c>
      <c r="P462" s="249" t="s">
        <v>197</v>
      </c>
    </row>
    <row r="463" spans="2:16" ht="12.75" customHeight="1" x14ac:dyDescent="0.25">
      <c r="B463" s="295" t="s">
        <v>2866</v>
      </c>
      <c r="C463" s="325" t="s">
        <v>2876</v>
      </c>
      <c r="D463" s="325" t="s">
        <v>1249</v>
      </c>
      <c r="E463" s="2">
        <v>880</v>
      </c>
      <c r="F463" s="2">
        <v>250</v>
      </c>
      <c r="G463" s="60">
        <v>5.25</v>
      </c>
      <c r="H463" s="303">
        <f t="shared" si="66"/>
        <v>1312.5</v>
      </c>
      <c r="I463" s="60">
        <v>9</v>
      </c>
      <c r="J463" s="247">
        <v>171.86</v>
      </c>
      <c r="K463" s="247">
        <f>3+2</f>
        <v>5</v>
      </c>
      <c r="L463" s="247">
        <v>22.53</v>
      </c>
      <c r="M463" s="60">
        <f t="shared" si="67"/>
        <v>208.39000000000001</v>
      </c>
      <c r="N463" s="303">
        <f t="shared" si="68"/>
        <v>1520.89</v>
      </c>
      <c r="O463" s="249" t="s">
        <v>2868</v>
      </c>
      <c r="P463" s="249" t="s">
        <v>197</v>
      </c>
    </row>
    <row r="464" spans="2:16" ht="12.75" customHeight="1" x14ac:dyDescent="0.25">
      <c r="B464" s="295" t="s">
        <v>2871</v>
      </c>
      <c r="C464" s="295" t="s">
        <v>2877</v>
      </c>
      <c r="D464" s="325" t="s">
        <v>1245</v>
      </c>
      <c r="E464" s="2">
        <v>500</v>
      </c>
      <c r="F464" s="2">
        <v>1000</v>
      </c>
      <c r="G464" s="60">
        <v>8</v>
      </c>
      <c r="H464" s="303">
        <f t="shared" si="66"/>
        <v>8000</v>
      </c>
      <c r="I464" s="60">
        <v>9</v>
      </c>
      <c r="J464" s="439"/>
      <c r="K464" s="439"/>
      <c r="L464" s="439"/>
      <c r="M464" s="60">
        <f t="shared" si="67"/>
        <v>9</v>
      </c>
      <c r="N464" s="303">
        <f t="shared" si="68"/>
        <v>8009</v>
      </c>
      <c r="O464" s="249" t="s">
        <v>2872</v>
      </c>
      <c r="P464" s="249" t="s">
        <v>197</v>
      </c>
    </row>
    <row r="465" spans="2:18" ht="12.75" customHeight="1" x14ac:dyDescent="0.25">
      <c r="B465" s="295" t="s">
        <v>2871</v>
      </c>
      <c r="C465" s="325" t="s">
        <v>2877</v>
      </c>
      <c r="D465" s="325" t="s">
        <v>1245</v>
      </c>
      <c r="E465" s="2">
        <v>500</v>
      </c>
      <c r="F465" s="2">
        <v>1000</v>
      </c>
      <c r="G465" s="60">
        <v>8</v>
      </c>
      <c r="H465" s="303">
        <f t="shared" si="66"/>
        <v>8000</v>
      </c>
      <c r="I465" s="60">
        <v>9</v>
      </c>
      <c r="J465" s="439"/>
      <c r="K465" s="439"/>
      <c r="L465" s="439"/>
      <c r="M465" s="60">
        <f t="shared" si="67"/>
        <v>9</v>
      </c>
      <c r="N465" s="303">
        <f t="shared" si="68"/>
        <v>8009</v>
      </c>
      <c r="O465" s="249" t="s">
        <v>2872</v>
      </c>
      <c r="P465" s="249" t="s">
        <v>197</v>
      </c>
    </row>
    <row r="466" spans="2:18" ht="12.75" customHeight="1" x14ac:dyDescent="0.25">
      <c r="B466" s="295" t="s">
        <v>2871</v>
      </c>
      <c r="C466" s="325" t="s">
        <v>2841</v>
      </c>
      <c r="D466" s="325" t="s">
        <v>1249</v>
      </c>
      <c r="E466" s="2">
        <v>5900</v>
      </c>
      <c r="F466" s="2">
        <v>250</v>
      </c>
      <c r="G466" s="60">
        <v>64.400000000000006</v>
      </c>
      <c r="H466" s="303">
        <f t="shared" si="66"/>
        <v>16100.000000000002</v>
      </c>
      <c r="I466" s="60">
        <v>45</v>
      </c>
      <c r="J466" s="439"/>
      <c r="K466" s="439"/>
      <c r="L466" s="439"/>
      <c r="M466" s="60">
        <f t="shared" si="67"/>
        <v>45</v>
      </c>
      <c r="N466" s="303">
        <f t="shared" si="68"/>
        <v>16145.000000000002</v>
      </c>
      <c r="O466" s="249" t="s">
        <v>2872</v>
      </c>
      <c r="P466" s="249" t="s">
        <v>197</v>
      </c>
    </row>
    <row r="467" spans="2:18" ht="13.2" x14ac:dyDescent="0.25">
      <c r="B467" s="295" t="s">
        <v>2871</v>
      </c>
      <c r="C467" s="295" t="s">
        <v>2878</v>
      </c>
      <c r="D467" s="325" t="s">
        <v>1249</v>
      </c>
      <c r="E467" s="2">
        <v>840</v>
      </c>
      <c r="F467" s="2">
        <v>500</v>
      </c>
      <c r="G467" s="60">
        <v>9.9499999999999993</v>
      </c>
      <c r="H467" s="303">
        <f t="shared" si="66"/>
        <v>4975</v>
      </c>
      <c r="I467" s="60">
        <v>9</v>
      </c>
      <c r="J467" s="439"/>
      <c r="K467" s="439"/>
      <c r="L467" s="439"/>
      <c r="M467" s="60">
        <f t="shared" si="67"/>
        <v>9</v>
      </c>
      <c r="N467" s="303">
        <f t="shared" si="68"/>
        <v>4984</v>
      </c>
      <c r="O467" s="249" t="s">
        <v>2872</v>
      </c>
      <c r="P467" s="304" t="s">
        <v>197</v>
      </c>
      <c r="R467" s="247"/>
    </row>
    <row r="468" spans="2:18" ht="12.75" customHeight="1" x14ac:dyDescent="0.25">
      <c r="B468" s="295" t="s">
        <v>2871</v>
      </c>
      <c r="C468" s="325" t="s">
        <v>2878</v>
      </c>
      <c r="D468" s="325" t="s">
        <v>1249</v>
      </c>
      <c r="E468" s="2">
        <v>840</v>
      </c>
      <c r="F468" s="2">
        <v>500</v>
      </c>
      <c r="G468" s="60">
        <v>10</v>
      </c>
      <c r="H468" s="303">
        <f t="shared" ref="H468:H473" si="69">F468*G468</f>
        <v>5000</v>
      </c>
      <c r="I468" s="60">
        <v>9</v>
      </c>
      <c r="J468" s="439"/>
      <c r="K468" s="439"/>
      <c r="L468" s="439"/>
      <c r="M468" s="60">
        <f t="shared" si="67"/>
        <v>9</v>
      </c>
      <c r="N468" s="303">
        <f t="shared" si="68"/>
        <v>5009</v>
      </c>
      <c r="O468" s="249" t="s">
        <v>2872</v>
      </c>
      <c r="P468" s="249" t="s">
        <v>197</v>
      </c>
    </row>
    <row r="469" spans="2:18" ht="12.75" customHeight="1" x14ac:dyDescent="0.25">
      <c r="B469" s="295" t="s">
        <v>2871</v>
      </c>
      <c r="C469" s="325" t="s">
        <v>2877</v>
      </c>
      <c r="D469" s="325" t="s">
        <v>1245</v>
      </c>
      <c r="E469" s="2">
        <v>500</v>
      </c>
      <c r="F469" s="2">
        <v>1000</v>
      </c>
      <c r="G469" s="60">
        <v>6.4</v>
      </c>
      <c r="H469" s="303">
        <f t="shared" si="69"/>
        <v>6400</v>
      </c>
      <c r="I469" s="60">
        <v>9</v>
      </c>
      <c r="J469" s="247">
        <v>26.18</v>
      </c>
      <c r="K469" s="247">
        <f>6+6</f>
        <v>12</v>
      </c>
      <c r="L469" s="247">
        <v>58.78</v>
      </c>
      <c r="M469" s="60">
        <f t="shared" si="67"/>
        <v>105.96000000000001</v>
      </c>
      <c r="N469" s="303">
        <f t="shared" si="68"/>
        <v>6505.96</v>
      </c>
      <c r="O469" s="249" t="s">
        <v>2872</v>
      </c>
      <c r="P469" s="249" t="s">
        <v>197</v>
      </c>
    </row>
    <row r="470" spans="2:18" ht="12.75" customHeight="1" x14ac:dyDescent="0.25">
      <c r="B470" s="295" t="s">
        <v>2869</v>
      </c>
      <c r="C470" s="295" t="s">
        <v>2841</v>
      </c>
      <c r="D470" s="325" t="s">
        <v>1245</v>
      </c>
      <c r="E470" s="2">
        <v>5900</v>
      </c>
      <c r="F470" s="2">
        <v>300</v>
      </c>
      <c r="G470" s="60">
        <v>29</v>
      </c>
      <c r="H470" s="303">
        <f t="shared" si="69"/>
        <v>8700</v>
      </c>
      <c r="I470" s="60">
        <v>54</v>
      </c>
      <c r="J470" s="439"/>
      <c r="K470" s="439"/>
      <c r="L470" s="439"/>
      <c r="M470" s="60">
        <f t="shared" si="67"/>
        <v>54</v>
      </c>
      <c r="N470" s="303">
        <f t="shared" si="68"/>
        <v>8754</v>
      </c>
      <c r="O470" s="304" t="s">
        <v>2879</v>
      </c>
      <c r="P470" s="249" t="s">
        <v>197</v>
      </c>
    </row>
    <row r="471" spans="2:18" ht="13.2" x14ac:dyDescent="0.25">
      <c r="B471" s="295" t="s">
        <v>2869</v>
      </c>
      <c r="C471" s="295" t="s">
        <v>2841</v>
      </c>
      <c r="D471" s="325" t="s">
        <v>1245</v>
      </c>
      <c r="E471" s="2">
        <v>5900</v>
      </c>
      <c r="F471" s="2">
        <v>250</v>
      </c>
      <c r="G471" s="60">
        <v>29</v>
      </c>
      <c r="H471" s="303">
        <f t="shared" si="69"/>
        <v>7250</v>
      </c>
      <c r="I471" s="60">
        <v>45</v>
      </c>
      <c r="J471" s="439"/>
      <c r="K471" s="439"/>
      <c r="L471" s="439"/>
      <c r="M471" s="60">
        <f t="shared" si="67"/>
        <v>45</v>
      </c>
      <c r="N471" s="303">
        <f t="shared" si="68"/>
        <v>7295</v>
      </c>
      <c r="O471" s="304" t="s">
        <v>2879</v>
      </c>
      <c r="P471" s="249" t="s">
        <v>197</v>
      </c>
      <c r="R471" s="247"/>
    </row>
    <row r="472" spans="2:18" ht="12.75" customHeight="1" x14ac:dyDescent="0.25">
      <c r="B472" s="295" t="s">
        <v>2869</v>
      </c>
      <c r="C472" s="325" t="s">
        <v>2841</v>
      </c>
      <c r="D472" s="325" t="s">
        <v>1245</v>
      </c>
      <c r="E472" s="2">
        <v>5900</v>
      </c>
      <c r="F472" s="2">
        <v>50</v>
      </c>
      <c r="G472" s="60">
        <v>29</v>
      </c>
      <c r="H472" s="303">
        <f t="shared" si="69"/>
        <v>1450</v>
      </c>
      <c r="I472" s="60">
        <v>9</v>
      </c>
      <c r="J472" s="439"/>
      <c r="K472" s="439"/>
      <c r="L472" s="439"/>
      <c r="M472" s="60">
        <f t="shared" si="67"/>
        <v>9</v>
      </c>
      <c r="N472" s="303">
        <f t="shared" si="68"/>
        <v>1459</v>
      </c>
      <c r="O472" s="304" t="s">
        <v>2879</v>
      </c>
      <c r="P472" s="249" t="s">
        <v>197</v>
      </c>
    </row>
    <row r="473" spans="2:18" ht="12.75" customHeight="1" x14ac:dyDescent="0.25">
      <c r="B473" s="295" t="s">
        <v>2869</v>
      </c>
      <c r="C473" s="325" t="s">
        <v>2841</v>
      </c>
      <c r="D473" s="325" t="s">
        <v>1245</v>
      </c>
      <c r="E473" s="2">
        <v>5900</v>
      </c>
      <c r="F473" s="2">
        <v>100</v>
      </c>
      <c r="G473" s="60">
        <v>29</v>
      </c>
      <c r="H473" s="303">
        <f t="shared" si="69"/>
        <v>2900</v>
      </c>
      <c r="I473" s="60">
        <v>18</v>
      </c>
      <c r="J473" s="247">
        <v>21.83</v>
      </c>
      <c r="K473" s="247">
        <v>5</v>
      </c>
      <c r="L473" s="247">
        <v>23.63</v>
      </c>
      <c r="M473" s="60">
        <f t="shared" si="67"/>
        <v>68.459999999999994</v>
      </c>
      <c r="N473" s="303">
        <f t="shared" si="68"/>
        <v>2968.46</v>
      </c>
      <c r="O473" s="304" t="s">
        <v>2879</v>
      </c>
      <c r="P473" s="249" t="s">
        <v>197</v>
      </c>
    </row>
    <row r="474" spans="2:18" ht="13.2" x14ac:dyDescent="0.25">
      <c r="B474" s="295" t="s">
        <v>2881</v>
      </c>
      <c r="C474" s="325" t="s">
        <v>2841</v>
      </c>
      <c r="D474" s="325" t="s">
        <v>1249</v>
      </c>
      <c r="E474" s="2">
        <v>5900</v>
      </c>
      <c r="F474" s="2">
        <v>600</v>
      </c>
      <c r="G474" s="60">
        <v>39.799999999999997</v>
      </c>
      <c r="H474" s="303">
        <f t="shared" ref="H474:H483" si="70">F474*G474</f>
        <v>23880</v>
      </c>
      <c r="I474" s="60">
        <v>108</v>
      </c>
      <c r="J474" s="440"/>
      <c r="K474" s="440"/>
      <c r="L474" s="441"/>
      <c r="M474" s="60">
        <f t="shared" ref="M474:M483" si="71">SUM(I474:L474)</f>
        <v>108</v>
      </c>
      <c r="N474" s="303">
        <f>H474+M474</f>
        <v>23988</v>
      </c>
      <c r="O474" s="304" t="s">
        <v>567</v>
      </c>
      <c r="P474" s="304" t="s">
        <v>197</v>
      </c>
      <c r="R474" s="247"/>
    </row>
    <row r="475" spans="2:18" ht="12.75" customHeight="1" x14ac:dyDescent="0.25">
      <c r="B475" s="295" t="s">
        <v>2881</v>
      </c>
      <c r="C475" s="325" t="s">
        <v>2841</v>
      </c>
      <c r="D475" s="325" t="s">
        <v>1249</v>
      </c>
      <c r="E475" s="2">
        <v>5900</v>
      </c>
      <c r="F475" s="2">
        <v>400</v>
      </c>
      <c r="G475" s="60">
        <v>39.85</v>
      </c>
      <c r="H475" s="303">
        <f t="shared" si="70"/>
        <v>15940</v>
      </c>
      <c r="I475" s="60">
        <v>72</v>
      </c>
      <c r="J475" s="439"/>
      <c r="K475" s="439"/>
      <c r="L475" s="439"/>
      <c r="M475" s="60">
        <f t="shared" si="71"/>
        <v>72</v>
      </c>
      <c r="N475" s="303">
        <f t="shared" ref="N475:N480" si="72">H475+M475</f>
        <v>16012</v>
      </c>
      <c r="O475" s="304" t="s">
        <v>567</v>
      </c>
      <c r="P475" s="304" t="s">
        <v>197</v>
      </c>
    </row>
    <row r="476" spans="2:18" ht="12.75" customHeight="1" x14ac:dyDescent="0.25">
      <c r="B476" s="295" t="s">
        <v>2881</v>
      </c>
      <c r="C476" s="295" t="s">
        <v>2841</v>
      </c>
      <c r="D476" s="325" t="s">
        <v>1245</v>
      </c>
      <c r="E476" s="2">
        <v>5800</v>
      </c>
      <c r="F476" s="2">
        <v>150</v>
      </c>
      <c r="G476" s="60">
        <v>36</v>
      </c>
      <c r="H476" s="303">
        <f t="shared" si="70"/>
        <v>5400</v>
      </c>
      <c r="I476" s="60">
        <v>27</v>
      </c>
      <c r="J476" s="439"/>
      <c r="K476" s="439"/>
      <c r="L476" s="439"/>
      <c r="M476" s="60">
        <f t="shared" si="71"/>
        <v>27</v>
      </c>
      <c r="N476" s="303">
        <f t="shared" si="72"/>
        <v>5427</v>
      </c>
      <c r="O476" s="304" t="s">
        <v>567</v>
      </c>
      <c r="P476" s="304" t="s">
        <v>197</v>
      </c>
    </row>
    <row r="477" spans="2:18" ht="12.75" customHeight="1" x14ac:dyDescent="0.25">
      <c r="B477" s="295" t="s">
        <v>2881</v>
      </c>
      <c r="C477" s="325" t="s">
        <v>2841</v>
      </c>
      <c r="D477" s="325" t="s">
        <v>1245</v>
      </c>
      <c r="E477" s="2">
        <v>5800</v>
      </c>
      <c r="F477" s="2">
        <v>50</v>
      </c>
      <c r="G477" s="60">
        <v>36</v>
      </c>
      <c r="H477" s="303">
        <f t="shared" si="70"/>
        <v>1800</v>
      </c>
      <c r="I477" s="60">
        <v>9</v>
      </c>
      <c r="J477" s="439"/>
      <c r="K477" s="439"/>
      <c r="L477" s="439"/>
      <c r="M477" s="60">
        <f t="shared" si="71"/>
        <v>9</v>
      </c>
      <c r="N477" s="303">
        <f t="shared" si="72"/>
        <v>1809</v>
      </c>
      <c r="O477" s="304" t="s">
        <v>567</v>
      </c>
      <c r="P477" s="304" t="s">
        <v>197</v>
      </c>
    </row>
    <row r="478" spans="2:18" ht="12.75" customHeight="1" x14ac:dyDescent="0.25">
      <c r="B478" s="295" t="s">
        <v>2881</v>
      </c>
      <c r="C478" s="325" t="s">
        <v>2841</v>
      </c>
      <c r="D478" s="325" t="s">
        <v>1245</v>
      </c>
      <c r="E478" s="2">
        <v>5800</v>
      </c>
      <c r="F478" s="2">
        <v>800</v>
      </c>
      <c r="G478" s="60">
        <v>36</v>
      </c>
      <c r="H478" s="303">
        <f t="shared" si="70"/>
        <v>28800</v>
      </c>
      <c r="I478" s="60">
        <v>144</v>
      </c>
      <c r="J478" s="439"/>
      <c r="K478" s="439"/>
      <c r="L478" s="439"/>
      <c r="M478" s="60">
        <f t="shared" si="71"/>
        <v>144</v>
      </c>
      <c r="N478" s="303">
        <f t="shared" si="72"/>
        <v>28944</v>
      </c>
      <c r="O478" s="304" t="s">
        <v>567</v>
      </c>
      <c r="P478" s="304" t="s">
        <v>197</v>
      </c>
    </row>
    <row r="479" spans="2:18" ht="13.2" x14ac:dyDescent="0.25">
      <c r="B479" s="295" t="s">
        <v>2881</v>
      </c>
      <c r="C479" s="325" t="s">
        <v>2841</v>
      </c>
      <c r="D479" s="325" t="s">
        <v>1245</v>
      </c>
      <c r="E479" s="2">
        <v>5800</v>
      </c>
      <c r="F479" s="2">
        <v>250</v>
      </c>
      <c r="G479" s="60">
        <v>35.299999999999997</v>
      </c>
      <c r="H479" s="303">
        <f t="shared" si="70"/>
        <v>8825</v>
      </c>
      <c r="I479" s="60">
        <v>45</v>
      </c>
      <c r="J479" s="440"/>
      <c r="K479" s="440"/>
      <c r="L479" s="441"/>
      <c r="M479" s="60">
        <f t="shared" si="71"/>
        <v>45</v>
      </c>
      <c r="N479" s="303">
        <f t="shared" si="72"/>
        <v>8870</v>
      </c>
      <c r="O479" s="304" t="s">
        <v>567</v>
      </c>
      <c r="P479" s="304" t="s">
        <v>197</v>
      </c>
      <c r="R479" s="247"/>
    </row>
    <row r="480" spans="2:18" ht="12.75" customHeight="1" x14ac:dyDescent="0.25">
      <c r="B480" s="295" t="s">
        <v>2881</v>
      </c>
      <c r="C480" s="295" t="s">
        <v>2841</v>
      </c>
      <c r="D480" s="325" t="s">
        <v>1245</v>
      </c>
      <c r="E480" s="2">
        <v>5800</v>
      </c>
      <c r="F480" s="2">
        <v>150</v>
      </c>
      <c r="G480" s="60">
        <v>35.299999999999997</v>
      </c>
      <c r="H480" s="303">
        <f t="shared" si="70"/>
        <v>5295</v>
      </c>
      <c r="I480" s="60">
        <v>27</v>
      </c>
      <c r="J480" s="439"/>
      <c r="K480" s="439"/>
      <c r="L480" s="439"/>
      <c r="M480" s="60">
        <f t="shared" si="71"/>
        <v>27</v>
      </c>
      <c r="N480" s="303">
        <f t="shared" si="72"/>
        <v>5322</v>
      </c>
      <c r="O480" s="304" t="s">
        <v>567</v>
      </c>
      <c r="P480" s="304" t="s">
        <v>197</v>
      </c>
    </row>
    <row r="481" spans="2:18" ht="12.75" customHeight="1" x14ac:dyDescent="0.25">
      <c r="B481" s="295" t="s">
        <v>2883</v>
      </c>
      <c r="C481" s="295" t="s">
        <v>2841</v>
      </c>
      <c r="D481" s="325" t="s">
        <v>1249</v>
      </c>
      <c r="E481" s="2">
        <v>5900</v>
      </c>
      <c r="F481" s="2">
        <v>500</v>
      </c>
      <c r="G481" s="60">
        <v>30.5</v>
      </c>
      <c r="H481" s="303">
        <f t="shared" si="70"/>
        <v>15250</v>
      </c>
      <c r="I481" s="60">
        <v>90</v>
      </c>
      <c r="J481" s="439"/>
      <c r="K481" s="439"/>
      <c r="L481" s="439"/>
      <c r="M481" s="60">
        <f t="shared" si="71"/>
        <v>90</v>
      </c>
      <c r="N481" s="303">
        <f>H481+M481</f>
        <v>15340</v>
      </c>
      <c r="O481" s="249" t="s">
        <v>2882</v>
      </c>
      <c r="P481" s="249" t="s">
        <v>197</v>
      </c>
    </row>
    <row r="482" spans="2:18" ht="12.75" customHeight="1" x14ac:dyDescent="0.25">
      <c r="B482" s="295" t="s">
        <v>2883</v>
      </c>
      <c r="C482" s="325" t="s">
        <v>2841</v>
      </c>
      <c r="D482" s="325" t="s">
        <v>1249</v>
      </c>
      <c r="E482" s="2">
        <v>5900</v>
      </c>
      <c r="F482" s="2">
        <v>250</v>
      </c>
      <c r="G482" s="60">
        <v>30</v>
      </c>
      <c r="H482" s="303">
        <f t="shared" si="70"/>
        <v>7500</v>
      </c>
      <c r="I482" s="60">
        <v>45</v>
      </c>
      <c r="J482" s="247">
        <v>18.66</v>
      </c>
      <c r="K482" s="247">
        <v>2</v>
      </c>
      <c r="L482" s="247">
        <v>15.93</v>
      </c>
      <c r="M482" s="60">
        <f t="shared" si="71"/>
        <v>81.59</v>
      </c>
      <c r="N482" s="303">
        <f>H482+M482</f>
        <v>7581.59</v>
      </c>
      <c r="O482" s="249" t="s">
        <v>2882</v>
      </c>
      <c r="P482" s="249" t="s">
        <v>197</v>
      </c>
    </row>
    <row r="483" spans="2:18" ht="13.2" x14ac:dyDescent="0.25">
      <c r="B483" s="295" t="s">
        <v>2886</v>
      </c>
      <c r="C483" s="295" t="s">
        <v>2884</v>
      </c>
      <c r="D483" s="325" t="s">
        <v>1249</v>
      </c>
      <c r="E483" s="2">
        <v>6000</v>
      </c>
      <c r="F483" s="2">
        <v>800</v>
      </c>
      <c r="G483" s="60">
        <v>39</v>
      </c>
      <c r="H483" s="303">
        <f t="shared" si="70"/>
        <v>31200</v>
      </c>
      <c r="I483" s="60">
        <v>144</v>
      </c>
      <c r="J483" s="299">
        <v>38.58</v>
      </c>
      <c r="K483" s="299">
        <f>3+3</f>
        <v>6</v>
      </c>
      <c r="L483" s="224">
        <v>33.18</v>
      </c>
      <c r="M483" s="60">
        <f t="shared" si="71"/>
        <v>221.76</v>
      </c>
      <c r="N483" s="303">
        <f t="shared" ref="N483:N489" si="73">H483+M483</f>
        <v>31421.759999999998</v>
      </c>
      <c r="O483" s="304" t="s">
        <v>2885</v>
      </c>
      <c r="P483" s="249" t="s">
        <v>197</v>
      </c>
      <c r="R483" s="247"/>
    </row>
    <row r="484" spans="2:18" ht="12.75" customHeight="1" x14ac:dyDescent="0.25">
      <c r="B484" s="249" t="s">
        <v>2887</v>
      </c>
      <c r="C484" s="325" t="s">
        <v>2884</v>
      </c>
      <c r="D484" s="325" t="s">
        <v>1249</v>
      </c>
      <c r="E484" s="2">
        <v>6000</v>
      </c>
      <c r="F484" s="2">
        <v>1000</v>
      </c>
      <c r="G484" s="60">
        <v>34.5</v>
      </c>
      <c r="H484" s="303">
        <f t="shared" ref="H484:H489" si="74">F484*G484</f>
        <v>34500</v>
      </c>
      <c r="I484" s="60">
        <v>180</v>
      </c>
      <c r="J484" s="439"/>
      <c r="K484" s="439"/>
      <c r="L484" s="439"/>
      <c r="M484" s="60">
        <f t="shared" ref="M484:M489" si="75">SUM(I484:L484)</f>
        <v>180</v>
      </c>
      <c r="N484" s="303">
        <f t="shared" si="73"/>
        <v>34680</v>
      </c>
      <c r="O484" s="249" t="s">
        <v>577</v>
      </c>
      <c r="P484" s="249" t="s">
        <v>197</v>
      </c>
    </row>
    <row r="485" spans="2:18" ht="12.75" customHeight="1" x14ac:dyDescent="0.25">
      <c r="B485" s="249" t="s">
        <v>2887</v>
      </c>
      <c r="C485" s="325" t="s">
        <v>2884</v>
      </c>
      <c r="D485" s="325" t="s">
        <v>1249</v>
      </c>
      <c r="E485" s="2">
        <v>6000</v>
      </c>
      <c r="F485" s="2">
        <v>900</v>
      </c>
      <c r="G485" s="60">
        <v>38.4</v>
      </c>
      <c r="H485" s="303">
        <f t="shared" si="74"/>
        <v>34560</v>
      </c>
      <c r="I485" s="60">
        <v>162</v>
      </c>
      <c r="J485" s="247">
        <v>91.52</v>
      </c>
      <c r="K485" s="247">
        <f>11+8</f>
        <v>19</v>
      </c>
      <c r="L485" s="247">
        <v>92.51</v>
      </c>
      <c r="M485" s="60">
        <f t="shared" si="75"/>
        <v>365.03</v>
      </c>
      <c r="N485" s="303">
        <f t="shared" si="73"/>
        <v>34925.03</v>
      </c>
      <c r="O485" s="249" t="s">
        <v>577</v>
      </c>
      <c r="P485" s="249" t="s">
        <v>197</v>
      </c>
    </row>
    <row r="486" spans="2:18" ht="12.75" customHeight="1" x14ac:dyDescent="0.25">
      <c r="B486" s="249" t="s">
        <v>2890</v>
      </c>
      <c r="C486" s="325" t="s">
        <v>2889</v>
      </c>
      <c r="D486" s="325" t="s">
        <v>1249</v>
      </c>
      <c r="E486" s="2">
        <v>840</v>
      </c>
      <c r="F486" s="2">
        <v>500</v>
      </c>
      <c r="G486" s="60">
        <v>13.25</v>
      </c>
      <c r="H486" s="303">
        <f t="shared" si="74"/>
        <v>6625</v>
      </c>
      <c r="I486" s="60">
        <v>18</v>
      </c>
      <c r="J486" s="439"/>
      <c r="K486" s="439"/>
      <c r="L486" s="439"/>
      <c r="M486" s="60">
        <f t="shared" si="75"/>
        <v>18</v>
      </c>
      <c r="N486" s="303">
        <f t="shared" si="73"/>
        <v>6643</v>
      </c>
      <c r="O486" s="249" t="s">
        <v>2500</v>
      </c>
      <c r="P486" s="249" t="s">
        <v>197</v>
      </c>
    </row>
    <row r="487" spans="2:18" ht="12.75" customHeight="1" x14ac:dyDescent="0.25">
      <c r="B487" s="249" t="s">
        <v>2890</v>
      </c>
      <c r="C487" s="325" t="s">
        <v>2889</v>
      </c>
      <c r="D487" s="325" t="s">
        <v>1249</v>
      </c>
      <c r="E487" s="2">
        <v>840</v>
      </c>
      <c r="F487" s="2">
        <v>250</v>
      </c>
      <c r="G487" s="60">
        <v>13.25</v>
      </c>
      <c r="H487" s="303">
        <f t="shared" si="74"/>
        <v>3312.5</v>
      </c>
      <c r="I487" s="60">
        <v>9</v>
      </c>
      <c r="J487" s="247">
        <v>27.43</v>
      </c>
      <c r="K487" s="247">
        <f>2+2</f>
        <v>4</v>
      </c>
      <c r="L487" s="247">
        <v>14.87</v>
      </c>
      <c r="M487" s="60">
        <f t="shared" si="75"/>
        <v>55.3</v>
      </c>
      <c r="N487" s="303">
        <f t="shared" si="73"/>
        <v>3367.8</v>
      </c>
      <c r="O487" s="249" t="s">
        <v>2500</v>
      </c>
      <c r="P487" s="249" t="s">
        <v>197</v>
      </c>
    </row>
    <row r="488" spans="2:18" ht="12.75" customHeight="1" x14ac:dyDescent="0.25">
      <c r="B488" s="295" t="s">
        <v>2891</v>
      </c>
      <c r="C488" s="325" t="s">
        <v>2889</v>
      </c>
      <c r="D488" s="325" t="s">
        <v>1249</v>
      </c>
      <c r="E488" s="2">
        <v>840</v>
      </c>
      <c r="F488" s="2">
        <v>750</v>
      </c>
      <c r="G488" s="60">
        <v>12.4</v>
      </c>
      <c r="H488" s="303">
        <f t="shared" si="74"/>
        <v>9300</v>
      </c>
      <c r="I488" s="60">
        <v>27</v>
      </c>
      <c r="J488" s="439"/>
      <c r="K488" s="439"/>
      <c r="L488" s="439"/>
      <c r="M488" s="60">
        <f t="shared" si="75"/>
        <v>27</v>
      </c>
      <c r="N488" s="303">
        <f t="shared" si="73"/>
        <v>9327</v>
      </c>
      <c r="O488" s="249" t="s">
        <v>2892</v>
      </c>
      <c r="P488" s="249" t="s">
        <v>197</v>
      </c>
    </row>
    <row r="489" spans="2:18" ht="12.75" customHeight="1" x14ac:dyDescent="0.25">
      <c r="B489" s="295" t="s">
        <v>2891</v>
      </c>
      <c r="C489" s="325" t="s">
        <v>2889</v>
      </c>
      <c r="D489" s="325" t="s">
        <v>1249</v>
      </c>
      <c r="E489" s="2">
        <v>840</v>
      </c>
      <c r="F489" s="2">
        <v>250</v>
      </c>
      <c r="G489" s="60">
        <v>12.45</v>
      </c>
      <c r="H489" s="303">
        <f t="shared" si="74"/>
        <v>3112.5</v>
      </c>
      <c r="I489" s="60">
        <v>9</v>
      </c>
      <c r="J489" s="247">
        <v>9.7799999999999994</v>
      </c>
      <c r="K489" s="247">
        <f>2+2</f>
        <v>4</v>
      </c>
      <c r="L489" s="247">
        <v>16.09</v>
      </c>
      <c r="M489" s="60">
        <f t="shared" si="75"/>
        <v>38.870000000000005</v>
      </c>
      <c r="N489" s="303">
        <f t="shared" si="73"/>
        <v>3151.37</v>
      </c>
      <c r="O489" s="249" t="s">
        <v>2892</v>
      </c>
      <c r="P489" s="249" t="s">
        <v>197</v>
      </c>
    </row>
    <row r="490" spans="2:18" ht="12.75" customHeight="1" x14ac:dyDescent="0.25">
      <c r="B490" s="295" t="s">
        <v>2893</v>
      </c>
      <c r="C490" s="325" t="s">
        <v>2894</v>
      </c>
      <c r="D490" s="325" t="s">
        <v>1249</v>
      </c>
      <c r="E490" s="2">
        <v>75</v>
      </c>
      <c r="F490" s="2">
        <v>4000</v>
      </c>
      <c r="G490" s="60">
        <v>2.25</v>
      </c>
      <c r="H490" s="303">
        <f t="shared" ref="H490:H496" si="76">F490*G490</f>
        <v>9000</v>
      </c>
      <c r="I490" s="60">
        <v>9</v>
      </c>
      <c r="J490" s="439"/>
      <c r="K490" s="439"/>
      <c r="L490" s="439"/>
      <c r="M490" s="60">
        <f t="shared" ref="M490:M496" si="77">SUM(I490:L490)</f>
        <v>9</v>
      </c>
      <c r="N490" s="303">
        <f t="shared" ref="N490:N496" si="78">H490+M490</f>
        <v>9009</v>
      </c>
      <c r="O490" s="249" t="s">
        <v>2507</v>
      </c>
      <c r="P490" s="249" t="s">
        <v>197</v>
      </c>
    </row>
    <row r="491" spans="2:18" ht="12.75" customHeight="1" x14ac:dyDescent="0.25">
      <c r="B491" s="295" t="s">
        <v>2893</v>
      </c>
      <c r="C491" s="325" t="s">
        <v>2894</v>
      </c>
      <c r="D491" s="325" t="s">
        <v>1249</v>
      </c>
      <c r="E491" s="2">
        <v>75</v>
      </c>
      <c r="F491" s="2">
        <v>4000</v>
      </c>
      <c r="G491" s="60">
        <v>2.25</v>
      </c>
      <c r="H491" s="303">
        <f t="shared" si="76"/>
        <v>9000</v>
      </c>
      <c r="I491" s="60">
        <v>9</v>
      </c>
      <c r="J491" s="247">
        <v>9.74</v>
      </c>
      <c r="K491" s="247">
        <f>3+3</f>
        <v>6</v>
      </c>
      <c r="L491" s="247">
        <v>24.8</v>
      </c>
      <c r="M491" s="60">
        <f t="shared" si="77"/>
        <v>49.540000000000006</v>
      </c>
      <c r="N491" s="303">
        <f t="shared" si="78"/>
        <v>9049.5400000000009</v>
      </c>
      <c r="O491" s="249" t="s">
        <v>2507</v>
      </c>
      <c r="P491" s="249" t="s">
        <v>197</v>
      </c>
    </row>
    <row r="492" spans="2:18" ht="12.75" customHeight="1" x14ac:dyDescent="0.25">
      <c r="B492" s="295" t="s">
        <v>2896</v>
      </c>
      <c r="C492" s="325" t="s">
        <v>2895</v>
      </c>
      <c r="D492" s="325" t="s">
        <v>1249</v>
      </c>
      <c r="E492" s="2">
        <v>27.5</v>
      </c>
      <c r="F492" s="2">
        <v>8000</v>
      </c>
      <c r="G492" s="60">
        <v>1</v>
      </c>
      <c r="H492" s="303">
        <f t="shared" si="76"/>
        <v>8000</v>
      </c>
      <c r="I492" s="60">
        <v>9</v>
      </c>
      <c r="J492" s="439"/>
      <c r="K492" s="439"/>
      <c r="L492" s="439"/>
      <c r="M492" s="60">
        <f t="shared" si="77"/>
        <v>9</v>
      </c>
      <c r="N492" s="303">
        <f t="shared" si="78"/>
        <v>8009</v>
      </c>
      <c r="O492" s="249" t="s">
        <v>2511</v>
      </c>
      <c r="P492" s="249" t="s">
        <v>197</v>
      </c>
    </row>
    <row r="493" spans="2:18" ht="12.75" customHeight="1" x14ac:dyDescent="0.25">
      <c r="B493" s="295" t="s">
        <v>2896</v>
      </c>
      <c r="C493" s="325" t="s">
        <v>2895</v>
      </c>
      <c r="D493" s="325" t="s">
        <v>1249</v>
      </c>
      <c r="E493" s="2">
        <v>27.5</v>
      </c>
      <c r="F493" s="2">
        <v>8000</v>
      </c>
      <c r="G493" s="60">
        <v>0.95</v>
      </c>
      <c r="H493" s="303">
        <f t="shared" si="76"/>
        <v>7600</v>
      </c>
      <c r="I493" s="60">
        <v>9</v>
      </c>
      <c r="J493" s="439"/>
      <c r="K493" s="439"/>
      <c r="L493" s="439"/>
      <c r="M493" s="60">
        <f t="shared" si="77"/>
        <v>9</v>
      </c>
      <c r="N493" s="303">
        <f t="shared" si="78"/>
        <v>7609</v>
      </c>
      <c r="O493" s="249" t="s">
        <v>2511</v>
      </c>
      <c r="P493" s="249" t="s">
        <v>197</v>
      </c>
    </row>
    <row r="494" spans="2:18" ht="12.75" customHeight="1" x14ac:dyDescent="0.25">
      <c r="B494" s="295" t="s">
        <v>2896</v>
      </c>
      <c r="C494" s="325" t="s">
        <v>2895</v>
      </c>
      <c r="D494" s="325" t="s">
        <v>1249</v>
      </c>
      <c r="E494" s="2">
        <v>27.5</v>
      </c>
      <c r="F494" s="2">
        <v>8000</v>
      </c>
      <c r="G494" s="60">
        <v>1</v>
      </c>
      <c r="H494" s="303">
        <f t="shared" si="76"/>
        <v>8000</v>
      </c>
      <c r="I494" s="60">
        <v>9</v>
      </c>
      <c r="J494" s="247">
        <v>9.9600000000000009</v>
      </c>
      <c r="K494" s="247">
        <f>5+4</f>
        <v>9</v>
      </c>
      <c r="L494" s="247">
        <v>35.56</v>
      </c>
      <c r="M494" s="60">
        <f t="shared" si="77"/>
        <v>63.52</v>
      </c>
      <c r="N494" s="303">
        <f t="shared" si="78"/>
        <v>8063.52</v>
      </c>
      <c r="O494" s="249" t="s">
        <v>2511</v>
      </c>
      <c r="P494" s="249" t="s">
        <v>197</v>
      </c>
    </row>
    <row r="495" spans="2:18" ht="12.75" customHeight="1" x14ac:dyDescent="0.25">
      <c r="B495" s="295" t="s">
        <v>2898</v>
      </c>
      <c r="C495" s="325" t="s">
        <v>2897</v>
      </c>
      <c r="D495" s="325" t="s">
        <v>1249</v>
      </c>
      <c r="E495" s="2">
        <v>160</v>
      </c>
      <c r="F495" s="2">
        <v>4000</v>
      </c>
      <c r="G495" s="60">
        <v>3.05</v>
      </c>
      <c r="H495" s="303">
        <f t="shared" si="76"/>
        <v>12200</v>
      </c>
      <c r="I495" s="60">
        <v>9</v>
      </c>
      <c r="J495" s="439"/>
      <c r="K495" s="439"/>
      <c r="L495" s="439"/>
      <c r="M495" s="60">
        <f t="shared" si="77"/>
        <v>9</v>
      </c>
      <c r="N495" s="303">
        <f t="shared" si="78"/>
        <v>12209</v>
      </c>
      <c r="O495" s="249" t="s">
        <v>2899</v>
      </c>
      <c r="P495" s="249" t="s">
        <v>197</v>
      </c>
    </row>
    <row r="496" spans="2:18" ht="12.75" customHeight="1" x14ac:dyDescent="0.25">
      <c r="B496" s="295" t="s">
        <v>2898</v>
      </c>
      <c r="C496" s="325" t="s">
        <v>2895</v>
      </c>
      <c r="D496" s="325" t="s">
        <v>1249</v>
      </c>
      <c r="E496" s="2">
        <v>27.5</v>
      </c>
      <c r="F496" s="2">
        <v>8000</v>
      </c>
      <c r="G496" s="60">
        <v>1.05</v>
      </c>
      <c r="H496" s="303">
        <f t="shared" si="76"/>
        <v>8400</v>
      </c>
      <c r="I496" s="60">
        <v>9</v>
      </c>
      <c r="J496" s="247">
        <v>6.26</v>
      </c>
      <c r="K496" s="247">
        <f>2+3</f>
        <v>5</v>
      </c>
      <c r="L496" s="247">
        <v>23.66</v>
      </c>
      <c r="M496" s="60">
        <f t="shared" si="77"/>
        <v>43.92</v>
      </c>
      <c r="N496" s="303">
        <f t="shared" si="78"/>
        <v>8443.92</v>
      </c>
      <c r="O496" s="249" t="s">
        <v>2899</v>
      </c>
      <c r="P496" s="249" t="s">
        <v>197</v>
      </c>
    </row>
    <row r="497" spans="2:16" ht="12.75" customHeight="1" x14ac:dyDescent="0.25">
      <c r="B497" s="295" t="s">
        <v>2901</v>
      </c>
      <c r="C497" s="325" t="s">
        <v>2897</v>
      </c>
      <c r="D497" s="325" t="s">
        <v>1249</v>
      </c>
      <c r="E497" s="2">
        <v>160</v>
      </c>
      <c r="F497" s="2">
        <v>8000</v>
      </c>
      <c r="G497" s="60">
        <v>3</v>
      </c>
      <c r="H497" s="303">
        <f t="shared" ref="H497:H506" si="79">F497*G497</f>
        <v>24000</v>
      </c>
      <c r="I497" s="60">
        <v>18</v>
      </c>
      <c r="J497" s="247">
        <v>15.93</v>
      </c>
      <c r="K497" s="247">
        <f>10+5</f>
        <v>15</v>
      </c>
      <c r="L497" s="247">
        <v>56.84</v>
      </c>
      <c r="M497" s="60">
        <f t="shared" ref="M497:M513" si="80">SUM(I497:L497)</f>
        <v>105.77000000000001</v>
      </c>
      <c r="N497" s="303">
        <f>H497+M497</f>
        <v>24105.77</v>
      </c>
      <c r="O497" s="249" t="s">
        <v>2900</v>
      </c>
      <c r="P497" s="249" t="s">
        <v>197</v>
      </c>
    </row>
    <row r="498" spans="2:16" ht="12.75" customHeight="1" x14ac:dyDescent="0.25">
      <c r="B498" s="295" t="s">
        <v>2903</v>
      </c>
      <c r="C498" s="325" t="s">
        <v>2884</v>
      </c>
      <c r="D498" s="325" t="s">
        <v>1249</v>
      </c>
      <c r="E498" s="2">
        <v>6100</v>
      </c>
      <c r="F498" s="2">
        <v>700</v>
      </c>
      <c r="G498" s="60">
        <v>18</v>
      </c>
      <c r="H498" s="303">
        <f t="shared" si="79"/>
        <v>12600</v>
      </c>
      <c r="I498" s="60">
        <v>126</v>
      </c>
      <c r="J498" s="439"/>
      <c r="K498" s="439"/>
      <c r="L498" s="439"/>
      <c r="M498" s="60">
        <f t="shared" si="80"/>
        <v>126</v>
      </c>
      <c r="N498" s="303">
        <f t="shared" ref="N498:N513" si="81">H498+M498</f>
        <v>12726</v>
      </c>
      <c r="O498" s="249" t="s">
        <v>2902</v>
      </c>
      <c r="P498" s="249" t="s">
        <v>197</v>
      </c>
    </row>
    <row r="499" spans="2:16" ht="12.75" customHeight="1" x14ac:dyDescent="0.25">
      <c r="B499" s="295" t="s">
        <v>2903</v>
      </c>
      <c r="C499" s="325" t="s">
        <v>2884</v>
      </c>
      <c r="D499" s="325" t="s">
        <v>1249</v>
      </c>
      <c r="E499" s="2">
        <v>6100</v>
      </c>
      <c r="F499" s="2">
        <v>250</v>
      </c>
      <c r="G499" s="60">
        <v>18</v>
      </c>
      <c r="H499" s="303">
        <f t="shared" si="79"/>
        <v>4500</v>
      </c>
      <c r="I499" s="60">
        <v>45</v>
      </c>
      <c r="J499" s="439"/>
      <c r="K499" s="439"/>
      <c r="L499" s="439"/>
      <c r="M499" s="60">
        <f t="shared" si="80"/>
        <v>45</v>
      </c>
      <c r="N499" s="303">
        <f t="shared" si="81"/>
        <v>4545</v>
      </c>
      <c r="O499" s="249" t="s">
        <v>2902</v>
      </c>
      <c r="P499" s="249" t="s">
        <v>197</v>
      </c>
    </row>
    <row r="500" spans="2:16" ht="12.75" customHeight="1" x14ac:dyDescent="0.25">
      <c r="B500" s="295" t="s">
        <v>2903</v>
      </c>
      <c r="C500" s="325" t="s">
        <v>2884</v>
      </c>
      <c r="D500" s="325" t="s">
        <v>1249</v>
      </c>
      <c r="E500" s="2">
        <v>6100</v>
      </c>
      <c r="F500" s="2">
        <v>1050</v>
      </c>
      <c r="G500" s="60">
        <v>18</v>
      </c>
      <c r="H500" s="303">
        <f t="shared" si="79"/>
        <v>18900</v>
      </c>
      <c r="I500" s="60">
        <v>189</v>
      </c>
      <c r="J500" s="439"/>
      <c r="K500" s="439"/>
      <c r="L500" s="439"/>
      <c r="M500" s="60">
        <f t="shared" si="80"/>
        <v>189</v>
      </c>
      <c r="N500" s="303">
        <f t="shared" si="81"/>
        <v>19089</v>
      </c>
      <c r="O500" s="249" t="s">
        <v>2902</v>
      </c>
      <c r="P500" s="249" t="s">
        <v>197</v>
      </c>
    </row>
    <row r="501" spans="2:16" ht="12.75" customHeight="1" x14ac:dyDescent="0.25">
      <c r="B501" s="295" t="s">
        <v>2903</v>
      </c>
      <c r="C501" s="325" t="s">
        <v>2884</v>
      </c>
      <c r="D501" s="325" t="s">
        <v>1249</v>
      </c>
      <c r="E501" s="2">
        <v>6100</v>
      </c>
      <c r="F501" s="2">
        <v>2500</v>
      </c>
      <c r="G501" s="60">
        <v>16</v>
      </c>
      <c r="H501" s="303">
        <f t="shared" si="79"/>
        <v>40000</v>
      </c>
      <c r="I501" s="60">
        <v>450</v>
      </c>
      <c r="J501" s="247">
        <v>154.49</v>
      </c>
      <c r="K501" s="247">
        <f>6+7</f>
        <v>13</v>
      </c>
      <c r="L501" s="247">
        <v>79.94</v>
      </c>
      <c r="M501" s="60">
        <f t="shared" si="80"/>
        <v>697.43000000000006</v>
      </c>
      <c r="N501" s="303">
        <f t="shared" si="81"/>
        <v>40697.43</v>
      </c>
      <c r="O501" s="249" t="s">
        <v>2902</v>
      </c>
      <c r="P501" s="249" t="s">
        <v>197</v>
      </c>
    </row>
    <row r="502" spans="2:16" ht="12.75" customHeight="1" x14ac:dyDescent="0.25">
      <c r="B502" s="295" t="s">
        <v>2904</v>
      </c>
      <c r="C502" s="325" t="s">
        <v>2884</v>
      </c>
      <c r="D502" s="325" t="s">
        <v>1249</v>
      </c>
      <c r="E502" s="2">
        <v>6000</v>
      </c>
      <c r="F502" s="2">
        <v>150</v>
      </c>
      <c r="G502" s="60">
        <v>31</v>
      </c>
      <c r="H502" s="303">
        <f t="shared" si="79"/>
        <v>4650</v>
      </c>
      <c r="I502" s="60">
        <v>27</v>
      </c>
      <c r="J502" s="439"/>
      <c r="K502" s="439"/>
      <c r="L502" s="439"/>
      <c r="M502" s="60">
        <f t="shared" si="80"/>
        <v>27</v>
      </c>
      <c r="N502" s="303">
        <f t="shared" si="81"/>
        <v>4677</v>
      </c>
      <c r="O502" s="249" t="s">
        <v>2906</v>
      </c>
      <c r="P502" s="249" t="s">
        <v>197</v>
      </c>
    </row>
    <row r="503" spans="2:16" ht="12.75" customHeight="1" x14ac:dyDescent="0.25">
      <c r="B503" s="295" t="s">
        <v>2904</v>
      </c>
      <c r="C503" s="325" t="s">
        <v>2884</v>
      </c>
      <c r="D503" s="325" t="s">
        <v>1249</v>
      </c>
      <c r="E503" s="2">
        <v>6000</v>
      </c>
      <c r="F503" s="2">
        <v>850</v>
      </c>
      <c r="G503" s="60">
        <v>31</v>
      </c>
      <c r="H503" s="303">
        <f t="shared" si="79"/>
        <v>26350</v>
      </c>
      <c r="I503" s="60">
        <v>153</v>
      </c>
      <c r="J503" s="439"/>
      <c r="K503" s="439"/>
      <c r="L503" s="439"/>
      <c r="M503" s="60">
        <f t="shared" si="80"/>
        <v>153</v>
      </c>
      <c r="N503" s="303">
        <f t="shared" si="81"/>
        <v>26503</v>
      </c>
      <c r="O503" s="249" t="s">
        <v>2906</v>
      </c>
      <c r="P503" s="249" t="s">
        <v>197</v>
      </c>
    </row>
    <row r="504" spans="2:16" ht="12.75" customHeight="1" x14ac:dyDescent="0.25">
      <c r="B504" s="295" t="s">
        <v>2904</v>
      </c>
      <c r="C504" s="325" t="s">
        <v>2884</v>
      </c>
      <c r="D504" s="325" t="s">
        <v>1249</v>
      </c>
      <c r="E504" s="2">
        <v>6100</v>
      </c>
      <c r="F504" s="2">
        <v>200</v>
      </c>
      <c r="G504" s="60">
        <v>10.35</v>
      </c>
      <c r="H504" s="303">
        <f t="shared" si="79"/>
        <v>2070</v>
      </c>
      <c r="I504" s="60">
        <v>36</v>
      </c>
      <c r="J504" s="247">
        <v>87.71</v>
      </c>
      <c r="K504" s="247">
        <f>5+4</f>
        <v>9</v>
      </c>
      <c r="L504" s="247">
        <v>43.62</v>
      </c>
      <c r="M504" s="60">
        <f t="shared" si="80"/>
        <v>176.32999999999998</v>
      </c>
      <c r="N504" s="303">
        <f t="shared" si="81"/>
        <v>2246.33</v>
      </c>
      <c r="O504" s="249" t="s">
        <v>2906</v>
      </c>
      <c r="P504" s="249" t="s">
        <v>197</v>
      </c>
    </row>
    <row r="505" spans="2:16" ht="12.75" customHeight="1" x14ac:dyDescent="0.25">
      <c r="B505" s="295" t="s">
        <v>2908</v>
      </c>
      <c r="C505" s="325" t="s">
        <v>2905</v>
      </c>
      <c r="D505" s="325" t="s">
        <v>1249</v>
      </c>
      <c r="E505" s="2">
        <v>12400</v>
      </c>
      <c r="F505" s="2">
        <v>25</v>
      </c>
      <c r="G505" s="60">
        <v>46.45</v>
      </c>
      <c r="H505" s="303">
        <f t="shared" si="79"/>
        <v>1161.25</v>
      </c>
      <c r="I505" s="60">
        <v>9</v>
      </c>
      <c r="J505" s="439"/>
      <c r="K505" s="439"/>
      <c r="L505" s="439"/>
      <c r="M505" s="60">
        <f t="shared" si="80"/>
        <v>9</v>
      </c>
      <c r="N505" s="303">
        <f t="shared" si="81"/>
        <v>1170.25</v>
      </c>
      <c r="O505" s="249" t="s">
        <v>2907</v>
      </c>
      <c r="P505" s="249" t="s">
        <v>197</v>
      </c>
    </row>
    <row r="506" spans="2:16" ht="12.75" customHeight="1" x14ac:dyDescent="0.25">
      <c r="B506" s="295" t="s">
        <v>2908</v>
      </c>
      <c r="C506" s="325" t="s">
        <v>2905</v>
      </c>
      <c r="D506" s="325" t="s">
        <v>1249</v>
      </c>
      <c r="E506" s="2">
        <v>12400</v>
      </c>
      <c r="F506" s="2">
        <v>50</v>
      </c>
      <c r="G506" s="60">
        <v>46.95</v>
      </c>
      <c r="H506" s="303">
        <f t="shared" si="79"/>
        <v>2347.5</v>
      </c>
      <c r="I506" s="60">
        <v>18</v>
      </c>
      <c r="J506" s="439"/>
      <c r="K506" s="439"/>
      <c r="L506" s="439"/>
      <c r="M506" s="60">
        <f t="shared" si="80"/>
        <v>18</v>
      </c>
      <c r="N506" s="303">
        <f t="shared" si="81"/>
        <v>2365.5</v>
      </c>
      <c r="O506" s="249" t="s">
        <v>2907</v>
      </c>
      <c r="P506" s="249" t="s">
        <v>197</v>
      </c>
    </row>
    <row r="507" spans="2:16" ht="12.75" customHeight="1" x14ac:dyDescent="0.25">
      <c r="B507" s="295" t="s">
        <v>2908</v>
      </c>
      <c r="C507" s="325" t="s">
        <v>2905</v>
      </c>
      <c r="D507" s="325" t="s">
        <v>1249</v>
      </c>
      <c r="E507" s="2">
        <v>12400</v>
      </c>
      <c r="F507" s="2">
        <v>50</v>
      </c>
      <c r="G507" s="60">
        <v>47</v>
      </c>
      <c r="H507" s="303">
        <f t="shared" ref="H507:H513" si="82">F507*G507</f>
        <v>2350</v>
      </c>
      <c r="I507" s="60">
        <v>18</v>
      </c>
      <c r="J507" s="439"/>
      <c r="K507" s="439"/>
      <c r="L507" s="439"/>
      <c r="M507" s="60">
        <f t="shared" si="80"/>
        <v>18</v>
      </c>
      <c r="N507" s="303">
        <f t="shared" si="81"/>
        <v>2368</v>
      </c>
      <c r="O507" s="249" t="s">
        <v>2907</v>
      </c>
      <c r="P507" s="249" t="s">
        <v>197</v>
      </c>
    </row>
    <row r="508" spans="2:16" ht="12.75" customHeight="1" x14ac:dyDescent="0.25">
      <c r="B508" s="295" t="s">
        <v>2908</v>
      </c>
      <c r="C508" s="325" t="s">
        <v>2905</v>
      </c>
      <c r="D508" s="325" t="s">
        <v>1249</v>
      </c>
      <c r="E508" s="2">
        <v>12400</v>
      </c>
      <c r="F508" s="2">
        <v>175</v>
      </c>
      <c r="G508" s="60">
        <v>47.3</v>
      </c>
      <c r="H508" s="303">
        <f t="shared" si="82"/>
        <v>8277.5</v>
      </c>
      <c r="I508" s="60">
        <v>63</v>
      </c>
      <c r="J508" s="439"/>
      <c r="K508" s="439"/>
      <c r="L508" s="439"/>
      <c r="M508" s="60">
        <f t="shared" si="80"/>
        <v>63</v>
      </c>
      <c r="N508" s="303">
        <f t="shared" si="81"/>
        <v>8340.5</v>
      </c>
      <c r="O508" s="249" t="s">
        <v>2907</v>
      </c>
      <c r="P508" s="249" t="s">
        <v>197</v>
      </c>
    </row>
    <row r="509" spans="2:16" ht="12.75" customHeight="1" x14ac:dyDescent="0.25">
      <c r="B509" s="295" t="s">
        <v>2908</v>
      </c>
      <c r="C509" s="325" t="s">
        <v>2905</v>
      </c>
      <c r="D509" s="325" t="s">
        <v>1249</v>
      </c>
      <c r="E509" s="2">
        <v>12400</v>
      </c>
      <c r="F509" s="2">
        <v>175</v>
      </c>
      <c r="G509" s="60">
        <v>47.5</v>
      </c>
      <c r="H509" s="303">
        <f t="shared" si="82"/>
        <v>8312.5</v>
      </c>
      <c r="I509" s="60">
        <v>63</v>
      </c>
      <c r="J509" s="439"/>
      <c r="K509" s="439"/>
      <c r="L509" s="439"/>
      <c r="M509" s="60">
        <f t="shared" si="80"/>
        <v>63</v>
      </c>
      <c r="N509" s="303">
        <f t="shared" si="81"/>
        <v>8375.5</v>
      </c>
      <c r="O509" s="249" t="s">
        <v>2907</v>
      </c>
      <c r="P509" s="249" t="s">
        <v>197</v>
      </c>
    </row>
    <row r="510" spans="2:16" ht="12.75" customHeight="1" x14ac:dyDescent="0.25">
      <c r="B510" s="295" t="s">
        <v>2908</v>
      </c>
      <c r="C510" s="325" t="s">
        <v>2905</v>
      </c>
      <c r="D510" s="325" t="s">
        <v>1249</v>
      </c>
      <c r="E510" s="2">
        <v>12400</v>
      </c>
      <c r="F510" s="2">
        <v>25</v>
      </c>
      <c r="G510" s="60">
        <v>47.7</v>
      </c>
      <c r="H510" s="303">
        <f t="shared" si="82"/>
        <v>1192.5</v>
      </c>
      <c r="I510" s="60">
        <v>9</v>
      </c>
      <c r="J510" s="439"/>
      <c r="K510" s="439"/>
      <c r="L510" s="439"/>
      <c r="M510" s="60">
        <f t="shared" si="80"/>
        <v>9</v>
      </c>
      <c r="N510" s="303">
        <f t="shared" si="81"/>
        <v>1201.5</v>
      </c>
      <c r="O510" s="249" t="s">
        <v>2907</v>
      </c>
      <c r="P510" s="249" t="s">
        <v>197</v>
      </c>
    </row>
    <row r="511" spans="2:16" ht="12.75" customHeight="1" x14ac:dyDescent="0.25">
      <c r="B511" s="295" t="s">
        <v>2908</v>
      </c>
      <c r="C511" s="325" t="s">
        <v>2905</v>
      </c>
      <c r="D511" s="325" t="s">
        <v>1249</v>
      </c>
      <c r="E511" s="2">
        <v>12400</v>
      </c>
      <c r="F511" s="2">
        <v>150</v>
      </c>
      <c r="G511" s="60">
        <v>39.200000000000003</v>
      </c>
      <c r="H511" s="303">
        <f t="shared" si="82"/>
        <v>5880</v>
      </c>
      <c r="I511" s="60">
        <v>54</v>
      </c>
      <c r="J511" s="439"/>
      <c r="K511" s="439"/>
      <c r="L511" s="439"/>
      <c r="M511" s="60">
        <f t="shared" si="80"/>
        <v>54</v>
      </c>
      <c r="N511" s="303">
        <f t="shared" si="81"/>
        <v>5934</v>
      </c>
      <c r="O511" s="249" t="s">
        <v>2907</v>
      </c>
      <c r="P511" s="249" t="s">
        <v>197</v>
      </c>
    </row>
    <row r="512" spans="2:16" ht="12.75" customHeight="1" x14ac:dyDescent="0.25">
      <c r="B512" s="295" t="s">
        <v>2908</v>
      </c>
      <c r="C512" s="325" t="s">
        <v>2905</v>
      </c>
      <c r="D512" s="325" t="s">
        <v>1249</v>
      </c>
      <c r="E512" s="2">
        <v>12400</v>
      </c>
      <c r="F512" s="2">
        <v>25</v>
      </c>
      <c r="G512" s="60">
        <v>39.200000000000003</v>
      </c>
      <c r="H512" s="303">
        <f t="shared" si="82"/>
        <v>980.00000000000011</v>
      </c>
      <c r="I512" s="60">
        <v>9</v>
      </c>
      <c r="J512" s="439"/>
      <c r="K512" s="439"/>
      <c r="L512" s="439"/>
      <c r="M512" s="60">
        <f t="shared" si="80"/>
        <v>9</v>
      </c>
      <c r="N512" s="303">
        <f t="shared" si="81"/>
        <v>989.00000000000011</v>
      </c>
      <c r="O512" s="249" t="s">
        <v>2907</v>
      </c>
      <c r="P512" s="249" t="s">
        <v>197</v>
      </c>
    </row>
    <row r="513" spans="2:18" ht="12.75" customHeight="1" x14ac:dyDescent="0.25">
      <c r="B513" s="295" t="s">
        <v>2908</v>
      </c>
      <c r="C513" s="325" t="s">
        <v>2905</v>
      </c>
      <c r="D513" s="325" t="s">
        <v>1249</v>
      </c>
      <c r="E513" s="2">
        <v>12400</v>
      </c>
      <c r="F513" s="2">
        <v>25</v>
      </c>
      <c r="G513" s="60">
        <v>39.200000000000003</v>
      </c>
      <c r="H513" s="303">
        <f t="shared" si="82"/>
        <v>980.00000000000011</v>
      </c>
      <c r="I513" s="60">
        <v>9</v>
      </c>
      <c r="J513" s="247">
        <v>62.8</v>
      </c>
      <c r="K513" s="247">
        <f>4+4</f>
        <v>8</v>
      </c>
      <c r="L513" s="247">
        <v>40.130000000000003</v>
      </c>
      <c r="M513" s="60">
        <f t="shared" si="80"/>
        <v>119.93</v>
      </c>
      <c r="N513" s="303">
        <f t="shared" si="81"/>
        <v>1099.93</v>
      </c>
      <c r="O513" s="249" t="s">
        <v>2907</v>
      </c>
      <c r="P513" s="249" t="s">
        <v>197</v>
      </c>
    </row>
    <row r="514" spans="2:18" ht="12.75" customHeight="1" x14ac:dyDescent="0.25">
      <c r="B514" s="295" t="s">
        <v>2911</v>
      </c>
      <c r="C514" s="325" t="s">
        <v>2905</v>
      </c>
      <c r="D514" s="325" t="s">
        <v>1249</v>
      </c>
      <c r="E514" s="2">
        <v>12000</v>
      </c>
      <c r="F514" s="2">
        <v>25</v>
      </c>
      <c r="G514" s="60">
        <v>29.4</v>
      </c>
      <c r="H514" s="303">
        <f t="shared" ref="H514:H521" si="83">F514*G514</f>
        <v>735</v>
      </c>
      <c r="I514" s="60">
        <v>9</v>
      </c>
      <c r="J514" s="439"/>
      <c r="K514" s="439"/>
      <c r="L514" s="439"/>
      <c r="M514" s="60">
        <f t="shared" ref="M514:M520" si="84">SUM(I514:L514)</f>
        <v>9</v>
      </c>
      <c r="N514" s="303">
        <f t="shared" ref="N514:N520" si="85">H514+M514</f>
        <v>744</v>
      </c>
      <c r="O514" s="249" t="s">
        <v>2910</v>
      </c>
      <c r="P514" s="249" t="s">
        <v>197</v>
      </c>
    </row>
    <row r="515" spans="2:18" ht="12.75" customHeight="1" x14ac:dyDescent="0.25">
      <c r="B515" s="295" t="s">
        <v>2911</v>
      </c>
      <c r="C515" s="325" t="s">
        <v>2905</v>
      </c>
      <c r="D515" s="325" t="s">
        <v>1249</v>
      </c>
      <c r="E515" s="2">
        <v>12000</v>
      </c>
      <c r="F515" s="2">
        <v>50</v>
      </c>
      <c r="G515" s="60">
        <v>29.4</v>
      </c>
      <c r="H515" s="303">
        <f t="shared" si="83"/>
        <v>1470</v>
      </c>
      <c r="I515" s="60">
        <v>18</v>
      </c>
      <c r="J515" s="439"/>
      <c r="K515" s="439"/>
      <c r="L515" s="439"/>
      <c r="M515" s="60">
        <f t="shared" si="84"/>
        <v>18</v>
      </c>
      <c r="N515" s="303">
        <f t="shared" si="85"/>
        <v>1488</v>
      </c>
      <c r="O515" s="249" t="s">
        <v>2910</v>
      </c>
      <c r="P515" s="249" t="s">
        <v>197</v>
      </c>
    </row>
    <row r="516" spans="2:18" ht="12.75" customHeight="1" x14ac:dyDescent="0.25">
      <c r="B516" s="295" t="s">
        <v>2911</v>
      </c>
      <c r="C516" s="325" t="s">
        <v>2905</v>
      </c>
      <c r="D516" s="325" t="s">
        <v>1249</v>
      </c>
      <c r="E516" s="2">
        <v>12000</v>
      </c>
      <c r="F516" s="2">
        <v>50</v>
      </c>
      <c r="G516" s="60">
        <v>29.4</v>
      </c>
      <c r="H516" s="303">
        <f t="shared" si="83"/>
        <v>1470</v>
      </c>
      <c r="I516" s="60">
        <v>18</v>
      </c>
      <c r="J516" s="439"/>
      <c r="K516" s="439"/>
      <c r="L516" s="439"/>
      <c r="M516" s="60">
        <f t="shared" si="84"/>
        <v>18</v>
      </c>
      <c r="N516" s="303">
        <f t="shared" si="85"/>
        <v>1488</v>
      </c>
      <c r="O516" s="249" t="s">
        <v>2910</v>
      </c>
      <c r="P516" s="249" t="s">
        <v>197</v>
      </c>
    </row>
    <row r="517" spans="2:18" ht="12.75" customHeight="1" x14ac:dyDescent="0.25">
      <c r="B517" s="295" t="s">
        <v>2911</v>
      </c>
      <c r="C517" s="325" t="s">
        <v>2905</v>
      </c>
      <c r="D517" s="325" t="s">
        <v>1249</v>
      </c>
      <c r="E517" s="2">
        <v>12000</v>
      </c>
      <c r="F517" s="2">
        <v>125</v>
      </c>
      <c r="G517" s="60">
        <v>29.45</v>
      </c>
      <c r="H517" s="303">
        <f t="shared" si="83"/>
        <v>3681.25</v>
      </c>
      <c r="I517" s="60">
        <v>45</v>
      </c>
      <c r="J517" s="247">
        <v>43.57</v>
      </c>
      <c r="K517" s="247">
        <f>1+1</f>
        <v>2</v>
      </c>
      <c r="L517" s="247">
        <v>10.54</v>
      </c>
      <c r="M517" s="60">
        <f t="shared" si="84"/>
        <v>101.10999999999999</v>
      </c>
      <c r="N517" s="303">
        <f t="shared" si="85"/>
        <v>3782.36</v>
      </c>
      <c r="O517" s="249" t="s">
        <v>2910</v>
      </c>
      <c r="P517" s="249" t="s">
        <v>197</v>
      </c>
    </row>
    <row r="518" spans="2:18" ht="12.75" customHeight="1" x14ac:dyDescent="0.25">
      <c r="B518" s="295" t="s">
        <v>2913</v>
      </c>
      <c r="C518" s="325" t="s">
        <v>2897</v>
      </c>
      <c r="D518" s="325" t="s">
        <v>1249</v>
      </c>
      <c r="E518" s="2">
        <v>150</v>
      </c>
      <c r="F518" s="2">
        <v>4000</v>
      </c>
      <c r="G518" s="60">
        <v>1.5</v>
      </c>
      <c r="H518" s="303">
        <f t="shared" si="83"/>
        <v>6000</v>
      </c>
      <c r="I518" s="60">
        <v>9</v>
      </c>
      <c r="J518" s="439"/>
      <c r="K518" s="439"/>
      <c r="L518" s="439"/>
      <c r="M518" s="60">
        <f t="shared" si="84"/>
        <v>9</v>
      </c>
      <c r="N518" s="303">
        <f t="shared" si="85"/>
        <v>6009</v>
      </c>
      <c r="O518" s="249" t="s">
        <v>2912</v>
      </c>
      <c r="P518" s="249" t="s">
        <v>197</v>
      </c>
    </row>
    <row r="519" spans="2:18" ht="12.75" customHeight="1" x14ac:dyDescent="0.25">
      <c r="B519" s="295" t="s">
        <v>2913</v>
      </c>
      <c r="C519" s="325" t="s">
        <v>2897</v>
      </c>
      <c r="D519" s="325" t="s">
        <v>1249</v>
      </c>
      <c r="E519" s="2">
        <v>150</v>
      </c>
      <c r="F519" s="2">
        <v>4000</v>
      </c>
      <c r="G519" s="60">
        <v>1.5</v>
      </c>
      <c r="H519" s="303">
        <f t="shared" si="83"/>
        <v>6000</v>
      </c>
      <c r="I519" s="60">
        <v>9</v>
      </c>
      <c r="J519" s="439"/>
      <c r="K519" s="439"/>
      <c r="L519" s="439"/>
      <c r="M519" s="60">
        <f t="shared" si="84"/>
        <v>9</v>
      </c>
      <c r="N519" s="303">
        <f t="shared" si="85"/>
        <v>6009</v>
      </c>
      <c r="O519" s="249" t="s">
        <v>2912</v>
      </c>
      <c r="P519" s="249" t="s">
        <v>197</v>
      </c>
    </row>
    <row r="520" spans="2:18" ht="12.75" customHeight="1" x14ac:dyDescent="0.25">
      <c r="B520" s="295" t="s">
        <v>2913</v>
      </c>
      <c r="C520" s="325" t="s">
        <v>2905</v>
      </c>
      <c r="D520" s="325" t="s">
        <v>1249</v>
      </c>
      <c r="E520" s="2">
        <v>11700</v>
      </c>
      <c r="F520" s="2">
        <v>200</v>
      </c>
      <c r="G520" s="60">
        <v>25.85</v>
      </c>
      <c r="H520" s="303">
        <f t="shared" si="83"/>
        <v>5170</v>
      </c>
      <c r="I520" s="60">
        <v>72</v>
      </c>
      <c r="J520" s="247">
        <v>26.59</v>
      </c>
      <c r="K520" s="247">
        <f>1+2</f>
        <v>3</v>
      </c>
      <c r="L520" s="247">
        <v>17.149999999999999</v>
      </c>
      <c r="M520" s="60">
        <f t="shared" si="84"/>
        <v>118.74000000000001</v>
      </c>
      <c r="N520" s="303">
        <f t="shared" si="85"/>
        <v>5288.74</v>
      </c>
      <c r="O520" s="249" t="s">
        <v>2912</v>
      </c>
      <c r="P520" s="249" t="s">
        <v>197</v>
      </c>
    </row>
    <row r="521" spans="2:18" ht="12.75" customHeight="1" x14ac:dyDescent="0.25">
      <c r="B521" s="295" t="s">
        <v>2916</v>
      </c>
      <c r="C521" s="325" t="s">
        <v>2884</v>
      </c>
      <c r="D521" s="325" t="s">
        <v>1245</v>
      </c>
      <c r="E521" s="2">
        <v>5600</v>
      </c>
      <c r="F521" s="2">
        <v>50</v>
      </c>
      <c r="G521" s="60">
        <v>9.6999999999999993</v>
      </c>
      <c r="H521" s="303">
        <f t="shared" si="83"/>
        <v>484.99999999999994</v>
      </c>
      <c r="I521" s="60">
        <v>9</v>
      </c>
      <c r="J521" s="439"/>
      <c r="K521" s="439"/>
      <c r="L521" s="439"/>
      <c r="M521" s="60">
        <f>SUM(I521:L521)</f>
        <v>9</v>
      </c>
      <c r="N521" s="303">
        <f>H521+M521</f>
        <v>493.99999999999994</v>
      </c>
      <c r="O521" s="249" t="s">
        <v>1643</v>
      </c>
      <c r="P521" s="249" t="s">
        <v>197</v>
      </c>
    </row>
    <row r="523" spans="2:18" ht="13.2" x14ac:dyDescent="0.25">
      <c r="M523" s="60"/>
      <c r="N523" s="303"/>
      <c r="O523" s="304"/>
      <c r="P523" s="304"/>
      <c r="R523" s="247"/>
    </row>
    <row r="524" spans="2:18" ht="12.75" customHeight="1" x14ac:dyDescent="0.25">
      <c r="M524" s="257"/>
      <c r="N524" s="257"/>
    </row>
    <row r="529" spans="2:19" ht="13.2" x14ac:dyDescent="0.25">
      <c r="C529" s="325"/>
      <c r="D529" s="325"/>
      <c r="E529" s="2"/>
      <c r="F529" s="2"/>
      <c r="G529" s="60"/>
      <c r="H529" s="303"/>
      <c r="I529" s="60"/>
      <c r="J529" s="299"/>
      <c r="K529" s="299"/>
      <c r="L529" s="224"/>
      <c r="M529" s="60"/>
      <c r="N529" s="303"/>
      <c r="O529" s="304"/>
      <c r="P529" s="304"/>
      <c r="R529" s="247"/>
    </row>
    <row r="530" spans="2:19" ht="12.75" customHeight="1" x14ac:dyDescent="0.25">
      <c r="B530" s="325"/>
      <c r="C530" s="325"/>
      <c r="D530" s="325"/>
      <c r="E530" s="2"/>
      <c r="F530" s="2"/>
      <c r="G530" s="60"/>
      <c r="H530" s="303"/>
      <c r="I530" s="60"/>
      <c r="J530" s="300"/>
      <c r="M530" s="257"/>
      <c r="N530" s="257"/>
    </row>
    <row r="531" spans="2:19" ht="12.75" customHeight="1" x14ac:dyDescent="0.25">
      <c r="B531" s="325"/>
      <c r="C531" s="325"/>
      <c r="D531" s="325"/>
      <c r="E531" s="2"/>
      <c r="F531" s="2"/>
      <c r="G531" s="60"/>
      <c r="H531" s="303"/>
      <c r="I531" s="60"/>
    </row>
    <row r="532" spans="2:19" ht="12.75" customHeight="1" x14ac:dyDescent="0.25">
      <c r="B532" s="325"/>
      <c r="C532" s="325"/>
      <c r="D532" s="325"/>
      <c r="E532" s="2"/>
      <c r="F532" s="2"/>
      <c r="G532" s="60"/>
      <c r="H532" s="303"/>
      <c r="I532" s="60"/>
    </row>
    <row r="533" spans="2:19" ht="12.75" customHeight="1" x14ac:dyDescent="0.25">
      <c r="B533" s="325"/>
      <c r="C533" s="325"/>
      <c r="D533" s="325"/>
      <c r="E533" s="2"/>
      <c r="F533" s="2"/>
      <c r="G533" s="60"/>
      <c r="H533" s="303"/>
      <c r="I533" s="60"/>
    </row>
    <row r="534" spans="2:19" ht="12.75" customHeight="1" x14ac:dyDescent="0.25">
      <c r="C534" s="295"/>
      <c r="D534" s="325"/>
      <c r="E534" s="2"/>
      <c r="F534" s="2"/>
      <c r="G534" s="60"/>
      <c r="H534" s="303"/>
      <c r="I534" s="60"/>
    </row>
    <row r="535" spans="2:19" ht="12.75" customHeight="1" x14ac:dyDescent="0.25">
      <c r="B535" s="325"/>
      <c r="C535" s="325"/>
      <c r="D535" s="16"/>
      <c r="E535" s="2"/>
      <c r="F535" s="2"/>
      <c r="G535" s="319"/>
      <c r="H535" s="303"/>
      <c r="I535" s="60"/>
      <c r="J535" s="299"/>
      <c r="K535" s="299"/>
      <c r="M535" s="60"/>
      <c r="N535" s="299"/>
      <c r="P535" s="263"/>
    </row>
    <row r="536" spans="2:19" ht="13.2" x14ac:dyDescent="0.25">
      <c r="B536" s="325"/>
      <c r="C536" s="325"/>
      <c r="D536" s="16"/>
      <c r="E536" s="2"/>
      <c r="F536" s="2"/>
      <c r="G536" s="60"/>
      <c r="H536" s="303"/>
      <c r="I536" s="60"/>
      <c r="J536" s="60"/>
      <c r="K536" s="263"/>
      <c r="L536" s="60"/>
      <c r="M536" s="60"/>
      <c r="N536" s="299"/>
      <c r="O536" s="319"/>
      <c r="P536" s="263"/>
    </row>
    <row r="537" spans="2:19" ht="12.75" customHeight="1" x14ac:dyDescent="0.25">
      <c r="B537" s="325"/>
      <c r="C537" s="325"/>
      <c r="D537" s="16"/>
      <c r="E537" s="2"/>
      <c r="F537" s="2"/>
      <c r="G537" s="60"/>
      <c r="H537" s="303"/>
      <c r="I537" s="60"/>
      <c r="J537" s="299"/>
      <c r="K537" s="299"/>
      <c r="M537" s="60"/>
      <c r="N537" s="299"/>
      <c r="P537" s="263"/>
    </row>
    <row r="538" spans="2:19" ht="12.75" customHeight="1" x14ac:dyDescent="0.25">
      <c r="B538" s="325"/>
      <c r="C538" s="325"/>
      <c r="D538" s="16"/>
      <c r="E538" s="2"/>
      <c r="F538" s="2"/>
      <c r="G538" s="60"/>
      <c r="H538" s="303"/>
      <c r="I538" s="60"/>
      <c r="J538" s="299"/>
      <c r="K538" s="299"/>
      <c r="M538" s="60"/>
      <c r="N538" s="299"/>
      <c r="P538" s="263"/>
    </row>
    <row r="539" spans="2:19" ht="13.2" x14ac:dyDescent="0.25">
      <c r="B539" s="325"/>
      <c r="C539" s="325"/>
      <c r="D539" s="16"/>
      <c r="E539" s="2"/>
      <c r="F539" s="2"/>
      <c r="G539" s="60"/>
      <c r="H539" s="303"/>
      <c r="I539" s="60"/>
      <c r="J539" s="60"/>
      <c r="K539" s="263"/>
      <c r="L539" s="60"/>
      <c r="M539" s="60"/>
      <c r="N539" s="299"/>
      <c r="O539" s="304"/>
      <c r="P539" s="263"/>
    </row>
    <row r="540" spans="2:19" ht="12.75" customHeight="1" x14ac:dyDescent="0.25">
      <c r="B540" s="325"/>
      <c r="C540" s="2"/>
      <c r="D540" s="2"/>
      <c r="E540" s="2"/>
      <c r="F540" s="60"/>
      <c r="G540" s="299"/>
      <c r="H540" s="299"/>
      <c r="I540" s="60"/>
      <c r="M540" s="257" t="s">
        <v>2121</v>
      </c>
      <c r="N540" s="257">
        <f>SUM(N39:N539)</f>
        <v>5366912.3199999994</v>
      </c>
    </row>
    <row r="541" spans="2:19" ht="12.75" customHeight="1" x14ac:dyDescent="0.25">
      <c r="B541" s="325"/>
      <c r="C541" s="2"/>
      <c r="D541" s="2"/>
      <c r="E541" s="2"/>
      <c r="F541" s="60"/>
      <c r="G541" s="299"/>
      <c r="H541" s="299"/>
      <c r="I541" s="60"/>
      <c r="M541" s="257"/>
      <c r="N541" s="262"/>
      <c r="S541" s="247"/>
    </row>
    <row r="542" spans="2:19" ht="12.75" customHeight="1" x14ac:dyDescent="0.25">
      <c r="B542" s="325"/>
      <c r="I542" s="235"/>
      <c r="M542" s="260"/>
      <c r="N542" s="260"/>
    </row>
    <row r="543" spans="2:19" ht="12.75" customHeight="1" x14ac:dyDescent="0.25">
      <c r="B543" s="411" t="s">
        <v>184</v>
      </c>
      <c r="C543" s="204" t="s">
        <v>2079</v>
      </c>
      <c r="D543" s="204" t="s">
        <v>1258</v>
      </c>
      <c r="E543" s="412" t="s">
        <v>1257</v>
      </c>
      <c r="F543" s="204" t="s">
        <v>469</v>
      </c>
      <c r="G543" s="412" t="s">
        <v>188</v>
      </c>
      <c r="H543" s="412" t="s">
        <v>470</v>
      </c>
      <c r="I543" s="412" t="s">
        <v>1839</v>
      </c>
      <c r="J543" s="412" t="s">
        <v>1840</v>
      </c>
      <c r="K543" s="412" t="s">
        <v>2254</v>
      </c>
      <c r="L543" s="412" t="s">
        <v>1251</v>
      </c>
      <c r="M543" s="412" t="s">
        <v>1216</v>
      </c>
      <c r="N543" s="412" t="s">
        <v>667</v>
      </c>
      <c r="O543" s="204" t="s">
        <v>1212</v>
      </c>
      <c r="P543" s="204" t="s">
        <v>186</v>
      </c>
    </row>
    <row r="544" spans="2:19" ht="12.75" customHeight="1" x14ac:dyDescent="0.25">
      <c r="B544" s="325" t="s">
        <v>2255</v>
      </c>
      <c r="C544" s="16" t="s">
        <v>2246</v>
      </c>
      <c r="D544" s="2" t="s">
        <v>1245</v>
      </c>
      <c r="E544" s="2">
        <v>5000</v>
      </c>
      <c r="F544" s="2">
        <v>100</v>
      </c>
      <c r="G544" s="60">
        <v>205.15</v>
      </c>
      <c r="H544" s="303">
        <f>F544*G544</f>
        <v>20515</v>
      </c>
      <c r="I544" s="60">
        <v>18</v>
      </c>
      <c r="J544" s="299">
        <v>3.99</v>
      </c>
      <c r="K544" s="247">
        <v>5</v>
      </c>
      <c r="L544" s="247">
        <v>14.36</v>
      </c>
      <c r="M544" s="60">
        <f t="shared" ref="M544:M556" si="86">SUM(I544:L544)</f>
        <v>41.35</v>
      </c>
      <c r="N544" s="303">
        <f t="shared" ref="N544:N556" si="87">H544-M544</f>
        <v>20473.650000000001</v>
      </c>
      <c r="O544" s="304" t="s">
        <v>2258</v>
      </c>
      <c r="P544" s="304" t="s">
        <v>369</v>
      </c>
    </row>
    <row r="545" spans="2:18" ht="12.75" customHeight="1" x14ac:dyDescent="0.25">
      <c r="B545" s="325" t="s">
        <v>1015</v>
      </c>
      <c r="C545" s="16" t="s">
        <v>2246</v>
      </c>
      <c r="D545" s="2" t="s">
        <v>1245</v>
      </c>
      <c r="E545" s="2">
        <v>5000</v>
      </c>
      <c r="F545" s="2">
        <v>50</v>
      </c>
      <c r="G545" s="60">
        <v>120</v>
      </c>
      <c r="H545" s="303">
        <f t="shared" ref="H545:H557" si="88">F545*G545</f>
        <v>6000</v>
      </c>
      <c r="I545" s="60">
        <v>9</v>
      </c>
      <c r="J545" s="302"/>
      <c r="K545" s="302"/>
      <c r="L545" s="302"/>
      <c r="M545" s="60">
        <f t="shared" si="86"/>
        <v>9</v>
      </c>
      <c r="N545" s="303">
        <f t="shared" si="87"/>
        <v>5991</v>
      </c>
      <c r="O545" s="304" t="s">
        <v>1016</v>
      </c>
      <c r="P545" s="304" t="s">
        <v>369</v>
      </c>
    </row>
    <row r="546" spans="2:18" ht="12.75" customHeight="1" x14ac:dyDescent="0.25">
      <c r="B546" s="325" t="s">
        <v>1015</v>
      </c>
      <c r="C546" s="16" t="s">
        <v>2246</v>
      </c>
      <c r="D546" s="2" t="s">
        <v>1245</v>
      </c>
      <c r="E546" s="2">
        <v>5000</v>
      </c>
      <c r="F546" s="2">
        <v>150</v>
      </c>
      <c r="G546" s="60">
        <v>120</v>
      </c>
      <c r="H546" s="303">
        <f t="shared" si="88"/>
        <v>18000</v>
      </c>
      <c r="I546" s="60">
        <v>27</v>
      </c>
      <c r="J546" s="299">
        <v>11.8</v>
      </c>
      <c r="K546" s="247">
        <v>7</v>
      </c>
      <c r="L546" s="247">
        <v>23.47</v>
      </c>
      <c r="M546" s="60">
        <f t="shared" si="86"/>
        <v>69.27</v>
      </c>
      <c r="N546" s="303">
        <f t="shared" si="87"/>
        <v>17930.73</v>
      </c>
      <c r="O546" s="304" t="s">
        <v>1016</v>
      </c>
      <c r="P546" s="304" t="s">
        <v>369</v>
      </c>
    </row>
    <row r="547" spans="2:18" ht="12.75" customHeight="1" x14ac:dyDescent="0.25">
      <c r="B547" s="325" t="s">
        <v>1018</v>
      </c>
      <c r="C547" s="16" t="s">
        <v>1014</v>
      </c>
      <c r="D547" s="2" t="s">
        <v>1249</v>
      </c>
      <c r="E547" s="2">
        <v>5300</v>
      </c>
      <c r="F547" s="2">
        <v>200</v>
      </c>
      <c r="G547" s="60">
        <v>90</v>
      </c>
      <c r="H547" s="303">
        <f t="shared" si="88"/>
        <v>18000</v>
      </c>
      <c r="I547" s="60">
        <v>36</v>
      </c>
      <c r="J547" s="299">
        <v>9.65</v>
      </c>
      <c r="K547" s="247">
        <v>6</v>
      </c>
      <c r="L547" s="247">
        <v>24.14</v>
      </c>
      <c r="M547" s="60">
        <f t="shared" si="86"/>
        <v>75.789999999999992</v>
      </c>
      <c r="N547" s="303">
        <f t="shared" si="87"/>
        <v>17924.21</v>
      </c>
      <c r="O547" s="304" t="s">
        <v>1019</v>
      </c>
      <c r="P547" s="304" t="s">
        <v>369</v>
      </c>
    </row>
    <row r="548" spans="2:18" ht="13.2" x14ac:dyDescent="0.25">
      <c r="B548" s="325" t="s">
        <v>1031</v>
      </c>
      <c r="C548" s="16" t="s">
        <v>1014</v>
      </c>
      <c r="D548" s="2" t="s">
        <v>1245</v>
      </c>
      <c r="E548" s="2">
        <v>5200</v>
      </c>
      <c r="F548" s="2">
        <v>150</v>
      </c>
      <c r="G548" s="60">
        <v>70.7</v>
      </c>
      <c r="H548" s="303">
        <f t="shared" si="88"/>
        <v>10605</v>
      </c>
      <c r="I548" s="60">
        <v>27</v>
      </c>
      <c r="J548" s="315"/>
      <c r="K548" s="312"/>
      <c r="L548" s="312"/>
      <c r="M548" s="60">
        <f t="shared" si="86"/>
        <v>27</v>
      </c>
      <c r="N548" s="303">
        <f t="shared" si="87"/>
        <v>10578</v>
      </c>
      <c r="O548" s="304" t="s">
        <v>1032</v>
      </c>
      <c r="P548" s="304" t="s">
        <v>369</v>
      </c>
      <c r="Q548" s="299"/>
      <c r="R548" s="247"/>
    </row>
    <row r="549" spans="2:18" ht="13.2" x14ac:dyDescent="0.25">
      <c r="B549" s="325" t="s">
        <v>1031</v>
      </c>
      <c r="C549" s="16" t="s">
        <v>1014</v>
      </c>
      <c r="D549" s="2" t="s">
        <v>1245</v>
      </c>
      <c r="E549" s="2">
        <v>5200</v>
      </c>
      <c r="F549" s="2">
        <v>200</v>
      </c>
      <c r="G549" s="60">
        <v>70.650000000000006</v>
      </c>
      <c r="H549" s="303">
        <f t="shared" si="88"/>
        <v>14130.000000000002</v>
      </c>
      <c r="I549" s="60">
        <v>36</v>
      </c>
      <c r="J549" s="315"/>
      <c r="K549" s="312"/>
      <c r="L549" s="312"/>
      <c r="M549" s="60">
        <f t="shared" si="86"/>
        <v>36</v>
      </c>
      <c r="N549" s="303">
        <f t="shared" si="87"/>
        <v>14094.000000000002</v>
      </c>
      <c r="O549" s="304" t="s">
        <v>1032</v>
      </c>
      <c r="P549" s="304" t="s">
        <v>369</v>
      </c>
      <c r="Q549" s="299"/>
      <c r="R549" s="247"/>
    </row>
    <row r="550" spans="2:18" ht="12.75" customHeight="1" x14ac:dyDescent="0.25">
      <c r="B550" s="325" t="s">
        <v>1031</v>
      </c>
      <c r="C550" s="16" t="s">
        <v>1014</v>
      </c>
      <c r="D550" s="2" t="s">
        <v>1245</v>
      </c>
      <c r="E550" s="2">
        <v>5200</v>
      </c>
      <c r="F550" s="2">
        <v>350</v>
      </c>
      <c r="G550" s="60">
        <v>70.599999999999994</v>
      </c>
      <c r="H550" s="303">
        <f t="shared" si="88"/>
        <v>24709.999999999996</v>
      </c>
      <c r="I550" s="60">
        <v>63</v>
      </c>
      <c r="J550" s="299">
        <v>19.850000000000001</v>
      </c>
      <c r="K550" s="247">
        <v>11</v>
      </c>
      <c r="L550" s="247">
        <v>34.61</v>
      </c>
      <c r="M550" s="60">
        <f t="shared" si="86"/>
        <v>128.45999999999998</v>
      </c>
      <c r="N550" s="303">
        <f t="shared" si="87"/>
        <v>24581.539999999997</v>
      </c>
      <c r="O550" s="304" t="s">
        <v>1032</v>
      </c>
      <c r="P550" s="304" t="s">
        <v>369</v>
      </c>
      <c r="Q550" s="299"/>
    </row>
    <row r="551" spans="2:18" ht="12.75" customHeight="1" x14ac:dyDescent="0.25">
      <c r="B551" s="325" t="s">
        <v>1025</v>
      </c>
      <c r="C551" s="325" t="s">
        <v>2246</v>
      </c>
      <c r="D551" s="16" t="s">
        <v>1245</v>
      </c>
      <c r="E551" s="2">
        <v>5100</v>
      </c>
      <c r="F551" s="2">
        <v>50</v>
      </c>
      <c r="G551" s="60">
        <v>140</v>
      </c>
      <c r="H551" s="303">
        <f t="shared" si="88"/>
        <v>7000</v>
      </c>
      <c r="I551" s="60">
        <v>9</v>
      </c>
      <c r="J551" s="315"/>
      <c r="K551" s="312"/>
      <c r="L551" s="312"/>
      <c r="M551" s="60">
        <f t="shared" si="86"/>
        <v>9</v>
      </c>
      <c r="N551" s="303">
        <f t="shared" si="87"/>
        <v>6991</v>
      </c>
      <c r="O551" s="304" t="s">
        <v>1033</v>
      </c>
      <c r="P551" s="304" t="s">
        <v>369</v>
      </c>
      <c r="Q551" s="299"/>
    </row>
    <row r="552" spans="2:18" ht="12.75" customHeight="1" x14ac:dyDescent="0.25">
      <c r="B552" s="325" t="s">
        <v>1025</v>
      </c>
      <c r="C552" s="325" t="s">
        <v>2246</v>
      </c>
      <c r="D552" s="16" t="s">
        <v>1245</v>
      </c>
      <c r="E552" s="2">
        <v>5100</v>
      </c>
      <c r="F552" s="2">
        <v>50</v>
      </c>
      <c r="G552" s="60">
        <v>140</v>
      </c>
      <c r="H552" s="303">
        <f t="shared" si="88"/>
        <v>7000</v>
      </c>
      <c r="I552" s="60">
        <v>9</v>
      </c>
      <c r="J552" s="315"/>
      <c r="K552" s="312"/>
      <c r="L552" s="312"/>
      <c r="M552" s="60">
        <f t="shared" si="86"/>
        <v>9</v>
      </c>
      <c r="N552" s="303">
        <f t="shared" si="87"/>
        <v>6991</v>
      </c>
      <c r="O552" s="304" t="s">
        <v>1033</v>
      </c>
      <c r="P552" s="304" t="s">
        <v>369</v>
      </c>
      <c r="Q552" s="299"/>
    </row>
    <row r="553" spans="2:18" ht="12.75" customHeight="1" x14ac:dyDescent="0.25">
      <c r="B553" s="325" t="s">
        <v>1025</v>
      </c>
      <c r="C553" s="325" t="s">
        <v>2246</v>
      </c>
      <c r="D553" s="16" t="s">
        <v>1245</v>
      </c>
      <c r="E553" s="2">
        <v>5200</v>
      </c>
      <c r="F553" s="2">
        <v>50</v>
      </c>
      <c r="G553" s="60">
        <v>186</v>
      </c>
      <c r="H553" s="303">
        <f t="shared" si="88"/>
        <v>9300</v>
      </c>
      <c r="I553" s="60">
        <v>9</v>
      </c>
      <c r="J553" s="315"/>
      <c r="K553" s="312"/>
      <c r="L553" s="312"/>
      <c r="M553" s="60">
        <f t="shared" si="86"/>
        <v>9</v>
      </c>
      <c r="N553" s="303">
        <f t="shared" si="87"/>
        <v>9291</v>
      </c>
      <c r="O553" s="304" t="s">
        <v>1033</v>
      </c>
      <c r="P553" s="304" t="s">
        <v>369</v>
      </c>
      <c r="Q553" s="299"/>
    </row>
    <row r="554" spans="2:18" ht="13.2" x14ac:dyDescent="0.25">
      <c r="B554" s="325" t="s">
        <v>1025</v>
      </c>
      <c r="C554" s="16" t="s">
        <v>2246</v>
      </c>
      <c r="D554" s="2" t="s">
        <v>1245</v>
      </c>
      <c r="E554" s="2">
        <v>5200</v>
      </c>
      <c r="F554" s="2">
        <v>50</v>
      </c>
      <c r="G554" s="60">
        <v>186</v>
      </c>
      <c r="H554" s="303">
        <f t="shared" si="88"/>
        <v>9300</v>
      </c>
      <c r="I554" s="60">
        <v>9</v>
      </c>
      <c r="J554" s="299">
        <v>7.27</v>
      </c>
      <c r="K554" s="247">
        <v>8</v>
      </c>
      <c r="L554" s="247">
        <v>22.82</v>
      </c>
      <c r="M554" s="60">
        <f t="shared" si="86"/>
        <v>47.09</v>
      </c>
      <c r="N554" s="303">
        <f t="shared" si="87"/>
        <v>9252.91</v>
      </c>
      <c r="O554" s="304" t="s">
        <v>1033</v>
      </c>
      <c r="P554" s="304" t="s">
        <v>369</v>
      </c>
      <c r="R554" s="247"/>
    </row>
    <row r="555" spans="2:18" ht="13.2" x14ac:dyDescent="0.25">
      <c r="B555" s="325" t="s">
        <v>1035</v>
      </c>
      <c r="C555" s="295" t="s">
        <v>2246</v>
      </c>
      <c r="D555" s="16" t="s">
        <v>1245</v>
      </c>
      <c r="E555" s="2">
        <v>5300</v>
      </c>
      <c r="F555" s="2">
        <v>200</v>
      </c>
      <c r="G555" s="60">
        <v>230</v>
      </c>
      <c r="H555" s="303">
        <f t="shared" si="88"/>
        <v>46000</v>
      </c>
      <c r="I555" s="60">
        <v>36</v>
      </c>
      <c r="J555" s="315"/>
      <c r="K555" s="312"/>
      <c r="L555" s="312"/>
      <c r="M555" s="60">
        <f t="shared" si="86"/>
        <v>36</v>
      </c>
      <c r="N555" s="303">
        <f t="shared" si="87"/>
        <v>45964</v>
      </c>
      <c r="O555" s="304" t="s">
        <v>1036</v>
      </c>
      <c r="P555" s="304" t="s">
        <v>369</v>
      </c>
      <c r="R555" s="247"/>
    </row>
    <row r="556" spans="2:18" ht="13.2" x14ac:dyDescent="0.25">
      <c r="B556" s="325" t="s">
        <v>2479</v>
      </c>
      <c r="C556" s="295" t="s">
        <v>1034</v>
      </c>
      <c r="D556" s="16" t="s">
        <v>1249</v>
      </c>
      <c r="E556" s="2">
        <v>5200</v>
      </c>
      <c r="F556" s="2">
        <v>1000</v>
      </c>
      <c r="G556" s="60">
        <v>96</v>
      </c>
      <c r="H556" s="303">
        <f t="shared" si="88"/>
        <v>96000</v>
      </c>
      <c r="I556" s="60">
        <v>180</v>
      </c>
      <c r="J556" s="299">
        <v>30.56</v>
      </c>
      <c r="K556" s="299">
        <v>22</v>
      </c>
      <c r="L556" s="224">
        <v>67.2</v>
      </c>
      <c r="M556" s="60">
        <f t="shared" si="86"/>
        <v>299.76</v>
      </c>
      <c r="N556" s="303">
        <f t="shared" si="87"/>
        <v>95700.24</v>
      </c>
      <c r="O556" s="304" t="s">
        <v>1037</v>
      </c>
      <c r="P556" s="304" t="s">
        <v>369</v>
      </c>
      <c r="R556" s="247"/>
    </row>
    <row r="557" spans="2:18" ht="13.2" x14ac:dyDescent="0.25">
      <c r="B557" s="325" t="s">
        <v>2481</v>
      </c>
      <c r="C557" s="295" t="s">
        <v>1034</v>
      </c>
      <c r="D557" s="16" t="s">
        <v>1249</v>
      </c>
      <c r="E557" s="2">
        <v>5300</v>
      </c>
      <c r="F557" s="2">
        <v>250</v>
      </c>
      <c r="G557" s="60">
        <v>52.4</v>
      </c>
      <c r="H557" s="303">
        <f t="shared" si="88"/>
        <v>13100</v>
      </c>
      <c r="I557" s="60">
        <v>45</v>
      </c>
      <c r="J557" s="302"/>
      <c r="K557" s="302"/>
      <c r="L557" s="312"/>
      <c r="M557" s="60">
        <f t="shared" ref="M557:M566" si="89">SUM(I557:L557)</f>
        <v>45</v>
      </c>
      <c r="N557" s="303">
        <f t="shared" ref="N557:N566" si="90">H557-M557</f>
        <v>13055</v>
      </c>
      <c r="O557" s="304" t="s">
        <v>2482</v>
      </c>
      <c r="P557" s="304" t="s">
        <v>369</v>
      </c>
      <c r="R557" s="247"/>
    </row>
    <row r="558" spans="2:18" ht="12.75" customHeight="1" x14ac:dyDescent="0.25">
      <c r="B558" s="325" t="s">
        <v>2483</v>
      </c>
      <c r="C558" s="295" t="s">
        <v>2480</v>
      </c>
      <c r="D558" s="16" t="s">
        <v>1245</v>
      </c>
      <c r="E558" s="2">
        <v>5200</v>
      </c>
      <c r="F558" s="2">
        <v>400</v>
      </c>
      <c r="G558" s="60">
        <v>127</v>
      </c>
      <c r="H558" s="303">
        <f>F558*G558</f>
        <v>50800</v>
      </c>
      <c r="I558" s="60">
        <v>72</v>
      </c>
      <c r="J558" s="316"/>
      <c r="K558" s="316"/>
      <c r="L558" s="316"/>
      <c r="M558" s="60">
        <f t="shared" si="89"/>
        <v>72</v>
      </c>
      <c r="N558" s="303">
        <f t="shared" si="90"/>
        <v>50728</v>
      </c>
      <c r="O558" s="304" t="s">
        <v>2484</v>
      </c>
      <c r="P558" s="304" t="s">
        <v>369</v>
      </c>
    </row>
    <row r="559" spans="2:18" ht="13.2" x14ac:dyDescent="0.25">
      <c r="B559" s="325" t="s">
        <v>2485</v>
      </c>
      <c r="C559" s="325" t="s">
        <v>1034</v>
      </c>
      <c r="D559" s="295" t="s">
        <v>1249</v>
      </c>
      <c r="E559" s="2">
        <v>5300</v>
      </c>
      <c r="F559" s="2">
        <v>350</v>
      </c>
      <c r="G559" s="60">
        <v>39.9</v>
      </c>
      <c r="H559" s="303">
        <f t="shared" ref="H559:H574" si="91">F559*G559</f>
        <v>13965</v>
      </c>
      <c r="I559" s="60">
        <v>63</v>
      </c>
      <c r="J559" s="302"/>
      <c r="K559" s="302"/>
      <c r="L559" s="316"/>
      <c r="M559" s="60">
        <f t="shared" si="89"/>
        <v>63</v>
      </c>
      <c r="N559" s="303">
        <f t="shared" si="90"/>
        <v>13902</v>
      </c>
      <c r="O559" s="304" t="s">
        <v>2486</v>
      </c>
      <c r="P559" s="304" t="s">
        <v>369</v>
      </c>
    </row>
    <row r="560" spans="2:18" ht="12.75" customHeight="1" x14ac:dyDescent="0.25">
      <c r="B560" s="325" t="s">
        <v>2485</v>
      </c>
      <c r="C560" s="325" t="s">
        <v>1034</v>
      </c>
      <c r="D560" s="295" t="s">
        <v>1249</v>
      </c>
      <c r="E560" s="2">
        <v>5300</v>
      </c>
      <c r="F560" s="2">
        <v>100</v>
      </c>
      <c r="G560" s="60">
        <v>39.9</v>
      </c>
      <c r="H560" s="303">
        <f t="shared" si="91"/>
        <v>3990</v>
      </c>
      <c r="I560" s="60">
        <v>18</v>
      </c>
      <c r="J560" s="316"/>
      <c r="K560" s="316"/>
      <c r="L560" s="316"/>
      <c r="M560" s="60">
        <f t="shared" si="89"/>
        <v>18</v>
      </c>
      <c r="N560" s="303">
        <f t="shared" si="90"/>
        <v>3972</v>
      </c>
      <c r="O560" s="304" t="s">
        <v>2486</v>
      </c>
      <c r="P560" s="304" t="s">
        <v>369</v>
      </c>
    </row>
    <row r="561" spans="2:18" ht="12.75" customHeight="1" x14ac:dyDescent="0.25">
      <c r="B561" s="325" t="s">
        <v>2485</v>
      </c>
      <c r="C561" s="325" t="s">
        <v>1034</v>
      </c>
      <c r="D561" s="295" t="s">
        <v>1249</v>
      </c>
      <c r="E561" s="2">
        <v>5300</v>
      </c>
      <c r="F561" s="2">
        <v>50</v>
      </c>
      <c r="G561" s="60">
        <v>39.9</v>
      </c>
      <c r="H561" s="303">
        <f t="shared" si="91"/>
        <v>1995</v>
      </c>
      <c r="I561" s="60">
        <v>9</v>
      </c>
      <c r="J561" s="302"/>
      <c r="K561" s="302"/>
      <c r="L561" s="312"/>
      <c r="M561" s="60">
        <f t="shared" si="89"/>
        <v>9</v>
      </c>
      <c r="N561" s="303">
        <f t="shared" si="90"/>
        <v>1986</v>
      </c>
      <c r="O561" s="304" t="s">
        <v>2486</v>
      </c>
      <c r="P561" s="304" t="s">
        <v>369</v>
      </c>
    </row>
    <row r="562" spans="2:18" ht="12.75" customHeight="1" x14ac:dyDescent="0.25">
      <c r="B562" s="325" t="s">
        <v>2487</v>
      </c>
      <c r="C562" s="325" t="s">
        <v>1034</v>
      </c>
      <c r="D562" s="295" t="s">
        <v>1249</v>
      </c>
      <c r="E562" s="2">
        <v>5300</v>
      </c>
      <c r="F562" s="2">
        <v>50</v>
      </c>
      <c r="G562" s="60">
        <v>99.4</v>
      </c>
      <c r="H562" s="303">
        <f t="shared" si="91"/>
        <v>4970</v>
      </c>
      <c r="I562" s="60">
        <v>9</v>
      </c>
      <c r="J562" s="312"/>
      <c r="K562" s="312"/>
      <c r="L562" s="312"/>
      <c r="M562" s="60">
        <f t="shared" si="89"/>
        <v>9</v>
      </c>
      <c r="N562" s="303">
        <f t="shared" si="90"/>
        <v>4961</v>
      </c>
      <c r="O562" s="263" t="s">
        <v>2488</v>
      </c>
      <c r="P562" s="263" t="s">
        <v>369</v>
      </c>
    </row>
    <row r="563" spans="2:18" ht="12.75" customHeight="1" x14ac:dyDescent="0.25">
      <c r="B563" s="325" t="s">
        <v>2487</v>
      </c>
      <c r="C563" s="325" t="s">
        <v>1034</v>
      </c>
      <c r="D563" s="295" t="s">
        <v>1249</v>
      </c>
      <c r="E563" s="2">
        <v>5300</v>
      </c>
      <c r="F563" s="2">
        <v>150</v>
      </c>
      <c r="G563" s="60">
        <v>99.4</v>
      </c>
      <c r="H563" s="303">
        <f t="shared" si="91"/>
        <v>14910</v>
      </c>
      <c r="I563" s="60">
        <v>27</v>
      </c>
      <c r="J563" s="312"/>
      <c r="K563" s="312"/>
      <c r="L563" s="312"/>
      <c r="M563" s="60">
        <f t="shared" si="89"/>
        <v>27</v>
      </c>
      <c r="N563" s="303">
        <f t="shared" si="90"/>
        <v>14883</v>
      </c>
      <c r="O563" s="263" t="s">
        <v>2489</v>
      </c>
      <c r="P563" s="263" t="s">
        <v>369</v>
      </c>
    </row>
    <row r="564" spans="2:18" ht="12.75" customHeight="1" x14ac:dyDescent="0.25">
      <c r="B564" s="325" t="s">
        <v>2487</v>
      </c>
      <c r="C564" s="325" t="s">
        <v>1034</v>
      </c>
      <c r="D564" s="295" t="s">
        <v>1249</v>
      </c>
      <c r="E564" s="2">
        <v>5300</v>
      </c>
      <c r="F564" s="2">
        <v>150</v>
      </c>
      <c r="G564" s="60">
        <v>99.4</v>
      </c>
      <c r="H564" s="303">
        <f t="shared" si="91"/>
        <v>14910</v>
      </c>
      <c r="I564" s="60">
        <v>27</v>
      </c>
      <c r="J564" s="312"/>
      <c r="K564" s="312"/>
      <c r="L564" s="312"/>
      <c r="M564" s="60">
        <f t="shared" si="89"/>
        <v>27</v>
      </c>
      <c r="N564" s="303">
        <f t="shared" si="90"/>
        <v>14883</v>
      </c>
      <c r="O564" s="263" t="s">
        <v>2489</v>
      </c>
      <c r="P564" s="263" t="s">
        <v>369</v>
      </c>
    </row>
    <row r="565" spans="2:18" ht="12.75" customHeight="1" x14ac:dyDescent="0.25">
      <c r="B565" s="325" t="s">
        <v>2487</v>
      </c>
      <c r="C565" s="325" t="s">
        <v>1034</v>
      </c>
      <c r="D565" s="295" t="s">
        <v>1249</v>
      </c>
      <c r="E565" s="2">
        <v>5300</v>
      </c>
      <c r="F565" s="2">
        <v>100</v>
      </c>
      <c r="G565" s="60">
        <v>99.4</v>
      </c>
      <c r="H565" s="303">
        <f t="shared" si="91"/>
        <v>9940</v>
      </c>
      <c r="I565" s="60">
        <v>18</v>
      </c>
      <c r="J565" s="302"/>
      <c r="K565" s="302"/>
      <c r="L565" s="312"/>
      <c r="M565" s="60">
        <f t="shared" si="89"/>
        <v>18</v>
      </c>
      <c r="N565" s="303">
        <f t="shared" si="90"/>
        <v>9922</v>
      </c>
      <c r="O565" s="263" t="s">
        <v>2489</v>
      </c>
      <c r="P565" s="263" t="s">
        <v>369</v>
      </c>
    </row>
    <row r="566" spans="2:18" ht="12.75" customHeight="1" x14ac:dyDescent="0.25">
      <c r="B566" s="325" t="s">
        <v>2487</v>
      </c>
      <c r="C566" s="325" t="s">
        <v>1034</v>
      </c>
      <c r="D566" s="295" t="s">
        <v>1249</v>
      </c>
      <c r="E566" s="2">
        <v>5300</v>
      </c>
      <c r="F566" s="2">
        <v>50</v>
      </c>
      <c r="G566" s="60">
        <v>99.4</v>
      </c>
      <c r="H566" s="303">
        <f t="shared" si="91"/>
        <v>4970</v>
      </c>
      <c r="I566" s="60">
        <v>9</v>
      </c>
      <c r="J566" s="60">
        <v>15.42</v>
      </c>
      <c r="K566" s="60">
        <v>11</v>
      </c>
      <c r="L566" s="247">
        <v>34.79</v>
      </c>
      <c r="M566" s="60">
        <f t="shared" si="89"/>
        <v>70.210000000000008</v>
      </c>
      <c r="N566" s="303">
        <f t="shared" si="90"/>
        <v>4899.79</v>
      </c>
      <c r="O566" s="263" t="s">
        <v>2489</v>
      </c>
      <c r="P566" s="263" t="s">
        <v>369</v>
      </c>
    </row>
    <row r="567" spans="2:18" ht="12.75" customHeight="1" x14ac:dyDescent="0.25">
      <c r="B567" s="325" t="s">
        <v>2493</v>
      </c>
      <c r="C567" s="325" t="s">
        <v>1034</v>
      </c>
      <c r="D567" s="295" t="s">
        <v>1249</v>
      </c>
      <c r="E567" s="2">
        <v>5500</v>
      </c>
      <c r="F567" s="2">
        <v>200</v>
      </c>
      <c r="G567" s="60">
        <v>26.55</v>
      </c>
      <c r="H567" s="303">
        <f>F567*G567</f>
        <v>5310</v>
      </c>
      <c r="I567" s="60">
        <v>36</v>
      </c>
      <c r="J567" s="393"/>
      <c r="K567" s="302"/>
      <c r="L567" s="312"/>
      <c r="M567" s="60">
        <f t="shared" ref="M567:M574" si="92">SUM(I567:L567)</f>
        <v>36</v>
      </c>
      <c r="N567" s="303">
        <f t="shared" ref="N567:N575" si="93">H567-M567</f>
        <v>5274</v>
      </c>
      <c r="O567" s="263" t="s">
        <v>2494</v>
      </c>
      <c r="P567" s="263" t="s">
        <v>369</v>
      </c>
    </row>
    <row r="568" spans="2:18" ht="13.2" x14ac:dyDescent="0.25">
      <c r="B568" s="325" t="s">
        <v>2493</v>
      </c>
      <c r="C568" s="325" t="s">
        <v>1034</v>
      </c>
      <c r="D568" s="295" t="s">
        <v>1249</v>
      </c>
      <c r="E568" s="2">
        <v>5500</v>
      </c>
      <c r="F568" s="2">
        <v>450</v>
      </c>
      <c r="G568" s="60">
        <v>26.5</v>
      </c>
      <c r="H568" s="303">
        <f t="shared" si="91"/>
        <v>11925</v>
      </c>
      <c r="I568" s="60">
        <v>81</v>
      </c>
      <c r="J568" s="393"/>
      <c r="K568" s="310"/>
      <c r="L568" s="302"/>
      <c r="M568" s="60">
        <f t="shared" si="92"/>
        <v>81</v>
      </c>
      <c r="N568" s="303">
        <f t="shared" si="93"/>
        <v>11844</v>
      </c>
      <c r="O568" s="263" t="s">
        <v>2494</v>
      </c>
      <c r="P568" s="263" t="s">
        <v>369</v>
      </c>
    </row>
    <row r="569" spans="2:18" ht="12.75" customHeight="1" x14ac:dyDescent="0.25">
      <c r="B569" s="325" t="s">
        <v>2493</v>
      </c>
      <c r="C569" s="325" t="s">
        <v>1034</v>
      </c>
      <c r="D569" s="295" t="s">
        <v>1249</v>
      </c>
      <c r="E569" s="2">
        <v>5500</v>
      </c>
      <c r="F569" s="2">
        <v>50</v>
      </c>
      <c r="G569" s="60">
        <v>26.5</v>
      </c>
      <c r="H569" s="303">
        <f t="shared" si="91"/>
        <v>1325</v>
      </c>
      <c r="I569" s="60">
        <v>9</v>
      </c>
      <c r="J569" s="393"/>
      <c r="K569" s="312"/>
      <c r="L569" s="312"/>
      <c r="M569" s="60">
        <f t="shared" si="92"/>
        <v>9</v>
      </c>
      <c r="N569" s="303">
        <f t="shared" si="93"/>
        <v>1316</v>
      </c>
      <c r="O569" s="263" t="s">
        <v>2494</v>
      </c>
      <c r="P569" s="263" t="s">
        <v>369</v>
      </c>
    </row>
    <row r="570" spans="2:18" ht="13.2" x14ac:dyDescent="0.25">
      <c r="B570" s="325" t="s">
        <v>2493</v>
      </c>
      <c r="C570" s="325" t="s">
        <v>1034</v>
      </c>
      <c r="D570" s="295" t="s">
        <v>1249</v>
      </c>
      <c r="E570" s="2">
        <v>5500</v>
      </c>
      <c r="F570" s="2">
        <v>300</v>
      </c>
      <c r="G570" s="60">
        <v>26.5</v>
      </c>
      <c r="H570" s="303">
        <f t="shared" si="91"/>
        <v>7950</v>
      </c>
      <c r="I570" s="60">
        <v>54</v>
      </c>
      <c r="J570" s="393"/>
      <c r="K570" s="315"/>
      <c r="L570" s="316"/>
      <c r="M570" s="60">
        <f t="shared" si="92"/>
        <v>54</v>
      </c>
      <c r="N570" s="303">
        <f t="shared" si="93"/>
        <v>7896</v>
      </c>
      <c r="O570" s="263" t="s">
        <v>2494</v>
      </c>
      <c r="P570" s="263" t="s">
        <v>369</v>
      </c>
      <c r="R570" s="247"/>
    </row>
    <row r="571" spans="2:18" ht="13.2" x14ac:dyDescent="0.25">
      <c r="B571" s="325" t="s">
        <v>2493</v>
      </c>
      <c r="C571" s="325" t="s">
        <v>1034</v>
      </c>
      <c r="D571" s="16" t="s">
        <v>1245</v>
      </c>
      <c r="E571" s="2">
        <v>5300</v>
      </c>
      <c r="F571" s="2">
        <v>50</v>
      </c>
      <c r="G571" s="60">
        <v>45.65</v>
      </c>
      <c r="H571" s="303">
        <f t="shared" si="91"/>
        <v>2282.5</v>
      </c>
      <c r="I571" s="60">
        <v>9</v>
      </c>
      <c r="J571" s="393"/>
      <c r="K571" s="302"/>
      <c r="L571" s="312"/>
      <c r="M571" s="60">
        <f t="shared" si="92"/>
        <v>9</v>
      </c>
      <c r="N571" s="303">
        <f t="shared" si="93"/>
        <v>2273.5</v>
      </c>
      <c r="O571" s="263" t="s">
        <v>2494</v>
      </c>
      <c r="P571" s="263" t="s">
        <v>369</v>
      </c>
    </row>
    <row r="572" spans="2:18" ht="12.75" customHeight="1" x14ac:dyDescent="0.25">
      <c r="B572" s="325" t="s">
        <v>2493</v>
      </c>
      <c r="C572" s="325" t="s">
        <v>1034</v>
      </c>
      <c r="D572" s="16" t="s">
        <v>1245</v>
      </c>
      <c r="E572" s="2">
        <v>5300</v>
      </c>
      <c r="F572" s="2">
        <v>150</v>
      </c>
      <c r="G572" s="60">
        <v>45.65</v>
      </c>
      <c r="H572" s="303">
        <f t="shared" si="91"/>
        <v>6847.5</v>
      </c>
      <c r="I572" s="60">
        <v>27</v>
      </c>
      <c r="J572" s="393"/>
      <c r="K572" s="302"/>
      <c r="L572" s="312"/>
      <c r="M572" s="60">
        <f t="shared" si="92"/>
        <v>27</v>
      </c>
      <c r="N572" s="303">
        <f t="shared" si="93"/>
        <v>6820.5</v>
      </c>
      <c r="O572" s="263" t="s">
        <v>2494</v>
      </c>
      <c r="P572" s="263" t="s">
        <v>369</v>
      </c>
    </row>
    <row r="573" spans="2:18" ht="12.75" customHeight="1" x14ac:dyDescent="0.25">
      <c r="B573" s="325" t="s">
        <v>2493</v>
      </c>
      <c r="C573" s="325" t="s">
        <v>1034</v>
      </c>
      <c r="D573" s="16" t="s">
        <v>1245</v>
      </c>
      <c r="E573" s="2">
        <v>5300</v>
      </c>
      <c r="F573" s="2">
        <v>250</v>
      </c>
      <c r="G573" s="60">
        <v>45.65</v>
      </c>
      <c r="H573" s="303">
        <f t="shared" si="91"/>
        <v>11412.5</v>
      </c>
      <c r="I573" s="60">
        <v>45</v>
      </c>
      <c r="J573" s="393"/>
      <c r="K573" s="302"/>
      <c r="L573" s="312"/>
      <c r="M573" s="60">
        <f t="shared" si="92"/>
        <v>45</v>
      </c>
      <c r="N573" s="303">
        <f t="shared" si="93"/>
        <v>11367.5</v>
      </c>
      <c r="O573" s="263" t="s">
        <v>2494</v>
      </c>
      <c r="P573" s="263" t="s">
        <v>369</v>
      </c>
    </row>
    <row r="574" spans="2:18" ht="12.75" customHeight="1" x14ac:dyDescent="0.25">
      <c r="B574" s="325" t="s">
        <v>2493</v>
      </c>
      <c r="C574" s="325" t="s">
        <v>1034</v>
      </c>
      <c r="D574" s="16" t="s">
        <v>1245</v>
      </c>
      <c r="E574" s="2">
        <v>5300</v>
      </c>
      <c r="F574" s="2">
        <v>50</v>
      </c>
      <c r="G574" s="60">
        <v>45.65</v>
      </c>
      <c r="H574" s="303">
        <f t="shared" si="91"/>
        <v>2282.5</v>
      </c>
      <c r="I574" s="60">
        <v>9</v>
      </c>
      <c r="J574" s="312"/>
      <c r="K574" s="312"/>
      <c r="L574" s="312"/>
      <c r="M574" s="60">
        <f t="shared" si="92"/>
        <v>9</v>
      </c>
      <c r="N574" s="303">
        <f t="shared" si="93"/>
        <v>2273.5</v>
      </c>
      <c r="O574" s="263" t="s">
        <v>2494</v>
      </c>
      <c r="P574" s="263" t="s">
        <v>369</v>
      </c>
    </row>
    <row r="575" spans="2:18" ht="13.2" x14ac:dyDescent="0.25">
      <c r="B575" s="325" t="s">
        <v>2493</v>
      </c>
      <c r="C575" s="325" t="s">
        <v>2491</v>
      </c>
      <c r="D575" s="16" t="s">
        <v>1249</v>
      </c>
      <c r="E575" s="2">
        <v>2150</v>
      </c>
      <c r="F575" s="2">
        <v>500</v>
      </c>
      <c r="G575" s="60">
        <v>18</v>
      </c>
      <c r="H575" s="303">
        <f>F575*G575</f>
        <v>9000</v>
      </c>
      <c r="I575" s="60">
        <v>36</v>
      </c>
      <c r="J575" s="60">
        <v>115.81</v>
      </c>
      <c r="K575" s="60">
        <v>18</v>
      </c>
      <c r="L575" s="247">
        <v>90.9</v>
      </c>
      <c r="M575" s="60">
        <f>SUM(I575:L575)</f>
        <v>260.71000000000004</v>
      </c>
      <c r="N575" s="303">
        <f t="shared" si="93"/>
        <v>8739.2900000000009</v>
      </c>
      <c r="O575" s="263" t="s">
        <v>2494</v>
      </c>
      <c r="P575" s="263" t="s">
        <v>369</v>
      </c>
      <c r="R575" s="247"/>
    </row>
    <row r="576" spans="2:18" ht="12.75" customHeight="1" x14ac:dyDescent="0.25">
      <c r="B576" s="325" t="s">
        <v>1134</v>
      </c>
      <c r="C576" s="325" t="s">
        <v>1034</v>
      </c>
      <c r="D576" s="16" t="s">
        <v>1249</v>
      </c>
      <c r="E576" s="2">
        <v>5500</v>
      </c>
      <c r="F576" s="2">
        <v>50</v>
      </c>
      <c r="G576" s="60">
        <v>14.1</v>
      </c>
      <c r="H576" s="303">
        <f>F576*G576</f>
        <v>705</v>
      </c>
      <c r="I576" s="60">
        <v>9</v>
      </c>
      <c r="J576" s="302"/>
      <c r="K576" s="302"/>
      <c r="L576" s="312"/>
      <c r="M576" s="60">
        <f t="shared" ref="M576:M586" si="94">SUM(I576:L576)</f>
        <v>9</v>
      </c>
      <c r="N576" s="303">
        <f t="shared" ref="N576:N586" si="95">H576-M576</f>
        <v>696</v>
      </c>
      <c r="O576" s="263" t="s">
        <v>689</v>
      </c>
      <c r="P576" s="263" t="s">
        <v>369</v>
      </c>
    </row>
    <row r="577" spans="2:18" ht="13.2" x14ac:dyDescent="0.25">
      <c r="B577" s="325" t="s">
        <v>1134</v>
      </c>
      <c r="C577" s="325" t="s">
        <v>1034</v>
      </c>
      <c r="D577" s="16" t="s">
        <v>1249</v>
      </c>
      <c r="E577" s="2">
        <v>5500</v>
      </c>
      <c r="F577" s="2">
        <v>200</v>
      </c>
      <c r="G577" s="60">
        <v>14.1</v>
      </c>
      <c r="H577" s="303">
        <f t="shared" ref="H577:H605" si="96">F577*G577</f>
        <v>2820</v>
      </c>
      <c r="I577" s="60">
        <v>36</v>
      </c>
      <c r="J577" s="302"/>
      <c r="K577" s="302"/>
      <c r="L577" s="312"/>
      <c r="M577" s="60">
        <f t="shared" si="94"/>
        <v>36</v>
      </c>
      <c r="N577" s="303">
        <f t="shared" si="95"/>
        <v>2784</v>
      </c>
      <c r="O577" s="263" t="s">
        <v>689</v>
      </c>
      <c r="P577" s="263" t="s">
        <v>369</v>
      </c>
    </row>
    <row r="578" spans="2:18" ht="12.75" customHeight="1" x14ac:dyDescent="0.25">
      <c r="B578" s="325" t="s">
        <v>1134</v>
      </c>
      <c r="C578" s="325" t="s">
        <v>1034</v>
      </c>
      <c r="D578" s="16" t="s">
        <v>1249</v>
      </c>
      <c r="E578" s="2">
        <v>5500</v>
      </c>
      <c r="F578" s="2">
        <v>50</v>
      </c>
      <c r="G578" s="60">
        <v>14.1</v>
      </c>
      <c r="H578" s="303">
        <f t="shared" si="96"/>
        <v>705</v>
      </c>
      <c r="I578" s="60">
        <v>9</v>
      </c>
      <c r="J578" s="302"/>
      <c r="K578" s="302"/>
      <c r="L578" s="312"/>
      <c r="M578" s="60">
        <f t="shared" si="94"/>
        <v>9</v>
      </c>
      <c r="N578" s="303">
        <f t="shared" si="95"/>
        <v>696</v>
      </c>
      <c r="O578" s="263" t="s">
        <v>689</v>
      </c>
      <c r="P578" s="263" t="s">
        <v>369</v>
      </c>
    </row>
    <row r="579" spans="2:18" ht="12.75" customHeight="1" x14ac:dyDescent="0.25">
      <c r="B579" s="325" t="s">
        <v>1134</v>
      </c>
      <c r="C579" s="325" t="s">
        <v>1034</v>
      </c>
      <c r="D579" s="16" t="s">
        <v>1249</v>
      </c>
      <c r="E579" s="2">
        <v>5500</v>
      </c>
      <c r="F579" s="2">
        <v>50</v>
      </c>
      <c r="G579" s="60">
        <v>14.1</v>
      </c>
      <c r="H579" s="303">
        <f t="shared" si="96"/>
        <v>705</v>
      </c>
      <c r="I579" s="60">
        <v>9</v>
      </c>
      <c r="J579" s="302"/>
      <c r="K579" s="302"/>
      <c r="L579" s="312"/>
      <c r="M579" s="60">
        <f t="shared" si="94"/>
        <v>9</v>
      </c>
      <c r="N579" s="303">
        <f t="shared" si="95"/>
        <v>696</v>
      </c>
      <c r="O579" s="263" t="s">
        <v>689</v>
      </c>
      <c r="P579" s="263" t="s">
        <v>369</v>
      </c>
    </row>
    <row r="580" spans="2:18" ht="12.75" customHeight="1" x14ac:dyDescent="0.25">
      <c r="B580" s="325" t="s">
        <v>1134</v>
      </c>
      <c r="C580" s="325" t="s">
        <v>1034</v>
      </c>
      <c r="D580" s="16" t="s">
        <v>1249</v>
      </c>
      <c r="E580" s="2">
        <v>5500</v>
      </c>
      <c r="F580" s="2">
        <v>1150</v>
      </c>
      <c r="G580" s="60">
        <v>14.1</v>
      </c>
      <c r="H580" s="303">
        <f t="shared" si="96"/>
        <v>16215</v>
      </c>
      <c r="I580" s="60">
        <v>207</v>
      </c>
      <c r="J580" s="315"/>
      <c r="K580" s="315"/>
      <c r="L580" s="312"/>
      <c r="M580" s="60">
        <f t="shared" si="94"/>
        <v>207</v>
      </c>
      <c r="N580" s="303">
        <f t="shared" si="95"/>
        <v>16008</v>
      </c>
      <c r="O580" s="263" t="s">
        <v>689</v>
      </c>
      <c r="P580" s="263" t="s">
        <v>369</v>
      </c>
    </row>
    <row r="581" spans="2:18" ht="13.2" x14ac:dyDescent="0.25">
      <c r="B581" s="325" t="s">
        <v>1134</v>
      </c>
      <c r="C581" s="325" t="s">
        <v>1034</v>
      </c>
      <c r="D581" s="16" t="s">
        <v>1249</v>
      </c>
      <c r="E581" s="2">
        <v>5500</v>
      </c>
      <c r="F581" s="2">
        <v>700</v>
      </c>
      <c r="G581" s="60">
        <v>14.1</v>
      </c>
      <c r="H581" s="303">
        <f t="shared" si="96"/>
        <v>9870</v>
      </c>
      <c r="I581" s="60">
        <v>126</v>
      </c>
      <c r="J581" s="302"/>
      <c r="K581" s="310"/>
      <c r="L581" s="302"/>
      <c r="M581" s="60">
        <f t="shared" si="94"/>
        <v>126</v>
      </c>
      <c r="N581" s="303">
        <f t="shared" si="95"/>
        <v>9744</v>
      </c>
      <c r="O581" s="263" t="s">
        <v>689</v>
      </c>
      <c r="P581" s="263" t="s">
        <v>369</v>
      </c>
    </row>
    <row r="582" spans="2:18" ht="12.75" customHeight="1" x14ac:dyDescent="0.25">
      <c r="B582" s="325" t="s">
        <v>1134</v>
      </c>
      <c r="C582" s="325" t="s">
        <v>1034</v>
      </c>
      <c r="D582" s="16" t="s">
        <v>1249</v>
      </c>
      <c r="E582" s="2">
        <v>5500</v>
      </c>
      <c r="F582" s="2">
        <v>50</v>
      </c>
      <c r="G582" s="60">
        <v>14.1</v>
      </c>
      <c r="H582" s="303">
        <f t="shared" si="96"/>
        <v>705</v>
      </c>
      <c r="I582" s="60">
        <v>9</v>
      </c>
      <c r="J582" s="306"/>
      <c r="K582" s="312"/>
      <c r="L582" s="312"/>
      <c r="M582" s="60">
        <f t="shared" si="94"/>
        <v>9</v>
      </c>
      <c r="N582" s="303">
        <f t="shared" si="95"/>
        <v>696</v>
      </c>
      <c r="O582" s="263" t="s">
        <v>689</v>
      </c>
      <c r="P582" s="263" t="s">
        <v>369</v>
      </c>
    </row>
    <row r="583" spans="2:18" ht="13.2" x14ac:dyDescent="0.25">
      <c r="B583" s="325" t="s">
        <v>1134</v>
      </c>
      <c r="C583" s="325" t="s">
        <v>1034</v>
      </c>
      <c r="D583" s="16" t="s">
        <v>1249</v>
      </c>
      <c r="E583" s="2">
        <v>5500</v>
      </c>
      <c r="F583" s="2">
        <v>400</v>
      </c>
      <c r="G583" s="60">
        <v>14.1</v>
      </c>
      <c r="H583" s="303">
        <f t="shared" si="96"/>
        <v>5640</v>
      </c>
      <c r="I583" s="60">
        <v>72</v>
      </c>
      <c r="J583" s="315"/>
      <c r="K583" s="315"/>
      <c r="L583" s="316"/>
      <c r="M583" s="60">
        <f t="shared" si="94"/>
        <v>72</v>
      </c>
      <c r="N583" s="303">
        <f t="shared" si="95"/>
        <v>5568</v>
      </c>
      <c r="O583" s="263" t="s">
        <v>689</v>
      </c>
      <c r="P583" s="263" t="s">
        <v>369</v>
      </c>
      <c r="R583" s="247"/>
    </row>
    <row r="584" spans="2:18" ht="12.75" customHeight="1" x14ac:dyDescent="0.25">
      <c r="B584" s="325" t="s">
        <v>1134</v>
      </c>
      <c r="C584" s="325" t="s">
        <v>1034</v>
      </c>
      <c r="D584" s="16" t="s">
        <v>1249</v>
      </c>
      <c r="E584" s="2">
        <v>5500</v>
      </c>
      <c r="F584" s="2">
        <v>50</v>
      </c>
      <c r="G584" s="60">
        <v>14.1</v>
      </c>
      <c r="H584" s="303">
        <f t="shared" si="96"/>
        <v>705</v>
      </c>
      <c r="I584" s="60">
        <v>9</v>
      </c>
      <c r="J584" s="302"/>
      <c r="K584" s="302"/>
      <c r="L584" s="312"/>
      <c r="M584" s="60">
        <f t="shared" si="94"/>
        <v>9</v>
      </c>
      <c r="N584" s="303">
        <f t="shared" si="95"/>
        <v>696</v>
      </c>
      <c r="O584" s="263" t="s">
        <v>689</v>
      </c>
      <c r="P584" s="263" t="s">
        <v>369</v>
      </c>
    </row>
    <row r="585" spans="2:18" ht="13.2" x14ac:dyDescent="0.25">
      <c r="B585" s="325" t="s">
        <v>1134</v>
      </c>
      <c r="C585" s="325" t="s">
        <v>1034</v>
      </c>
      <c r="D585" s="16" t="s">
        <v>1249</v>
      </c>
      <c r="E585" s="2">
        <v>5500</v>
      </c>
      <c r="F585" s="2">
        <v>200</v>
      </c>
      <c r="G585" s="60">
        <v>14.1</v>
      </c>
      <c r="H585" s="303">
        <f t="shared" si="96"/>
        <v>2820</v>
      </c>
      <c r="I585" s="60">
        <v>36</v>
      </c>
      <c r="J585" s="302"/>
      <c r="K585" s="302"/>
      <c r="L585" s="312"/>
      <c r="M585" s="60">
        <f t="shared" si="94"/>
        <v>36</v>
      </c>
      <c r="N585" s="303">
        <f t="shared" si="95"/>
        <v>2784</v>
      </c>
      <c r="O585" s="263" t="s">
        <v>689</v>
      </c>
      <c r="P585" s="263" t="s">
        <v>369</v>
      </c>
    </row>
    <row r="586" spans="2:18" ht="12.75" customHeight="1" x14ac:dyDescent="0.25">
      <c r="B586" s="325" t="s">
        <v>1134</v>
      </c>
      <c r="C586" s="325" t="s">
        <v>1034</v>
      </c>
      <c r="D586" s="16" t="s">
        <v>1249</v>
      </c>
      <c r="E586" s="2">
        <v>5500</v>
      </c>
      <c r="F586" s="2">
        <v>100</v>
      </c>
      <c r="G586" s="60">
        <v>14.1</v>
      </c>
      <c r="H586" s="303">
        <f t="shared" si="96"/>
        <v>1410</v>
      </c>
      <c r="I586" s="60">
        <v>18</v>
      </c>
      <c r="J586" s="60">
        <v>84.24</v>
      </c>
      <c r="K586" s="60">
        <v>12</v>
      </c>
      <c r="L586" s="247">
        <v>51.56</v>
      </c>
      <c r="M586" s="60">
        <f t="shared" si="94"/>
        <v>165.8</v>
      </c>
      <c r="N586" s="303">
        <f t="shared" si="95"/>
        <v>1244.2</v>
      </c>
      <c r="O586" s="263" t="s">
        <v>689</v>
      </c>
      <c r="P586" s="263" t="s">
        <v>369</v>
      </c>
    </row>
    <row r="587" spans="2:18" ht="13.2" x14ac:dyDescent="0.25">
      <c r="B587" s="325" t="s">
        <v>1135</v>
      </c>
      <c r="C587" s="325" t="s">
        <v>1034</v>
      </c>
      <c r="D587" s="16" t="s">
        <v>1245</v>
      </c>
      <c r="E587" s="2">
        <v>5400</v>
      </c>
      <c r="F587" s="2">
        <v>50</v>
      </c>
      <c r="G587" s="60">
        <v>45.3</v>
      </c>
      <c r="H587" s="303">
        <f t="shared" si="96"/>
        <v>2265</v>
      </c>
      <c r="I587" s="60">
        <v>9</v>
      </c>
      <c r="J587" s="315"/>
      <c r="K587" s="315"/>
      <c r="L587" s="316"/>
      <c r="M587" s="60">
        <f t="shared" ref="M587:M592" si="97">SUM(I587:L587)</f>
        <v>9</v>
      </c>
      <c r="N587" s="303">
        <f t="shared" ref="N587:N592" si="98">H587-M587</f>
        <v>2256</v>
      </c>
      <c r="O587" s="304" t="s">
        <v>691</v>
      </c>
      <c r="P587" s="304" t="s">
        <v>369</v>
      </c>
      <c r="R587" s="247"/>
    </row>
    <row r="588" spans="2:18" ht="12.75" customHeight="1" x14ac:dyDescent="0.25">
      <c r="B588" s="325" t="s">
        <v>1135</v>
      </c>
      <c r="C588" s="325" t="s">
        <v>1034</v>
      </c>
      <c r="D588" s="16" t="s">
        <v>1245</v>
      </c>
      <c r="E588" s="2">
        <v>5400</v>
      </c>
      <c r="F588" s="2">
        <v>50</v>
      </c>
      <c r="G588" s="60">
        <v>45.3</v>
      </c>
      <c r="H588" s="303">
        <f t="shared" si="96"/>
        <v>2265</v>
      </c>
      <c r="I588" s="60">
        <v>9</v>
      </c>
      <c r="J588" s="302"/>
      <c r="K588" s="302"/>
      <c r="L588" s="312"/>
      <c r="M588" s="60">
        <f t="shared" si="97"/>
        <v>9</v>
      </c>
      <c r="N588" s="303">
        <f t="shared" si="98"/>
        <v>2256</v>
      </c>
      <c r="O588" s="304" t="s">
        <v>691</v>
      </c>
      <c r="P588" s="304" t="s">
        <v>369</v>
      </c>
    </row>
    <row r="589" spans="2:18" ht="13.2" x14ac:dyDescent="0.25">
      <c r="B589" s="325" t="s">
        <v>1135</v>
      </c>
      <c r="C589" s="325" t="s">
        <v>1034</v>
      </c>
      <c r="D589" s="16" t="s">
        <v>1245</v>
      </c>
      <c r="E589" s="2">
        <v>5400</v>
      </c>
      <c r="F589" s="2">
        <v>150</v>
      </c>
      <c r="G589" s="60">
        <v>45.3</v>
      </c>
      <c r="H589" s="303">
        <f t="shared" si="96"/>
        <v>6795</v>
      </c>
      <c r="I589" s="60">
        <v>27</v>
      </c>
      <c r="J589" s="302"/>
      <c r="K589" s="302"/>
      <c r="L589" s="312"/>
      <c r="M589" s="60">
        <f t="shared" si="97"/>
        <v>27</v>
      </c>
      <c r="N589" s="303">
        <f t="shared" si="98"/>
        <v>6768</v>
      </c>
      <c r="O589" s="304" t="s">
        <v>691</v>
      </c>
      <c r="P589" s="304" t="s">
        <v>369</v>
      </c>
    </row>
    <row r="590" spans="2:18" ht="12.75" customHeight="1" x14ac:dyDescent="0.25">
      <c r="B590" s="325" t="s">
        <v>1135</v>
      </c>
      <c r="C590" s="325" t="s">
        <v>1034</v>
      </c>
      <c r="D590" s="16" t="s">
        <v>1245</v>
      </c>
      <c r="E590" s="2">
        <v>5400</v>
      </c>
      <c r="F590" s="2">
        <v>250</v>
      </c>
      <c r="G590" s="60">
        <v>45.3</v>
      </c>
      <c r="H590" s="303">
        <f t="shared" si="96"/>
        <v>11325</v>
      </c>
      <c r="I590" s="60">
        <v>45</v>
      </c>
      <c r="J590" s="60">
        <v>84.7</v>
      </c>
      <c r="K590" s="60">
        <v>9</v>
      </c>
      <c r="L590" s="247">
        <v>55.25</v>
      </c>
      <c r="M590" s="60">
        <f t="shared" si="97"/>
        <v>193.95</v>
      </c>
      <c r="N590" s="303">
        <f t="shared" si="98"/>
        <v>11131.05</v>
      </c>
      <c r="O590" s="304" t="s">
        <v>691</v>
      </c>
      <c r="P590" s="304" t="s">
        <v>369</v>
      </c>
    </row>
    <row r="591" spans="2:18" ht="13.2" x14ac:dyDescent="0.25">
      <c r="B591" s="325" t="s">
        <v>1137</v>
      </c>
      <c r="C591" s="325" t="s">
        <v>1034</v>
      </c>
      <c r="D591" s="16" t="s">
        <v>1249</v>
      </c>
      <c r="E591" s="2">
        <v>5500</v>
      </c>
      <c r="F591" s="2">
        <v>3000</v>
      </c>
      <c r="G591" s="60">
        <v>6.1</v>
      </c>
      <c r="H591" s="303">
        <f t="shared" si="96"/>
        <v>18300</v>
      </c>
      <c r="I591" s="60">
        <v>540</v>
      </c>
      <c r="J591" s="299">
        <v>74.489999999999995</v>
      </c>
      <c r="K591" s="299">
        <v>6</v>
      </c>
      <c r="L591" s="224">
        <v>26.71</v>
      </c>
      <c r="M591" s="60">
        <f t="shared" si="97"/>
        <v>647.20000000000005</v>
      </c>
      <c r="N591" s="303">
        <f t="shared" si="98"/>
        <v>17652.8</v>
      </c>
      <c r="O591" s="304" t="s">
        <v>1136</v>
      </c>
      <c r="P591" s="304" t="s">
        <v>369</v>
      </c>
      <c r="R591" s="247"/>
    </row>
    <row r="592" spans="2:18" ht="12.75" customHeight="1" x14ac:dyDescent="0.25">
      <c r="B592" s="325" t="s">
        <v>1138</v>
      </c>
      <c r="C592" s="325" t="s">
        <v>1034</v>
      </c>
      <c r="D592" s="16" t="s">
        <v>1245</v>
      </c>
      <c r="E592" s="2">
        <v>5500</v>
      </c>
      <c r="F592" s="2">
        <v>200</v>
      </c>
      <c r="G592" s="60">
        <v>165</v>
      </c>
      <c r="H592" s="303">
        <f t="shared" si="96"/>
        <v>33000</v>
      </c>
      <c r="I592" s="60">
        <v>36</v>
      </c>
      <c r="J592" s="60">
        <v>14.76</v>
      </c>
      <c r="K592" s="60">
        <v>11</v>
      </c>
      <c r="L592" s="247">
        <v>47.41</v>
      </c>
      <c r="M592" s="60">
        <f t="shared" si="97"/>
        <v>109.16999999999999</v>
      </c>
      <c r="N592" s="303">
        <f t="shared" si="98"/>
        <v>32890.83</v>
      </c>
      <c r="O592" s="263" t="s">
        <v>1139</v>
      </c>
      <c r="P592" s="304" t="s">
        <v>369</v>
      </c>
    </row>
    <row r="593" spans="2:18" ht="12.75" customHeight="1" x14ac:dyDescent="0.25">
      <c r="B593" s="325" t="s">
        <v>2571</v>
      </c>
      <c r="C593" s="325" t="s">
        <v>2246</v>
      </c>
      <c r="D593" s="16" t="s">
        <v>1245</v>
      </c>
      <c r="E593" s="2">
        <v>5500</v>
      </c>
      <c r="F593" s="2">
        <v>200</v>
      </c>
      <c r="G593" s="60">
        <v>190.25</v>
      </c>
      <c r="H593" s="303">
        <f t="shared" si="96"/>
        <v>38050</v>
      </c>
      <c r="I593" s="60">
        <v>36</v>
      </c>
      <c r="J593" s="60">
        <v>7.74</v>
      </c>
      <c r="K593" s="60">
        <v>9</v>
      </c>
      <c r="L593" s="247">
        <v>26.64</v>
      </c>
      <c r="M593" s="60">
        <f>SUM(I593:L593)</f>
        <v>79.38</v>
      </c>
      <c r="N593" s="303">
        <f>H593-M593</f>
        <v>37970.620000000003</v>
      </c>
      <c r="O593" s="263" t="s">
        <v>2477</v>
      </c>
      <c r="P593" s="304" t="s">
        <v>369</v>
      </c>
    </row>
    <row r="594" spans="2:18" ht="13.2" x14ac:dyDescent="0.25">
      <c r="B594" s="325" t="s">
        <v>2702</v>
      </c>
      <c r="C594" s="325" t="s">
        <v>2246</v>
      </c>
      <c r="D594" s="325" t="s">
        <v>1245</v>
      </c>
      <c r="E594" s="2">
        <v>5200</v>
      </c>
      <c r="F594" s="2">
        <v>50</v>
      </c>
      <c r="G594" s="60">
        <v>60</v>
      </c>
      <c r="H594" s="303">
        <f t="shared" si="96"/>
        <v>3000</v>
      </c>
      <c r="I594" s="60">
        <v>9</v>
      </c>
      <c r="J594" s="393"/>
      <c r="K594" s="393"/>
      <c r="L594" s="312"/>
      <c r="M594" s="60">
        <f t="shared" ref="M594:M599" si="99">SUM(I594:L594)</f>
        <v>9</v>
      </c>
      <c r="N594" s="303">
        <f t="shared" ref="N594:N599" si="100">H594-M594</f>
        <v>2991</v>
      </c>
      <c r="O594" s="304" t="s">
        <v>1846</v>
      </c>
      <c r="P594" s="304" t="s">
        <v>369</v>
      </c>
    </row>
    <row r="595" spans="2:18" ht="12.75" customHeight="1" x14ac:dyDescent="0.25">
      <c r="B595" s="325" t="s">
        <v>2702</v>
      </c>
      <c r="C595" s="325" t="s">
        <v>2246</v>
      </c>
      <c r="D595" s="325" t="s">
        <v>1245</v>
      </c>
      <c r="E595" s="2">
        <v>5200</v>
      </c>
      <c r="F595" s="2">
        <v>150</v>
      </c>
      <c r="G595" s="60">
        <v>60</v>
      </c>
      <c r="H595" s="303">
        <f t="shared" si="96"/>
        <v>9000</v>
      </c>
      <c r="I595" s="60">
        <v>27</v>
      </c>
      <c r="J595" s="393"/>
      <c r="K595" s="393"/>
      <c r="L595" s="312"/>
      <c r="M595" s="60">
        <f t="shared" si="99"/>
        <v>27</v>
      </c>
      <c r="N595" s="303">
        <f t="shared" si="100"/>
        <v>8973</v>
      </c>
      <c r="O595" s="304" t="s">
        <v>1846</v>
      </c>
      <c r="P595" s="304" t="s">
        <v>369</v>
      </c>
    </row>
    <row r="596" spans="2:18" ht="12.75" customHeight="1" x14ac:dyDescent="0.25">
      <c r="B596" s="325" t="s">
        <v>2702</v>
      </c>
      <c r="C596" s="325" t="s">
        <v>2246</v>
      </c>
      <c r="D596" s="325" t="s">
        <v>1245</v>
      </c>
      <c r="E596" s="2">
        <v>5200</v>
      </c>
      <c r="F596" s="2">
        <v>250</v>
      </c>
      <c r="G596" s="60">
        <v>60</v>
      </c>
      <c r="H596" s="303">
        <f t="shared" si="96"/>
        <v>15000</v>
      </c>
      <c r="I596" s="60">
        <v>45</v>
      </c>
      <c r="J596" s="393"/>
      <c r="K596" s="393"/>
      <c r="L596" s="312"/>
      <c r="M596" s="60">
        <f t="shared" si="99"/>
        <v>45</v>
      </c>
      <c r="N596" s="303">
        <f t="shared" si="100"/>
        <v>14955</v>
      </c>
      <c r="O596" s="304" t="s">
        <v>1846</v>
      </c>
      <c r="P596" s="304" t="s">
        <v>369</v>
      </c>
    </row>
    <row r="597" spans="2:18" ht="12.75" customHeight="1" x14ac:dyDescent="0.25">
      <c r="B597" s="325" t="s">
        <v>2702</v>
      </c>
      <c r="C597" s="325" t="s">
        <v>2246</v>
      </c>
      <c r="D597" s="325" t="s">
        <v>1245</v>
      </c>
      <c r="E597" s="2">
        <v>5200</v>
      </c>
      <c r="F597" s="2">
        <v>50</v>
      </c>
      <c r="G597" s="60">
        <v>60</v>
      </c>
      <c r="H597" s="303">
        <f t="shared" si="96"/>
        <v>3000</v>
      </c>
      <c r="I597" s="60">
        <v>9</v>
      </c>
      <c r="J597" s="393"/>
      <c r="K597" s="393"/>
      <c r="L597" s="312"/>
      <c r="M597" s="60">
        <f t="shared" si="99"/>
        <v>9</v>
      </c>
      <c r="N597" s="303">
        <f t="shared" si="100"/>
        <v>2991</v>
      </c>
      <c r="O597" s="304" t="s">
        <v>1846</v>
      </c>
      <c r="P597" s="304" t="s">
        <v>369</v>
      </c>
    </row>
    <row r="598" spans="2:18" ht="13.2" x14ac:dyDescent="0.25">
      <c r="B598" s="325" t="s">
        <v>2702</v>
      </c>
      <c r="C598" s="325" t="s">
        <v>2246</v>
      </c>
      <c r="D598" s="325" t="s">
        <v>1245</v>
      </c>
      <c r="E598" s="2">
        <v>5200</v>
      </c>
      <c r="F598" s="2">
        <v>400</v>
      </c>
      <c r="G598" s="60">
        <v>60</v>
      </c>
      <c r="H598" s="303">
        <f t="shared" si="96"/>
        <v>24000</v>
      </c>
      <c r="I598" s="60">
        <v>72</v>
      </c>
      <c r="J598" s="393"/>
      <c r="K598" s="393"/>
      <c r="L598" s="302"/>
      <c r="M598" s="60">
        <f t="shared" si="99"/>
        <v>72</v>
      </c>
      <c r="N598" s="303">
        <f t="shared" si="100"/>
        <v>23928</v>
      </c>
      <c r="O598" s="304" t="s">
        <v>1846</v>
      </c>
      <c r="P598" s="304" t="s">
        <v>369</v>
      </c>
    </row>
    <row r="599" spans="2:18" ht="12.75" customHeight="1" x14ac:dyDescent="0.25">
      <c r="B599" s="325" t="s">
        <v>2702</v>
      </c>
      <c r="C599" s="325" t="s">
        <v>2246</v>
      </c>
      <c r="D599" s="325" t="s">
        <v>1245</v>
      </c>
      <c r="E599" s="2">
        <v>5200</v>
      </c>
      <c r="F599" s="2">
        <v>100</v>
      </c>
      <c r="G599" s="60">
        <v>60</v>
      </c>
      <c r="H599" s="303">
        <f t="shared" si="96"/>
        <v>6000</v>
      </c>
      <c r="I599" s="60">
        <v>18</v>
      </c>
      <c r="J599" s="60">
        <v>54.52</v>
      </c>
      <c r="K599" s="60">
        <v>17</v>
      </c>
      <c r="L599" s="247">
        <v>81.09</v>
      </c>
      <c r="M599" s="60">
        <f t="shared" si="99"/>
        <v>170.61</v>
      </c>
      <c r="N599" s="303">
        <f t="shared" si="100"/>
        <v>5829.39</v>
      </c>
      <c r="O599" s="304" t="s">
        <v>1846</v>
      </c>
      <c r="P599" s="263" t="s">
        <v>369</v>
      </c>
    </row>
    <row r="600" spans="2:18" ht="12.75" customHeight="1" x14ac:dyDescent="0.25">
      <c r="B600" s="325" t="s">
        <v>2703</v>
      </c>
      <c r="C600" s="325" t="s">
        <v>2246</v>
      </c>
      <c r="D600" s="2" t="s">
        <v>1245</v>
      </c>
      <c r="E600" s="2">
        <v>5200</v>
      </c>
      <c r="F600" s="2">
        <v>1000</v>
      </c>
      <c r="G600" s="60">
        <v>25</v>
      </c>
      <c r="H600" s="303">
        <f t="shared" si="96"/>
        <v>25000</v>
      </c>
      <c r="I600" s="60">
        <v>180</v>
      </c>
      <c r="J600" s="60">
        <v>24.41</v>
      </c>
      <c r="K600" s="60">
        <v>6</v>
      </c>
      <c r="L600" s="247">
        <v>17.5</v>
      </c>
      <c r="M600" s="60">
        <f t="shared" ref="M600:M611" si="101">SUM(I600:L600)</f>
        <v>227.91</v>
      </c>
      <c r="N600" s="303">
        <f t="shared" ref="N600:N611" si="102">H600-M600</f>
        <v>24772.09</v>
      </c>
      <c r="O600" s="263" t="s">
        <v>2489</v>
      </c>
      <c r="P600" s="263" t="s">
        <v>369</v>
      </c>
    </row>
    <row r="601" spans="2:18" ht="13.2" x14ac:dyDescent="0.25">
      <c r="B601" s="325" t="s">
        <v>2706</v>
      </c>
      <c r="C601" s="325" t="s">
        <v>2246</v>
      </c>
      <c r="D601" s="325" t="s">
        <v>1245</v>
      </c>
      <c r="E601" s="2">
        <v>5300</v>
      </c>
      <c r="F601" s="2">
        <v>1000</v>
      </c>
      <c r="G601" s="60">
        <v>29.35</v>
      </c>
      <c r="H601" s="303">
        <f t="shared" si="96"/>
        <v>29350</v>
      </c>
      <c r="I601" s="60">
        <v>180</v>
      </c>
      <c r="J601" s="302"/>
      <c r="K601" s="302"/>
      <c r="L601" s="312"/>
      <c r="M601" s="60">
        <f t="shared" si="101"/>
        <v>180</v>
      </c>
      <c r="N601" s="303">
        <f t="shared" si="102"/>
        <v>29170</v>
      </c>
      <c r="O601" s="304" t="s">
        <v>2707</v>
      </c>
      <c r="P601" s="263" t="s">
        <v>369</v>
      </c>
      <c r="R601" s="247"/>
    </row>
    <row r="602" spans="2:18" ht="13.2" x14ac:dyDescent="0.25">
      <c r="B602" s="325" t="s">
        <v>2706</v>
      </c>
      <c r="C602" s="325" t="s">
        <v>2246</v>
      </c>
      <c r="D602" s="325" t="s">
        <v>1249</v>
      </c>
      <c r="E602" s="2">
        <v>5400</v>
      </c>
      <c r="F602" s="2">
        <v>100</v>
      </c>
      <c r="G602" s="60">
        <v>60.4</v>
      </c>
      <c r="H602" s="303">
        <f t="shared" si="96"/>
        <v>6040</v>
      </c>
      <c r="I602" s="60">
        <v>18</v>
      </c>
      <c r="J602" s="302"/>
      <c r="K602" s="302"/>
      <c r="L602" s="312"/>
      <c r="M602" s="60">
        <f t="shared" si="101"/>
        <v>18</v>
      </c>
      <c r="N602" s="303">
        <f t="shared" si="102"/>
        <v>6022</v>
      </c>
      <c r="O602" s="304" t="s">
        <v>2707</v>
      </c>
      <c r="P602" s="263" t="s">
        <v>369</v>
      </c>
    </row>
    <row r="603" spans="2:18" ht="12.75" customHeight="1" x14ac:dyDescent="0.25">
      <c r="B603" s="325" t="s">
        <v>2706</v>
      </c>
      <c r="C603" s="325" t="s">
        <v>2246</v>
      </c>
      <c r="D603" s="325" t="s">
        <v>1249</v>
      </c>
      <c r="E603" s="2">
        <v>5400</v>
      </c>
      <c r="F603" s="2">
        <v>50</v>
      </c>
      <c r="G603" s="60">
        <v>60.4</v>
      </c>
      <c r="H603" s="303">
        <f t="shared" si="96"/>
        <v>3020</v>
      </c>
      <c r="I603" s="60">
        <v>9</v>
      </c>
      <c r="J603" s="302"/>
      <c r="K603" s="302"/>
      <c r="L603" s="312"/>
      <c r="M603" s="60">
        <f t="shared" si="101"/>
        <v>9</v>
      </c>
      <c r="N603" s="303">
        <f t="shared" si="102"/>
        <v>3011</v>
      </c>
      <c r="O603" s="304" t="s">
        <v>2707</v>
      </c>
      <c r="P603" s="263" t="s">
        <v>369</v>
      </c>
    </row>
    <row r="604" spans="2:18" ht="13.2" x14ac:dyDescent="0.25">
      <c r="B604" s="325" t="s">
        <v>2706</v>
      </c>
      <c r="C604" s="325" t="s">
        <v>2246</v>
      </c>
      <c r="D604" s="325" t="s">
        <v>1249</v>
      </c>
      <c r="E604" s="2">
        <v>5400</v>
      </c>
      <c r="F604" s="2">
        <v>50</v>
      </c>
      <c r="G604" s="60">
        <v>60.4</v>
      </c>
      <c r="H604" s="303">
        <f t="shared" si="96"/>
        <v>3020</v>
      </c>
      <c r="I604" s="60">
        <v>9</v>
      </c>
      <c r="J604" s="302"/>
      <c r="K604" s="302"/>
      <c r="L604" s="312"/>
      <c r="M604" s="60">
        <f t="shared" si="101"/>
        <v>9</v>
      </c>
      <c r="N604" s="303">
        <f t="shared" si="102"/>
        <v>3011</v>
      </c>
      <c r="O604" s="304" t="s">
        <v>2707</v>
      </c>
      <c r="P604" s="263" t="s">
        <v>369</v>
      </c>
      <c r="R604" s="247"/>
    </row>
    <row r="605" spans="2:18" ht="12.75" customHeight="1" x14ac:dyDescent="0.25">
      <c r="B605" s="325" t="s">
        <v>2706</v>
      </c>
      <c r="C605" s="325" t="s">
        <v>2246</v>
      </c>
      <c r="D605" s="325" t="s">
        <v>1249</v>
      </c>
      <c r="E605" s="2">
        <v>5400</v>
      </c>
      <c r="F605" s="2">
        <v>250</v>
      </c>
      <c r="G605" s="60">
        <v>59.7</v>
      </c>
      <c r="H605" s="303">
        <f t="shared" si="96"/>
        <v>14925</v>
      </c>
      <c r="I605" s="60">
        <v>45</v>
      </c>
      <c r="J605" s="302"/>
      <c r="K605" s="302"/>
      <c r="L605" s="312"/>
      <c r="M605" s="60">
        <f t="shared" si="101"/>
        <v>45</v>
      </c>
      <c r="N605" s="303">
        <f t="shared" si="102"/>
        <v>14880</v>
      </c>
      <c r="O605" s="304" t="s">
        <v>2707</v>
      </c>
      <c r="P605" s="263" t="s">
        <v>369</v>
      </c>
    </row>
    <row r="606" spans="2:18" ht="12.75" customHeight="1" x14ac:dyDescent="0.25">
      <c r="B606" s="325" t="s">
        <v>2706</v>
      </c>
      <c r="C606" s="325" t="s">
        <v>2246</v>
      </c>
      <c r="D606" s="325" t="s">
        <v>1249</v>
      </c>
      <c r="E606" s="2">
        <v>5400</v>
      </c>
      <c r="F606" s="2">
        <v>50</v>
      </c>
      <c r="G606" s="60">
        <v>60.4</v>
      </c>
      <c r="H606" s="303">
        <f t="shared" ref="H606:H671" si="103">F606*G606</f>
        <v>3020</v>
      </c>
      <c r="I606" s="60">
        <v>9</v>
      </c>
      <c r="J606" s="60">
        <v>112.57</v>
      </c>
      <c r="K606" s="60">
        <v>19</v>
      </c>
      <c r="L606" s="247">
        <v>100.71</v>
      </c>
      <c r="M606" s="60">
        <f t="shared" si="101"/>
        <v>241.27999999999997</v>
      </c>
      <c r="N606" s="303">
        <f t="shared" si="102"/>
        <v>2778.7200000000003</v>
      </c>
      <c r="O606" s="304" t="s">
        <v>2707</v>
      </c>
      <c r="P606" s="304" t="s">
        <v>369</v>
      </c>
    </row>
    <row r="607" spans="2:18" ht="12.75" customHeight="1" x14ac:dyDescent="0.25">
      <c r="B607" s="325" t="s">
        <v>2708</v>
      </c>
      <c r="C607" s="325" t="s">
        <v>2246</v>
      </c>
      <c r="D607" s="325" t="s">
        <v>1249</v>
      </c>
      <c r="E607" s="2">
        <v>5500</v>
      </c>
      <c r="F607" s="2">
        <v>300</v>
      </c>
      <c r="G607" s="60">
        <v>31.3</v>
      </c>
      <c r="H607" s="303">
        <f t="shared" si="103"/>
        <v>9390</v>
      </c>
      <c r="I607" s="60">
        <v>54</v>
      </c>
      <c r="J607" s="312"/>
      <c r="K607" s="312"/>
      <c r="L607" s="312"/>
      <c r="M607" s="60">
        <f t="shared" si="101"/>
        <v>54</v>
      </c>
      <c r="N607" s="303">
        <f t="shared" si="102"/>
        <v>9336</v>
      </c>
      <c r="O607" s="263" t="s">
        <v>1126</v>
      </c>
      <c r="P607" s="304" t="s">
        <v>369</v>
      </c>
    </row>
    <row r="608" spans="2:18" ht="12.75" customHeight="1" x14ac:dyDescent="0.25">
      <c r="B608" s="325" t="s">
        <v>2708</v>
      </c>
      <c r="C608" s="325" t="s">
        <v>2246</v>
      </c>
      <c r="D608" s="325" t="s">
        <v>1249</v>
      </c>
      <c r="E608" s="2">
        <v>5500</v>
      </c>
      <c r="F608" s="2">
        <v>50</v>
      </c>
      <c r="G608" s="60">
        <v>31.25</v>
      </c>
      <c r="H608" s="303">
        <f t="shared" si="103"/>
        <v>1562.5</v>
      </c>
      <c r="I608" s="60">
        <v>9</v>
      </c>
      <c r="J608" s="312"/>
      <c r="K608" s="312"/>
      <c r="L608" s="312"/>
      <c r="M608" s="60">
        <f t="shared" si="101"/>
        <v>9</v>
      </c>
      <c r="N608" s="303">
        <f t="shared" si="102"/>
        <v>1553.5</v>
      </c>
      <c r="O608" s="263" t="s">
        <v>1126</v>
      </c>
      <c r="P608" s="304" t="s">
        <v>369</v>
      </c>
    </row>
    <row r="609" spans="2:16" ht="12.75" customHeight="1" x14ac:dyDescent="0.25">
      <c r="B609" s="325" t="s">
        <v>2708</v>
      </c>
      <c r="C609" s="325" t="s">
        <v>2246</v>
      </c>
      <c r="D609" s="325" t="s">
        <v>1249</v>
      </c>
      <c r="E609" s="2">
        <v>5500</v>
      </c>
      <c r="F609" s="2">
        <v>1150</v>
      </c>
      <c r="G609" s="60">
        <v>31.25</v>
      </c>
      <c r="H609" s="303">
        <f t="shared" si="103"/>
        <v>35937.5</v>
      </c>
      <c r="I609" s="60">
        <v>207</v>
      </c>
      <c r="J609" s="312"/>
      <c r="K609" s="312"/>
      <c r="L609" s="312"/>
      <c r="M609" s="60">
        <f t="shared" si="101"/>
        <v>207</v>
      </c>
      <c r="N609" s="303">
        <f t="shared" si="102"/>
        <v>35730.5</v>
      </c>
      <c r="O609" s="263" t="s">
        <v>1126</v>
      </c>
      <c r="P609" s="304" t="s">
        <v>369</v>
      </c>
    </row>
    <row r="610" spans="2:16" ht="12.75" customHeight="1" x14ac:dyDescent="0.25">
      <c r="B610" s="325" t="s">
        <v>2708</v>
      </c>
      <c r="C610" s="325" t="s">
        <v>2246</v>
      </c>
      <c r="D610" s="325" t="s">
        <v>1249</v>
      </c>
      <c r="E610" s="2">
        <v>5500</v>
      </c>
      <c r="F610" s="2">
        <v>200</v>
      </c>
      <c r="G610" s="60">
        <v>31.15</v>
      </c>
      <c r="H610" s="303">
        <f t="shared" si="103"/>
        <v>6230</v>
      </c>
      <c r="I610" s="60">
        <v>36</v>
      </c>
      <c r="J610" s="312"/>
      <c r="K610" s="312"/>
      <c r="L610" s="312"/>
      <c r="M610" s="60">
        <f t="shared" si="101"/>
        <v>36</v>
      </c>
      <c r="N610" s="303">
        <f t="shared" si="102"/>
        <v>6194</v>
      </c>
      <c r="O610" s="263" t="s">
        <v>1126</v>
      </c>
      <c r="P610" s="304" t="s">
        <v>369</v>
      </c>
    </row>
    <row r="611" spans="2:16" ht="12.75" customHeight="1" x14ac:dyDescent="0.25">
      <c r="B611" s="325" t="s">
        <v>2708</v>
      </c>
      <c r="C611" s="325" t="s">
        <v>2246</v>
      </c>
      <c r="D611" s="325" t="s">
        <v>1249</v>
      </c>
      <c r="E611" s="2">
        <v>5500</v>
      </c>
      <c r="F611" s="2">
        <v>800</v>
      </c>
      <c r="G611" s="60">
        <v>31.15</v>
      </c>
      <c r="H611" s="303">
        <f t="shared" si="103"/>
        <v>24920</v>
      </c>
      <c r="I611" s="60">
        <v>144</v>
      </c>
      <c r="J611" s="247">
        <v>88.12</v>
      </c>
      <c r="K611" s="247">
        <v>21</v>
      </c>
      <c r="L611" s="247">
        <v>82.94</v>
      </c>
      <c r="M611" s="60">
        <f t="shared" si="101"/>
        <v>336.06</v>
      </c>
      <c r="N611" s="303">
        <f t="shared" si="102"/>
        <v>24583.94</v>
      </c>
      <c r="O611" s="263" t="s">
        <v>1126</v>
      </c>
      <c r="P611" s="304" t="s">
        <v>369</v>
      </c>
    </row>
    <row r="612" spans="2:16" ht="12.75" customHeight="1" x14ac:dyDescent="0.25">
      <c r="B612" s="325" t="s">
        <v>1339</v>
      </c>
      <c r="C612" s="325" t="s">
        <v>2246</v>
      </c>
      <c r="D612" s="325" t="s">
        <v>1245</v>
      </c>
      <c r="E612" s="2">
        <v>5400</v>
      </c>
      <c r="F612" s="2">
        <v>400</v>
      </c>
      <c r="G612" s="60">
        <v>12</v>
      </c>
      <c r="H612" s="303">
        <f t="shared" si="103"/>
        <v>4800</v>
      </c>
      <c r="I612" s="60">
        <v>72</v>
      </c>
      <c r="J612" s="312"/>
      <c r="K612" s="312"/>
      <c r="L612" s="312"/>
      <c r="M612" s="60">
        <f>SUM(I612:L612)</f>
        <v>72</v>
      </c>
      <c r="N612" s="303">
        <f>H612-M612</f>
        <v>4728</v>
      </c>
      <c r="O612" s="263" t="s">
        <v>1130</v>
      </c>
      <c r="P612" s="304" t="s">
        <v>369</v>
      </c>
    </row>
    <row r="613" spans="2:16" ht="12.75" customHeight="1" x14ac:dyDescent="0.25">
      <c r="B613" s="325" t="s">
        <v>1339</v>
      </c>
      <c r="C613" s="325" t="s">
        <v>2246</v>
      </c>
      <c r="D613" s="325" t="s">
        <v>1245</v>
      </c>
      <c r="E613" s="2">
        <v>5400</v>
      </c>
      <c r="F613" s="2">
        <v>400</v>
      </c>
      <c r="G613" s="60">
        <v>12</v>
      </c>
      <c r="H613" s="303">
        <f t="shared" si="103"/>
        <v>4800</v>
      </c>
      <c r="I613" s="60">
        <v>72</v>
      </c>
      <c r="J613" s="312"/>
      <c r="K613" s="312"/>
      <c r="L613" s="312"/>
      <c r="M613" s="60">
        <f>SUM(I613:L613)</f>
        <v>72</v>
      </c>
      <c r="N613" s="303">
        <f>H613-M613</f>
        <v>4728</v>
      </c>
      <c r="O613" s="263" t="s">
        <v>1130</v>
      </c>
      <c r="P613" s="304" t="s">
        <v>369</v>
      </c>
    </row>
    <row r="614" spans="2:16" ht="12.75" customHeight="1" x14ac:dyDescent="0.25">
      <c r="B614" s="325" t="s">
        <v>1339</v>
      </c>
      <c r="C614" s="325" t="s">
        <v>2246</v>
      </c>
      <c r="D614" s="16" t="s">
        <v>1245</v>
      </c>
      <c r="E614" s="2">
        <v>5400</v>
      </c>
      <c r="F614" s="2">
        <v>200</v>
      </c>
      <c r="G614" s="60">
        <v>12</v>
      </c>
      <c r="H614" s="303">
        <f t="shared" si="103"/>
        <v>2400</v>
      </c>
      <c r="I614" s="60">
        <v>36</v>
      </c>
      <c r="J614" s="312"/>
      <c r="K614" s="312"/>
      <c r="L614" s="312"/>
      <c r="M614" s="60">
        <f>SUM(I614:L614)</f>
        <v>36</v>
      </c>
      <c r="N614" s="303">
        <f>H614-M614</f>
        <v>2364</v>
      </c>
      <c r="O614" s="263" t="s">
        <v>1130</v>
      </c>
      <c r="P614" s="304" t="s">
        <v>369</v>
      </c>
    </row>
    <row r="615" spans="2:16" ht="12.75" customHeight="1" x14ac:dyDescent="0.25">
      <c r="B615" s="325" t="s">
        <v>46</v>
      </c>
      <c r="C615" s="325" t="s">
        <v>2246</v>
      </c>
      <c r="D615" s="16" t="s">
        <v>1245</v>
      </c>
      <c r="E615" s="2">
        <v>5500</v>
      </c>
      <c r="F615" s="2">
        <v>100</v>
      </c>
      <c r="G615" s="60">
        <v>26.5</v>
      </c>
      <c r="H615" s="303">
        <f t="shared" si="103"/>
        <v>2650</v>
      </c>
      <c r="I615" s="60">
        <v>18</v>
      </c>
      <c r="J615" s="312"/>
      <c r="K615" s="312"/>
      <c r="L615" s="312"/>
      <c r="M615" s="60">
        <f t="shared" ref="M615:M620" si="104">SUM(I615:L615)</f>
        <v>18</v>
      </c>
      <c r="N615" s="303">
        <f t="shared" ref="N615:N620" si="105">H615-M615</f>
        <v>2632</v>
      </c>
      <c r="O615" s="263" t="s">
        <v>45</v>
      </c>
      <c r="P615" s="304" t="s">
        <v>369</v>
      </c>
    </row>
    <row r="616" spans="2:16" ht="12.75" customHeight="1" x14ac:dyDescent="0.25">
      <c r="B616" s="325" t="s">
        <v>46</v>
      </c>
      <c r="C616" s="325" t="s">
        <v>2246</v>
      </c>
      <c r="D616" s="16" t="s">
        <v>1245</v>
      </c>
      <c r="E616" s="2">
        <v>5500</v>
      </c>
      <c r="F616" s="2">
        <v>500</v>
      </c>
      <c r="G616" s="60">
        <v>26.5</v>
      </c>
      <c r="H616" s="303">
        <f t="shared" si="103"/>
        <v>13250</v>
      </c>
      <c r="I616" s="60">
        <v>90</v>
      </c>
      <c r="J616" s="312"/>
      <c r="K616" s="312"/>
      <c r="L616" s="312"/>
      <c r="M616" s="60">
        <f t="shared" si="104"/>
        <v>90</v>
      </c>
      <c r="N616" s="303">
        <f t="shared" si="105"/>
        <v>13160</v>
      </c>
      <c r="O616" s="263" t="s">
        <v>45</v>
      </c>
      <c r="P616" s="304" t="s">
        <v>369</v>
      </c>
    </row>
    <row r="617" spans="2:16" ht="12.75" customHeight="1" x14ac:dyDescent="0.25">
      <c r="B617" s="325" t="s">
        <v>46</v>
      </c>
      <c r="C617" s="325" t="s">
        <v>2246</v>
      </c>
      <c r="D617" s="16" t="s">
        <v>1245</v>
      </c>
      <c r="E617" s="2">
        <v>5500</v>
      </c>
      <c r="F617" s="2">
        <v>500</v>
      </c>
      <c r="G617" s="60">
        <v>26.5</v>
      </c>
      <c r="H617" s="303">
        <f t="shared" si="103"/>
        <v>13250</v>
      </c>
      <c r="I617" s="60">
        <v>90</v>
      </c>
      <c r="J617" s="312"/>
      <c r="K617" s="312"/>
      <c r="L617" s="312"/>
      <c r="M617" s="60">
        <f t="shared" si="104"/>
        <v>90</v>
      </c>
      <c r="N617" s="303">
        <f t="shared" si="105"/>
        <v>13160</v>
      </c>
      <c r="O617" s="263" t="s">
        <v>45</v>
      </c>
      <c r="P617" s="304" t="s">
        <v>369</v>
      </c>
    </row>
    <row r="618" spans="2:16" ht="12.75" customHeight="1" x14ac:dyDescent="0.25">
      <c r="B618" s="325" t="s">
        <v>46</v>
      </c>
      <c r="C618" s="325" t="s">
        <v>2246</v>
      </c>
      <c r="D618" s="16" t="s">
        <v>1245</v>
      </c>
      <c r="E618" s="2">
        <v>5500</v>
      </c>
      <c r="F618" s="2">
        <v>50</v>
      </c>
      <c r="G618" s="60">
        <v>26.5</v>
      </c>
      <c r="H618" s="303">
        <f t="shared" si="103"/>
        <v>1325</v>
      </c>
      <c r="I618" s="60">
        <v>9</v>
      </c>
      <c r="J618" s="312"/>
      <c r="K618" s="312"/>
      <c r="L618" s="312"/>
      <c r="M618" s="60">
        <f t="shared" si="104"/>
        <v>9</v>
      </c>
      <c r="N618" s="303">
        <f t="shared" si="105"/>
        <v>1316</v>
      </c>
      <c r="O618" s="263" t="s">
        <v>45</v>
      </c>
      <c r="P618" s="304" t="s">
        <v>369</v>
      </c>
    </row>
    <row r="619" spans="2:16" ht="12.75" customHeight="1" x14ac:dyDescent="0.25">
      <c r="B619" s="325" t="s">
        <v>46</v>
      </c>
      <c r="C619" s="325" t="s">
        <v>2246</v>
      </c>
      <c r="D619" s="16" t="s">
        <v>1245</v>
      </c>
      <c r="E619" s="2">
        <v>5500</v>
      </c>
      <c r="F619" s="2">
        <v>150</v>
      </c>
      <c r="G619" s="60">
        <v>26.5</v>
      </c>
      <c r="H619" s="303">
        <f t="shared" si="103"/>
        <v>3975</v>
      </c>
      <c r="I619" s="60">
        <v>27</v>
      </c>
      <c r="J619" s="312"/>
      <c r="K619" s="312"/>
      <c r="L619" s="312"/>
      <c r="M619" s="60">
        <f t="shared" si="104"/>
        <v>27</v>
      </c>
      <c r="N619" s="303">
        <f t="shared" si="105"/>
        <v>3948</v>
      </c>
      <c r="O619" s="263" t="s">
        <v>45</v>
      </c>
      <c r="P619" s="304" t="s">
        <v>369</v>
      </c>
    </row>
    <row r="620" spans="2:16" ht="12.75" customHeight="1" x14ac:dyDescent="0.25">
      <c r="B620" s="325" t="s">
        <v>46</v>
      </c>
      <c r="C620" s="325" t="s">
        <v>2246</v>
      </c>
      <c r="D620" s="16" t="s">
        <v>1245</v>
      </c>
      <c r="E620" s="2">
        <v>5500</v>
      </c>
      <c r="F620" s="2">
        <v>1000</v>
      </c>
      <c r="G620" s="60">
        <v>26.5</v>
      </c>
      <c r="H620" s="303">
        <f t="shared" si="103"/>
        <v>26500</v>
      </c>
      <c r="I620" s="60">
        <v>180</v>
      </c>
      <c r="J620" s="247">
        <v>56.44</v>
      </c>
      <c r="K620" s="247">
        <v>14</v>
      </c>
      <c r="L620" s="247">
        <v>42.67</v>
      </c>
      <c r="M620" s="60">
        <f t="shared" si="104"/>
        <v>293.11</v>
      </c>
      <c r="N620" s="303">
        <f t="shared" si="105"/>
        <v>26206.89</v>
      </c>
      <c r="O620" s="263" t="s">
        <v>45</v>
      </c>
      <c r="P620" s="304" t="s">
        <v>369</v>
      </c>
    </row>
    <row r="621" spans="2:16" ht="12.75" customHeight="1" x14ac:dyDescent="0.25">
      <c r="B621" s="325" t="s">
        <v>48</v>
      </c>
      <c r="C621" s="325" t="s">
        <v>2480</v>
      </c>
      <c r="D621" s="16" t="s">
        <v>1245</v>
      </c>
      <c r="E621" s="2">
        <v>5900</v>
      </c>
      <c r="F621" s="2">
        <v>200</v>
      </c>
      <c r="G621" s="60">
        <v>231</v>
      </c>
      <c r="H621" s="303">
        <f t="shared" si="103"/>
        <v>46200</v>
      </c>
      <c r="I621" s="60">
        <v>36</v>
      </c>
      <c r="J621" s="247">
        <v>33.22</v>
      </c>
      <c r="K621" s="247">
        <v>13</v>
      </c>
      <c r="L621" s="247">
        <v>52.78</v>
      </c>
      <c r="M621" s="60">
        <f t="shared" ref="M621:M626" si="106">SUM(I621:L621)</f>
        <v>135</v>
      </c>
      <c r="N621" s="303">
        <f t="shared" ref="N621:N626" si="107">H621-M621</f>
        <v>46065</v>
      </c>
      <c r="O621" s="263" t="s">
        <v>49</v>
      </c>
      <c r="P621" s="304" t="s">
        <v>369</v>
      </c>
    </row>
    <row r="622" spans="2:16" ht="12.75" customHeight="1" x14ac:dyDescent="0.25">
      <c r="B622" s="325" t="s">
        <v>50</v>
      </c>
      <c r="C622" s="325" t="s">
        <v>2246</v>
      </c>
      <c r="D622" s="16" t="s">
        <v>1245</v>
      </c>
      <c r="E622" s="2">
        <v>5600</v>
      </c>
      <c r="F622" s="2">
        <v>1000</v>
      </c>
      <c r="G622" s="60">
        <v>4.75</v>
      </c>
      <c r="H622" s="303">
        <f t="shared" si="103"/>
        <v>4750</v>
      </c>
      <c r="I622" s="60">
        <v>180</v>
      </c>
      <c r="J622" s="312"/>
      <c r="K622" s="312"/>
      <c r="L622" s="312"/>
      <c r="M622" s="60">
        <f t="shared" si="106"/>
        <v>180</v>
      </c>
      <c r="N622" s="303">
        <f t="shared" si="107"/>
        <v>4570</v>
      </c>
      <c r="O622" s="263" t="s">
        <v>51</v>
      </c>
      <c r="P622" s="263" t="s">
        <v>369</v>
      </c>
    </row>
    <row r="623" spans="2:16" ht="12.75" customHeight="1" x14ac:dyDescent="0.25">
      <c r="B623" s="325" t="s">
        <v>52</v>
      </c>
      <c r="C623" s="325" t="s">
        <v>2246</v>
      </c>
      <c r="D623" s="325" t="s">
        <v>1249</v>
      </c>
      <c r="E623" s="2">
        <v>5700</v>
      </c>
      <c r="F623" s="2">
        <v>950</v>
      </c>
      <c r="G623" s="60">
        <v>11.5</v>
      </c>
      <c r="H623" s="303">
        <f t="shared" si="103"/>
        <v>10925</v>
      </c>
      <c r="I623" s="60">
        <v>171</v>
      </c>
      <c r="J623" s="316"/>
      <c r="K623" s="316"/>
      <c r="L623" s="316"/>
      <c r="M623" s="60">
        <f t="shared" si="106"/>
        <v>171</v>
      </c>
      <c r="N623" s="303">
        <f t="shared" si="107"/>
        <v>10754</v>
      </c>
      <c r="O623" s="263" t="s">
        <v>2067</v>
      </c>
      <c r="P623" s="263" t="s">
        <v>369</v>
      </c>
    </row>
    <row r="624" spans="2:16" ht="12.75" customHeight="1" x14ac:dyDescent="0.25">
      <c r="B624" s="325" t="s">
        <v>52</v>
      </c>
      <c r="C624" s="325" t="s">
        <v>2246</v>
      </c>
      <c r="D624" s="325" t="s">
        <v>1249</v>
      </c>
      <c r="E624" s="2">
        <v>5700</v>
      </c>
      <c r="F624" s="2">
        <v>550</v>
      </c>
      <c r="G624" s="60">
        <v>11.5</v>
      </c>
      <c r="H624" s="303">
        <f t="shared" si="103"/>
        <v>6325</v>
      </c>
      <c r="I624" s="60">
        <v>99</v>
      </c>
      <c r="J624" s="316"/>
      <c r="K624" s="316"/>
      <c r="L624" s="316"/>
      <c r="M624" s="60">
        <f t="shared" si="106"/>
        <v>99</v>
      </c>
      <c r="N624" s="303">
        <f t="shared" si="107"/>
        <v>6226</v>
      </c>
      <c r="O624" s="263" t="s">
        <v>2067</v>
      </c>
      <c r="P624" s="263" t="s">
        <v>369</v>
      </c>
    </row>
    <row r="625" spans="2:18" ht="12.75" customHeight="1" x14ac:dyDescent="0.25">
      <c r="B625" s="325" t="s">
        <v>52</v>
      </c>
      <c r="C625" s="325" t="s">
        <v>2246</v>
      </c>
      <c r="D625" s="325" t="s">
        <v>1245</v>
      </c>
      <c r="E625" s="2">
        <v>5700</v>
      </c>
      <c r="F625" s="2">
        <v>300</v>
      </c>
      <c r="G625" s="60">
        <v>37.4</v>
      </c>
      <c r="H625" s="303">
        <f t="shared" si="103"/>
        <v>11220</v>
      </c>
      <c r="I625" s="60">
        <v>54</v>
      </c>
      <c r="J625" s="312"/>
      <c r="K625" s="312"/>
      <c r="L625" s="312"/>
      <c r="M625" s="60">
        <f t="shared" si="106"/>
        <v>54</v>
      </c>
      <c r="N625" s="303">
        <f t="shared" si="107"/>
        <v>11166</v>
      </c>
      <c r="O625" s="263" t="s">
        <v>2067</v>
      </c>
      <c r="P625" s="255" t="s">
        <v>369</v>
      </c>
    </row>
    <row r="626" spans="2:18" ht="12.75" customHeight="1" x14ac:dyDescent="0.25">
      <c r="B626" s="325" t="s">
        <v>52</v>
      </c>
      <c r="C626" s="325" t="s">
        <v>2246</v>
      </c>
      <c r="D626" s="325" t="s">
        <v>1245</v>
      </c>
      <c r="E626" s="2">
        <v>5700</v>
      </c>
      <c r="F626" s="2">
        <v>400</v>
      </c>
      <c r="G626" s="60">
        <v>37.4</v>
      </c>
      <c r="H626" s="303">
        <f t="shared" si="103"/>
        <v>14960</v>
      </c>
      <c r="I626" s="60">
        <v>72</v>
      </c>
      <c r="J626" s="247">
        <v>117.75</v>
      </c>
      <c r="K626" s="247">
        <v>14</v>
      </c>
      <c r="L626" s="247">
        <v>70.62</v>
      </c>
      <c r="M626" s="60">
        <f t="shared" si="106"/>
        <v>274.37</v>
      </c>
      <c r="N626" s="303">
        <f t="shared" si="107"/>
        <v>14685.63</v>
      </c>
      <c r="O626" s="263" t="s">
        <v>2067</v>
      </c>
      <c r="P626" s="263" t="s">
        <v>369</v>
      </c>
    </row>
    <row r="627" spans="2:18" ht="12.75" customHeight="1" x14ac:dyDescent="0.25">
      <c r="B627" s="325" t="s">
        <v>1443</v>
      </c>
      <c r="C627" s="325" t="s">
        <v>2480</v>
      </c>
      <c r="D627" s="325" t="s">
        <v>1245</v>
      </c>
      <c r="E627" s="2">
        <v>5500</v>
      </c>
      <c r="F627" s="2">
        <v>1800</v>
      </c>
      <c r="G627" s="60">
        <v>11</v>
      </c>
      <c r="H627" s="303">
        <f t="shared" si="103"/>
        <v>19800</v>
      </c>
      <c r="I627" s="60">
        <v>324</v>
      </c>
      <c r="J627" s="316"/>
      <c r="K627" s="316"/>
      <c r="L627" s="316"/>
      <c r="M627" s="60">
        <f>SUM(I627:L627)</f>
        <v>324</v>
      </c>
      <c r="N627" s="303">
        <f>H627-M627</f>
        <v>19476</v>
      </c>
      <c r="O627" s="263" t="s">
        <v>2280</v>
      </c>
      <c r="P627" s="263" t="s">
        <v>369</v>
      </c>
    </row>
    <row r="628" spans="2:18" ht="12.75" customHeight="1" x14ac:dyDescent="0.25">
      <c r="B628" s="325" t="s">
        <v>1443</v>
      </c>
      <c r="C628" s="325" t="s">
        <v>2480</v>
      </c>
      <c r="D628" s="325" t="s">
        <v>1245</v>
      </c>
      <c r="E628" s="2">
        <v>5500</v>
      </c>
      <c r="F628" s="2">
        <v>700</v>
      </c>
      <c r="G628" s="60">
        <v>11</v>
      </c>
      <c r="H628" s="303">
        <f t="shared" si="103"/>
        <v>7700</v>
      </c>
      <c r="I628" s="60">
        <v>126</v>
      </c>
      <c r="J628" s="247">
        <v>83.68</v>
      </c>
      <c r="K628" s="247">
        <v>10</v>
      </c>
      <c r="L628" s="247">
        <v>47.04</v>
      </c>
      <c r="M628" s="60">
        <f>SUM(I628:L628)</f>
        <v>266.72000000000003</v>
      </c>
      <c r="N628" s="303">
        <f>H628-M628</f>
        <v>7433.28</v>
      </c>
      <c r="O628" s="263" t="s">
        <v>2280</v>
      </c>
      <c r="P628" s="263" t="s">
        <v>369</v>
      </c>
    </row>
    <row r="629" spans="2:18" ht="12.75" customHeight="1" x14ac:dyDescent="0.25">
      <c r="B629" s="325" t="s">
        <v>1446</v>
      </c>
      <c r="C629" s="325" t="s">
        <v>2480</v>
      </c>
      <c r="D629" s="325" t="s">
        <v>1245</v>
      </c>
      <c r="E629" s="2">
        <v>5700</v>
      </c>
      <c r="F629" s="2">
        <v>450</v>
      </c>
      <c r="G629" s="60">
        <v>62</v>
      </c>
      <c r="H629" s="303">
        <f t="shared" si="103"/>
        <v>27900</v>
      </c>
      <c r="I629" s="60">
        <v>81</v>
      </c>
      <c r="J629" s="312"/>
      <c r="K629" s="312"/>
      <c r="L629" s="312"/>
      <c r="M629" s="60">
        <f t="shared" ref="M629:M636" si="108">SUM(I629:L629)</f>
        <v>81</v>
      </c>
      <c r="N629" s="303">
        <f t="shared" ref="N629:N636" si="109">H629-M629</f>
        <v>27819</v>
      </c>
      <c r="O629" s="263" t="s">
        <v>1447</v>
      </c>
      <c r="P629" s="263" t="s">
        <v>369</v>
      </c>
    </row>
    <row r="630" spans="2:18" ht="12.75" customHeight="1" x14ac:dyDescent="0.25">
      <c r="B630" s="325" t="s">
        <v>1446</v>
      </c>
      <c r="C630" s="325" t="s">
        <v>2480</v>
      </c>
      <c r="D630" s="325" t="s">
        <v>1245</v>
      </c>
      <c r="E630" s="2">
        <v>5700</v>
      </c>
      <c r="F630" s="2">
        <v>550</v>
      </c>
      <c r="G630" s="60">
        <v>62</v>
      </c>
      <c r="H630" s="303">
        <f t="shared" si="103"/>
        <v>34100</v>
      </c>
      <c r="I630" s="60">
        <v>99</v>
      </c>
      <c r="J630" s="312"/>
      <c r="K630" s="312"/>
      <c r="L630" s="312"/>
      <c r="M630" s="60">
        <f t="shared" si="108"/>
        <v>99</v>
      </c>
      <c r="N630" s="303">
        <f t="shared" si="109"/>
        <v>34001</v>
      </c>
      <c r="O630" s="263" t="s">
        <v>1447</v>
      </c>
      <c r="P630" s="263" t="s">
        <v>369</v>
      </c>
    </row>
    <row r="631" spans="2:18" ht="12.75" customHeight="1" x14ac:dyDescent="0.25">
      <c r="B631" s="325" t="s">
        <v>1446</v>
      </c>
      <c r="C631" s="325" t="s">
        <v>2480</v>
      </c>
      <c r="D631" s="325" t="s">
        <v>1245</v>
      </c>
      <c r="E631" s="2">
        <v>5600</v>
      </c>
      <c r="F631" s="2">
        <v>1000</v>
      </c>
      <c r="G631" s="60">
        <v>36.9</v>
      </c>
      <c r="H631" s="303">
        <f t="shared" si="103"/>
        <v>36900</v>
      </c>
      <c r="I631" s="60">
        <v>180</v>
      </c>
      <c r="J631" s="312"/>
      <c r="K631" s="312"/>
      <c r="L631" s="312"/>
      <c r="M631" s="60">
        <f t="shared" si="108"/>
        <v>180</v>
      </c>
      <c r="N631" s="303">
        <f t="shared" si="109"/>
        <v>36720</v>
      </c>
      <c r="O631" s="263" t="s">
        <v>1447</v>
      </c>
      <c r="P631" s="263" t="s">
        <v>369</v>
      </c>
    </row>
    <row r="632" spans="2:18" ht="12.75" customHeight="1" x14ac:dyDescent="0.25">
      <c r="B632" s="325" t="s">
        <v>1446</v>
      </c>
      <c r="C632" s="325" t="s">
        <v>2480</v>
      </c>
      <c r="D632" s="325" t="s">
        <v>1245</v>
      </c>
      <c r="E632" s="2">
        <v>5600</v>
      </c>
      <c r="F632" s="2">
        <v>100</v>
      </c>
      <c r="G632" s="60">
        <v>38.25</v>
      </c>
      <c r="H632" s="303">
        <f t="shared" si="103"/>
        <v>3825</v>
      </c>
      <c r="I632" s="60">
        <v>18</v>
      </c>
      <c r="J632" s="312"/>
      <c r="K632" s="312"/>
      <c r="L632" s="312"/>
      <c r="M632" s="60">
        <f t="shared" si="108"/>
        <v>18</v>
      </c>
      <c r="N632" s="303">
        <f t="shared" si="109"/>
        <v>3807</v>
      </c>
      <c r="O632" s="263" t="s">
        <v>1447</v>
      </c>
      <c r="P632" s="263" t="s">
        <v>369</v>
      </c>
    </row>
    <row r="633" spans="2:18" ht="12.75" customHeight="1" x14ac:dyDescent="0.25">
      <c r="B633" s="325" t="s">
        <v>1446</v>
      </c>
      <c r="C633" s="325" t="s">
        <v>2480</v>
      </c>
      <c r="D633" s="325" t="s">
        <v>1245</v>
      </c>
      <c r="E633" s="2">
        <v>5600</v>
      </c>
      <c r="F633" s="2">
        <v>50</v>
      </c>
      <c r="G633" s="60">
        <v>38.200000000000003</v>
      </c>
      <c r="H633" s="303">
        <f t="shared" si="103"/>
        <v>1910.0000000000002</v>
      </c>
      <c r="I633" s="60">
        <v>9</v>
      </c>
      <c r="J633" s="312"/>
      <c r="K633" s="312"/>
      <c r="L633" s="312"/>
      <c r="M633" s="60">
        <f t="shared" si="108"/>
        <v>9</v>
      </c>
      <c r="N633" s="303">
        <f t="shared" si="109"/>
        <v>1901.0000000000002</v>
      </c>
      <c r="O633" s="263" t="s">
        <v>1447</v>
      </c>
      <c r="P633" s="263" t="s">
        <v>369</v>
      </c>
    </row>
    <row r="634" spans="2:18" ht="13.2" x14ac:dyDescent="0.25">
      <c r="B634" s="325" t="s">
        <v>1446</v>
      </c>
      <c r="C634" s="325" t="s">
        <v>2480</v>
      </c>
      <c r="D634" s="325" t="s">
        <v>1245</v>
      </c>
      <c r="E634" s="2">
        <v>5600</v>
      </c>
      <c r="F634" s="2">
        <v>250</v>
      </c>
      <c r="G634" s="60">
        <v>38.200000000000003</v>
      </c>
      <c r="H634" s="303">
        <f t="shared" si="103"/>
        <v>9550</v>
      </c>
      <c r="I634" s="60">
        <v>45</v>
      </c>
      <c r="J634" s="315"/>
      <c r="K634" s="315"/>
      <c r="L634" s="316"/>
      <c r="M634" s="60">
        <f t="shared" si="108"/>
        <v>45</v>
      </c>
      <c r="N634" s="303">
        <f t="shared" si="109"/>
        <v>9505</v>
      </c>
      <c r="O634" s="263" t="s">
        <v>1447</v>
      </c>
      <c r="P634" s="263" t="s">
        <v>369</v>
      </c>
      <c r="R634" s="247"/>
    </row>
    <row r="635" spans="2:18" ht="12.75" customHeight="1" x14ac:dyDescent="0.25">
      <c r="B635" s="325" t="s">
        <v>1446</v>
      </c>
      <c r="C635" s="325" t="s">
        <v>2480</v>
      </c>
      <c r="D635" s="325" t="s">
        <v>1245</v>
      </c>
      <c r="E635" s="2">
        <v>5600</v>
      </c>
      <c r="F635" s="2">
        <v>300</v>
      </c>
      <c r="G635" s="60">
        <v>38.200000000000003</v>
      </c>
      <c r="H635" s="303">
        <f t="shared" si="103"/>
        <v>11460</v>
      </c>
      <c r="I635" s="60">
        <v>54</v>
      </c>
      <c r="J635" s="316"/>
      <c r="K635" s="316"/>
      <c r="L635" s="316"/>
      <c r="M635" s="60">
        <f t="shared" si="108"/>
        <v>54</v>
      </c>
      <c r="N635" s="303">
        <f t="shared" si="109"/>
        <v>11406</v>
      </c>
      <c r="O635" s="263" t="s">
        <v>1447</v>
      </c>
      <c r="P635" s="263" t="s">
        <v>369</v>
      </c>
    </row>
    <row r="636" spans="2:18" ht="12.75" customHeight="1" x14ac:dyDescent="0.25">
      <c r="B636" s="325" t="s">
        <v>1446</v>
      </c>
      <c r="C636" s="325" t="s">
        <v>2480</v>
      </c>
      <c r="D636" s="325" t="s">
        <v>1245</v>
      </c>
      <c r="E636" s="2">
        <v>5600</v>
      </c>
      <c r="F636" s="2">
        <v>300</v>
      </c>
      <c r="G636" s="60">
        <v>38.200000000000003</v>
      </c>
      <c r="H636" s="303">
        <f t="shared" si="103"/>
        <v>11460</v>
      </c>
      <c r="I636" s="60">
        <v>54</v>
      </c>
      <c r="J636" s="316"/>
      <c r="K636" s="316"/>
      <c r="L636" s="316"/>
      <c r="M636" s="60">
        <f t="shared" si="108"/>
        <v>54</v>
      </c>
      <c r="N636" s="303">
        <f t="shared" si="109"/>
        <v>11406</v>
      </c>
      <c r="O636" s="263" t="s">
        <v>1447</v>
      </c>
      <c r="P636" s="263" t="s">
        <v>369</v>
      </c>
    </row>
    <row r="637" spans="2:18" ht="12.75" customHeight="1" x14ac:dyDescent="0.25">
      <c r="B637" s="325" t="s">
        <v>116</v>
      </c>
      <c r="C637" s="325" t="s">
        <v>1444</v>
      </c>
      <c r="D637" s="325" t="s">
        <v>1249</v>
      </c>
      <c r="E637" s="2">
        <v>75</v>
      </c>
      <c r="F637" s="2">
        <v>4000</v>
      </c>
      <c r="G637" s="60">
        <v>3.4</v>
      </c>
      <c r="H637" s="303">
        <f t="shared" si="103"/>
        <v>13600</v>
      </c>
      <c r="I637" s="60">
        <v>9</v>
      </c>
      <c r="J637" s="312"/>
      <c r="K637" s="312"/>
      <c r="L637" s="312"/>
      <c r="M637" s="60">
        <f>SUM(I637:L637)</f>
        <v>9</v>
      </c>
      <c r="N637" s="303">
        <f>H637-M637</f>
        <v>13591</v>
      </c>
      <c r="O637" s="263" t="s">
        <v>115</v>
      </c>
      <c r="P637" s="263" t="s">
        <v>369</v>
      </c>
    </row>
    <row r="638" spans="2:18" ht="12.75" customHeight="1" x14ac:dyDescent="0.25">
      <c r="B638" s="325" t="s">
        <v>116</v>
      </c>
      <c r="C638" s="325" t="s">
        <v>1445</v>
      </c>
      <c r="D638" s="325" t="s">
        <v>1249</v>
      </c>
      <c r="E638" s="2">
        <v>32.5</v>
      </c>
      <c r="F638" s="2">
        <v>16000</v>
      </c>
      <c r="G638" s="60">
        <v>1.1000000000000001</v>
      </c>
      <c r="H638" s="303">
        <f t="shared" si="103"/>
        <v>17600</v>
      </c>
      <c r="I638" s="60">
        <v>18</v>
      </c>
      <c r="J638" s="312"/>
      <c r="K638" s="312"/>
      <c r="L638" s="312"/>
      <c r="M638" s="60">
        <f>SUM(I638:L638)</f>
        <v>18</v>
      </c>
      <c r="N638" s="303">
        <f>H638-M638</f>
        <v>17582</v>
      </c>
      <c r="O638" s="263" t="s">
        <v>115</v>
      </c>
      <c r="P638" s="263" t="s">
        <v>369</v>
      </c>
    </row>
    <row r="639" spans="2:18" ht="12.75" customHeight="1" x14ac:dyDescent="0.25">
      <c r="B639" s="325" t="s">
        <v>116</v>
      </c>
      <c r="C639" s="325" t="s">
        <v>2480</v>
      </c>
      <c r="D639" s="325" t="s">
        <v>1245</v>
      </c>
      <c r="E639" s="2">
        <v>5800</v>
      </c>
      <c r="F639" s="2">
        <v>100</v>
      </c>
      <c r="G639" s="60">
        <v>128.6</v>
      </c>
      <c r="H639" s="303">
        <f t="shared" si="103"/>
        <v>12860</v>
      </c>
      <c r="I639" s="60">
        <v>18</v>
      </c>
      <c r="J639" s="312"/>
      <c r="K639" s="312"/>
      <c r="L639" s="312"/>
      <c r="M639" s="60">
        <f>SUM(I639:L639)</f>
        <v>18</v>
      </c>
      <c r="N639" s="303">
        <f>H639-M639</f>
        <v>12842</v>
      </c>
      <c r="O639" s="263" t="s">
        <v>115</v>
      </c>
      <c r="P639" s="263" t="s">
        <v>369</v>
      </c>
    </row>
    <row r="640" spans="2:18" ht="12.75" customHeight="1" x14ac:dyDescent="0.25">
      <c r="B640" s="325" t="s">
        <v>116</v>
      </c>
      <c r="C640" s="325" t="s">
        <v>2480</v>
      </c>
      <c r="D640" s="325" t="s">
        <v>1245</v>
      </c>
      <c r="E640" s="2">
        <v>5800</v>
      </c>
      <c r="F640" s="2">
        <v>300</v>
      </c>
      <c r="G640" s="60">
        <v>128.55000000000001</v>
      </c>
      <c r="H640" s="303">
        <f t="shared" si="103"/>
        <v>38565</v>
      </c>
      <c r="I640" s="60">
        <v>54</v>
      </c>
      <c r="J640" s="312"/>
      <c r="K640" s="312"/>
      <c r="L640" s="312"/>
      <c r="M640" s="60">
        <f>SUM(I640:L640)</f>
        <v>54</v>
      </c>
      <c r="N640" s="303">
        <f>H640-M640</f>
        <v>38511</v>
      </c>
      <c r="O640" s="263" t="s">
        <v>115</v>
      </c>
      <c r="P640" s="263" t="s">
        <v>369</v>
      </c>
    </row>
    <row r="641" spans="2:18" ht="12.75" customHeight="1" x14ac:dyDescent="0.25">
      <c r="B641" s="325" t="s">
        <v>116</v>
      </c>
      <c r="C641" s="325" t="s">
        <v>2480</v>
      </c>
      <c r="D641" s="325" t="s">
        <v>1245</v>
      </c>
      <c r="E641" s="2">
        <v>5800</v>
      </c>
      <c r="F641" s="2">
        <v>100</v>
      </c>
      <c r="G641" s="60">
        <v>128.5</v>
      </c>
      <c r="H641" s="303">
        <f t="shared" si="103"/>
        <v>12850</v>
      </c>
      <c r="I641" s="60">
        <v>18</v>
      </c>
      <c r="J641" s="312"/>
      <c r="K641" s="312"/>
      <c r="L641" s="312"/>
      <c r="M641" s="60">
        <f>SUM(I641:L641)</f>
        <v>18</v>
      </c>
      <c r="N641" s="303">
        <f>H641-M641</f>
        <v>12832</v>
      </c>
      <c r="O641" s="263" t="s">
        <v>115</v>
      </c>
      <c r="P641" s="263" t="s">
        <v>369</v>
      </c>
    </row>
    <row r="642" spans="2:18" ht="12.75" customHeight="1" x14ac:dyDescent="0.25">
      <c r="B642" s="325" t="s">
        <v>119</v>
      </c>
      <c r="C642" s="325" t="s">
        <v>2480</v>
      </c>
      <c r="D642" s="325" t="s">
        <v>1245</v>
      </c>
      <c r="E642" s="2">
        <v>5600</v>
      </c>
      <c r="F642" s="2">
        <v>50</v>
      </c>
      <c r="G642" s="60">
        <v>38.1</v>
      </c>
      <c r="H642" s="303">
        <f t="shared" si="103"/>
        <v>1905</v>
      </c>
      <c r="I642" s="60">
        <v>9</v>
      </c>
      <c r="J642" s="312"/>
      <c r="K642" s="312"/>
      <c r="L642" s="312"/>
      <c r="M642" s="60">
        <f t="shared" ref="M642:M654" si="110">SUM(I642:L642)</f>
        <v>9</v>
      </c>
      <c r="N642" s="303">
        <f t="shared" ref="N642:N654" si="111">H642-M642</f>
        <v>1896</v>
      </c>
      <c r="O642" s="263" t="s">
        <v>2285</v>
      </c>
      <c r="P642" s="263" t="s">
        <v>369</v>
      </c>
    </row>
    <row r="643" spans="2:18" ht="12.75" customHeight="1" x14ac:dyDescent="0.25">
      <c r="B643" s="325" t="s">
        <v>119</v>
      </c>
      <c r="C643" s="325" t="s">
        <v>2480</v>
      </c>
      <c r="D643" s="325" t="s">
        <v>1245</v>
      </c>
      <c r="E643" s="2">
        <v>5600</v>
      </c>
      <c r="F643" s="2">
        <v>50</v>
      </c>
      <c r="G643" s="60">
        <v>38.1</v>
      </c>
      <c r="H643" s="303">
        <f t="shared" si="103"/>
        <v>1905</v>
      </c>
      <c r="I643" s="60">
        <v>9</v>
      </c>
      <c r="J643" s="312"/>
      <c r="K643" s="312"/>
      <c r="L643" s="312"/>
      <c r="M643" s="60">
        <f t="shared" si="110"/>
        <v>9</v>
      </c>
      <c r="N643" s="303">
        <f t="shared" si="111"/>
        <v>1896</v>
      </c>
      <c r="O643" s="263" t="s">
        <v>2285</v>
      </c>
      <c r="P643" s="263" t="s">
        <v>369</v>
      </c>
    </row>
    <row r="644" spans="2:18" ht="12.75" customHeight="1" x14ac:dyDescent="0.25">
      <c r="B644" s="325" t="s">
        <v>119</v>
      </c>
      <c r="C644" s="325" t="s">
        <v>2480</v>
      </c>
      <c r="D644" s="325" t="s">
        <v>1245</v>
      </c>
      <c r="E644" s="2">
        <v>5600</v>
      </c>
      <c r="F644" s="2">
        <v>300</v>
      </c>
      <c r="G644" s="60">
        <v>38.1</v>
      </c>
      <c r="H644" s="303">
        <f t="shared" si="103"/>
        <v>11430</v>
      </c>
      <c r="I644" s="60">
        <v>54</v>
      </c>
      <c r="J644" s="312"/>
      <c r="K644" s="312"/>
      <c r="L644" s="312"/>
      <c r="M644" s="60">
        <f t="shared" si="110"/>
        <v>54</v>
      </c>
      <c r="N644" s="303">
        <f t="shared" si="111"/>
        <v>11376</v>
      </c>
      <c r="O644" s="263" t="s">
        <v>2285</v>
      </c>
      <c r="P644" s="263" t="s">
        <v>369</v>
      </c>
    </row>
    <row r="645" spans="2:18" ht="12.75" customHeight="1" x14ac:dyDescent="0.25">
      <c r="B645" s="325" t="s">
        <v>119</v>
      </c>
      <c r="C645" s="325" t="s">
        <v>2480</v>
      </c>
      <c r="D645" s="325" t="s">
        <v>1245</v>
      </c>
      <c r="E645" s="2">
        <v>5600</v>
      </c>
      <c r="F645" s="2">
        <v>1000</v>
      </c>
      <c r="G645" s="60">
        <v>38.1</v>
      </c>
      <c r="H645" s="303">
        <f t="shared" si="103"/>
        <v>38100</v>
      </c>
      <c r="I645" s="60">
        <v>180</v>
      </c>
      <c r="J645" s="312"/>
      <c r="K645" s="312"/>
      <c r="L645" s="312"/>
      <c r="M645" s="60">
        <f t="shared" si="110"/>
        <v>180</v>
      </c>
      <c r="N645" s="303">
        <f t="shared" si="111"/>
        <v>37920</v>
      </c>
      <c r="O645" s="263" t="s">
        <v>2285</v>
      </c>
      <c r="P645" s="263" t="s">
        <v>369</v>
      </c>
    </row>
    <row r="646" spans="2:18" ht="12.75" customHeight="1" x14ac:dyDescent="0.25">
      <c r="B646" s="325" t="s">
        <v>119</v>
      </c>
      <c r="C646" s="325" t="s">
        <v>2480</v>
      </c>
      <c r="D646" s="325" t="s">
        <v>1245</v>
      </c>
      <c r="E646" s="2">
        <v>5600</v>
      </c>
      <c r="F646" s="2">
        <v>50</v>
      </c>
      <c r="G646" s="60">
        <v>38.1</v>
      </c>
      <c r="H646" s="303">
        <f t="shared" si="103"/>
        <v>1905</v>
      </c>
      <c r="I646" s="60">
        <v>9</v>
      </c>
      <c r="J646" s="312"/>
      <c r="K646" s="312"/>
      <c r="L646" s="312"/>
      <c r="M646" s="60">
        <f t="shared" si="110"/>
        <v>9</v>
      </c>
      <c r="N646" s="303">
        <f t="shared" si="111"/>
        <v>1896</v>
      </c>
      <c r="O646" s="263" t="s">
        <v>2285</v>
      </c>
      <c r="P646" s="263" t="s">
        <v>369</v>
      </c>
    </row>
    <row r="647" spans="2:18" ht="12.75" customHeight="1" x14ac:dyDescent="0.25">
      <c r="B647" s="325" t="s">
        <v>119</v>
      </c>
      <c r="C647" s="325" t="s">
        <v>2480</v>
      </c>
      <c r="D647" s="325" t="s">
        <v>1245</v>
      </c>
      <c r="E647" s="2">
        <v>5600</v>
      </c>
      <c r="F647" s="2">
        <v>50</v>
      </c>
      <c r="G647" s="60">
        <v>38.1</v>
      </c>
      <c r="H647" s="303">
        <f t="shared" si="103"/>
        <v>1905</v>
      </c>
      <c r="I647" s="60">
        <v>9</v>
      </c>
      <c r="J647" s="312"/>
      <c r="K647" s="312"/>
      <c r="L647" s="312"/>
      <c r="M647" s="60">
        <f t="shared" si="110"/>
        <v>9</v>
      </c>
      <c r="N647" s="303">
        <f t="shared" si="111"/>
        <v>1896</v>
      </c>
      <c r="O647" s="263" t="s">
        <v>2285</v>
      </c>
      <c r="P647" s="263" t="s">
        <v>369</v>
      </c>
    </row>
    <row r="648" spans="2:18" ht="12.75" customHeight="1" x14ac:dyDescent="0.25">
      <c r="B648" s="325" t="s">
        <v>119</v>
      </c>
      <c r="C648" s="325" t="s">
        <v>2480</v>
      </c>
      <c r="D648" s="325" t="s">
        <v>1245</v>
      </c>
      <c r="E648" s="2">
        <v>5600</v>
      </c>
      <c r="F648" s="2">
        <v>50</v>
      </c>
      <c r="G648" s="60">
        <v>38.1</v>
      </c>
      <c r="H648" s="303">
        <f t="shared" si="103"/>
        <v>1905</v>
      </c>
      <c r="I648" s="60">
        <v>9</v>
      </c>
      <c r="J648" s="312"/>
      <c r="K648" s="312"/>
      <c r="L648" s="312"/>
      <c r="M648" s="60">
        <f t="shared" si="110"/>
        <v>9</v>
      </c>
      <c r="N648" s="303">
        <f t="shared" si="111"/>
        <v>1896</v>
      </c>
      <c r="O648" s="263" t="s">
        <v>2285</v>
      </c>
      <c r="P648" s="263" t="s">
        <v>369</v>
      </c>
    </row>
    <row r="649" spans="2:18" ht="12.75" customHeight="1" x14ac:dyDescent="0.25">
      <c r="B649" s="325" t="s">
        <v>119</v>
      </c>
      <c r="C649" s="325" t="s">
        <v>2480</v>
      </c>
      <c r="D649" s="325" t="s">
        <v>1245</v>
      </c>
      <c r="E649" s="2">
        <v>5600</v>
      </c>
      <c r="F649" s="2">
        <v>50</v>
      </c>
      <c r="G649" s="60">
        <v>38.1</v>
      </c>
      <c r="H649" s="303">
        <f t="shared" si="103"/>
        <v>1905</v>
      </c>
      <c r="I649" s="60">
        <v>9</v>
      </c>
      <c r="J649" s="312"/>
      <c r="K649" s="312"/>
      <c r="L649" s="312"/>
      <c r="M649" s="60">
        <f t="shared" si="110"/>
        <v>9</v>
      </c>
      <c r="N649" s="303">
        <f t="shared" si="111"/>
        <v>1896</v>
      </c>
      <c r="O649" s="263" t="s">
        <v>2285</v>
      </c>
      <c r="P649" s="263" t="s">
        <v>369</v>
      </c>
    </row>
    <row r="650" spans="2:18" ht="13.2" x14ac:dyDescent="0.25">
      <c r="B650" s="325" t="s">
        <v>119</v>
      </c>
      <c r="C650" s="325" t="s">
        <v>2480</v>
      </c>
      <c r="D650" s="325" t="s">
        <v>1245</v>
      </c>
      <c r="E650" s="2">
        <v>5600</v>
      </c>
      <c r="F650" s="2">
        <v>100</v>
      </c>
      <c r="G650" s="60">
        <v>38.1</v>
      </c>
      <c r="H650" s="303">
        <f t="shared" si="103"/>
        <v>3810</v>
      </c>
      <c r="I650" s="60">
        <v>18</v>
      </c>
      <c r="J650" s="315"/>
      <c r="K650" s="315"/>
      <c r="L650" s="316"/>
      <c r="M650" s="60">
        <f t="shared" si="110"/>
        <v>18</v>
      </c>
      <c r="N650" s="303">
        <f t="shared" si="111"/>
        <v>3792</v>
      </c>
      <c r="O650" s="263" t="s">
        <v>2285</v>
      </c>
      <c r="P650" s="263" t="s">
        <v>369</v>
      </c>
      <c r="R650" s="247"/>
    </row>
    <row r="651" spans="2:18" ht="12.75" customHeight="1" x14ac:dyDescent="0.25">
      <c r="B651" s="325" t="s">
        <v>119</v>
      </c>
      <c r="C651" s="325" t="s">
        <v>2480</v>
      </c>
      <c r="D651" s="325" t="s">
        <v>1245</v>
      </c>
      <c r="E651" s="2">
        <v>5600</v>
      </c>
      <c r="F651" s="2">
        <v>50</v>
      </c>
      <c r="G651" s="60">
        <v>38.1</v>
      </c>
      <c r="H651" s="303">
        <f t="shared" si="103"/>
        <v>1905</v>
      </c>
      <c r="I651" s="60">
        <v>9</v>
      </c>
      <c r="J651" s="306"/>
      <c r="K651" s="312"/>
      <c r="L651" s="312"/>
      <c r="M651" s="60">
        <f t="shared" si="110"/>
        <v>9</v>
      </c>
      <c r="N651" s="303">
        <f t="shared" si="111"/>
        <v>1896</v>
      </c>
      <c r="O651" s="263" t="s">
        <v>2285</v>
      </c>
      <c r="P651" s="263" t="s">
        <v>369</v>
      </c>
    </row>
    <row r="652" spans="2:18" ht="12.75" customHeight="1" x14ac:dyDescent="0.25">
      <c r="B652" s="325" t="s">
        <v>119</v>
      </c>
      <c r="C652" s="325" t="s">
        <v>2480</v>
      </c>
      <c r="D652" s="325" t="s">
        <v>1245</v>
      </c>
      <c r="E652" s="2">
        <v>5600</v>
      </c>
      <c r="F652" s="2">
        <v>50</v>
      </c>
      <c r="G652" s="60">
        <v>38.1</v>
      </c>
      <c r="H652" s="303">
        <f t="shared" si="103"/>
        <v>1905</v>
      </c>
      <c r="I652" s="60">
        <v>9</v>
      </c>
      <c r="J652" s="312"/>
      <c r="K652" s="312"/>
      <c r="L652" s="312"/>
      <c r="M652" s="60">
        <f t="shared" si="110"/>
        <v>9</v>
      </c>
      <c r="N652" s="303">
        <f t="shared" si="111"/>
        <v>1896</v>
      </c>
      <c r="O652" s="263" t="s">
        <v>2285</v>
      </c>
      <c r="P652" s="263" t="s">
        <v>369</v>
      </c>
    </row>
    <row r="653" spans="2:18" ht="12.75" customHeight="1" x14ac:dyDescent="0.25">
      <c r="B653" s="325" t="s">
        <v>119</v>
      </c>
      <c r="C653" s="325" t="s">
        <v>2480</v>
      </c>
      <c r="D653" s="325" t="s">
        <v>1245</v>
      </c>
      <c r="E653" s="2">
        <v>5600</v>
      </c>
      <c r="F653" s="2">
        <v>100</v>
      </c>
      <c r="G653" s="60">
        <v>38.1</v>
      </c>
      <c r="H653" s="303">
        <f t="shared" si="103"/>
        <v>3810</v>
      </c>
      <c r="I653" s="60">
        <v>18</v>
      </c>
      <c r="J653" s="312"/>
      <c r="K653" s="312"/>
      <c r="L653" s="312"/>
      <c r="M653" s="60">
        <f t="shared" si="110"/>
        <v>18</v>
      </c>
      <c r="N653" s="303">
        <f t="shared" si="111"/>
        <v>3792</v>
      </c>
      <c r="O653" s="263" t="s">
        <v>2285</v>
      </c>
      <c r="P653" s="263" t="s">
        <v>369</v>
      </c>
    </row>
    <row r="654" spans="2:18" ht="12.75" customHeight="1" x14ac:dyDescent="0.25">
      <c r="B654" s="325" t="s">
        <v>119</v>
      </c>
      <c r="C654" s="325" t="s">
        <v>2480</v>
      </c>
      <c r="D654" s="325" t="s">
        <v>1245</v>
      </c>
      <c r="E654" s="2">
        <v>5600</v>
      </c>
      <c r="F654" s="2">
        <v>100</v>
      </c>
      <c r="G654" s="60">
        <v>38.1</v>
      </c>
      <c r="H654" s="303">
        <f t="shared" si="103"/>
        <v>3810</v>
      </c>
      <c r="I654" s="60">
        <v>18</v>
      </c>
      <c r="J654" s="312"/>
      <c r="K654" s="312"/>
      <c r="L654" s="312"/>
      <c r="M654" s="60">
        <f t="shared" si="110"/>
        <v>18</v>
      </c>
      <c r="N654" s="303">
        <f t="shared" si="111"/>
        <v>3792</v>
      </c>
      <c r="O654" s="263" t="s">
        <v>2285</v>
      </c>
      <c r="P654" s="263" t="s">
        <v>369</v>
      </c>
    </row>
    <row r="655" spans="2:18" ht="12.75" customHeight="1" x14ac:dyDescent="0.25">
      <c r="B655" s="325" t="s">
        <v>97</v>
      </c>
      <c r="C655" s="325" t="s">
        <v>2480</v>
      </c>
      <c r="D655" s="325" t="s">
        <v>1245</v>
      </c>
      <c r="E655" s="2">
        <v>5600</v>
      </c>
      <c r="F655" s="2">
        <v>400</v>
      </c>
      <c r="G655" s="60">
        <v>45.5</v>
      </c>
      <c r="H655" s="303">
        <f t="shared" si="103"/>
        <v>18200</v>
      </c>
      <c r="I655" s="60">
        <v>72</v>
      </c>
      <c r="J655" s="312"/>
      <c r="K655" s="312"/>
      <c r="L655" s="312"/>
      <c r="M655" s="60">
        <f t="shared" ref="M655:M665" si="112">SUM(I655:L655)</f>
        <v>72</v>
      </c>
      <c r="N655" s="303">
        <f t="shared" ref="N655:N665" si="113">H655-M655</f>
        <v>18128</v>
      </c>
      <c r="O655" s="263" t="s">
        <v>1569</v>
      </c>
      <c r="P655" s="263" t="s">
        <v>369</v>
      </c>
    </row>
    <row r="656" spans="2:18" ht="12.75" customHeight="1" x14ac:dyDescent="0.25">
      <c r="B656" s="325" t="s">
        <v>97</v>
      </c>
      <c r="C656" s="325" t="s">
        <v>2480</v>
      </c>
      <c r="D656" s="325" t="s">
        <v>1245</v>
      </c>
      <c r="E656" s="2">
        <v>5600</v>
      </c>
      <c r="F656" s="2">
        <v>400</v>
      </c>
      <c r="G656" s="60">
        <v>45.5</v>
      </c>
      <c r="H656" s="303">
        <f t="shared" si="103"/>
        <v>18200</v>
      </c>
      <c r="I656" s="60">
        <v>72</v>
      </c>
      <c r="J656" s="312"/>
      <c r="K656" s="312"/>
      <c r="L656" s="312"/>
      <c r="M656" s="60">
        <f t="shared" si="112"/>
        <v>72</v>
      </c>
      <c r="N656" s="303">
        <f t="shared" si="113"/>
        <v>18128</v>
      </c>
      <c r="O656" s="263" t="s">
        <v>1569</v>
      </c>
      <c r="P656" s="263" t="s">
        <v>369</v>
      </c>
    </row>
    <row r="657" spans="2:18" ht="12.75" customHeight="1" x14ac:dyDescent="0.25">
      <c r="B657" s="325" t="s">
        <v>97</v>
      </c>
      <c r="C657" s="325" t="s">
        <v>2480</v>
      </c>
      <c r="D657" s="325" t="s">
        <v>1245</v>
      </c>
      <c r="E657" s="2">
        <v>5600</v>
      </c>
      <c r="F657" s="2">
        <v>100</v>
      </c>
      <c r="G657" s="60">
        <v>45.5</v>
      </c>
      <c r="H657" s="303">
        <f t="shared" si="103"/>
        <v>4550</v>
      </c>
      <c r="I657" s="60">
        <v>18</v>
      </c>
      <c r="J657" s="312"/>
      <c r="K657" s="312"/>
      <c r="L657" s="312"/>
      <c r="M657" s="60">
        <f t="shared" si="112"/>
        <v>18</v>
      </c>
      <c r="N657" s="303">
        <f t="shared" si="113"/>
        <v>4532</v>
      </c>
      <c r="O657" s="263" t="s">
        <v>1569</v>
      </c>
      <c r="P657" s="263" t="s">
        <v>369</v>
      </c>
    </row>
    <row r="658" spans="2:18" ht="12.75" customHeight="1" x14ac:dyDescent="0.25">
      <c r="B658" s="325" t="s">
        <v>97</v>
      </c>
      <c r="C658" s="325" t="s">
        <v>2480</v>
      </c>
      <c r="D658" s="325" t="s">
        <v>1245</v>
      </c>
      <c r="E658" s="2">
        <v>5600</v>
      </c>
      <c r="F658" s="2">
        <v>100</v>
      </c>
      <c r="G658" s="60">
        <v>45.5</v>
      </c>
      <c r="H658" s="303">
        <f t="shared" si="103"/>
        <v>4550</v>
      </c>
      <c r="I658" s="60">
        <v>18</v>
      </c>
      <c r="J658" s="312"/>
      <c r="K658" s="312"/>
      <c r="L658" s="312"/>
      <c r="M658" s="60">
        <f t="shared" si="112"/>
        <v>18</v>
      </c>
      <c r="N658" s="303">
        <f t="shared" si="113"/>
        <v>4532</v>
      </c>
      <c r="O658" s="263" t="s">
        <v>1569</v>
      </c>
      <c r="P658" s="263" t="s">
        <v>369</v>
      </c>
    </row>
    <row r="659" spans="2:18" ht="12.75" customHeight="1" x14ac:dyDescent="0.25">
      <c r="B659" s="325" t="s">
        <v>97</v>
      </c>
      <c r="C659" s="325" t="s">
        <v>2480</v>
      </c>
      <c r="D659" s="325" t="s">
        <v>1245</v>
      </c>
      <c r="E659" s="2">
        <v>5600</v>
      </c>
      <c r="F659" s="2">
        <v>400</v>
      </c>
      <c r="G659" s="60">
        <v>45.5</v>
      </c>
      <c r="H659" s="303">
        <f t="shared" si="103"/>
        <v>18200</v>
      </c>
      <c r="I659" s="60">
        <v>72</v>
      </c>
      <c r="J659" s="312"/>
      <c r="K659" s="312"/>
      <c r="L659" s="312"/>
      <c r="M659" s="60">
        <f t="shared" si="112"/>
        <v>72</v>
      </c>
      <c r="N659" s="303">
        <f t="shared" si="113"/>
        <v>18128</v>
      </c>
      <c r="O659" s="263" t="s">
        <v>1569</v>
      </c>
      <c r="P659" s="263" t="s">
        <v>369</v>
      </c>
    </row>
    <row r="660" spans="2:18" ht="12.75" customHeight="1" x14ac:dyDescent="0.25">
      <c r="B660" s="325" t="s">
        <v>97</v>
      </c>
      <c r="C660" s="325" t="s">
        <v>2480</v>
      </c>
      <c r="D660" s="325" t="s">
        <v>1245</v>
      </c>
      <c r="E660" s="2">
        <v>5600</v>
      </c>
      <c r="F660" s="2">
        <v>600</v>
      </c>
      <c r="G660" s="60">
        <v>45.5</v>
      </c>
      <c r="H660" s="303">
        <f t="shared" si="103"/>
        <v>27300</v>
      </c>
      <c r="I660" s="60">
        <v>108</v>
      </c>
      <c r="J660" s="312"/>
      <c r="K660" s="312"/>
      <c r="L660" s="312"/>
      <c r="M660" s="60">
        <f t="shared" si="112"/>
        <v>108</v>
      </c>
      <c r="N660" s="303">
        <f t="shared" si="113"/>
        <v>27192</v>
      </c>
      <c r="O660" s="263" t="s">
        <v>1569</v>
      </c>
      <c r="P660" s="263" t="s">
        <v>369</v>
      </c>
    </row>
    <row r="661" spans="2:18" ht="12.75" customHeight="1" x14ac:dyDescent="0.25">
      <c r="B661" s="325" t="s">
        <v>97</v>
      </c>
      <c r="C661" s="325" t="s">
        <v>2480</v>
      </c>
      <c r="D661" s="325" t="s">
        <v>1249</v>
      </c>
      <c r="E661" s="2">
        <v>5700</v>
      </c>
      <c r="F661" s="2">
        <v>200</v>
      </c>
      <c r="G661" s="60">
        <v>90.4</v>
      </c>
      <c r="H661" s="303">
        <f t="shared" si="103"/>
        <v>18080</v>
      </c>
      <c r="I661" s="60">
        <v>36</v>
      </c>
      <c r="J661" s="312"/>
      <c r="K661" s="312"/>
      <c r="L661" s="312"/>
      <c r="M661" s="60">
        <f t="shared" si="112"/>
        <v>36</v>
      </c>
      <c r="N661" s="303">
        <f t="shared" si="113"/>
        <v>18044</v>
      </c>
      <c r="O661" s="263" t="s">
        <v>1569</v>
      </c>
      <c r="P661" s="263" t="s">
        <v>369</v>
      </c>
    </row>
    <row r="662" spans="2:18" ht="13.2" x14ac:dyDescent="0.25">
      <c r="B662" s="325" t="s">
        <v>97</v>
      </c>
      <c r="C662" s="325" t="s">
        <v>2480</v>
      </c>
      <c r="D662" s="325" t="s">
        <v>1249</v>
      </c>
      <c r="E662" s="2">
        <v>5700</v>
      </c>
      <c r="F662" s="2">
        <v>500</v>
      </c>
      <c r="G662" s="60">
        <v>90.35</v>
      </c>
      <c r="H662" s="303">
        <f t="shared" si="103"/>
        <v>45175</v>
      </c>
      <c r="I662" s="60">
        <v>90</v>
      </c>
      <c r="J662" s="315"/>
      <c r="K662" s="315"/>
      <c r="L662" s="316"/>
      <c r="M662" s="60">
        <f t="shared" si="112"/>
        <v>90</v>
      </c>
      <c r="N662" s="303">
        <f t="shared" si="113"/>
        <v>45085</v>
      </c>
      <c r="O662" s="263" t="s">
        <v>1569</v>
      </c>
      <c r="P662" s="263" t="s">
        <v>369</v>
      </c>
      <c r="R662" s="247"/>
    </row>
    <row r="663" spans="2:18" ht="12.75" customHeight="1" x14ac:dyDescent="0.25">
      <c r="B663" s="325" t="s">
        <v>97</v>
      </c>
      <c r="C663" s="325" t="s">
        <v>2480</v>
      </c>
      <c r="D663" s="325" t="s">
        <v>1249</v>
      </c>
      <c r="E663" s="2">
        <v>5700</v>
      </c>
      <c r="F663" s="2">
        <v>150</v>
      </c>
      <c r="G663" s="60">
        <v>90.35</v>
      </c>
      <c r="H663" s="303">
        <f t="shared" si="103"/>
        <v>13552.5</v>
      </c>
      <c r="I663" s="60">
        <v>27</v>
      </c>
      <c r="J663" s="306"/>
      <c r="K663" s="312"/>
      <c r="L663" s="312"/>
      <c r="M663" s="60">
        <f t="shared" si="112"/>
        <v>27</v>
      </c>
      <c r="N663" s="303">
        <f t="shared" si="113"/>
        <v>13525.5</v>
      </c>
      <c r="O663" s="263" t="s">
        <v>1569</v>
      </c>
      <c r="P663" s="263" t="s">
        <v>369</v>
      </c>
    </row>
    <row r="664" spans="2:18" ht="12.75" customHeight="1" x14ac:dyDescent="0.25">
      <c r="B664" s="325" t="s">
        <v>97</v>
      </c>
      <c r="C664" s="325" t="s">
        <v>2480</v>
      </c>
      <c r="D664" s="325" t="s">
        <v>1249</v>
      </c>
      <c r="E664" s="2">
        <v>5700</v>
      </c>
      <c r="F664" s="2">
        <v>100</v>
      </c>
      <c r="G664" s="60">
        <v>90.3</v>
      </c>
      <c r="H664" s="303">
        <f t="shared" si="103"/>
        <v>9030</v>
      </c>
      <c r="I664" s="60">
        <v>18</v>
      </c>
      <c r="J664" s="312"/>
      <c r="K664" s="312"/>
      <c r="L664" s="312"/>
      <c r="M664" s="60">
        <f t="shared" si="112"/>
        <v>18</v>
      </c>
      <c r="N664" s="303">
        <f t="shared" si="113"/>
        <v>9012</v>
      </c>
      <c r="O664" s="263" t="s">
        <v>1569</v>
      </c>
      <c r="P664" s="263" t="s">
        <v>369</v>
      </c>
    </row>
    <row r="665" spans="2:18" ht="12.75" customHeight="1" x14ac:dyDescent="0.25">
      <c r="B665" s="325" t="s">
        <v>97</v>
      </c>
      <c r="C665" s="325" t="s">
        <v>2480</v>
      </c>
      <c r="D665" s="325" t="s">
        <v>1249</v>
      </c>
      <c r="E665" s="2">
        <v>5700</v>
      </c>
      <c r="F665" s="2">
        <v>50</v>
      </c>
      <c r="G665" s="60">
        <v>90.25</v>
      </c>
      <c r="H665" s="303">
        <f t="shared" si="103"/>
        <v>4512.5</v>
      </c>
      <c r="I665" s="60">
        <v>9</v>
      </c>
      <c r="J665" s="312"/>
      <c r="K665" s="312"/>
      <c r="L665" s="312"/>
      <c r="M665" s="60">
        <f t="shared" si="112"/>
        <v>9</v>
      </c>
      <c r="N665" s="303">
        <f t="shared" si="113"/>
        <v>4503.5</v>
      </c>
      <c r="O665" s="263" t="s">
        <v>1569</v>
      </c>
      <c r="P665" s="263" t="s">
        <v>369</v>
      </c>
    </row>
    <row r="666" spans="2:18" ht="12.75" customHeight="1" x14ac:dyDescent="0.25">
      <c r="B666" s="325" t="s">
        <v>98</v>
      </c>
      <c r="C666" s="325" t="s">
        <v>2480</v>
      </c>
      <c r="D666" s="325" t="s">
        <v>1245</v>
      </c>
      <c r="E666" s="2">
        <v>5800</v>
      </c>
      <c r="F666" s="2">
        <v>100</v>
      </c>
      <c r="G666" s="60">
        <v>118</v>
      </c>
      <c r="H666" s="303">
        <f t="shared" si="103"/>
        <v>11800</v>
      </c>
      <c r="I666" s="60">
        <v>18</v>
      </c>
      <c r="J666" s="312"/>
      <c r="K666" s="312"/>
      <c r="L666" s="312"/>
      <c r="M666" s="60">
        <f t="shared" ref="M666:M671" si="114">SUM(I666:L666)</f>
        <v>18</v>
      </c>
      <c r="N666" s="303">
        <f t="shared" ref="N666:N671" si="115">H666-M666</f>
        <v>11782</v>
      </c>
      <c r="O666" s="263" t="s">
        <v>99</v>
      </c>
      <c r="P666" s="263" t="s">
        <v>369</v>
      </c>
    </row>
    <row r="667" spans="2:18" ht="13.2" x14ac:dyDescent="0.25">
      <c r="B667" s="325" t="s">
        <v>98</v>
      </c>
      <c r="C667" s="325" t="s">
        <v>2480</v>
      </c>
      <c r="D667" s="325" t="s">
        <v>1245</v>
      </c>
      <c r="E667" s="2">
        <v>5800</v>
      </c>
      <c r="F667" s="2">
        <v>200</v>
      </c>
      <c r="G667" s="60">
        <v>118</v>
      </c>
      <c r="H667" s="303">
        <f t="shared" si="103"/>
        <v>23600</v>
      </c>
      <c r="I667" s="60">
        <v>36</v>
      </c>
      <c r="J667" s="315"/>
      <c r="K667" s="315"/>
      <c r="L667" s="316"/>
      <c r="M667" s="60">
        <f t="shared" si="114"/>
        <v>36</v>
      </c>
      <c r="N667" s="303">
        <f t="shared" si="115"/>
        <v>23564</v>
      </c>
      <c r="O667" s="263" t="s">
        <v>99</v>
      </c>
      <c r="P667" s="263" t="s">
        <v>369</v>
      </c>
      <c r="R667" s="247"/>
    </row>
    <row r="668" spans="2:18" ht="12.75" customHeight="1" x14ac:dyDescent="0.25">
      <c r="B668" s="325" t="s">
        <v>98</v>
      </c>
      <c r="C668" s="325" t="s">
        <v>2480</v>
      </c>
      <c r="D668" s="325" t="s">
        <v>1245</v>
      </c>
      <c r="E668" s="2">
        <v>5800</v>
      </c>
      <c r="F668" s="2">
        <v>100</v>
      </c>
      <c r="G668" s="60">
        <v>118</v>
      </c>
      <c r="H668" s="303">
        <f t="shared" si="103"/>
        <v>11800</v>
      </c>
      <c r="I668" s="60">
        <v>18</v>
      </c>
      <c r="J668" s="306"/>
      <c r="K668" s="312"/>
      <c r="L668" s="312"/>
      <c r="M668" s="60">
        <f t="shared" si="114"/>
        <v>18</v>
      </c>
      <c r="N668" s="303">
        <f t="shared" si="115"/>
        <v>11782</v>
      </c>
      <c r="O668" s="263" t="s">
        <v>99</v>
      </c>
      <c r="P668" s="263" t="s">
        <v>369</v>
      </c>
    </row>
    <row r="669" spans="2:18" ht="12.75" customHeight="1" x14ac:dyDescent="0.25">
      <c r="B669" s="325" t="s">
        <v>98</v>
      </c>
      <c r="C669" s="325" t="s">
        <v>2480</v>
      </c>
      <c r="D669" s="325" t="s">
        <v>1245</v>
      </c>
      <c r="E669" s="2">
        <v>5800</v>
      </c>
      <c r="F669" s="2">
        <v>100</v>
      </c>
      <c r="G669" s="60">
        <v>118</v>
      </c>
      <c r="H669" s="303">
        <f t="shared" si="103"/>
        <v>11800</v>
      </c>
      <c r="I669" s="60">
        <v>18</v>
      </c>
      <c r="J669" s="312"/>
      <c r="K669" s="312"/>
      <c r="L669" s="312"/>
      <c r="M669" s="60">
        <f t="shared" si="114"/>
        <v>18</v>
      </c>
      <c r="N669" s="303">
        <f t="shared" si="115"/>
        <v>11782</v>
      </c>
      <c r="O669" s="263" t="s">
        <v>99</v>
      </c>
      <c r="P669" s="263" t="s">
        <v>369</v>
      </c>
    </row>
    <row r="670" spans="2:18" ht="12.75" customHeight="1" x14ac:dyDescent="0.25">
      <c r="B670" s="325" t="s">
        <v>95</v>
      </c>
      <c r="C670" s="325" t="s">
        <v>2480</v>
      </c>
      <c r="D670" s="325" t="s">
        <v>1245</v>
      </c>
      <c r="E670" s="2">
        <v>5800</v>
      </c>
      <c r="F670" s="2">
        <v>100</v>
      </c>
      <c r="G670" s="60">
        <v>119.05</v>
      </c>
      <c r="H670" s="303">
        <f t="shared" si="103"/>
        <v>11905</v>
      </c>
      <c r="I670" s="60">
        <v>18</v>
      </c>
      <c r="J670" s="312"/>
      <c r="K670" s="312"/>
      <c r="L670" s="312"/>
      <c r="M670" s="60">
        <f t="shared" si="114"/>
        <v>18</v>
      </c>
      <c r="N670" s="303">
        <f t="shared" si="115"/>
        <v>11887</v>
      </c>
      <c r="O670" s="263" t="s">
        <v>94</v>
      </c>
      <c r="P670" s="263" t="s">
        <v>369</v>
      </c>
    </row>
    <row r="671" spans="2:18" ht="12.75" customHeight="1" x14ac:dyDescent="0.25">
      <c r="B671" s="325" t="s">
        <v>95</v>
      </c>
      <c r="C671" s="325" t="s">
        <v>2480</v>
      </c>
      <c r="D671" s="325" t="s">
        <v>1245</v>
      </c>
      <c r="E671" s="2">
        <v>5800</v>
      </c>
      <c r="F671" s="2">
        <v>700</v>
      </c>
      <c r="G671" s="60">
        <v>119</v>
      </c>
      <c r="H671" s="303">
        <f t="shared" si="103"/>
        <v>83300</v>
      </c>
      <c r="I671" s="60">
        <v>126</v>
      </c>
      <c r="J671" s="312"/>
      <c r="K671" s="312"/>
      <c r="L671" s="312"/>
      <c r="M671" s="60">
        <f t="shared" si="114"/>
        <v>126</v>
      </c>
      <c r="N671" s="303">
        <f t="shared" si="115"/>
        <v>83174</v>
      </c>
      <c r="O671" s="263" t="s">
        <v>94</v>
      </c>
      <c r="P671" s="263" t="s">
        <v>369</v>
      </c>
    </row>
    <row r="672" spans="2:18" ht="12.75" customHeight="1" x14ac:dyDescent="0.25">
      <c r="B672" s="325" t="s">
        <v>1467</v>
      </c>
      <c r="C672" s="325" t="s">
        <v>93</v>
      </c>
      <c r="D672" s="325" t="s">
        <v>1249</v>
      </c>
      <c r="E672" s="2">
        <v>2300</v>
      </c>
      <c r="F672" s="2">
        <v>125</v>
      </c>
      <c r="G672" s="60">
        <v>37</v>
      </c>
      <c r="H672" s="303">
        <f t="shared" ref="H672:H702" si="116">F672*G672</f>
        <v>4625</v>
      </c>
      <c r="I672" s="60">
        <v>9</v>
      </c>
      <c r="J672" s="312"/>
      <c r="K672" s="312"/>
      <c r="L672" s="312"/>
      <c r="M672" s="60">
        <f t="shared" ref="M672:M683" si="117">SUM(I672:L672)</f>
        <v>9</v>
      </c>
      <c r="N672" s="303">
        <f t="shared" ref="N672:N683" si="118">H672-M672</f>
        <v>4616</v>
      </c>
      <c r="O672" s="263" t="s">
        <v>96</v>
      </c>
      <c r="P672" s="263" t="s">
        <v>369</v>
      </c>
    </row>
    <row r="673" spans="2:18" ht="12.75" customHeight="1" x14ac:dyDescent="0.25">
      <c r="B673" s="325" t="s">
        <v>1467</v>
      </c>
      <c r="C673" s="325" t="s">
        <v>93</v>
      </c>
      <c r="D673" s="325" t="s">
        <v>1249</v>
      </c>
      <c r="E673" s="2">
        <v>2300</v>
      </c>
      <c r="F673" s="2">
        <v>125</v>
      </c>
      <c r="G673" s="60">
        <v>37</v>
      </c>
      <c r="H673" s="303">
        <f t="shared" si="116"/>
        <v>4625</v>
      </c>
      <c r="I673" s="60">
        <v>9</v>
      </c>
      <c r="J673" s="312"/>
      <c r="K673" s="312"/>
      <c r="L673" s="312"/>
      <c r="M673" s="60">
        <f t="shared" si="117"/>
        <v>9</v>
      </c>
      <c r="N673" s="303">
        <f t="shared" si="118"/>
        <v>4616</v>
      </c>
      <c r="O673" s="263" t="s">
        <v>96</v>
      </c>
      <c r="P673" s="263" t="s">
        <v>369</v>
      </c>
    </row>
    <row r="674" spans="2:18" ht="12.75" customHeight="1" x14ac:dyDescent="0.25">
      <c r="B674" s="325" t="s">
        <v>1467</v>
      </c>
      <c r="C674" s="325" t="s">
        <v>93</v>
      </c>
      <c r="D674" s="325" t="s">
        <v>1249</v>
      </c>
      <c r="E674" s="2">
        <v>2300</v>
      </c>
      <c r="F674" s="2">
        <v>250</v>
      </c>
      <c r="G674" s="60">
        <v>36.4</v>
      </c>
      <c r="H674" s="303">
        <f t="shared" si="116"/>
        <v>9100</v>
      </c>
      <c r="I674" s="60">
        <v>18</v>
      </c>
      <c r="J674" s="312"/>
      <c r="K674" s="312"/>
      <c r="L674" s="312"/>
      <c r="M674" s="60">
        <f t="shared" si="117"/>
        <v>18</v>
      </c>
      <c r="N674" s="303">
        <f t="shared" si="118"/>
        <v>9082</v>
      </c>
      <c r="O674" s="263" t="s">
        <v>96</v>
      </c>
      <c r="P674" s="263" t="s">
        <v>369</v>
      </c>
    </row>
    <row r="675" spans="2:18" ht="12.75" customHeight="1" x14ac:dyDescent="0.25">
      <c r="B675" s="325" t="s">
        <v>1467</v>
      </c>
      <c r="C675" s="325" t="s">
        <v>93</v>
      </c>
      <c r="D675" s="325" t="s">
        <v>1249</v>
      </c>
      <c r="E675" s="2">
        <v>2300</v>
      </c>
      <c r="F675" s="2">
        <v>125</v>
      </c>
      <c r="G675" s="60">
        <v>36.4</v>
      </c>
      <c r="H675" s="303">
        <f t="shared" si="116"/>
        <v>4550</v>
      </c>
      <c r="I675" s="60">
        <v>9</v>
      </c>
      <c r="J675" s="312"/>
      <c r="K675" s="312"/>
      <c r="L675" s="312"/>
      <c r="M675" s="60">
        <f t="shared" si="117"/>
        <v>9</v>
      </c>
      <c r="N675" s="303">
        <f t="shared" si="118"/>
        <v>4541</v>
      </c>
      <c r="O675" s="263" t="s">
        <v>96</v>
      </c>
      <c r="P675" s="263" t="s">
        <v>369</v>
      </c>
    </row>
    <row r="676" spans="2:18" ht="12.75" customHeight="1" x14ac:dyDescent="0.25">
      <c r="B676" s="325" t="s">
        <v>1467</v>
      </c>
      <c r="C676" s="325" t="s">
        <v>93</v>
      </c>
      <c r="D676" s="325" t="s">
        <v>1249</v>
      </c>
      <c r="E676" s="2">
        <v>2300</v>
      </c>
      <c r="F676" s="2">
        <v>125</v>
      </c>
      <c r="G676" s="60">
        <v>36.4</v>
      </c>
      <c r="H676" s="303">
        <f t="shared" si="116"/>
        <v>4550</v>
      </c>
      <c r="I676" s="60">
        <v>9</v>
      </c>
      <c r="J676" s="312"/>
      <c r="K676" s="312"/>
      <c r="L676" s="312"/>
      <c r="M676" s="60">
        <f t="shared" si="117"/>
        <v>9</v>
      </c>
      <c r="N676" s="303">
        <f t="shared" si="118"/>
        <v>4541</v>
      </c>
      <c r="O676" s="263" t="s">
        <v>96</v>
      </c>
      <c r="P676" s="263" t="s">
        <v>369</v>
      </c>
    </row>
    <row r="677" spans="2:18" ht="12.75" customHeight="1" x14ac:dyDescent="0.25">
      <c r="B677" s="325" t="s">
        <v>1467</v>
      </c>
      <c r="C677" s="325" t="s">
        <v>93</v>
      </c>
      <c r="D677" s="325" t="s">
        <v>1249</v>
      </c>
      <c r="E677" s="2">
        <v>2300</v>
      </c>
      <c r="F677" s="2">
        <v>125</v>
      </c>
      <c r="G677" s="60">
        <v>36.4</v>
      </c>
      <c r="H677" s="303">
        <f t="shared" si="116"/>
        <v>4550</v>
      </c>
      <c r="I677" s="60">
        <v>9</v>
      </c>
      <c r="J677" s="312"/>
      <c r="K677" s="312"/>
      <c r="L677" s="312"/>
      <c r="M677" s="60">
        <f t="shared" si="117"/>
        <v>9</v>
      </c>
      <c r="N677" s="303">
        <f t="shared" si="118"/>
        <v>4541</v>
      </c>
      <c r="O677" s="263" t="s">
        <v>96</v>
      </c>
      <c r="P677" s="263" t="s">
        <v>369</v>
      </c>
    </row>
    <row r="678" spans="2:18" ht="13.2" x14ac:dyDescent="0.25">
      <c r="B678" s="325" t="s">
        <v>1467</v>
      </c>
      <c r="C678" s="325" t="s">
        <v>93</v>
      </c>
      <c r="D678" s="325" t="s">
        <v>1249</v>
      </c>
      <c r="E678" s="2">
        <v>2300</v>
      </c>
      <c r="F678" s="2">
        <v>125</v>
      </c>
      <c r="G678" s="60">
        <v>36.4</v>
      </c>
      <c r="H678" s="303">
        <f t="shared" si="116"/>
        <v>4550</v>
      </c>
      <c r="I678" s="60">
        <v>9</v>
      </c>
      <c r="J678" s="315"/>
      <c r="K678" s="315"/>
      <c r="L678" s="316"/>
      <c r="M678" s="60">
        <f t="shared" si="117"/>
        <v>9</v>
      </c>
      <c r="N678" s="303">
        <f t="shared" si="118"/>
        <v>4541</v>
      </c>
      <c r="O678" s="263" t="s">
        <v>96</v>
      </c>
      <c r="P678" s="304" t="s">
        <v>369</v>
      </c>
      <c r="R678" s="247"/>
    </row>
    <row r="679" spans="2:18" ht="12.75" customHeight="1" x14ac:dyDescent="0.25">
      <c r="B679" s="325" t="s">
        <v>1467</v>
      </c>
      <c r="C679" s="325" t="s">
        <v>92</v>
      </c>
      <c r="D679" s="325" t="s">
        <v>1249</v>
      </c>
      <c r="E679" s="2">
        <v>70</v>
      </c>
      <c r="F679" s="2">
        <v>4000</v>
      </c>
      <c r="G679" s="60">
        <v>1.45</v>
      </c>
      <c r="H679" s="303">
        <f t="shared" si="116"/>
        <v>5800</v>
      </c>
      <c r="I679" s="60">
        <v>9</v>
      </c>
      <c r="J679" s="312"/>
      <c r="K679" s="312"/>
      <c r="L679" s="312"/>
      <c r="M679" s="60">
        <f t="shared" si="117"/>
        <v>9</v>
      </c>
      <c r="N679" s="303">
        <f t="shared" si="118"/>
        <v>5791</v>
      </c>
      <c r="O679" s="263" t="s">
        <v>96</v>
      </c>
      <c r="P679" s="263" t="s">
        <v>369</v>
      </c>
    </row>
    <row r="680" spans="2:18" ht="12.75" customHeight="1" x14ac:dyDescent="0.25">
      <c r="B680" s="325" t="s">
        <v>1467</v>
      </c>
      <c r="C680" s="325" t="s">
        <v>2480</v>
      </c>
      <c r="D680" s="325" t="s">
        <v>1245</v>
      </c>
      <c r="E680" s="2">
        <v>5800</v>
      </c>
      <c r="F680" s="2">
        <v>150</v>
      </c>
      <c r="G680" s="60">
        <v>159</v>
      </c>
      <c r="H680" s="303">
        <f t="shared" si="116"/>
        <v>23850</v>
      </c>
      <c r="I680" s="60">
        <v>27</v>
      </c>
      <c r="J680" s="306"/>
      <c r="K680" s="312"/>
      <c r="L680" s="312"/>
      <c r="M680" s="60">
        <f t="shared" si="117"/>
        <v>27</v>
      </c>
      <c r="N680" s="303">
        <f t="shared" si="118"/>
        <v>23823</v>
      </c>
      <c r="O680" s="263" t="s">
        <v>96</v>
      </c>
      <c r="P680" s="263" t="s">
        <v>369</v>
      </c>
    </row>
    <row r="681" spans="2:18" ht="12.75" customHeight="1" x14ac:dyDescent="0.25">
      <c r="B681" s="325" t="s">
        <v>1467</v>
      </c>
      <c r="C681" s="325" t="s">
        <v>2480</v>
      </c>
      <c r="D681" s="325" t="s">
        <v>1245</v>
      </c>
      <c r="E681" s="2">
        <v>5800</v>
      </c>
      <c r="F681" s="2">
        <v>100</v>
      </c>
      <c r="G681" s="60">
        <v>158.94999999999999</v>
      </c>
      <c r="H681" s="303">
        <f t="shared" si="116"/>
        <v>15894.999999999998</v>
      </c>
      <c r="I681" s="60">
        <v>18</v>
      </c>
      <c r="J681" s="312"/>
      <c r="K681" s="312"/>
      <c r="L681" s="312"/>
      <c r="M681" s="60">
        <f t="shared" si="117"/>
        <v>18</v>
      </c>
      <c r="N681" s="303">
        <f t="shared" si="118"/>
        <v>15876.999999999998</v>
      </c>
      <c r="O681" s="263" t="s">
        <v>96</v>
      </c>
      <c r="P681" s="263" t="s">
        <v>369</v>
      </c>
    </row>
    <row r="682" spans="2:18" ht="12.75" customHeight="1" x14ac:dyDescent="0.25">
      <c r="B682" s="325" t="s">
        <v>1467</v>
      </c>
      <c r="C682" s="325" t="s">
        <v>2480</v>
      </c>
      <c r="D682" s="325" t="s">
        <v>1245</v>
      </c>
      <c r="E682" s="2">
        <v>5800</v>
      </c>
      <c r="F682" s="2">
        <v>500</v>
      </c>
      <c r="G682" s="60">
        <v>158.75</v>
      </c>
      <c r="H682" s="303">
        <f t="shared" si="116"/>
        <v>79375</v>
      </c>
      <c r="I682" s="60">
        <v>90</v>
      </c>
      <c r="J682" s="312"/>
      <c r="K682" s="312"/>
      <c r="L682" s="312"/>
      <c r="M682" s="60">
        <f t="shared" si="117"/>
        <v>90</v>
      </c>
      <c r="N682" s="303">
        <f t="shared" si="118"/>
        <v>79285</v>
      </c>
      <c r="O682" s="263" t="s">
        <v>96</v>
      </c>
      <c r="P682" s="263" t="s">
        <v>369</v>
      </c>
    </row>
    <row r="683" spans="2:18" ht="12.75" customHeight="1" x14ac:dyDescent="0.25">
      <c r="B683" s="325" t="s">
        <v>1467</v>
      </c>
      <c r="C683" s="325" t="s">
        <v>2480</v>
      </c>
      <c r="D683" s="325" t="s">
        <v>1245</v>
      </c>
      <c r="E683" s="2">
        <v>5800</v>
      </c>
      <c r="F683" s="2">
        <v>50</v>
      </c>
      <c r="G683" s="60">
        <v>158.65</v>
      </c>
      <c r="H683" s="303">
        <f t="shared" si="116"/>
        <v>7932.5</v>
      </c>
      <c r="I683" s="60">
        <v>9</v>
      </c>
      <c r="J683" s="312"/>
      <c r="K683" s="312"/>
      <c r="L683" s="312"/>
      <c r="M683" s="60">
        <f t="shared" si="117"/>
        <v>9</v>
      </c>
      <c r="N683" s="303">
        <f t="shared" si="118"/>
        <v>7923.5</v>
      </c>
      <c r="O683" s="263" t="s">
        <v>96</v>
      </c>
      <c r="P683" s="263" t="s">
        <v>369</v>
      </c>
    </row>
    <row r="684" spans="2:18" ht="12.75" customHeight="1" x14ac:dyDescent="0.25">
      <c r="B684" s="325" t="s">
        <v>1464</v>
      </c>
      <c r="C684" s="325" t="s">
        <v>2480</v>
      </c>
      <c r="D684" s="325" t="s">
        <v>1249</v>
      </c>
      <c r="E684" s="2">
        <v>5700</v>
      </c>
      <c r="F684" s="2">
        <v>1000</v>
      </c>
      <c r="G684" s="60">
        <v>62.8</v>
      </c>
      <c r="H684" s="303">
        <f t="shared" si="116"/>
        <v>62800</v>
      </c>
      <c r="I684" s="60">
        <v>180</v>
      </c>
      <c r="J684" s="247">
        <v>79.14</v>
      </c>
      <c r="K684" s="247">
        <v>20</v>
      </c>
      <c r="L684" s="247">
        <v>100.33</v>
      </c>
      <c r="M684" s="60">
        <f>SUM(I684:L684)</f>
        <v>379.46999999999997</v>
      </c>
      <c r="N684" s="303">
        <f>H684-M684</f>
        <v>62420.53</v>
      </c>
      <c r="O684" s="263" t="s">
        <v>1584</v>
      </c>
      <c r="P684" s="263" t="s">
        <v>369</v>
      </c>
    </row>
    <row r="685" spans="2:18" ht="12.75" customHeight="1" x14ac:dyDescent="0.25">
      <c r="B685" s="325" t="s">
        <v>1465</v>
      </c>
      <c r="C685" s="325" t="s">
        <v>92</v>
      </c>
      <c r="D685" s="325" t="s">
        <v>1249</v>
      </c>
      <c r="E685" s="2">
        <v>70</v>
      </c>
      <c r="F685" s="2">
        <v>4000</v>
      </c>
      <c r="G685" s="60">
        <v>0.7</v>
      </c>
      <c r="H685" s="303">
        <f t="shared" si="116"/>
        <v>2800</v>
      </c>
      <c r="I685" s="60">
        <v>9</v>
      </c>
      <c r="J685" s="312"/>
      <c r="K685" s="312"/>
      <c r="L685" s="312"/>
      <c r="M685" s="60">
        <f t="shared" ref="M685:M694" si="119">SUM(I685:L685)</f>
        <v>9</v>
      </c>
      <c r="N685" s="303">
        <f t="shared" ref="N685:N694" si="120">H685-M685</f>
        <v>2791</v>
      </c>
      <c r="O685" s="263" t="s">
        <v>1466</v>
      </c>
      <c r="P685" s="263" t="s">
        <v>369</v>
      </c>
    </row>
    <row r="686" spans="2:18" ht="12.75" customHeight="1" x14ac:dyDescent="0.25">
      <c r="B686" s="325" t="s">
        <v>1465</v>
      </c>
      <c r="C686" s="325" t="s">
        <v>92</v>
      </c>
      <c r="D686" s="325" t="s">
        <v>1249</v>
      </c>
      <c r="E686" s="2">
        <v>70</v>
      </c>
      <c r="F686" s="2">
        <v>4000</v>
      </c>
      <c r="G686" s="60">
        <v>0.7</v>
      </c>
      <c r="H686" s="303">
        <f t="shared" si="116"/>
        <v>2800</v>
      </c>
      <c r="I686" s="60">
        <v>9</v>
      </c>
      <c r="J686" s="312"/>
      <c r="K686" s="312"/>
      <c r="L686" s="312"/>
      <c r="M686" s="60">
        <f t="shared" si="119"/>
        <v>9</v>
      </c>
      <c r="N686" s="303">
        <f t="shared" si="120"/>
        <v>2791</v>
      </c>
      <c r="O686" s="263" t="s">
        <v>1466</v>
      </c>
      <c r="P686" s="263" t="s">
        <v>369</v>
      </c>
    </row>
    <row r="687" spans="2:18" ht="12.75" customHeight="1" x14ac:dyDescent="0.25">
      <c r="B687" s="325" t="s">
        <v>1465</v>
      </c>
      <c r="C687" s="325" t="s">
        <v>2480</v>
      </c>
      <c r="D687" s="325" t="s">
        <v>1249</v>
      </c>
      <c r="E687" s="2">
        <v>5700</v>
      </c>
      <c r="F687" s="2">
        <v>100</v>
      </c>
      <c r="G687" s="60">
        <v>43.6</v>
      </c>
      <c r="H687" s="303">
        <f t="shared" si="116"/>
        <v>4360</v>
      </c>
      <c r="I687" s="60">
        <v>18</v>
      </c>
      <c r="J687" s="306"/>
      <c r="K687" s="312"/>
      <c r="L687" s="312"/>
      <c r="M687" s="60">
        <f t="shared" si="119"/>
        <v>18</v>
      </c>
      <c r="N687" s="303">
        <f t="shared" si="120"/>
        <v>4342</v>
      </c>
      <c r="O687" s="263" t="s">
        <v>1466</v>
      </c>
      <c r="P687" s="263" t="s">
        <v>369</v>
      </c>
    </row>
    <row r="688" spans="2:18" ht="12.75" customHeight="1" x14ac:dyDescent="0.25">
      <c r="B688" s="325" t="s">
        <v>1465</v>
      </c>
      <c r="C688" s="325" t="s">
        <v>92</v>
      </c>
      <c r="D688" s="325" t="s">
        <v>1249</v>
      </c>
      <c r="E688" s="2">
        <v>70</v>
      </c>
      <c r="F688" s="2">
        <v>4000</v>
      </c>
      <c r="G688" s="60">
        <v>0.7</v>
      </c>
      <c r="H688" s="303">
        <f t="shared" si="116"/>
        <v>2800</v>
      </c>
      <c r="I688" s="60">
        <v>9</v>
      </c>
      <c r="J688" s="312"/>
      <c r="K688" s="312"/>
      <c r="L688" s="312"/>
      <c r="M688" s="60">
        <f t="shared" si="119"/>
        <v>9</v>
      </c>
      <c r="N688" s="303">
        <f t="shared" si="120"/>
        <v>2791</v>
      </c>
      <c r="O688" s="263" t="s">
        <v>1466</v>
      </c>
      <c r="P688" s="263" t="s">
        <v>369</v>
      </c>
    </row>
    <row r="689" spans="2:18" ht="12.75" customHeight="1" x14ac:dyDescent="0.25">
      <c r="B689" s="325" t="s">
        <v>1465</v>
      </c>
      <c r="C689" s="325" t="s">
        <v>2480</v>
      </c>
      <c r="D689" s="325" t="s">
        <v>1249</v>
      </c>
      <c r="E689" s="2">
        <v>5700</v>
      </c>
      <c r="F689" s="2">
        <v>50</v>
      </c>
      <c r="G689" s="60">
        <v>43.6</v>
      </c>
      <c r="H689" s="303">
        <f t="shared" si="116"/>
        <v>2180</v>
      </c>
      <c r="I689" s="60">
        <v>9</v>
      </c>
      <c r="J689" s="312"/>
      <c r="K689" s="312"/>
      <c r="L689" s="312"/>
      <c r="M689" s="60">
        <f t="shared" si="119"/>
        <v>9</v>
      </c>
      <c r="N689" s="303">
        <f t="shared" si="120"/>
        <v>2171</v>
      </c>
      <c r="O689" s="263" t="s">
        <v>1466</v>
      </c>
      <c r="P689" s="263" t="s">
        <v>369</v>
      </c>
    </row>
    <row r="690" spans="2:18" ht="12.75" customHeight="1" x14ac:dyDescent="0.25">
      <c r="B690" s="325" t="s">
        <v>1465</v>
      </c>
      <c r="C690" s="325" t="s">
        <v>2480</v>
      </c>
      <c r="D690" s="325" t="s">
        <v>1249</v>
      </c>
      <c r="E690" s="2">
        <v>5700</v>
      </c>
      <c r="F690" s="2">
        <v>150</v>
      </c>
      <c r="G690" s="60">
        <v>43.6</v>
      </c>
      <c r="H690" s="303">
        <f t="shared" si="116"/>
        <v>6540</v>
      </c>
      <c r="I690" s="60">
        <v>27</v>
      </c>
      <c r="J690" s="312"/>
      <c r="K690" s="312"/>
      <c r="L690" s="312"/>
      <c r="M690" s="60">
        <f t="shared" si="119"/>
        <v>27</v>
      </c>
      <c r="N690" s="303">
        <f t="shared" si="120"/>
        <v>6513</v>
      </c>
      <c r="O690" s="263" t="s">
        <v>1466</v>
      </c>
      <c r="P690" s="263" t="s">
        <v>369</v>
      </c>
    </row>
    <row r="691" spans="2:18" ht="12.75" customHeight="1" x14ac:dyDescent="0.25">
      <c r="B691" s="325" t="s">
        <v>1465</v>
      </c>
      <c r="C691" s="325" t="s">
        <v>2480</v>
      </c>
      <c r="D691" s="325" t="s">
        <v>1249</v>
      </c>
      <c r="E691" s="2">
        <v>5700</v>
      </c>
      <c r="F691" s="2">
        <v>50</v>
      </c>
      <c r="G691" s="60">
        <v>43.6</v>
      </c>
      <c r="H691" s="303">
        <f t="shared" si="116"/>
        <v>2180</v>
      </c>
      <c r="I691" s="60">
        <v>9</v>
      </c>
      <c r="J691" s="312"/>
      <c r="K691" s="312"/>
      <c r="L691" s="312"/>
      <c r="M691" s="60">
        <f t="shared" si="119"/>
        <v>9</v>
      </c>
      <c r="N691" s="303">
        <f t="shared" si="120"/>
        <v>2171</v>
      </c>
      <c r="O691" s="263" t="s">
        <v>1466</v>
      </c>
      <c r="P691" s="263" t="s">
        <v>369</v>
      </c>
    </row>
    <row r="692" spans="2:18" ht="12.75" customHeight="1" x14ac:dyDescent="0.25">
      <c r="B692" s="325" t="s">
        <v>1465</v>
      </c>
      <c r="C692" s="325" t="s">
        <v>2480</v>
      </c>
      <c r="D692" s="325" t="s">
        <v>1249</v>
      </c>
      <c r="E692" s="2">
        <v>5700</v>
      </c>
      <c r="F692" s="2">
        <v>50</v>
      </c>
      <c r="G692" s="60">
        <v>43.6</v>
      </c>
      <c r="H692" s="303">
        <f t="shared" si="116"/>
        <v>2180</v>
      </c>
      <c r="I692" s="60">
        <v>9</v>
      </c>
      <c r="J692" s="312"/>
      <c r="K692" s="312"/>
      <c r="L692" s="312"/>
      <c r="M692" s="60">
        <f t="shared" si="119"/>
        <v>9</v>
      </c>
      <c r="N692" s="303">
        <f t="shared" si="120"/>
        <v>2171</v>
      </c>
      <c r="O692" s="263" t="s">
        <v>1466</v>
      </c>
      <c r="P692" s="263" t="s">
        <v>369</v>
      </c>
    </row>
    <row r="693" spans="2:18" ht="12.75" customHeight="1" x14ac:dyDescent="0.25">
      <c r="B693" s="325" t="s">
        <v>1465</v>
      </c>
      <c r="C693" s="325" t="s">
        <v>2480</v>
      </c>
      <c r="D693" s="325" t="s">
        <v>1249</v>
      </c>
      <c r="E693" s="2">
        <v>5700</v>
      </c>
      <c r="F693" s="2">
        <v>50</v>
      </c>
      <c r="G693" s="60">
        <v>43.6</v>
      </c>
      <c r="H693" s="303">
        <f t="shared" si="116"/>
        <v>2180</v>
      </c>
      <c r="I693" s="60">
        <v>9</v>
      </c>
      <c r="J693" s="312"/>
      <c r="K693" s="312"/>
      <c r="L693" s="312"/>
      <c r="M693" s="60">
        <f t="shared" si="119"/>
        <v>9</v>
      </c>
      <c r="N693" s="303">
        <f t="shared" si="120"/>
        <v>2171</v>
      </c>
      <c r="O693" s="263" t="s">
        <v>1466</v>
      </c>
      <c r="P693" s="263" t="s">
        <v>369</v>
      </c>
    </row>
    <row r="694" spans="2:18" ht="12.75" customHeight="1" x14ac:dyDescent="0.25">
      <c r="B694" s="325" t="s">
        <v>1465</v>
      </c>
      <c r="C694" s="325" t="s">
        <v>2480</v>
      </c>
      <c r="D694" s="325" t="s">
        <v>1249</v>
      </c>
      <c r="E694" s="2">
        <v>5700</v>
      </c>
      <c r="F694" s="2">
        <v>550</v>
      </c>
      <c r="G694" s="60">
        <v>43.6</v>
      </c>
      <c r="H694" s="303">
        <f t="shared" si="116"/>
        <v>23980</v>
      </c>
      <c r="I694" s="60">
        <v>99</v>
      </c>
      <c r="J694" s="247">
        <v>52.58</v>
      </c>
      <c r="K694" s="247">
        <v>17</v>
      </c>
      <c r="L694" s="247">
        <v>92.38</v>
      </c>
      <c r="M694" s="60">
        <f t="shared" si="119"/>
        <v>260.95999999999998</v>
      </c>
      <c r="N694" s="303">
        <f t="shared" si="120"/>
        <v>23719.040000000001</v>
      </c>
      <c r="O694" s="263" t="s">
        <v>1466</v>
      </c>
      <c r="P694" s="263" t="s">
        <v>369</v>
      </c>
    </row>
    <row r="695" spans="2:18" ht="12.75" customHeight="1" x14ac:dyDescent="0.25">
      <c r="B695" s="325" t="s">
        <v>1498</v>
      </c>
      <c r="C695" s="325" t="s">
        <v>2480</v>
      </c>
      <c r="D695" s="325" t="s">
        <v>1249</v>
      </c>
      <c r="E695" s="2">
        <v>5600</v>
      </c>
      <c r="F695" s="2">
        <v>700</v>
      </c>
      <c r="G695" s="60">
        <v>110</v>
      </c>
      <c r="H695" s="303">
        <f t="shared" si="116"/>
        <v>77000</v>
      </c>
      <c r="I695" s="60">
        <v>126</v>
      </c>
      <c r="J695" s="247">
        <v>72.89</v>
      </c>
      <c r="K695" s="247">
        <f>13+9</f>
        <v>22</v>
      </c>
      <c r="L695" s="247">
        <v>103.71</v>
      </c>
      <c r="M695" s="60">
        <f t="shared" ref="M695:M702" si="121">SUM(I695:L695)</f>
        <v>324.59999999999997</v>
      </c>
      <c r="N695" s="303">
        <f t="shared" ref="N695:N724" si="122">H695-M695</f>
        <v>76675.399999999994</v>
      </c>
      <c r="O695" s="263" t="s">
        <v>1497</v>
      </c>
      <c r="P695" s="263" t="s">
        <v>369</v>
      </c>
    </row>
    <row r="696" spans="2:18" ht="12.75" customHeight="1" x14ac:dyDescent="0.25">
      <c r="B696" s="325" t="s">
        <v>1500</v>
      </c>
      <c r="C696" s="325" t="s">
        <v>2480</v>
      </c>
      <c r="D696" s="325" t="s">
        <v>1245</v>
      </c>
      <c r="E696" s="2">
        <v>5700</v>
      </c>
      <c r="F696" s="2">
        <v>50</v>
      </c>
      <c r="G696" s="60">
        <v>9</v>
      </c>
      <c r="H696" s="303">
        <f t="shared" si="116"/>
        <v>450</v>
      </c>
      <c r="I696" s="60">
        <v>9</v>
      </c>
      <c r="J696" s="312"/>
      <c r="K696" s="312"/>
      <c r="L696" s="312"/>
      <c r="M696" s="60">
        <f t="shared" si="121"/>
        <v>9</v>
      </c>
      <c r="N696" s="303">
        <f t="shared" si="122"/>
        <v>441</v>
      </c>
      <c r="O696" s="263" t="s">
        <v>729</v>
      </c>
      <c r="P696" s="263" t="s">
        <v>369</v>
      </c>
    </row>
    <row r="697" spans="2:18" ht="12.75" customHeight="1" x14ac:dyDescent="0.25">
      <c r="B697" s="325" t="s">
        <v>1500</v>
      </c>
      <c r="C697" s="325" t="s">
        <v>2480</v>
      </c>
      <c r="D697" s="325" t="s">
        <v>1245</v>
      </c>
      <c r="E697" s="2">
        <v>5700</v>
      </c>
      <c r="F697" s="2">
        <v>450</v>
      </c>
      <c r="G697" s="60">
        <v>9</v>
      </c>
      <c r="H697" s="303">
        <f t="shared" si="116"/>
        <v>4050</v>
      </c>
      <c r="I697" s="60">
        <v>81</v>
      </c>
      <c r="J697" s="312"/>
      <c r="K697" s="312"/>
      <c r="L697" s="312"/>
      <c r="M697" s="60">
        <f t="shared" si="121"/>
        <v>81</v>
      </c>
      <c r="N697" s="303">
        <f t="shared" si="122"/>
        <v>3969</v>
      </c>
      <c r="O697" s="263" t="s">
        <v>729</v>
      </c>
      <c r="P697" s="263" t="s">
        <v>369</v>
      </c>
    </row>
    <row r="698" spans="2:18" ht="12.75" customHeight="1" x14ac:dyDescent="0.25">
      <c r="B698" s="325" t="s">
        <v>1500</v>
      </c>
      <c r="C698" s="325" t="s">
        <v>2480</v>
      </c>
      <c r="D698" s="325" t="s">
        <v>1245</v>
      </c>
      <c r="E698" s="2">
        <v>5700</v>
      </c>
      <c r="F698" s="2">
        <v>500</v>
      </c>
      <c r="G698" s="60">
        <v>5</v>
      </c>
      <c r="H698" s="303">
        <f t="shared" si="116"/>
        <v>2500</v>
      </c>
      <c r="I698" s="60">
        <v>90</v>
      </c>
      <c r="J698" s="312"/>
      <c r="K698" s="312"/>
      <c r="L698" s="312"/>
      <c r="M698" s="60">
        <f t="shared" si="121"/>
        <v>90</v>
      </c>
      <c r="N698" s="303">
        <f t="shared" si="122"/>
        <v>2410</v>
      </c>
      <c r="O698" s="263" t="s">
        <v>729</v>
      </c>
      <c r="P698" s="263" t="s">
        <v>369</v>
      </c>
    </row>
    <row r="699" spans="2:18" ht="13.2" x14ac:dyDescent="0.25">
      <c r="B699" s="325" t="s">
        <v>1492</v>
      </c>
      <c r="C699" s="325" t="s">
        <v>1496</v>
      </c>
      <c r="D699" s="325" t="s">
        <v>1249</v>
      </c>
      <c r="E699" s="2">
        <v>5900</v>
      </c>
      <c r="F699" s="2">
        <v>300</v>
      </c>
      <c r="G699" s="60">
        <v>10.7</v>
      </c>
      <c r="H699" s="303">
        <f t="shared" si="116"/>
        <v>3210</v>
      </c>
      <c r="I699" s="60">
        <v>54</v>
      </c>
      <c r="J699" s="315"/>
      <c r="K699" s="315"/>
      <c r="L699" s="316"/>
      <c r="M699" s="60">
        <f t="shared" si="121"/>
        <v>54</v>
      </c>
      <c r="N699" s="303">
        <f t="shared" si="122"/>
        <v>3156</v>
      </c>
      <c r="O699" s="304" t="s">
        <v>737</v>
      </c>
      <c r="P699" s="304" t="s">
        <v>369</v>
      </c>
      <c r="R699" s="247"/>
    </row>
    <row r="700" spans="2:18" ht="12.75" customHeight="1" x14ac:dyDescent="0.25">
      <c r="B700" s="325" t="s">
        <v>1492</v>
      </c>
      <c r="C700" s="325" t="s">
        <v>1496</v>
      </c>
      <c r="D700" s="325" t="s">
        <v>1249</v>
      </c>
      <c r="E700" s="2">
        <v>5900</v>
      </c>
      <c r="F700" s="2">
        <v>1000</v>
      </c>
      <c r="G700" s="60">
        <v>10.7</v>
      </c>
      <c r="H700" s="303">
        <f t="shared" si="116"/>
        <v>10700</v>
      </c>
      <c r="I700" s="60">
        <v>180</v>
      </c>
      <c r="J700" s="306"/>
      <c r="K700" s="312"/>
      <c r="L700" s="312"/>
      <c r="M700" s="60">
        <f t="shared" si="121"/>
        <v>180</v>
      </c>
      <c r="N700" s="303">
        <f t="shared" si="122"/>
        <v>10520</v>
      </c>
      <c r="O700" s="304" t="s">
        <v>737</v>
      </c>
      <c r="P700" s="263" t="s">
        <v>369</v>
      </c>
    </row>
    <row r="701" spans="2:18" ht="12.75" customHeight="1" x14ac:dyDescent="0.25">
      <c r="B701" s="325" t="s">
        <v>1492</v>
      </c>
      <c r="C701" s="325" t="s">
        <v>1496</v>
      </c>
      <c r="D701" s="325" t="s">
        <v>1249</v>
      </c>
      <c r="E701" s="2">
        <v>5900</v>
      </c>
      <c r="F701" s="2">
        <v>1500</v>
      </c>
      <c r="G701" s="60">
        <v>10.7</v>
      </c>
      <c r="H701" s="303">
        <f t="shared" si="116"/>
        <v>16049.999999999998</v>
      </c>
      <c r="I701" s="60">
        <v>270</v>
      </c>
      <c r="J701" s="312"/>
      <c r="K701" s="312"/>
      <c r="L701" s="312"/>
      <c r="M701" s="60">
        <f t="shared" si="121"/>
        <v>270</v>
      </c>
      <c r="N701" s="303">
        <f t="shared" si="122"/>
        <v>15779.999999999998</v>
      </c>
      <c r="O701" s="304" t="s">
        <v>737</v>
      </c>
      <c r="P701" s="263" t="s">
        <v>369</v>
      </c>
    </row>
    <row r="702" spans="2:18" ht="12.75" customHeight="1" x14ac:dyDescent="0.25">
      <c r="B702" s="325" t="s">
        <v>1492</v>
      </c>
      <c r="C702" s="325" t="s">
        <v>1496</v>
      </c>
      <c r="D702" s="325" t="s">
        <v>1249</v>
      </c>
      <c r="E702" s="2">
        <v>5900</v>
      </c>
      <c r="F702" s="2">
        <v>200</v>
      </c>
      <c r="G702" s="60">
        <v>10.7</v>
      </c>
      <c r="H702" s="303">
        <f t="shared" si="116"/>
        <v>2140</v>
      </c>
      <c r="I702" s="60">
        <v>36</v>
      </c>
      <c r="J702" s="312"/>
      <c r="K702" s="312"/>
      <c r="L702" s="312"/>
      <c r="M702" s="60">
        <f t="shared" si="121"/>
        <v>36</v>
      </c>
      <c r="N702" s="303">
        <f t="shared" si="122"/>
        <v>2104</v>
      </c>
      <c r="O702" s="304" t="s">
        <v>737</v>
      </c>
      <c r="P702" s="263" t="s">
        <v>369</v>
      </c>
    </row>
    <row r="703" spans="2:18" ht="12.75" customHeight="1" x14ac:dyDescent="0.25">
      <c r="B703" s="325" t="s">
        <v>1488</v>
      </c>
      <c r="C703" s="325" t="s">
        <v>1496</v>
      </c>
      <c r="D703" s="325" t="s">
        <v>1249</v>
      </c>
      <c r="E703" s="2">
        <v>5800</v>
      </c>
      <c r="F703" s="2">
        <v>50</v>
      </c>
      <c r="G703" s="60">
        <v>57.25</v>
      </c>
      <c r="H703" s="303">
        <f t="shared" ref="H703:H766" si="123">F703*G703</f>
        <v>2862.5</v>
      </c>
      <c r="I703" s="60">
        <v>9</v>
      </c>
      <c r="J703" s="312"/>
      <c r="K703" s="312"/>
      <c r="L703" s="312"/>
      <c r="M703" s="60">
        <f t="shared" ref="M703:M724" si="124">SUM(I703:L703)</f>
        <v>9</v>
      </c>
      <c r="N703" s="303">
        <f t="shared" si="122"/>
        <v>2853.5</v>
      </c>
      <c r="O703" s="263" t="s">
        <v>1487</v>
      </c>
      <c r="P703" s="263" t="s">
        <v>369</v>
      </c>
    </row>
    <row r="704" spans="2:18" ht="12.75" customHeight="1" x14ac:dyDescent="0.25">
      <c r="B704" s="325" t="s">
        <v>1488</v>
      </c>
      <c r="C704" s="325" t="s">
        <v>1496</v>
      </c>
      <c r="D704" s="325" t="s">
        <v>1249</v>
      </c>
      <c r="E704" s="2">
        <v>5800</v>
      </c>
      <c r="F704" s="2">
        <v>400</v>
      </c>
      <c r="G704" s="60">
        <v>57.25</v>
      </c>
      <c r="H704" s="303">
        <f t="shared" si="123"/>
        <v>22900</v>
      </c>
      <c r="I704" s="60">
        <v>72</v>
      </c>
      <c r="J704" s="312"/>
      <c r="K704" s="312"/>
      <c r="L704" s="312"/>
      <c r="M704" s="60">
        <f t="shared" si="124"/>
        <v>72</v>
      </c>
      <c r="N704" s="303">
        <f t="shared" si="122"/>
        <v>22828</v>
      </c>
      <c r="O704" s="263" t="s">
        <v>1487</v>
      </c>
      <c r="P704" s="263" t="s">
        <v>369</v>
      </c>
    </row>
    <row r="705" spans="2:18" ht="12.75" customHeight="1" x14ac:dyDescent="0.25">
      <c r="B705" s="325" t="s">
        <v>1488</v>
      </c>
      <c r="C705" s="325" t="s">
        <v>1496</v>
      </c>
      <c r="D705" s="325" t="s">
        <v>1249</v>
      </c>
      <c r="E705" s="2">
        <v>5800</v>
      </c>
      <c r="F705" s="2">
        <v>400</v>
      </c>
      <c r="G705" s="60">
        <v>57.25</v>
      </c>
      <c r="H705" s="303">
        <f t="shared" si="123"/>
        <v>22900</v>
      </c>
      <c r="I705" s="60">
        <v>72</v>
      </c>
      <c r="J705" s="312"/>
      <c r="K705" s="312"/>
      <c r="L705" s="312"/>
      <c r="M705" s="60">
        <f t="shared" si="124"/>
        <v>72</v>
      </c>
      <c r="N705" s="303">
        <f t="shared" si="122"/>
        <v>22828</v>
      </c>
      <c r="O705" s="263" t="s">
        <v>1487</v>
      </c>
      <c r="P705" s="263" t="s">
        <v>369</v>
      </c>
    </row>
    <row r="706" spans="2:18" ht="12.75" customHeight="1" x14ac:dyDescent="0.25">
      <c r="B706" s="325" t="s">
        <v>1488</v>
      </c>
      <c r="C706" s="325" t="s">
        <v>1496</v>
      </c>
      <c r="D706" s="325" t="s">
        <v>1249</v>
      </c>
      <c r="E706" s="2">
        <v>5800</v>
      </c>
      <c r="F706" s="2">
        <v>1650</v>
      </c>
      <c r="G706" s="60">
        <v>57.25</v>
      </c>
      <c r="H706" s="303">
        <f t="shared" si="123"/>
        <v>94462.5</v>
      </c>
      <c r="I706" s="60">
        <v>297</v>
      </c>
      <c r="J706" s="312"/>
      <c r="K706" s="312"/>
      <c r="L706" s="312"/>
      <c r="M706" s="60">
        <f t="shared" si="124"/>
        <v>297</v>
      </c>
      <c r="N706" s="303">
        <f t="shared" si="122"/>
        <v>94165.5</v>
      </c>
      <c r="O706" s="263" t="s">
        <v>1487</v>
      </c>
      <c r="P706" s="263" t="s">
        <v>369</v>
      </c>
    </row>
    <row r="707" spans="2:18" ht="12.75" customHeight="1" x14ac:dyDescent="0.25">
      <c r="B707" s="325" t="s">
        <v>1489</v>
      </c>
      <c r="C707" s="325" t="s">
        <v>1496</v>
      </c>
      <c r="D707" s="325" t="s">
        <v>1245</v>
      </c>
      <c r="E707" s="2">
        <v>5600</v>
      </c>
      <c r="F707" s="2">
        <v>450</v>
      </c>
      <c r="G707" s="60">
        <v>22.5</v>
      </c>
      <c r="H707" s="303">
        <f t="shared" si="123"/>
        <v>10125</v>
      </c>
      <c r="I707" s="60">
        <v>81</v>
      </c>
      <c r="J707" s="312"/>
      <c r="K707" s="312"/>
      <c r="L707" s="312"/>
      <c r="M707" s="60">
        <f t="shared" si="124"/>
        <v>81</v>
      </c>
      <c r="N707" s="303">
        <f t="shared" si="122"/>
        <v>10044</v>
      </c>
      <c r="O707" s="263" t="s">
        <v>1490</v>
      </c>
      <c r="P707" s="263" t="s">
        <v>369</v>
      </c>
    </row>
    <row r="708" spans="2:18" ht="12.75" customHeight="1" x14ac:dyDescent="0.25">
      <c r="B708" s="325" t="s">
        <v>1489</v>
      </c>
      <c r="C708" s="325" t="s">
        <v>1496</v>
      </c>
      <c r="D708" s="325" t="s">
        <v>1245</v>
      </c>
      <c r="E708" s="2">
        <v>5600</v>
      </c>
      <c r="F708" s="2">
        <v>50</v>
      </c>
      <c r="G708" s="60">
        <v>22.5</v>
      </c>
      <c r="H708" s="303">
        <f t="shared" si="123"/>
        <v>1125</v>
      </c>
      <c r="I708" s="60">
        <v>9</v>
      </c>
      <c r="J708" s="312"/>
      <c r="K708" s="312"/>
      <c r="L708" s="312"/>
      <c r="M708" s="60">
        <f t="shared" si="124"/>
        <v>9</v>
      </c>
      <c r="N708" s="303">
        <f t="shared" si="122"/>
        <v>1116</v>
      </c>
      <c r="O708" s="263" t="s">
        <v>1490</v>
      </c>
      <c r="P708" s="263" t="s">
        <v>369</v>
      </c>
    </row>
    <row r="709" spans="2:18" ht="12.75" customHeight="1" x14ac:dyDescent="0.25">
      <c r="B709" s="325" t="s">
        <v>1489</v>
      </c>
      <c r="C709" s="325" t="s">
        <v>1496</v>
      </c>
      <c r="D709" s="325" t="s">
        <v>1245</v>
      </c>
      <c r="E709" s="2">
        <v>5600</v>
      </c>
      <c r="F709" s="2">
        <v>300</v>
      </c>
      <c r="G709" s="60">
        <v>22.45</v>
      </c>
      <c r="H709" s="303">
        <f t="shared" si="123"/>
        <v>6735</v>
      </c>
      <c r="I709" s="60">
        <v>54</v>
      </c>
      <c r="J709" s="312"/>
      <c r="K709" s="312"/>
      <c r="L709" s="312"/>
      <c r="M709" s="60">
        <f t="shared" si="124"/>
        <v>54</v>
      </c>
      <c r="N709" s="303">
        <f t="shared" si="122"/>
        <v>6681</v>
      </c>
      <c r="O709" s="263" t="s">
        <v>1490</v>
      </c>
      <c r="P709" s="263" t="s">
        <v>369</v>
      </c>
    </row>
    <row r="710" spans="2:18" ht="12.75" customHeight="1" x14ac:dyDescent="0.25">
      <c r="B710" s="325" t="s">
        <v>1489</v>
      </c>
      <c r="C710" s="325" t="s">
        <v>1496</v>
      </c>
      <c r="D710" s="325" t="s">
        <v>1245</v>
      </c>
      <c r="E710" s="2">
        <v>5600</v>
      </c>
      <c r="F710" s="2">
        <v>200</v>
      </c>
      <c r="G710" s="60">
        <v>22.45</v>
      </c>
      <c r="H710" s="303">
        <f t="shared" si="123"/>
        <v>4490</v>
      </c>
      <c r="I710" s="60">
        <v>36</v>
      </c>
      <c r="J710" s="312"/>
      <c r="K710" s="312"/>
      <c r="L710" s="312"/>
      <c r="M710" s="60">
        <f t="shared" si="124"/>
        <v>36</v>
      </c>
      <c r="N710" s="303">
        <f t="shared" si="122"/>
        <v>4454</v>
      </c>
      <c r="O710" s="263" t="s">
        <v>1490</v>
      </c>
      <c r="P710" s="263" t="s">
        <v>369</v>
      </c>
    </row>
    <row r="711" spans="2:18" ht="12.75" customHeight="1" x14ac:dyDescent="0.25">
      <c r="B711" s="325" t="s">
        <v>129</v>
      </c>
      <c r="C711" s="325" t="s">
        <v>1496</v>
      </c>
      <c r="D711" s="325" t="s">
        <v>1249</v>
      </c>
      <c r="E711" s="2">
        <v>5900</v>
      </c>
      <c r="F711" s="2">
        <v>1800</v>
      </c>
      <c r="G711" s="60">
        <v>3.45</v>
      </c>
      <c r="H711" s="303">
        <f t="shared" si="123"/>
        <v>6210</v>
      </c>
      <c r="I711" s="60">
        <v>324</v>
      </c>
      <c r="J711" s="312"/>
      <c r="K711" s="312"/>
      <c r="L711" s="312"/>
      <c r="M711" s="60">
        <f t="shared" si="124"/>
        <v>324</v>
      </c>
      <c r="N711" s="303">
        <f t="shared" si="122"/>
        <v>5886</v>
      </c>
      <c r="O711" s="263" t="s">
        <v>2410</v>
      </c>
      <c r="P711" s="263" t="s">
        <v>369</v>
      </c>
    </row>
    <row r="712" spans="2:18" ht="12.75" customHeight="1" x14ac:dyDescent="0.25">
      <c r="B712" s="325" t="s">
        <v>129</v>
      </c>
      <c r="C712" s="325" t="s">
        <v>1496</v>
      </c>
      <c r="D712" s="325" t="s">
        <v>1249</v>
      </c>
      <c r="E712" s="2">
        <v>5900</v>
      </c>
      <c r="F712" s="2">
        <v>3200</v>
      </c>
      <c r="G712" s="60">
        <v>3.45</v>
      </c>
      <c r="H712" s="303">
        <f t="shared" si="123"/>
        <v>11040</v>
      </c>
      <c r="I712" s="60">
        <v>576</v>
      </c>
      <c r="J712" s="312"/>
      <c r="K712" s="312"/>
      <c r="L712" s="312"/>
      <c r="M712" s="60">
        <f t="shared" si="124"/>
        <v>576</v>
      </c>
      <c r="N712" s="303">
        <f t="shared" si="122"/>
        <v>10464</v>
      </c>
      <c r="O712" s="263" t="s">
        <v>2410</v>
      </c>
      <c r="P712" s="263" t="s">
        <v>369</v>
      </c>
    </row>
    <row r="713" spans="2:18" ht="13.2" x14ac:dyDescent="0.25">
      <c r="B713" s="325" t="s">
        <v>130</v>
      </c>
      <c r="C713" s="325" t="s">
        <v>132</v>
      </c>
      <c r="D713" s="325" t="s">
        <v>1249</v>
      </c>
      <c r="E713" s="2">
        <v>660</v>
      </c>
      <c r="F713" s="2">
        <v>1500</v>
      </c>
      <c r="G713" s="60">
        <v>4.6500000000000004</v>
      </c>
      <c r="H713" s="303">
        <f t="shared" si="123"/>
        <v>6975.0000000000009</v>
      </c>
      <c r="I713" s="60">
        <v>27</v>
      </c>
      <c r="J713" s="315"/>
      <c r="K713" s="315"/>
      <c r="L713" s="316"/>
      <c r="M713" s="60">
        <f t="shared" si="124"/>
        <v>27</v>
      </c>
      <c r="N713" s="303">
        <f t="shared" si="122"/>
        <v>6948.0000000000009</v>
      </c>
      <c r="O713" s="263" t="s">
        <v>2420</v>
      </c>
      <c r="P713" s="304" t="s">
        <v>369</v>
      </c>
      <c r="R713" s="247"/>
    </row>
    <row r="714" spans="2:18" ht="12.75" customHeight="1" x14ac:dyDescent="0.25">
      <c r="B714" s="325" t="s">
        <v>130</v>
      </c>
      <c r="C714" s="325" t="s">
        <v>132</v>
      </c>
      <c r="D714" s="325" t="s">
        <v>1249</v>
      </c>
      <c r="E714" s="2">
        <v>660</v>
      </c>
      <c r="F714" s="2">
        <v>1500</v>
      </c>
      <c r="G714" s="60">
        <v>4.6500000000000004</v>
      </c>
      <c r="H714" s="303">
        <f t="shared" si="123"/>
        <v>6975.0000000000009</v>
      </c>
      <c r="I714" s="60">
        <v>27</v>
      </c>
      <c r="J714" s="306"/>
      <c r="K714" s="312"/>
      <c r="L714" s="312"/>
      <c r="M714" s="60">
        <f t="shared" si="124"/>
        <v>27</v>
      </c>
      <c r="N714" s="303">
        <f t="shared" si="122"/>
        <v>6948.0000000000009</v>
      </c>
      <c r="O714" s="263" t="s">
        <v>2420</v>
      </c>
      <c r="P714" s="263" t="s">
        <v>369</v>
      </c>
    </row>
    <row r="715" spans="2:18" ht="12.75" customHeight="1" x14ac:dyDescent="0.25">
      <c r="B715" s="325" t="s">
        <v>130</v>
      </c>
      <c r="C715" s="325" t="s">
        <v>132</v>
      </c>
      <c r="D715" s="325" t="s">
        <v>1249</v>
      </c>
      <c r="E715" s="2">
        <v>660</v>
      </c>
      <c r="F715" s="2">
        <v>1500</v>
      </c>
      <c r="G715" s="60">
        <v>4.6500000000000004</v>
      </c>
      <c r="H715" s="303">
        <f t="shared" si="123"/>
        <v>6975.0000000000009</v>
      </c>
      <c r="I715" s="60">
        <v>27</v>
      </c>
      <c r="J715" s="312"/>
      <c r="K715" s="312"/>
      <c r="L715" s="312"/>
      <c r="M715" s="60">
        <f t="shared" si="124"/>
        <v>27</v>
      </c>
      <c r="N715" s="303">
        <f t="shared" si="122"/>
        <v>6948.0000000000009</v>
      </c>
      <c r="O715" s="263" t="s">
        <v>2420</v>
      </c>
      <c r="P715" s="263" t="s">
        <v>369</v>
      </c>
    </row>
    <row r="716" spans="2:18" ht="12.75" customHeight="1" x14ac:dyDescent="0.25">
      <c r="B716" s="325" t="s">
        <v>130</v>
      </c>
      <c r="C716" s="325" t="s">
        <v>132</v>
      </c>
      <c r="D716" s="325" t="s">
        <v>1249</v>
      </c>
      <c r="E716" s="2">
        <v>660</v>
      </c>
      <c r="F716" s="2">
        <v>1500</v>
      </c>
      <c r="G716" s="60">
        <v>4.6500000000000004</v>
      </c>
      <c r="H716" s="303">
        <f t="shared" si="123"/>
        <v>6975.0000000000009</v>
      </c>
      <c r="I716" s="60">
        <v>27</v>
      </c>
      <c r="J716" s="312"/>
      <c r="K716" s="312"/>
      <c r="L716" s="312"/>
      <c r="M716" s="60">
        <f t="shared" si="124"/>
        <v>27</v>
      </c>
      <c r="N716" s="303">
        <f t="shared" si="122"/>
        <v>6948.0000000000009</v>
      </c>
      <c r="O716" s="263" t="s">
        <v>2420</v>
      </c>
      <c r="P716" s="263" t="s">
        <v>369</v>
      </c>
    </row>
    <row r="717" spans="2:18" ht="12.75" customHeight="1" x14ac:dyDescent="0.25">
      <c r="B717" s="325" t="s">
        <v>130</v>
      </c>
      <c r="C717" s="325" t="s">
        <v>132</v>
      </c>
      <c r="D717" s="325" t="s">
        <v>1249</v>
      </c>
      <c r="E717" s="2">
        <v>660</v>
      </c>
      <c r="F717" s="2">
        <v>1500</v>
      </c>
      <c r="G717" s="60">
        <v>4.6500000000000004</v>
      </c>
      <c r="H717" s="303">
        <f t="shared" si="123"/>
        <v>6975.0000000000009</v>
      </c>
      <c r="I717" s="60">
        <v>27</v>
      </c>
      <c r="J717" s="312"/>
      <c r="K717" s="312"/>
      <c r="L717" s="312"/>
      <c r="M717" s="60">
        <f t="shared" si="124"/>
        <v>27</v>
      </c>
      <c r="N717" s="303">
        <f t="shared" si="122"/>
        <v>6948.0000000000009</v>
      </c>
      <c r="O717" s="263" t="s">
        <v>2420</v>
      </c>
      <c r="P717" s="263" t="s">
        <v>369</v>
      </c>
    </row>
    <row r="718" spans="2:18" ht="12.75" customHeight="1" x14ac:dyDescent="0.25">
      <c r="B718" s="325" t="s">
        <v>130</v>
      </c>
      <c r="C718" s="325" t="s">
        <v>132</v>
      </c>
      <c r="D718" s="325" t="s">
        <v>1249</v>
      </c>
      <c r="E718" s="2">
        <v>660</v>
      </c>
      <c r="F718" s="2">
        <v>500</v>
      </c>
      <c r="G718" s="60">
        <v>4.6500000000000004</v>
      </c>
      <c r="H718" s="303">
        <f t="shared" si="123"/>
        <v>2325</v>
      </c>
      <c r="I718" s="60">
        <v>9</v>
      </c>
      <c r="J718" s="312"/>
      <c r="K718" s="312"/>
      <c r="L718" s="312"/>
      <c r="M718" s="60">
        <f t="shared" si="124"/>
        <v>9</v>
      </c>
      <c r="N718" s="303">
        <f t="shared" si="122"/>
        <v>2316</v>
      </c>
      <c r="O718" s="263" t="s">
        <v>2420</v>
      </c>
      <c r="P718" s="263" t="s">
        <v>369</v>
      </c>
    </row>
    <row r="719" spans="2:18" ht="12.75" customHeight="1" x14ac:dyDescent="0.25">
      <c r="B719" s="325" t="s">
        <v>1469</v>
      </c>
      <c r="C719" s="325" t="s">
        <v>1496</v>
      </c>
      <c r="D719" s="325" t="s">
        <v>1249</v>
      </c>
      <c r="E719" s="2">
        <v>5600</v>
      </c>
      <c r="F719" s="2">
        <v>3000</v>
      </c>
      <c r="G719" s="60">
        <v>39.5</v>
      </c>
      <c r="H719" s="303">
        <f t="shared" si="123"/>
        <v>118500</v>
      </c>
      <c r="I719" s="60">
        <v>540</v>
      </c>
      <c r="J719" s="312"/>
      <c r="K719" s="312"/>
      <c r="L719" s="312"/>
      <c r="M719" s="60">
        <f t="shared" si="124"/>
        <v>540</v>
      </c>
      <c r="N719" s="303">
        <f t="shared" si="122"/>
        <v>117960</v>
      </c>
      <c r="O719" s="263" t="s">
        <v>1692</v>
      </c>
      <c r="P719" s="263" t="s">
        <v>369</v>
      </c>
    </row>
    <row r="720" spans="2:18" ht="12.75" customHeight="1" x14ac:dyDescent="0.25">
      <c r="B720" s="325" t="s">
        <v>1469</v>
      </c>
      <c r="C720" s="325" t="s">
        <v>1496</v>
      </c>
      <c r="D720" s="325" t="s">
        <v>1245</v>
      </c>
      <c r="E720" s="2">
        <v>5600</v>
      </c>
      <c r="F720" s="2">
        <v>150</v>
      </c>
      <c r="G720" s="60">
        <v>31</v>
      </c>
      <c r="H720" s="303">
        <f t="shared" si="123"/>
        <v>4650</v>
      </c>
      <c r="I720" s="60">
        <v>27</v>
      </c>
      <c r="J720" s="312"/>
      <c r="K720" s="312"/>
      <c r="L720" s="312"/>
      <c r="M720" s="60">
        <f t="shared" si="124"/>
        <v>27</v>
      </c>
      <c r="N720" s="303">
        <f t="shared" si="122"/>
        <v>4623</v>
      </c>
      <c r="O720" s="263" t="s">
        <v>1692</v>
      </c>
      <c r="P720" s="263" t="s">
        <v>369</v>
      </c>
    </row>
    <row r="721" spans="2:18" ht="12.75" customHeight="1" x14ac:dyDescent="0.25">
      <c r="B721" s="325" t="s">
        <v>1469</v>
      </c>
      <c r="C721" s="325" t="s">
        <v>1496</v>
      </c>
      <c r="D721" s="325" t="s">
        <v>1245</v>
      </c>
      <c r="E721" s="2">
        <v>5600</v>
      </c>
      <c r="F721" s="2">
        <v>200</v>
      </c>
      <c r="G721" s="60">
        <v>31</v>
      </c>
      <c r="H721" s="303">
        <f t="shared" si="123"/>
        <v>6200</v>
      </c>
      <c r="I721" s="60">
        <v>36</v>
      </c>
      <c r="J721" s="312"/>
      <c r="K721" s="312"/>
      <c r="L721" s="312"/>
      <c r="M721" s="60">
        <f t="shared" si="124"/>
        <v>36</v>
      </c>
      <c r="N721" s="303">
        <f t="shared" si="122"/>
        <v>6164</v>
      </c>
      <c r="O721" s="263" t="s">
        <v>1692</v>
      </c>
      <c r="P721" s="263" t="s">
        <v>369</v>
      </c>
    </row>
    <row r="722" spans="2:18" ht="12.75" customHeight="1" x14ac:dyDescent="0.25">
      <c r="B722" s="325" t="s">
        <v>1469</v>
      </c>
      <c r="C722" s="325" t="s">
        <v>1496</v>
      </c>
      <c r="D722" s="325" t="s">
        <v>1245</v>
      </c>
      <c r="E722" s="2">
        <v>5600</v>
      </c>
      <c r="F722" s="2">
        <v>500</v>
      </c>
      <c r="G722" s="60">
        <v>31</v>
      </c>
      <c r="H722" s="303">
        <f t="shared" si="123"/>
        <v>15500</v>
      </c>
      <c r="I722" s="60">
        <v>90</v>
      </c>
      <c r="J722" s="312"/>
      <c r="K722" s="312"/>
      <c r="L722" s="312"/>
      <c r="M722" s="60">
        <f t="shared" si="124"/>
        <v>90</v>
      </c>
      <c r="N722" s="303">
        <f t="shared" si="122"/>
        <v>15410</v>
      </c>
      <c r="O722" s="263" t="s">
        <v>1692</v>
      </c>
      <c r="P722" s="263" t="s">
        <v>369</v>
      </c>
    </row>
    <row r="723" spans="2:18" ht="12.75" customHeight="1" x14ac:dyDescent="0.25">
      <c r="B723" s="325" t="s">
        <v>1469</v>
      </c>
      <c r="C723" s="325" t="s">
        <v>1496</v>
      </c>
      <c r="D723" s="325" t="s">
        <v>1245</v>
      </c>
      <c r="E723" s="2">
        <v>5600</v>
      </c>
      <c r="F723" s="2">
        <v>100</v>
      </c>
      <c r="G723" s="60">
        <v>31</v>
      </c>
      <c r="H723" s="303">
        <f t="shared" si="123"/>
        <v>3100</v>
      </c>
      <c r="I723" s="60">
        <v>18</v>
      </c>
      <c r="J723" s="312"/>
      <c r="K723" s="312"/>
      <c r="L723" s="312"/>
      <c r="M723" s="60">
        <f t="shared" si="124"/>
        <v>18</v>
      </c>
      <c r="N723" s="303">
        <f t="shared" si="122"/>
        <v>3082</v>
      </c>
      <c r="O723" s="263" t="s">
        <v>1692</v>
      </c>
      <c r="P723" s="263" t="s">
        <v>369</v>
      </c>
    </row>
    <row r="724" spans="2:18" ht="12.75" customHeight="1" x14ac:dyDescent="0.25">
      <c r="B724" s="325" t="s">
        <v>1469</v>
      </c>
      <c r="C724" s="325" t="s">
        <v>1496</v>
      </c>
      <c r="D724" s="325" t="s">
        <v>1245</v>
      </c>
      <c r="E724" s="2">
        <v>5600</v>
      </c>
      <c r="F724" s="2">
        <v>50</v>
      </c>
      <c r="G724" s="60">
        <v>31</v>
      </c>
      <c r="H724" s="303">
        <f t="shared" si="123"/>
        <v>1550</v>
      </c>
      <c r="I724" s="60">
        <v>9</v>
      </c>
      <c r="J724" s="312"/>
      <c r="K724" s="312"/>
      <c r="L724" s="312"/>
      <c r="M724" s="60">
        <f t="shared" si="124"/>
        <v>9</v>
      </c>
      <c r="N724" s="303">
        <f t="shared" si="122"/>
        <v>1541</v>
      </c>
      <c r="O724" s="263" t="s">
        <v>1692</v>
      </c>
      <c r="P724" s="263" t="s">
        <v>369</v>
      </c>
    </row>
    <row r="725" spans="2:18" ht="12.75" customHeight="1" x14ac:dyDescent="0.25">
      <c r="B725" s="325" t="s">
        <v>1473</v>
      </c>
      <c r="C725" s="325" t="s">
        <v>1496</v>
      </c>
      <c r="D725" s="325" t="s">
        <v>1249</v>
      </c>
      <c r="E725" s="2">
        <v>5600</v>
      </c>
      <c r="F725" s="2">
        <v>2100</v>
      </c>
      <c r="G725" s="60">
        <v>111</v>
      </c>
      <c r="H725" s="303">
        <f t="shared" si="123"/>
        <v>233100</v>
      </c>
      <c r="I725" s="60">
        <v>378</v>
      </c>
      <c r="J725" s="312"/>
      <c r="K725" s="312"/>
      <c r="L725" s="312"/>
      <c r="M725" s="60">
        <f>SUM(I725:L725)</f>
        <v>378</v>
      </c>
      <c r="N725" s="303">
        <f>H725-M725</f>
        <v>232722</v>
      </c>
      <c r="O725" s="263" t="s">
        <v>1474</v>
      </c>
      <c r="P725" s="263" t="s">
        <v>369</v>
      </c>
    </row>
    <row r="726" spans="2:18" ht="12.75" customHeight="1" x14ac:dyDescent="0.25">
      <c r="B726" s="325" t="s">
        <v>1473</v>
      </c>
      <c r="C726" s="325" t="s">
        <v>1496</v>
      </c>
      <c r="D726" s="325" t="s">
        <v>1249</v>
      </c>
      <c r="E726" s="2">
        <v>5600</v>
      </c>
      <c r="F726" s="2">
        <v>500</v>
      </c>
      <c r="G726" s="60">
        <v>107.8</v>
      </c>
      <c r="H726" s="303">
        <f t="shared" si="123"/>
        <v>53900</v>
      </c>
      <c r="I726" s="60">
        <v>90</v>
      </c>
      <c r="J726" s="312"/>
      <c r="K726" s="312"/>
      <c r="L726" s="312"/>
      <c r="M726" s="60">
        <f>SUM(I726:L726)</f>
        <v>90</v>
      </c>
      <c r="N726" s="303">
        <f>H726-M726</f>
        <v>53810</v>
      </c>
      <c r="O726" s="263" t="s">
        <v>1474</v>
      </c>
      <c r="P726" s="263" t="s">
        <v>369</v>
      </c>
    </row>
    <row r="727" spans="2:18" ht="12.75" customHeight="1" x14ac:dyDescent="0.25">
      <c r="B727" s="325" t="s">
        <v>1473</v>
      </c>
      <c r="C727" s="325" t="s">
        <v>1496</v>
      </c>
      <c r="D727" s="325" t="s">
        <v>1249</v>
      </c>
      <c r="E727" s="2">
        <v>5600</v>
      </c>
      <c r="F727" s="2">
        <v>400</v>
      </c>
      <c r="G727" s="60">
        <v>107.75</v>
      </c>
      <c r="H727" s="303">
        <f t="shared" si="123"/>
        <v>43100</v>
      </c>
      <c r="I727" s="60">
        <v>72</v>
      </c>
      <c r="J727" s="247">
        <v>95.3</v>
      </c>
      <c r="K727" s="247">
        <f>56+20</f>
        <v>76</v>
      </c>
      <c r="L727" s="247">
        <v>231.07</v>
      </c>
      <c r="M727" s="60">
        <f>SUM(I727:L727)</f>
        <v>474.37</v>
      </c>
      <c r="N727" s="303">
        <f>H727-M727</f>
        <v>42625.63</v>
      </c>
      <c r="O727" s="263" t="s">
        <v>1474</v>
      </c>
      <c r="P727" s="263" t="s">
        <v>369</v>
      </c>
    </row>
    <row r="728" spans="2:18" ht="12.75" customHeight="1" x14ac:dyDescent="0.25">
      <c r="B728" s="325" t="s">
        <v>106</v>
      </c>
      <c r="C728" s="325" t="s">
        <v>104</v>
      </c>
      <c r="D728" s="325" t="s">
        <v>1249</v>
      </c>
      <c r="E728" s="2">
        <v>2100</v>
      </c>
      <c r="F728" s="2">
        <v>250</v>
      </c>
      <c r="G728" s="60">
        <v>25</v>
      </c>
      <c r="H728" s="303">
        <f t="shared" si="123"/>
        <v>6250</v>
      </c>
      <c r="I728" s="60">
        <v>18</v>
      </c>
      <c r="J728" s="306"/>
      <c r="K728" s="312"/>
      <c r="L728" s="312"/>
      <c r="M728" s="60">
        <f t="shared" ref="M728:M735" si="125">SUM(I728:L728)</f>
        <v>18</v>
      </c>
      <c r="N728" s="303">
        <f t="shared" ref="N728:N735" si="126">H728-M728</f>
        <v>6232</v>
      </c>
      <c r="O728" s="263" t="s">
        <v>764</v>
      </c>
      <c r="P728" s="304" t="s">
        <v>369</v>
      </c>
    </row>
    <row r="729" spans="2:18" ht="12.75" customHeight="1" x14ac:dyDescent="0.25">
      <c r="B729" s="325" t="s">
        <v>106</v>
      </c>
      <c r="C729" s="325" t="s">
        <v>104</v>
      </c>
      <c r="D729" s="325" t="s">
        <v>1249</v>
      </c>
      <c r="E729" s="2">
        <v>2100</v>
      </c>
      <c r="F729" s="2">
        <v>250</v>
      </c>
      <c r="G729" s="60">
        <v>25</v>
      </c>
      <c r="H729" s="303">
        <f t="shared" si="123"/>
        <v>6250</v>
      </c>
      <c r="I729" s="60">
        <v>18</v>
      </c>
      <c r="J729" s="312"/>
      <c r="K729" s="312"/>
      <c r="L729" s="312"/>
      <c r="M729" s="60">
        <f t="shared" si="125"/>
        <v>18</v>
      </c>
      <c r="N729" s="303">
        <f t="shared" si="126"/>
        <v>6232</v>
      </c>
      <c r="O729" s="263" t="s">
        <v>764</v>
      </c>
      <c r="P729" s="304" t="s">
        <v>369</v>
      </c>
    </row>
    <row r="730" spans="2:18" ht="12.75" customHeight="1" x14ac:dyDescent="0.25">
      <c r="B730" s="325" t="s">
        <v>106</v>
      </c>
      <c r="C730" s="325" t="s">
        <v>104</v>
      </c>
      <c r="D730" s="325" t="s">
        <v>1249</v>
      </c>
      <c r="E730" s="2">
        <v>2100</v>
      </c>
      <c r="F730" s="2">
        <v>375</v>
      </c>
      <c r="G730" s="60">
        <v>25</v>
      </c>
      <c r="H730" s="303">
        <f t="shared" si="123"/>
        <v>9375</v>
      </c>
      <c r="I730" s="60">
        <v>27</v>
      </c>
      <c r="J730" s="312"/>
      <c r="K730" s="312"/>
      <c r="L730" s="312"/>
      <c r="M730" s="60">
        <f t="shared" si="125"/>
        <v>27</v>
      </c>
      <c r="N730" s="303">
        <f t="shared" si="126"/>
        <v>9348</v>
      </c>
      <c r="O730" s="263" t="s">
        <v>764</v>
      </c>
      <c r="P730" s="304" t="s">
        <v>369</v>
      </c>
    </row>
    <row r="731" spans="2:18" ht="12.75" customHeight="1" x14ac:dyDescent="0.25">
      <c r="B731" s="325" t="s">
        <v>106</v>
      </c>
      <c r="C731" s="325" t="s">
        <v>104</v>
      </c>
      <c r="D731" s="325" t="s">
        <v>1249</v>
      </c>
      <c r="E731" s="2">
        <v>2100</v>
      </c>
      <c r="F731" s="2">
        <v>125</v>
      </c>
      <c r="G731" s="60">
        <v>25</v>
      </c>
      <c r="H731" s="303">
        <f t="shared" si="123"/>
        <v>3125</v>
      </c>
      <c r="I731" s="60">
        <v>9</v>
      </c>
      <c r="J731" s="312"/>
      <c r="K731" s="312"/>
      <c r="L731" s="312"/>
      <c r="M731" s="60">
        <f t="shared" si="125"/>
        <v>9</v>
      </c>
      <c r="N731" s="303">
        <f t="shared" si="126"/>
        <v>3116</v>
      </c>
      <c r="O731" s="263" t="s">
        <v>764</v>
      </c>
      <c r="P731" s="304" t="s">
        <v>369</v>
      </c>
    </row>
    <row r="732" spans="2:18" ht="12.75" customHeight="1" x14ac:dyDescent="0.25">
      <c r="B732" s="325" t="s">
        <v>106</v>
      </c>
      <c r="C732" s="325" t="s">
        <v>104</v>
      </c>
      <c r="D732" s="325" t="s">
        <v>1249</v>
      </c>
      <c r="E732" s="2">
        <v>2100</v>
      </c>
      <c r="F732" s="2">
        <v>125</v>
      </c>
      <c r="G732" s="60">
        <v>25</v>
      </c>
      <c r="H732" s="303">
        <f t="shared" si="123"/>
        <v>3125</v>
      </c>
      <c r="I732" s="60">
        <v>9</v>
      </c>
      <c r="J732" s="312"/>
      <c r="K732" s="312"/>
      <c r="L732" s="312"/>
      <c r="M732" s="60">
        <f t="shared" si="125"/>
        <v>9</v>
      </c>
      <c r="N732" s="303">
        <f t="shared" si="126"/>
        <v>3116</v>
      </c>
      <c r="O732" s="263" t="s">
        <v>764</v>
      </c>
      <c r="P732" s="304" t="s">
        <v>369</v>
      </c>
    </row>
    <row r="733" spans="2:18" ht="12.75" customHeight="1" x14ac:dyDescent="0.25">
      <c r="B733" s="325" t="s">
        <v>106</v>
      </c>
      <c r="C733" s="325" t="s">
        <v>104</v>
      </c>
      <c r="D733" s="325" t="s">
        <v>1249</v>
      </c>
      <c r="E733" s="2">
        <v>2100</v>
      </c>
      <c r="F733" s="2">
        <v>250</v>
      </c>
      <c r="G733" s="60">
        <v>25</v>
      </c>
      <c r="H733" s="303">
        <f t="shared" si="123"/>
        <v>6250</v>
      </c>
      <c r="I733" s="60">
        <v>18</v>
      </c>
      <c r="J733" s="312"/>
      <c r="K733" s="312"/>
      <c r="L733" s="312"/>
      <c r="M733" s="60">
        <f t="shared" si="125"/>
        <v>18</v>
      </c>
      <c r="N733" s="303">
        <f t="shared" si="126"/>
        <v>6232</v>
      </c>
      <c r="O733" s="263" t="s">
        <v>764</v>
      </c>
      <c r="P733" s="304" t="s">
        <v>369</v>
      </c>
    </row>
    <row r="734" spans="2:18" ht="12.75" customHeight="1" x14ac:dyDescent="0.25">
      <c r="B734" s="325" t="s">
        <v>106</v>
      </c>
      <c r="C734" s="325" t="s">
        <v>104</v>
      </c>
      <c r="D734" s="325" t="s">
        <v>1249</v>
      </c>
      <c r="E734" s="2">
        <v>2100</v>
      </c>
      <c r="F734" s="2">
        <v>375</v>
      </c>
      <c r="G734" s="60">
        <v>25</v>
      </c>
      <c r="H734" s="303">
        <f t="shared" si="123"/>
        <v>9375</v>
      </c>
      <c r="I734" s="60">
        <v>27</v>
      </c>
      <c r="J734" s="312"/>
      <c r="K734" s="312"/>
      <c r="L734" s="312"/>
      <c r="M734" s="60">
        <f t="shared" si="125"/>
        <v>27</v>
      </c>
      <c r="N734" s="303">
        <f t="shared" si="126"/>
        <v>9348</v>
      </c>
      <c r="O734" s="263" t="s">
        <v>764</v>
      </c>
      <c r="P734" s="304" t="s">
        <v>369</v>
      </c>
    </row>
    <row r="735" spans="2:18" ht="13.2" x14ac:dyDescent="0.25">
      <c r="B735" s="325" t="s">
        <v>106</v>
      </c>
      <c r="C735" s="325" t="s">
        <v>104</v>
      </c>
      <c r="D735" s="325" t="s">
        <v>1249</v>
      </c>
      <c r="E735" s="2">
        <v>2100</v>
      </c>
      <c r="F735" s="2">
        <v>250</v>
      </c>
      <c r="G735" s="60">
        <v>25</v>
      </c>
      <c r="H735" s="303">
        <f t="shared" si="123"/>
        <v>6250</v>
      </c>
      <c r="I735" s="60">
        <v>18</v>
      </c>
      <c r="J735" s="299">
        <v>74.11</v>
      </c>
      <c r="K735" s="299">
        <f>9+12</f>
        <v>21</v>
      </c>
      <c r="L735" s="224">
        <v>131.63999999999999</v>
      </c>
      <c r="M735" s="60">
        <f t="shared" si="125"/>
        <v>244.75</v>
      </c>
      <c r="N735" s="303">
        <f t="shared" si="126"/>
        <v>6005.25</v>
      </c>
      <c r="O735" s="263" t="s">
        <v>764</v>
      </c>
      <c r="P735" s="304" t="s">
        <v>369</v>
      </c>
      <c r="R735" s="247"/>
    </row>
    <row r="736" spans="2:18" ht="12.75" customHeight="1" x14ac:dyDescent="0.25">
      <c r="B736" s="325" t="s">
        <v>100</v>
      </c>
      <c r="C736" s="325" t="s">
        <v>105</v>
      </c>
      <c r="D736" s="325" t="s">
        <v>1249</v>
      </c>
      <c r="E736" s="2">
        <v>5900</v>
      </c>
      <c r="F736" s="2">
        <v>400</v>
      </c>
      <c r="G736" s="60">
        <v>77.900000000000006</v>
      </c>
      <c r="H736" s="303">
        <f t="shared" si="123"/>
        <v>31160.000000000004</v>
      </c>
      <c r="I736" s="60">
        <v>72</v>
      </c>
      <c r="J736" s="312"/>
      <c r="K736" s="312"/>
      <c r="L736" s="312"/>
      <c r="M736" s="60">
        <f t="shared" ref="M736:M743" si="127">SUM(I736:L736)</f>
        <v>72</v>
      </c>
      <c r="N736" s="303">
        <f t="shared" ref="N736:N743" si="128">H736-M736</f>
        <v>31088.000000000004</v>
      </c>
      <c r="O736" s="263" t="s">
        <v>767</v>
      </c>
      <c r="P736" s="263" t="s">
        <v>369</v>
      </c>
    </row>
    <row r="737" spans="2:18" ht="12.75" customHeight="1" x14ac:dyDescent="0.25">
      <c r="B737" s="325" t="s">
        <v>100</v>
      </c>
      <c r="C737" s="325" t="s">
        <v>105</v>
      </c>
      <c r="D737" s="325" t="s">
        <v>1249</v>
      </c>
      <c r="E737" s="2">
        <v>5900</v>
      </c>
      <c r="F737" s="2">
        <v>500</v>
      </c>
      <c r="G737" s="60">
        <v>77.900000000000006</v>
      </c>
      <c r="H737" s="303">
        <f t="shared" si="123"/>
        <v>38950</v>
      </c>
      <c r="I737" s="60">
        <v>90</v>
      </c>
      <c r="J737" s="312"/>
      <c r="K737" s="312"/>
      <c r="L737" s="312"/>
      <c r="M737" s="60">
        <f t="shared" si="127"/>
        <v>90</v>
      </c>
      <c r="N737" s="303">
        <f t="shared" si="128"/>
        <v>38860</v>
      </c>
      <c r="O737" s="263" t="s">
        <v>767</v>
      </c>
      <c r="P737" s="263" t="s">
        <v>369</v>
      </c>
    </row>
    <row r="738" spans="2:18" ht="12.75" customHeight="1" x14ac:dyDescent="0.25">
      <c r="B738" s="325" t="s">
        <v>100</v>
      </c>
      <c r="C738" s="325" t="s">
        <v>105</v>
      </c>
      <c r="D738" s="325" t="s">
        <v>1249</v>
      </c>
      <c r="E738" s="2">
        <v>5900</v>
      </c>
      <c r="F738" s="2">
        <v>100</v>
      </c>
      <c r="G738" s="60">
        <v>77.75</v>
      </c>
      <c r="H738" s="303">
        <f t="shared" si="123"/>
        <v>7775</v>
      </c>
      <c r="I738" s="60">
        <v>18</v>
      </c>
      <c r="J738" s="312"/>
      <c r="K738" s="312"/>
      <c r="L738" s="312"/>
      <c r="M738" s="60">
        <f t="shared" si="127"/>
        <v>18</v>
      </c>
      <c r="N738" s="303">
        <f t="shared" si="128"/>
        <v>7757</v>
      </c>
      <c r="O738" s="263" t="s">
        <v>767</v>
      </c>
      <c r="P738" s="263" t="s">
        <v>369</v>
      </c>
    </row>
    <row r="739" spans="2:18" ht="12.75" customHeight="1" x14ac:dyDescent="0.25">
      <c r="B739" s="325" t="s">
        <v>41</v>
      </c>
      <c r="C739" s="325" t="s">
        <v>105</v>
      </c>
      <c r="D739" s="325" t="s">
        <v>1249</v>
      </c>
      <c r="E739" s="2">
        <v>6000</v>
      </c>
      <c r="F739" s="2">
        <v>500</v>
      </c>
      <c r="G739" s="60">
        <v>45</v>
      </c>
      <c r="H739" s="303">
        <f t="shared" si="123"/>
        <v>22500</v>
      </c>
      <c r="I739" s="60">
        <v>90</v>
      </c>
      <c r="J739" s="306"/>
      <c r="K739" s="312"/>
      <c r="L739" s="312"/>
      <c r="M739" s="60">
        <f t="shared" si="127"/>
        <v>90</v>
      </c>
      <c r="N739" s="303">
        <f t="shared" si="128"/>
        <v>22410</v>
      </c>
      <c r="O739" s="263" t="s">
        <v>42</v>
      </c>
      <c r="P739" s="263" t="s">
        <v>369</v>
      </c>
    </row>
    <row r="740" spans="2:18" ht="12.75" customHeight="1" x14ac:dyDescent="0.25">
      <c r="B740" s="325" t="s">
        <v>41</v>
      </c>
      <c r="C740" s="325" t="s">
        <v>105</v>
      </c>
      <c r="D740" s="325" t="s">
        <v>1249</v>
      </c>
      <c r="E740" s="2">
        <v>6000</v>
      </c>
      <c r="F740" s="2">
        <v>900</v>
      </c>
      <c r="G740" s="60">
        <v>45</v>
      </c>
      <c r="H740" s="303">
        <f t="shared" si="123"/>
        <v>40500</v>
      </c>
      <c r="I740" s="60">
        <v>162</v>
      </c>
      <c r="J740" s="312"/>
      <c r="K740" s="312"/>
      <c r="L740" s="312"/>
      <c r="M740" s="60">
        <f t="shared" si="127"/>
        <v>162</v>
      </c>
      <c r="N740" s="303">
        <f t="shared" si="128"/>
        <v>40338</v>
      </c>
      <c r="O740" s="263" t="s">
        <v>42</v>
      </c>
      <c r="P740" s="263" t="s">
        <v>369</v>
      </c>
    </row>
    <row r="741" spans="2:18" ht="12.75" customHeight="1" x14ac:dyDescent="0.25">
      <c r="B741" s="325" t="s">
        <v>41</v>
      </c>
      <c r="C741" s="325" t="s">
        <v>105</v>
      </c>
      <c r="D741" s="325" t="s">
        <v>1249</v>
      </c>
      <c r="E741" s="2">
        <v>6000</v>
      </c>
      <c r="F741" s="2">
        <v>500</v>
      </c>
      <c r="G741" s="60">
        <v>45</v>
      </c>
      <c r="H741" s="303">
        <f t="shared" si="123"/>
        <v>22500</v>
      </c>
      <c r="I741" s="60">
        <v>90</v>
      </c>
      <c r="J741" s="312"/>
      <c r="K741" s="312"/>
      <c r="L741" s="312"/>
      <c r="M741" s="60">
        <f t="shared" si="127"/>
        <v>90</v>
      </c>
      <c r="N741" s="303">
        <f t="shared" si="128"/>
        <v>22410</v>
      </c>
      <c r="O741" s="263" t="s">
        <v>42</v>
      </c>
      <c r="P741" s="263" t="s">
        <v>369</v>
      </c>
    </row>
    <row r="742" spans="2:18" ht="12.75" customHeight="1" x14ac:dyDescent="0.25">
      <c r="B742" s="325" t="s">
        <v>41</v>
      </c>
      <c r="C742" s="325" t="s">
        <v>105</v>
      </c>
      <c r="D742" s="325" t="s">
        <v>1249</v>
      </c>
      <c r="E742" s="2">
        <v>6000</v>
      </c>
      <c r="F742" s="2">
        <v>100</v>
      </c>
      <c r="G742" s="60">
        <v>45</v>
      </c>
      <c r="H742" s="303">
        <f t="shared" si="123"/>
        <v>4500</v>
      </c>
      <c r="I742" s="60">
        <v>18</v>
      </c>
      <c r="J742" s="312"/>
      <c r="K742" s="312"/>
      <c r="L742" s="312"/>
      <c r="M742" s="60">
        <f t="shared" si="127"/>
        <v>18</v>
      </c>
      <c r="N742" s="303">
        <f t="shared" si="128"/>
        <v>4482</v>
      </c>
      <c r="O742" s="263" t="s">
        <v>42</v>
      </c>
      <c r="P742" s="263" t="s">
        <v>369</v>
      </c>
    </row>
    <row r="743" spans="2:18" ht="12.75" customHeight="1" x14ac:dyDescent="0.25">
      <c r="B743" s="325" t="s">
        <v>41</v>
      </c>
      <c r="C743" s="325" t="s">
        <v>105</v>
      </c>
      <c r="D743" s="325" t="s">
        <v>1245</v>
      </c>
      <c r="E743" s="2">
        <v>5800</v>
      </c>
      <c r="F743" s="2">
        <v>1900</v>
      </c>
      <c r="G743" s="60">
        <v>41.25</v>
      </c>
      <c r="H743" s="303">
        <f t="shared" si="123"/>
        <v>78375</v>
      </c>
      <c r="I743" s="60">
        <v>342</v>
      </c>
      <c r="J743" s="312"/>
      <c r="K743" s="312"/>
      <c r="L743" s="312"/>
      <c r="M743" s="60">
        <f t="shared" si="127"/>
        <v>342</v>
      </c>
      <c r="N743" s="303">
        <f t="shared" si="128"/>
        <v>78033</v>
      </c>
      <c r="O743" s="263" t="s">
        <v>42</v>
      </c>
      <c r="P743" s="263" t="s">
        <v>369</v>
      </c>
    </row>
    <row r="744" spans="2:18" ht="12.75" customHeight="1" x14ac:dyDescent="0.25">
      <c r="B744" s="325" t="s">
        <v>41</v>
      </c>
      <c r="C744" s="325" t="s">
        <v>105</v>
      </c>
      <c r="D744" s="325" t="s">
        <v>1245</v>
      </c>
      <c r="E744" s="2">
        <v>5800</v>
      </c>
      <c r="F744" s="2">
        <v>50</v>
      </c>
      <c r="G744" s="60">
        <v>41.2</v>
      </c>
      <c r="H744" s="303">
        <f t="shared" si="123"/>
        <v>2060</v>
      </c>
      <c r="I744" s="60">
        <v>9</v>
      </c>
      <c r="J744" s="439"/>
      <c r="K744" s="439"/>
      <c r="L744" s="439"/>
      <c r="M744" s="60">
        <f t="shared" ref="M744:M753" si="129">SUM(I744:L744)</f>
        <v>9</v>
      </c>
      <c r="N744" s="303">
        <f t="shared" ref="N744:N753" si="130">H744-M744</f>
        <v>2051</v>
      </c>
      <c r="O744" s="263" t="s">
        <v>42</v>
      </c>
      <c r="P744" s="263" t="s">
        <v>369</v>
      </c>
    </row>
    <row r="745" spans="2:18" ht="13.2" x14ac:dyDescent="0.25">
      <c r="B745" s="325" t="s">
        <v>41</v>
      </c>
      <c r="C745" s="325" t="s">
        <v>105</v>
      </c>
      <c r="D745" s="325" t="s">
        <v>1245</v>
      </c>
      <c r="E745" s="2">
        <v>5800</v>
      </c>
      <c r="F745" s="2">
        <v>50</v>
      </c>
      <c r="G745" s="60">
        <v>41.2</v>
      </c>
      <c r="H745" s="303">
        <f t="shared" si="123"/>
        <v>2060</v>
      </c>
      <c r="I745" s="60">
        <v>9</v>
      </c>
      <c r="J745" s="440"/>
      <c r="K745" s="440"/>
      <c r="L745" s="441"/>
      <c r="M745" s="60">
        <f t="shared" si="129"/>
        <v>9</v>
      </c>
      <c r="N745" s="303">
        <f t="shared" si="130"/>
        <v>2051</v>
      </c>
      <c r="O745" s="263" t="s">
        <v>42</v>
      </c>
      <c r="P745" s="304" t="s">
        <v>369</v>
      </c>
      <c r="R745" s="247"/>
    </row>
    <row r="746" spans="2:18" ht="12.75" customHeight="1" x14ac:dyDescent="0.25">
      <c r="B746" s="325" t="s">
        <v>2797</v>
      </c>
      <c r="C746" s="325" t="s">
        <v>2796</v>
      </c>
      <c r="D746" s="325" t="s">
        <v>1245</v>
      </c>
      <c r="E746" s="2">
        <v>5800</v>
      </c>
      <c r="F746" s="2">
        <v>50</v>
      </c>
      <c r="G746" s="60">
        <v>44.8</v>
      </c>
      <c r="H746" s="303">
        <f t="shared" si="123"/>
        <v>2240</v>
      </c>
      <c r="I746" s="60">
        <v>9</v>
      </c>
      <c r="J746" s="439"/>
      <c r="K746" s="439"/>
      <c r="L746" s="439"/>
      <c r="M746" s="60">
        <f t="shared" si="129"/>
        <v>9</v>
      </c>
      <c r="N746" s="303">
        <f t="shared" si="130"/>
        <v>2231</v>
      </c>
      <c r="O746" s="249" t="s">
        <v>2798</v>
      </c>
      <c r="P746" s="304" t="s">
        <v>369</v>
      </c>
    </row>
    <row r="747" spans="2:18" ht="12.75" customHeight="1" x14ac:dyDescent="0.25">
      <c r="B747" s="325" t="s">
        <v>2797</v>
      </c>
      <c r="C747" s="325" t="s">
        <v>105</v>
      </c>
      <c r="D747" s="325" t="s">
        <v>1245</v>
      </c>
      <c r="E747" s="2">
        <v>5800</v>
      </c>
      <c r="F747" s="2">
        <v>400</v>
      </c>
      <c r="G747" s="60">
        <v>44.75</v>
      </c>
      <c r="H747" s="303">
        <f t="shared" si="123"/>
        <v>17900</v>
      </c>
      <c r="I747" s="60">
        <v>72</v>
      </c>
      <c r="J747" s="439"/>
      <c r="K747" s="439"/>
      <c r="L747" s="439"/>
      <c r="M747" s="60">
        <f t="shared" si="129"/>
        <v>72</v>
      </c>
      <c r="N747" s="303">
        <f t="shared" si="130"/>
        <v>17828</v>
      </c>
      <c r="O747" s="249" t="s">
        <v>2798</v>
      </c>
      <c r="P747" s="304" t="s">
        <v>369</v>
      </c>
    </row>
    <row r="748" spans="2:18" ht="12.75" customHeight="1" x14ac:dyDescent="0.25">
      <c r="B748" s="325" t="s">
        <v>2797</v>
      </c>
      <c r="C748" s="325" t="s">
        <v>105</v>
      </c>
      <c r="D748" s="325" t="s">
        <v>1245</v>
      </c>
      <c r="E748" s="2">
        <v>5800</v>
      </c>
      <c r="F748" s="2">
        <v>100</v>
      </c>
      <c r="G748" s="60">
        <v>44.75</v>
      </c>
      <c r="H748" s="303">
        <f t="shared" si="123"/>
        <v>4475</v>
      </c>
      <c r="I748" s="60">
        <v>18</v>
      </c>
      <c r="J748" s="439"/>
      <c r="K748" s="439"/>
      <c r="L748" s="439"/>
      <c r="M748" s="60">
        <f t="shared" si="129"/>
        <v>18</v>
      </c>
      <c r="N748" s="303">
        <f t="shared" si="130"/>
        <v>4457</v>
      </c>
      <c r="O748" s="249" t="s">
        <v>2798</v>
      </c>
      <c r="P748" s="304" t="s">
        <v>369</v>
      </c>
    </row>
    <row r="749" spans="2:18" ht="12.75" customHeight="1" x14ac:dyDescent="0.25">
      <c r="B749" s="325" t="s">
        <v>2797</v>
      </c>
      <c r="C749" s="325" t="s">
        <v>105</v>
      </c>
      <c r="D749" s="325" t="s">
        <v>1245</v>
      </c>
      <c r="E749" s="2">
        <v>5800</v>
      </c>
      <c r="F749" s="2">
        <v>100</v>
      </c>
      <c r="G749" s="60">
        <v>44.7</v>
      </c>
      <c r="H749" s="303">
        <f t="shared" si="123"/>
        <v>4470</v>
      </c>
      <c r="I749" s="60">
        <v>18</v>
      </c>
      <c r="J749" s="439"/>
      <c r="K749" s="439"/>
      <c r="L749" s="439"/>
      <c r="M749" s="60">
        <f t="shared" si="129"/>
        <v>18</v>
      </c>
      <c r="N749" s="303">
        <f t="shared" si="130"/>
        <v>4452</v>
      </c>
      <c r="O749" s="249" t="s">
        <v>2798</v>
      </c>
      <c r="P749" s="304" t="s">
        <v>369</v>
      </c>
    </row>
    <row r="750" spans="2:18" ht="12.75" customHeight="1" x14ac:dyDescent="0.25">
      <c r="B750" s="325" t="s">
        <v>2797</v>
      </c>
      <c r="C750" s="325" t="s">
        <v>105</v>
      </c>
      <c r="D750" s="325" t="s">
        <v>1245</v>
      </c>
      <c r="E750" s="2">
        <v>5800</v>
      </c>
      <c r="F750" s="2">
        <v>300</v>
      </c>
      <c r="G750" s="60">
        <v>44.7</v>
      </c>
      <c r="H750" s="303">
        <f t="shared" si="123"/>
        <v>13410</v>
      </c>
      <c r="I750" s="60">
        <v>54</v>
      </c>
      <c r="J750" s="439"/>
      <c r="K750" s="439"/>
      <c r="L750" s="439"/>
      <c r="M750" s="60">
        <f t="shared" si="129"/>
        <v>54</v>
      </c>
      <c r="N750" s="303">
        <f t="shared" si="130"/>
        <v>13356</v>
      </c>
      <c r="O750" s="249" t="s">
        <v>2798</v>
      </c>
      <c r="P750" s="304" t="s">
        <v>369</v>
      </c>
    </row>
    <row r="751" spans="2:18" ht="12.75" customHeight="1" x14ac:dyDescent="0.25">
      <c r="B751" s="325" t="s">
        <v>2797</v>
      </c>
      <c r="C751" s="325" t="s">
        <v>105</v>
      </c>
      <c r="D751" s="325" t="s">
        <v>1245</v>
      </c>
      <c r="E751" s="2">
        <v>5800</v>
      </c>
      <c r="F751" s="2">
        <v>50</v>
      </c>
      <c r="G751" s="60">
        <v>44.7</v>
      </c>
      <c r="H751" s="303">
        <f t="shared" si="123"/>
        <v>2235</v>
      </c>
      <c r="I751" s="60">
        <v>9</v>
      </c>
      <c r="J751" s="439"/>
      <c r="K751" s="439"/>
      <c r="L751" s="439"/>
      <c r="M751" s="60">
        <f t="shared" si="129"/>
        <v>9</v>
      </c>
      <c r="N751" s="303">
        <f t="shared" si="130"/>
        <v>2226</v>
      </c>
      <c r="O751" s="249" t="s">
        <v>2798</v>
      </c>
      <c r="P751" s="304" t="s">
        <v>369</v>
      </c>
    </row>
    <row r="752" spans="2:18" ht="12.75" customHeight="1" x14ac:dyDescent="0.25">
      <c r="B752" s="325" t="s">
        <v>2797</v>
      </c>
      <c r="C752" s="325" t="s">
        <v>105</v>
      </c>
      <c r="D752" s="325" t="s">
        <v>1245</v>
      </c>
      <c r="E752" s="2">
        <v>5800</v>
      </c>
      <c r="F752" s="2">
        <v>500</v>
      </c>
      <c r="G752" s="60">
        <v>44.7</v>
      </c>
      <c r="H752" s="303">
        <f t="shared" si="123"/>
        <v>22350</v>
      </c>
      <c r="I752" s="60">
        <v>90</v>
      </c>
      <c r="J752" s="439"/>
      <c r="K752" s="439"/>
      <c r="L752" s="439"/>
      <c r="M752" s="60">
        <f t="shared" si="129"/>
        <v>90</v>
      </c>
      <c r="N752" s="303">
        <f t="shared" si="130"/>
        <v>22260</v>
      </c>
      <c r="O752" s="249" t="s">
        <v>2798</v>
      </c>
      <c r="P752" s="304" t="s">
        <v>369</v>
      </c>
    </row>
    <row r="753" spans="2:16" ht="12.75" customHeight="1" x14ac:dyDescent="0.25">
      <c r="B753" s="325" t="s">
        <v>2797</v>
      </c>
      <c r="C753" s="325" t="s">
        <v>105</v>
      </c>
      <c r="D753" s="325" t="s">
        <v>1245</v>
      </c>
      <c r="E753" s="2">
        <v>5800</v>
      </c>
      <c r="F753" s="2">
        <v>1500</v>
      </c>
      <c r="G753" s="60">
        <v>44.6</v>
      </c>
      <c r="H753" s="303">
        <f t="shared" si="123"/>
        <v>66900</v>
      </c>
      <c r="I753" s="60">
        <v>270</v>
      </c>
      <c r="J753" s="247">
        <v>78.33</v>
      </c>
      <c r="K753" s="247">
        <f>23+9</f>
        <v>32</v>
      </c>
      <c r="L753" s="247">
        <v>93.79</v>
      </c>
      <c r="M753" s="60">
        <f t="shared" si="129"/>
        <v>474.12</v>
      </c>
      <c r="N753" s="303">
        <f t="shared" si="130"/>
        <v>66425.88</v>
      </c>
      <c r="O753" s="249" t="s">
        <v>2798</v>
      </c>
      <c r="P753" s="304" t="s">
        <v>369</v>
      </c>
    </row>
    <row r="754" spans="2:16" ht="12.75" customHeight="1" x14ac:dyDescent="0.25">
      <c r="B754" s="325" t="s">
        <v>2812</v>
      </c>
      <c r="C754" s="325" t="s">
        <v>105</v>
      </c>
      <c r="D754" s="325" t="s">
        <v>1245</v>
      </c>
      <c r="E754" s="2">
        <v>6000</v>
      </c>
      <c r="F754" s="2">
        <v>50</v>
      </c>
      <c r="G754" s="60">
        <v>118.4</v>
      </c>
      <c r="H754" s="303">
        <f>F754*G754</f>
        <v>5920</v>
      </c>
      <c r="I754" s="60">
        <v>9</v>
      </c>
      <c r="J754" s="439"/>
      <c r="K754" s="439"/>
      <c r="L754" s="439"/>
      <c r="M754" s="60">
        <f>SUM(I754:L754)</f>
        <v>9</v>
      </c>
      <c r="N754" s="303">
        <f>H754-M754</f>
        <v>5911</v>
      </c>
      <c r="O754" s="249" t="s">
        <v>1629</v>
      </c>
      <c r="P754" s="249" t="s">
        <v>369</v>
      </c>
    </row>
    <row r="755" spans="2:16" ht="12.75" customHeight="1" x14ac:dyDescent="0.25">
      <c r="B755" s="325" t="s">
        <v>2812</v>
      </c>
      <c r="C755" s="325" t="s">
        <v>105</v>
      </c>
      <c r="D755" s="325" t="s">
        <v>1245</v>
      </c>
      <c r="E755" s="2">
        <v>6000</v>
      </c>
      <c r="F755" s="2">
        <v>400</v>
      </c>
      <c r="G755" s="60">
        <v>118.4</v>
      </c>
      <c r="H755" s="303">
        <f>F755*G755</f>
        <v>47360</v>
      </c>
      <c r="I755" s="60">
        <v>72</v>
      </c>
      <c r="J755" s="439"/>
      <c r="K755" s="439"/>
      <c r="L755" s="439"/>
      <c r="M755" s="60">
        <f>SUM(I755:L755)</f>
        <v>72</v>
      </c>
      <c r="N755" s="303">
        <f>H755-M755</f>
        <v>47288</v>
      </c>
      <c r="O755" s="249" t="s">
        <v>1629</v>
      </c>
      <c r="P755" s="249" t="s">
        <v>369</v>
      </c>
    </row>
    <row r="756" spans="2:16" ht="12.75" customHeight="1" x14ac:dyDescent="0.25">
      <c r="B756" s="325" t="s">
        <v>2812</v>
      </c>
      <c r="C756" s="325" t="s">
        <v>105</v>
      </c>
      <c r="D756" s="325" t="s">
        <v>1245</v>
      </c>
      <c r="E756" s="2">
        <v>6000</v>
      </c>
      <c r="F756" s="2">
        <v>50</v>
      </c>
      <c r="G756" s="60">
        <v>118.4</v>
      </c>
      <c r="H756" s="303">
        <f>F756*G756</f>
        <v>5920</v>
      </c>
      <c r="I756" s="60">
        <v>9</v>
      </c>
      <c r="J756" s="439"/>
      <c r="K756" s="439"/>
      <c r="L756" s="439"/>
      <c r="M756" s="60">
        <f>SUM(I756:L756)</f>
        <v>9</v>
      </c>
      <c r="N756" s="303">
        <f>H756-M756</f>
        <v>5911</v>
      </c>
      <c r="O756" s="249" t="s">
        <v>1629</v>
      </c>
      <c r="P756" s="249" t="s">
        <v>369</v>
      </c>
    </row>
    <row r="757" spans="2:16" ht="12.75" customHeight="1" x14ac:dyDescent="0.25">
      <c r="B757" s="325" t="s">
        <v>2811</v>
      </c>
      <c r="C757" s="325" t="s">
        <v>105</v>
      </c>
      <c r="D757" s="325" t="s">
        <v>1245</v>
      </c>
      <c r="E757" s="2">
        <v>5800</v>
      </c>
      <c r="F757" s="2">
        <v>50</v>
      </c>
      <c r="G757" s="60">
        <v>11.25</v>
      </c>
      <c r="H757" s="303">
        <f t="shared" si="123"/>
        <v>562.5</v>
      </c>
      <c r="I757" s="60">
        <v>9</v>
      </c>
      <c r="J757" s="439"/>
      <c r="K757" s="439"/>
      <c r="L757" s="439"/>
      <c r="M757" s="60">
        <f t="shared" ref="M757:M765" si="131">SUM(I757:L757)</f>
        <v>9</v>
      </c>
      <c r="N757" s="303">
        <f t="shared" ref="N757:N770" si="132">H757-M757</f>
        <v>553.5</v>
      </c>
      <c r="O757" s="249" t="s">
        <v>2810</v>
      </c>
      <c r="P757" s="304" t="s">
        <v>369</v>
      </c>
    </row>
    <row r="758" spans="2:16" ht="13.2" x14ac:dyDescent="0.25">
      <c r="B758" s="325" t="s">
        <v>2811</v>
      </c>
      <c r="C758" s="325" t="s">
        <v>105</v>
      </c>
      <c r="D758" s="325" t="s">
        <v>1245</v>
      </c>
      <c r="E758" s="2">
        <v>5800</v>
      </c>
      <c r="F758" s="2">
        <v>250</v>
      </c>
      <c r="G758" s="60">
        <v>11.2</v>
      </c>
      <c r="H758" s="303">
        <f t="shared" si="123"/>
        <v>2800</v>
      </c>
      <c r="I758" s="60">
        <v>45</v>
      </c>
      <c r="J758" s="439"/>
      <c r="K758" s="439"/>
      <c r="L758" s="439"/>
      <c r="M758" s="60">
        <f t="shared" si="131"/>
        <v>45</v>
      </c>
      <c r="N758" s="303">
        <f t="shared" si="132"/>
        <v>2755</v>
      </c>
      <c r="O758" s="249" t="s">
        <v>2810</v>
      </c>
      <c r="P758" s="304" t="s">
        <v>369</v>
      </c>
    </row>
    <row r="759" spans="2:16" ht="12.75" customHeight="1" x14ac:dyDescent="0.25">
      <c r="B759" s="325" t="s">
        <v>2811</v>
      </c>
      <c r="C759" s="325" t="s">
        <v>105</v>
      </c>
      <c r="D759" s="325" t="s">
        <v>1245</v>
      </c>
      <c r="E759" s="2">
        <v>5800</v>
      </c>
      <c r="F759" s="2">
        <v>300</v>
      </c>
      <c r="G759" s="60">
        <v>11.2</v>
      </c>
      <c r="H759" s="303">
        <f t="shared" si="123"/>
        <v>3360</v>
      </c>
      <c r="I759" s="60">
        <v>54</v>
      </c>
      <c r="J759" s="439"/>
      <c r="K759" s="439"/>
      <c r="L759" s="439"/>
      <c r="M759" s="60">
        <f t="shared" si="131"/>
        <v>54</v>
      </c>
      <c r="N759" s="303">
        <f t="shared" si="132"/>
        <v>3306</v>
      </c>
      <c r="O759" s="249" t="s">
        <v>2810</v>
      </c>
      <c r="P759" s="304" t="s">
        <v>369</v>
      </c>
    </row>
    <row r="760" spans="2:16" ht="12.75" customHeight="1" x14ac:dyDescent="0.25">
      <c r="B760" s="325" t="s">
        <v>2811</v>
      </c>
      <c r="C760" s="325" t="s">
        <v>105</v>
      </c>
      <c r="D760" s="325" t="s">
        <v>1245</v>
      </c>
      <c r="E760" s="2">
        <v>5800</v>
      </c>
      <c r="F760" s="2">
        <v>1200</v>
      </c>
      <c r="G760" s="60">
        <v>11.2</v>
      </c>
      <c r="H760" s="303">
        <f t="shared" si="123"/>
        <v>13440</v>
      </c>
      <c r="I760" s="60">
        <v>216</v>
      </c>
      <c r="J760" s="439"/>
      <c r="K760" s="439"/>
      <c r="L760" s="439"/>
      <c r="M760" s="60">
        <f t="shared" si="131"/>
        <v>216</v>
      </c>
      <c r="N760" s="303">
        <f t="shared" si="132"/>
        <v>13224</v>
      </c>
      <c r="O760" s="249" t="s">
        <v>2810</v>
      </c>
      <c r="P760" s="304" t="s">
        <v>369</v>
      </c>
    </row>
    <row r="761" spans="2:16" ht="12.75" customHeight="1" x14ac:dyDescent="0.25">
      <c r="B761" s="325" t="s">
        <v>2811</v>
      </c>
      <c r="C761" s="325" t="s">
        <v>105</v>
      </c>
      <c r="D761" s="325" t="s">
        <v>1245</v>
      </c>
      <c r="E761" s="2">
        <v>5800</v>
      </c>
      <c r="F761" s="2">
        <v>700</v>
      </c>
      <c r="G761" s="60">
        <v>11.2</v>
      </c>
      <c r="H761" s="303">
        <f t="shared" si="123"/>
        <v>7839.9999999999991</v>
      </c>
      <c r="I761" s="60">
        <v>126</v>
      </c>
      <c r="J761" s="439"/>
      <c r="K761" s="439"/>
      <c r="L761" s="439"/>
      <c r="M761" s="60">
        <f t="shared" si="131"/>
        <v>126</v>
      </c>
      <c r="N761" s="303">
        <f t="shared" si="132"/>
        <v>7713.9999999999991</v>
      </c>
      <c r="O761" s="249" t="s">
        <v>2810</v>
      </c>
      <c r="P761" s="304" t="s">
        <v>369</v>
      </c>
    </row>
    <row r="762" spans="2:16" ht="12.75" customHeight="1" x14ac:dyDescent="0.25">
      <c r="B762" s="325" t="s">
        <v>2811</v>
      </c>
      <c r="C762" s="325" t="s">
        <v>105</v>
      </c>
      <c r="D762" s="325" t="s">
        <v>1245</v>
      </c>
      <c r="E762" s="2">
        <v>6000</v>
      </c>
      <c r="F762" s="2">
        <v>50</v>
      </c>
      <c r="G762" s="60">
        <v>83</v>
      </c>
      <c r="H762" s="303">
        <f t="shared" si="123"/>
        <v>4150</v>
      </c>
      <c r="I762" s="60">
        <v>9</v>
      </c>
      <c r="J762" s="439"/>
      <c r="K762" s="439"/>
      <c r="L762" s="439"/>
      <c r="M762" s="60">
        <f t="shared" si="131"/>
        <v>9</v>
      </c>
      <c r="N762" s="303">
        <f t="shared" si="132"/>
        <v>4141</v>
      </c>
      <c r="O762" s="249" t="s">
        <v>2810</v>
      </c>
      <c r="P762" s="304" t="s">
        <v>369</v>
      </c>
    </row>
    <row r="763" spans="2:16" ht="12.75" customHeight="1" x14ac:dyDescent="0.25">
      <c r="B763" s="325" t="s">
        <v>2811</v>
      </c>
      <c r="C763" s="325" t="s">
        <v>105</v>
      </c>
      <c r="D763" s="325" t="s">
        <v>1245</v>
      </c>
      <c r="E763" s="2">
        <v>6000</v>
      </c>
      <c r="F763" s="2">
        <v>50</v>
      </c>
      <c r="G763" s="60">
        <v>83</v>
      </c>
      <c r="H763" s="303">
        <f t="shared" si="123"/>
        <v>4150</v>
      </c>
      <c r="I763" s="60">
        <v>9</v>
      </c>
      <c r="J763" s="439"/>
      <c r="K763" s="439"/>
      <c r="L763" s="439"/>
      <c r="M763" s="60">
        <f t="shared" si="131"/>
        <v>9</v>
      </c>
      <c r="N763" s="303">
        <f t="shared" si="132"/>
        <v>4141</v>
      </c>
      <c r="O763" s="249" t="s">
        <v>2810</v>
      </c>
      <c r="P763" s="304" t="s">
        <v>369</v>
      </c>
    </row>
    <row r="764" spans="2:16" ht="12.75" customHeight="1" x14ac:dyDescent="0.25">
      <c r="B764" s="325" t="s">
        <v>2811</v>
      </c>
      <c r="C764" s="325" t="s">
        <v>105</v>
      </c>
      <c r="D764" s="325" t="s">
        <v>1245</v>
      </c>
      <c r="E764" s="2">
        <v>6000</v>
      </c>
      <c r="F764" s="2">
        <v>100</v>
      </c>
      <c r="G764" s="60">
        <v>83</v>
      </c>
      <c r="H764" s="303">
        <f t="shared" si="123"/>
        <v>8300</v>
      </c>
      <c r="I764" s="60">
        <v>18</v>
      </c>
      <c r="J764" s="439"/>
      <c r="K764" s="439"/>
      <c r="L764" s="439"/>
      <c r="M764" s="60">
        <f t="shared" si="131"/>
        <v>18</v>
      </c>
      <c r="N764" s="303">
        <f t="shared" si="132"/>
        <v>8282</v>
      </c>
      <c r="O764" s="249" t="s">
        <v>2810</v>
      </c>
      <c r="P764" s="304" t="s">
        <v>369</v>
      </c>
    </row>
    <row r="765" spans="2:16" ht="12.75" customHeight="1" x14ac:dyDescent="0.25">
      <c r="B765" s="325" t="s">
        <v>2811</v>
      </c>
      <c r="C765" s="325" t="s">
        <v>105</v>
      </c>
      <c r="D765" s="325" t="s">
        <v>1245</v>
      </c>
      <c r="E765" s="2">
        <v>6000</v>
      </c>
      <c r="F765" s="2">
        <v>800</v>
      </c>
      <c r="G765" s="60">
        <v>83</v>
      </c>
      <c r="H765" s="303">
        <f t="shared" si="123"/>
        <v>66400</v>
      </c>
      <c r="I765" s="60">
        <v>144</v>
      </c>
      <c r="J765" s="247">
        <v>87.47</v>
      </c>
      <c r="K765" s="247">
        <f>19+7</f>
        <v>26</v>
      </c>
      <c r="L765" s="247">
        <v>77.7</v>
      </c>
      <c r="M765" s="60">
        <f t="shared" si="131"/>
        <v>335.17</v>
      </c>
      <c r="N765" s="303">
        <f t="shared" si="132"/>
        <v>66064.83</v>
      </c>
      <c r="O765" s="249" t="s">
        <v>2810</v>
      </c>
      <c r="P765" s="304" t="s">
        <v>369</v>
      </c>
    </row>
    <row r="766" spans="2:16" ht="12.75" customHeight="1" x14ac:dyDescent="0.25">
      <c r="B766" s="325" t="s">
        <v>2814</v>
      </c>
      <c r="C766" s="325" t="s">
        <v>2815</v>
      </c>
      <c r="D766" s="325" t="s">
        <v>1249</v>
      </c>
      <c r="E766" s="2">
        <v>120</v>
      </c>
      <c r="F766" s="2">
        <v>4000</v>
      </c>
      <c r="G766" s="60">
        <v>1.9</v>
      </c>
      <c r="H766" s="303">
        <f t="shared" si="123"/>
        <v>7600</v>
      </c>
      <c r="I766" s="60">
        <v>9</v>
      </c>
      <c r="J766" s="439"/>
      <c r="K766" s="439"/>
      <c r="L766" s="439"/>
      <c r="M766" s="60">
        <f>SUM(I766:L766)</f>
        <v>9</v>
      </c>
      <c r="N766" s="303">
        <f t="shared" si="132"/>
        <v>7591</v>
      </c>
      <c r="O766" s="249" t="s">
        <v>2817</v>
      </c>
      <c r="P766" s="304" t="s">
        <v>369</v>
      </c>
    </row>
    <row r="767" spans="2:16" ht="12.75" customHeight="1" x14ac:dyDescent="0.25">
      <c r="B767" s="325" t="s">
        <v>2814</v>
      </c>
      <c r="C767" s="325" t="s">
        <v>2815</v>
      </c>
      <c r="D767" s="325" t="s">
        <v>1249</v>
      </c>
      <c r="E767" s="2">
        <v>120</v>
      </c>
      <c r="F767" s="2">
        <v>4000</v>
      </c>
      <c r="G767" s="60">
        <v>1.9</v>
      </c>
      <c r="H767" s="303">
        <f t="shared" ref="H767:H830" si="133">F767*G767</f>
        <v>7600</v>
      </c>
      <c r="I767" s="60">
        <v>9</v>
      </c>
      <c r="J767" s="439"/>
      <c r="K767" s="439"/>
      <c r="L767" s="439"/>
      <c r="M767" s="60">
        <f>SUM(I767:L767)</f>
        <v>9</v>
      </c>
      <c r="N767" s="303">
        <f t="shared" si="132"/>
        <v>7591</v>
      </c>
      <c r="O767" s="249" t="s">
        <v>2817</v>
      </c>
      <c r="P767" s="304" t="s">
        <v>369</v>
      </c>
    </row>
    <row r="768" spans="2:16" ht="12.75" customHeight="1" x14ac:dyDescent="0.25">
      <c r="B768" s="325" t="s">
        <v>2814</v>
      </c>
      <c r="C768" s="325" t="s">
        <v>2815</v>
      </c>
      <c r="D768" s="325" t="s">
        <v>1249</v>
      </c>
      <c r="E768" s="2">
        <v>120</v>
      </c>
      <c r="F768" s="2">
        <v>4000</v>
      </c>
      <c r="G768" s="60">
        <v>1.9</v>
      </c>
      <c r="H768" s="303">
        <f t="shared" si="133"/>
        <v>7600</v>
      </c>
      <c r="I768" s="60">
        <v>9</v>
      </c>
      <c r="J768" s="439"/>
      <c r="K768" s="439"/>
      <c r="L768" s="439"/>
      <c r="M768" s="60">
        <f>SUM(I768:L768)</f>
        <v>9</v>
      </c>
      <c r="N768" s="303">
        <f t="shared" si="132"/>
        <v>7591</v>
      </c>
      <c r="O768" s="249" t="s">
        <v>2817</v>
      </c>
      <c r="P768" s="304" t="s">
        <v>369</v>
      </c>
    </row>
    <row r="769" spans="2:16" ht="12.75" customHeight="1" x14ac:dyDescent="0.25">
      <c r="B769" s="325" t="s">
        <v>2814</v>
      </c>
      <c r="C769" s="325" t="s">
        <v>2815</v>
      </c>
      <c r="D769" s="325" t="s">
        <v>1249</v>
      </c>
      <c r="E769" s="2">
        <v>120</v>
      </c>
      <c r="F769" s="2">
        <v>4000</v>
      </c>
      <c r="G769" s="60">
        <v>1.9</v>
      </c>
      <c r="H769" s="303">
        <f t="shared" si="133"/>
        <v>7600</v>
      </c>
      <c r="I769" s="60">
        <v>9</v>
      </c>
      <c r="J769" s="439"/>
      <c r="K769" s="439"/>
      <c r="L769" s="439"/>
      <c r="M769" s="60">
        <f>SUM(I769:L769)</f>
        <v>9</v>
      </c>
      <c r="N769" s="303">
        <f t="shared" si="132"/>
        <v>7591</v>
      </c>
      <c r="O769" s="249" t="s">
        <v>2817</v>
      </c>
      <c r="P769" s="304" t="s">
        <v>369</v>
      </c>
    </row>
    <row r="770" spans="2:16" ht="12.75" customHeight="1" x14ac:dyDescent="0.25">
      <c r="B770" s="325" t="s">
        <v>2814</v>
      </c>
      <c r="C770" s="325" t="s">
        <v>2815</v>
      </c>
      <c r="D770" s="325" t="s">
        <v>1249</v>
      </c>
      <c r="E770" s="2">
        <v>120</v>
      </c>
      <c r="F770" s="2">
        <v>4000</v>
      </c>
      <c r="G770" s="60">
        <v>1.85</v>
      </c>
      <c r="H770" s="303">
        <f t="shared" si="133"/>
        <v>7400</v>
      </c>
      <c r="I770" s="60">
        <v>9</v>
      </c>
      <c r="J770" s="439"/>
      <c r="K770" s="439"/>
      <c r="L770" s="439"/>
      <c r="M770" s="60">
        <f>SUM(I770:L770)</f>
        <v>9</v>
      </c>
      <c r="N770" s="303">
        <f t="shared" si="132"/>
        <v>7391</v>
      </c>
      <c r="O770" s="249" t="s">
        <v>2817</v>
      </c>
      <c r="P770" s="304" t="s">
        <v>369</v>
      </c>
    </row>
    <row r="771" spans="2:16" ht="12.75" customHeight="1" x14ac:dyDescent="0.25">
      <c r="B771" s="325" t="s">
        <v>2819</v>
      </c>
      <c r="C771" s="325" t="s">
        <v>105</v>
      </c>
      <c r="D771" s="325" t="s">
        <v>1245</v>
      </c>
      <c r="E771" s="2">
        <v>6000</v>
      </c>
      <c r="F771" s="2">
        <v>50</v>
      </c>
      <c r="G771" s="60">
        <v>88.35</v>
      </c>
      <c r="H771" s="303">
        <f>F771*G771</f>
        <v>4417.5</v>
      </c>
      <c r="I771" s="60">
        <v>9</v>
      </c>
      <c r="J771" s="439"/>
      <c r="K771" s="439"/>
      <c r="L771" s="439"/>
      <c r="M771" s="60">
        <f t="shared" ref="M771:M814" si="134">SUM(I771:L771)</f>
        <v>9</v>
      </c>
      <c r="N771" s="303">
        <f t="shared" ref="N771:N814" si="135">H771-M771</f>
        <v>4408.5</v>
      </c>
      <c r="O771" s="249" t="s">
        <v>2071</v>
      </c>
      <c r="P771" s="304" t="s">
        <v>369</v>
      </c>
    </row>
    <row r="772" spans="2:16" ht="12.75" customHeight="1" x14ac:dyDescent="0.25">
      <c r="B772" s="325" t="s">
        <v>2819</v>
      </c>
      <c r="C772" s="325" t="s">
        <v>105</v>
      </c>
      <c r="D772" s="325" t="s">
        <v>1245</v>
      </c>
      <c r="E772" s="2">
        <v>6000</v>
      </c>
      <c r="F772" s="2">
        <v>100</v>
      </c>
      <c r="G772" s="60">
        <v>88.3</v>
      </c>
      <c r="H772" s="303">
        <f t="shared" si="133"/>
        <v>8830</v>
      </c>
      <c r="I772" s="60">
        <v>18</v>
      </c>
      <c r="J772" s="439"/>
      <c r="K772" s="439"/>
      <c r="L772" s="439"/>
      <c r="M772" s="60">
        <f t="shared" si="134"/>
        <v>18</v>
      </c>
      <c r="N772" s="303">
        <f t="shared" si="135"/>
        <v>8812</v>
      </c>
      <c r="O772" s="249" t="s">
        <v>2071</v>
      </c>
      <c r="P772" s="304" t="s">
        <v>369</v>
      </c>
    </row>
    <row r="773" spans="2:16" ht="12.75" customHeight="1" x14ac:dyDescent="0.25">
      <c r="B773" s="325" t="s">
        <v>2819</v>
      </c>
      <c r="C773" s="325" t="s">
        <v>105</v>
      </c>
      <c r="D773" s="325" t="s">
        <v>1245</v>
      </c>
      <c r="E773" s="2">
        <v>6000</v>
      </c>
      <c r="F773" s="2">
        <v>100</v>
      </c>
      <c r="G773" s="60">
        <v>88.1</v>
      </c>
      <c r="H773" s="303">
        <f t="shared" si="133"/>
        <v>8810</v>
      </c>
      <c r="I773" s="60">
        <v>18</v>
      </c>
      <c r="J773" s="439"/>
      <c r="K773" s="439"/>
      <c r="L773" s="439"/>
      <c r="M773" s="60">
        <f t="shared" si="134"/>
        <v>18</v>
      </c>
      <c r="N773" s="303">
        <f t="shared" si="135"/>
        <v>8792</v>
      </c>
      <c r="O773" s="249" t="s">
        <v>2071</v>
      </c>
      <c r="P773" s="304" t="s">
        <v>369</v>
      </c>
    </row>
    <row r="774" spans="2:16" ht="12.75" customHeight="1" x14ac:dyDescent="0.25">
      <c r="B774" s="325" t="s">
        <v>2819</v>
      </c>
      <c r="C774" s="325" t="s">
        <v>105</v>
      </c>
      <c r="D774" s="325" t="s">
        <v>1245</v>
      </c>
      <c r="E774" s="2">
        <v>6000</v>
      </c>
      <c r="F774" s="2">
        <v>300</v>
      </c>
      <c r="G774" s="60">
        <v>88.05</v>
      </c>
      <c r="H774" s="303">
        <f t="shared" si="133"/>
        <v>26415</v>
      </c>
      <c r="I774" s="60">
        <v>54</v>
      </c>
      <c r="J774" s="439"/>
      <c r="K774" s="439"/>
      <c r="L774" s="439"/>
      <c r="M774" s="60">
        <f t="shared" si="134"/>
        <v>54</v>
      </c>
      <c r="N774" s="303">
        <f t="shared" si="135"/>
        <v>26361</v>
      </c>
      <c r="O774" s="249" t="s">
        <v>2071</v>
      </c>
      <c r="P774" s="304" t="s">
        <v>369</v>
      </c>
    </row>
    <row r="775" spans="2:16" ht="13.2" x14ac:dyDescent="0.25">
      <c r="B775" s="325" t="s">
        <v>2819</v>
      </c>
      <c r="C775" s="325" t="s">
        <v>105</v>
      </c>
      <c r="D775" s="325" t="s">
        <v>1245</v>
      </c>
      <c r="E775" s="2">
        <v>6000</v>
      </c>
      <c r="F775" s="2">
        <v>50</v>
      </c>
      <c r="G775" s="60">
        <v>88</v>
      </c>
      <c r="H775" s="303">
        <f t="shared" si="133"/>
        <v>4400</v>
      </c>
      <c r="I775" s="60">
        <v>9</v>
      </c>
      <c r="J775" s="439"/>
      <c r="K775" s="439"/>
      <c r="L775" s="439"/>
      <c r="M775" s="60">
        <f t="shared" si="134"/>
        <v>9</v>
      </c>
      <c r="N775" s="303">
        <f t="shared" si="135"/>
        <v>4391</v>
      </c>
      <c r="O775" s="249" t="s">
        <v>2071</v>
      </c>
      <c r="P775" s="304" t="s">
        <v>369</v>
      </c>
    </row>
    <row r="776" spans="2:16" ht="12.75" customHeight="1" x14ac:dyDescent="0.25">
      <c r="B776" s="325" t="s">
        <v>2819</v>
      </c>
      <c r="C776" s="325" t="s">
        <v>105</v>
      </c>
      <c r="D776" s="325" t="s">
        <v>1245</v>
      </c>
      <c r="E776" s="2">
        <v>6000</v>
      </c>
      <c r="F776" s="2">
        <v>500</v>
      </c>
      <c r="G776" s="60">
        <v>88</v>
      </c>
      <c r="H776" s="303">
        <f t="shared" si="133"/>
        <v>44000</v>
      </c>
      <c r="I776" s="60">
        <v>90</v>
      </c>
      <c r="J776" s="439"/>
      <c r="K776" s="439"/>
      <c r="L776" s="439"/>
      <c r="M776" s="60">
        <f t="shared" si="134"/>
        <v>90</v>
      </c>
      <c r="N776" s="303">
        <f t="shared" si="135"/>
        <v>43910</v>
      </c>
      <c r="O776" s="249" t="s">
        <v>2071</v>
      </c>
      <c r="P776" s="304" t="s">
        <v>369</v>
      </c>
    </row>
    <row r="777" spans="2:16" ht="12.75" customHeight="1" x14ac:dyDescent="0.25">
      <c r="B777" s="325" t="s">
        <v>2819</v>
      </c>
      <c r="C777" s="325" t="s">
        <v>105</v>
      </c>
      <c r="D777" s="325" t="s">
        <v>1245</v>
      </c>
      <c r="E777" s="2">
        <v>6000</v>
      </c>
      <c r="F777" s="2">
        <v>50</v>
      </c>
      <c r="G777" s="60">
        <v>88</v>
      </c>
      <c r="H777" s="303">
        <f t="shared" si="133"/>
        <v>4400</v>
      </c>
      <c r="I777" s="60">
        <v>9</v>
      </c>
      <c r="J777" s="439"/>
      <c r="K777" s="439"/>
      <c r="L777" s="439"/>
      <c r="M777" s="60">
        <f t="shared" si="134"/>
        <v>9</v>
      </c>
      <c r="N777" s="303">
        <f t="shared" si="135"/>
        <v>4391</v>
      </c>
      <c r="O777" s="249" t="s">
        <v>2071</v>
      </c>
      <c r="P777" s="304" t="s">
        <v>369</v>
      </c>
    </row>
    <row r="778" spans="2:16" ht="12.75" customHeight="1" x14ac:dyDescent="0.25">
      <c r="B778" s="325" t="s">
        <v>2819</v>
      </c>
      <c r="C778" s="325" t="s">
        <v>105</v>
      </c>
      <c r="D778" s="325" t="s">
        <v>1245</v>
      </c>
      <c r="E778" s="2">
        <v>6000</v>
      </c>
      <c r="F778" s="2">
        <v>500</v>
      </c>
      <c r="G778" s="60">
        <v>88</v>
      </c>
      <c r="H778" s="303">
        <f t="shared" si="133"/>
        <v>44000</v>
      </c>
      <c r="I778" s="60">
        <v>90</v>
      </c>
      <c r="J778" s="439"/>
      <c r="K778" s="439"/>
      <c r="L778" s="439"/>
      <c r="M778" s="60">
        <f t="shared" si="134"/>
        <v>90</v>
      </c>
      <c r="N778" s="303">
        <f t="shared" si="135"/>
        <v>43910</v>
      </c>
      <c r="O778" s="249" t="s">
        <v>2071</v>
      </c>
      <c r="P778" s="304" t="s">
        <v>369</v>
      </c>
    </row>
    <row r="779" spans="2:16" ht="12.75" customHeight="1" x14ac:dyDescent="0.25">
      <c r="B779" s="325" t="s">
        <v>2819</v>
      </c>
      <c r="C779" s="325" t="s">
        <v>105</v>
      </c>
      <c r="D779" s="325" t="s">
        <v>1245</v>
      </c>
      <c r="E779" s="2">
        <v>6000</v>
      </c>
      <c r="F779" s="2">
        <v>400</v>
      </c>
      <c r="G779" s="60">
        <v>88</v>
      </c>
      <c r="H779" s="303">
        <f t="shared" si="133"/>
        <v>35200</v>
      </c>
      <c r="I779" s="60">
        <v>72</v>
      </c>
      <c r="J779" s="439"/>
      <c r="K779" s="439"/>
      <c r="L779" s="439"/>
      <c r="M779" s="60">
        <f t="shared" si="134"/>
        <v>72</v>
      </c>
      <c r="N779" s="303">
        <f t="shared" si="135"/>
        <v>35128</v>
      </c>
      <c r="O779" s="249" t="s">
        <v>2071</v>
      </c>
      <c r="P779" s="304" t="s">
        <v>369</v>
      </c>
    </row>
    <row r="780" spans="2:16" ht="12.75" customHeight="1" x14ac:dyDescent="0.25">
      <c r="B780" s="325" t="s">
        <v>2819</v>
      </c>
      <c r="C780" s="325" t="s">
        <v>105</v>
      </c>
      <c r="D780" s="325" t="s">
        <v>1245</v>
      </c>
      <c r="E780" s="2">
        <v>6000</v>
      </c>
      <c r="F780" s="2">
        <v>50</v>
      </c>
      <c r="G780" s="60">
        <v>88</v>
      </c>
      <c r="H780" s="303">
        <f t="shared" si="133"/>
        <v>4400</v>
      </c>
      <c r="I780" s="60">
        <v>9</v>
      </c>
      <c r="J780" s="439"/>
      <c r="K780" s="439"/>
      <c r="L780" s="439"/>
      <c r="M780" s="60">
        <f t="shared" si="134"/>
        <v>9</v>
      </c>
      <c r="N780" s="303">
        <f t="shared" si="135"/>
        <v>4391</v>
      </c>
      <c r="O780" s="249" t="s">
        <v>2071</v>
      </c>
      <c r="P780" s="304" t="s">
        <v>369</v>
      </c>
    </row>
    <row r="781" spans="2:16" ht="12.75" customHeight="1" x14ac:dyDescent="0.25">
      <c r="B781" s="325" t="s">
        <v>2819</v>
      </c>
      <c r="C781" s="325" t="s">
        <v>105</v>
      </c>
      <c r="D781" s="325" t="s">
        <v>1245</v>
      </c>
      <c r="E781" s="2">
        <v>6000</v>
      </c>
      <c r="F781" s="2">
        <v>200</v>
      </c>
      <c r="G781" s="60">
        <v>88</v>
      </c>
      <c r="H781" s="303">
        <f t="shared" si="133"/>
        <v>17600</v>
      </c>
      <c r="I781" s="60">
        <v>36</v>
      </c>
      <c r="J781" s="439"/>
      <c r="K781" s="439"/>
      <c r="L781" s="439"/>
      <c r="M781" s="60">
        <f t="shared" si="134"/>
        <v>36</v>
      </c>
      <c r="N781" s="303">
        <f t="shared" si="135"/>
        <v>17564</v>
      </c>
      <c r="O781" s="249" t="s">
        <v>2071</v>
      </c>
      <c r="P781" s="304" t="s">
        <v>369</v>
      </c>
    </row>
    <row r="782" spans="2:16" ht="12.75" customHeight="1" x14ac:dyDescent="0.25">
      <c r="B782" s="325" t="s">
        <v>2819</v>
      </c>
      <c r="C782" s="325" t="s">
        <v>105</v>
      </c>
      <c r="D782" s="325" t="s">
        <v>1245</v>
      </c>
      <c r="E782" s="2">
        <v>6000</v>
      </c>
      <c r="F782" s="2">
        <v>200</v>
      </c>
      <c r="G782" s="60">
        <v>88</v>
      </c>
      <c r="H782" s="303">
        <f t="shared" si="133"/>
        <v>17600</v>
      </c>
      <c r="I782" s="60">
        <v>36</v>
      </c>
      <c r="J782" s="439"/>
      <c r="K782" s="439"/>
      <c r="L782" s="439"/>
      <c r="M782" s="60">
        <f t="shared" si="134"/>
        <v>36</v>
      </c>
      <c r="N782" s="303">
        <f t="shared" si="135"/>
        <v>17564</v>
      </c>
      <c r="O782" s="249" t="s">
        <v>2071</v>
      </c>
      <c r="P782" s="304" t="s">
        <v>369</v>
      </c>
    </row>
    <row r="783" spans="2:16" ht="12.75" customHeight="1" x14ac:dyDescent="0.25">
      <c r="B783" s="325" t="s">
        <v>2819</v>
      </c>
      <c r="C783" s="325" t="s">
        <v>2818</v>
      </c>
      <c r="D783" s="325" t="s">
        <v>1249</v>
      </c>
      <c r="E783" s="2">
        <v>6000</v>
      </c>
      <c r="F783" s="2">
        <v>50</v>
      </c>
      <c r="G783" s="60">
        <v>83.8</v>
      </c>
      <c r="H783" s="303">
        <f t="shared" si="133"/>
        <v>4190</v>
      </c>
      <c r="I783" s="60">
        <v>9</v>
      </c>
      <c r="J783" s="439"/>
      <c r="K783" s="439"/>
      <c r="L783" s="439"/>
      <c r="M783" s="60">
        <f t="shared" si="134"/>
        <v>9</v>
      </c>
      <c r="N783" s="303">
        <f t="shared" si="135"/>
        <v>4181</v>
      </c>
      <c r="O783" s="249" t="s">
        <v>2071</v>
      </c>
      <c r="P783" s="304" t="s">
        <v>369</v>
      </c>
    </row>
    <row r="784" spans="2:16" ht="12.75" customHeight="1" x14ac:dyDescent="0.25">
      <c r="B784" s="325" t="s">
        <v>2819</v>
      </c>
      <c r="C784" s="325" t="s">
        <v>2818</v>
      </c>
      <c r="D784" s="325" t="s">
        <v>1249</v>
      </c>
      <c r="E784" s="2">
        <v>6000</v>
      </c>
      <c r="F784" s="2">
        <v>50</v>
      </c>
      <c r="G784" s="60">
        <v>83.7</v>
      </c>
      <c r="H784" s="303">
        <f t="shared" si="133"/>
        <v>4185</v>
      </c>
      <c r="I784" s="60">
        <v>9</v>
      </c>
      <c r="J784" s="439"/>
      <c r="K784" s="439"/>
      <c r="L784" s="439"/>
      <c r="M784" s="60">
        <f t="shared" si="134"/>
        <v>9</v>
      </c>
      <c r="N784" s="303">
        <f t="shared" si="135"/>
        <v>4176</v>
      </c>
      <c r="O784" s="249" t="s">
        <v>2071</v>
      </c>
      <c r="P784" s="304" t="s">
        <v>369</v>
      </c>
    </row>
    <row r="785" spans="2:18" ht="12.75" customHeight="1" x14ac:dyDescent="0.25">
      <c r="B785" s="325" t="s">
        <v>2819</v>
      </c>
      <c r="C785" s="325" t="s">
        <v>2818</v>
      </c>
      <c r="D785" s="325" t="s">
        <v>1249</v>
      </c>
      <c r="E785" s="2">
        <v>6000</v>
      </c>
      <c r="F785" s="2">
        <v>200</v>
      </c>
      <c r="G785" s="60">
        <v>83.65</v>
      </c>
      <c r="H785" s="303">
        <f t="shared" si="133"/>
        <v>16730</v>
      </c>
      <c r="I785" s="60">
        <v>36</v>
      </c>
      <c r="J785" s="439"/>
      <c r="K785" s="439"/>
      <c r="L785" s="439"/>
      <c r="M785" s="60">
        <f t="shared" si="134"/>
        <v>36</v>
      </c>
      <c r="N785" s="303">
        <f t="shared" si="135"/>
        <v>16694</v>
      </c>
      <c r="O785" s="249" t="s">
        <v>2071</v>
      </c>
      <c r="P785" s="304" t="s">
        <v>369</v>
      </c>
    </row>
    <row r="786" spans="2:18" ht="12.75" customHeight="1" x14ac:dyDescent="0.25">
      <c r="B786" s="325" t="s">
        <v>2819</v>
      </c>
      <c r="C786" s="325" t="s">
        <v>2818</v>
      </c>
      <c r="D786" s="325" t="s">
        <v>1249</v>
      </c>
      <c r="E786" s="2">
        <v>6000</v>
      </c>
      <c r="F786" s="2">
        <v>150</v>
      </c>
      <c r="G786" s="60">
        <v>83.6</v>
      </c>
      <c r="H786" s="303">
        <f t="shared" si="133"/>
        <v>12540</v>
      </c>
      <c r="I786" s="60">
        <v>27</v>
      </c>
      <c r="J786" s="439"/>
      <c r="K786" s="439"/>
      <c r="L786" s="439"/>
      <c r="M786" s="60">
        <f t="shared" si="134"/>
        <v>27</v>
      </c>
      <c r="N786" s="303">
        <f t="shared" si="135"/>
        <v>12513</v>
      </c>
      <c r="O786" s="249" t="s">
        <v>2071</v>
      </c>
      <c r="P786" s="304" t="s">
        <v>369</v>
      </c>
    </row>
    <row r="787" spans="2:18" ht="12.75" customHeight="1" x14ac:dyDescent="0.25">
      <c r="B787" s="325" t="s">
        <v>2819</v>
      </c>
      <c r="C787" s="325" t="s">
        <v>2818</v>
      </c>
      <c r="D787" s="325" t="s">
        <v>1249</v>
      </c>
      <c r="E787" s="2">
        <v>6000</v>
      </c>
      <c r="F787" s="2">
        <v>200</v>
      </c>
      <c r="G787" s="60">
        <v>83.55</v>
      </c>
      <c r="H787" s="303">
        <f t="shared" si="133"/>
        <v>16710</v>
      </c>
      <c r="I787" s="60">
        <v>36</v>
      </c>
      <c r="J787" s="439"/>
      <c r="K787" s="439"/>
      <c r="L787" s="439"/>
      <c r="M787" s="60">
        <f t="shared" si="134"/>
        <v>36</v>
      </c>
      <c r="N787" s="303">
        <f t="shared" si="135"/>
        <v>16674</v>
      </c>
      <c r="O787" s="249" t="s">
        <v>2071</v>
      </c>
      <c r="P787" s="304" t="s">
        <v>369</v>
      </c>
    </row>
    <row r="788" spans="2:18" ht="12.75" customHeight="1" x14ac:dyDescent="0.25">
      <c r="B788" s="325" t="s">
        <v>2819</v>
      </c>
      <c r="C788" s="325" t="s">
        <v>2818</v>
      </c>
      <c r="D788" s="325" t="s">
        <v>1249</v>
      </c>
      <c r="E788" s="2">
        <v>6000</v>
      </c>
      <c r="F788" s="2">
        <v>200</v>
      </c>
      <c r="G788" s="60">
        <v>83.55</v>
      </c>
      <c r="H788" s="303">
        <f t="shared" si="133"/>
        <v>16710</v>
      </c>
      <c r="I788" s="60">
        <v>36</v>
      </c>
      <c r="J788" s="439"/>
      <c r="K788" s="439"/>
      <c r="L788" s="439"/>
      <c r="M788" s="60">
        <f t="shared" si="134"/>
        <v>36</v>
      </c>
      <c r="N788" s="303">
        <f t="shared" si="135"/>
        <v>16674</v>
      </c>
      <c r="O788" s="249" t="s">
        <v>2071</v>
      </c>
      <c r="P788" s="304" t="s">
        <v>369</v>
      </c>
    </row>
    <row r="789" spans="2:18" ht="12.75" customHeight="1" x14ac:dyDescent="0.25">
      <c r="B789" s="325" t="s">
        <v>2819</v>
      </c>
      <c r="C789" s="325" t="s">
        <v>2818</v>
      </c>
      <c r="D789" s="325" t="s">
        <v>1249</v>
      </c>
      <c r="E789" s="2">
        <v>6000</v>
      </c>
      <c r="F789" s="2">
        <v>50</v>
      </c>
      <c r="G789" s="60">
        <v>83.5</v>
      </c>
      <c r="H789" s="303">
        <f t="shared" si="133"/>
        <v>4175</v>
      </c>
      <c r="I789" s="60">
        <v>9</v>
      </c>
      <c r="J789" s="439"/>
      <c r="K789" s="439"/>
      <c r="L789" s="439"/>
      <c r="M789" s="60">
        <f t="shared" si="134"/>
        <v>9</v>
      </c>
      <c r="N789" s="303">
        <f t="shared" si="135"/>
        <v>4166</v>
      </c>
      <c r="O789" s="249" t="s">
        <v>2071</v>
      </c>
      <c r="P789" s="304" t="s">
        <v>369</v>
      </c>
    </row>
    <row r="790" spans="2:18" ht="12.75" customHeight="1" x14ac:dyDescent="0.25">
      <c r="B790" s="325" t="s">
        <v>2819</v>
      </c>
      <c r="C790" s="325" t="s">
        <v>2818</v>
      </c>
      <c r="D790" s="325" t="s">
        <v>1249</v>
      </c>
      <c r="E790" s="2">
        <v>6000</v>
      </c>
      <c r="F790" s="2">
        <v>100</v>
      </c>
      <c r="G790" s="60">
        <v>83.5</v>
      </c>
      <c r="H790" s="303">
        <f t="shared" si="133"/>
        <v>8350</v>
      </c>
      <c r="I790" s="60">
        <v>18</v>
      </c>
      <c r="J790" s="439"/>
      <c r="K790" s="439"/>
      <c r="L790" s="439"/>
      <c r="M790" s="60">
        <f t="shared" si="134"/>
        <v>18</v>
      </c>
      <c r="N790" s="303">
        <f t="shared" si="135"/>
        <v>8332</v>
      </c>
      <c r="O790" s="249" t="s">
        <v>2071</v>
      </c>
      <c r="P790" s="304" t="s">
        <v>369</v>
      </c>
    </row>
    <row r="791" spans="2:18" ht="13.2" x14ac:dyDescent="0.25">
      <c r="B791" s="325" t="s">
        <v>2819</v>
      </c>
      <c r="C791" s="325" t="s">
        <v>2818</v>
      </c>
      <c r="D791" s="325" t="s">
        <v>1249</v>
      </c>
      <c r="E791" s="2">
        <v>6000</v>
      </c>
      <c r="F791" s="2">
        <v>250</v>
      </c>
      <c r="G791" s="60">
        <v>83.5</v>
      </c>
      <c r="H791" s="303">
        <f t="shared" si="133"/>
        <v>20875</v>
      </c>
      <c r="I791" s="60">
        <v>45</v>
      </c>
      <c r="J791" s="439"/>
      <c r="K791" s="439"/>
      <c r="L791" s="439"/>
      <c r="M791" s="60">
        <f t="shared" si="134"/>
        <v>45</v>
      </c>
      <c r="N791" s="303">
        <f t="shared" si="135"/>
        <v>20830</v>
      </c>
      <c r="O791" s="249" t="s">
        <v>2071</v>
      </c>
      <c r="P791" s="304" t="s">
        <v>369</v>
      </c>
      <c r="R791" s="247"/>
    </row>
    <row r="792" spans="2:18" ht="12.75" customHeight="1" x14ac:dyDescent="0.25">
      <c r="B792" s="325" t="s">
        <v>2819</v>
      </c>
      <c r="C792" s="325" t="s">
        <v>2818</v>
      </c>
      <c r="D792" s="325" t="s">
        <v>1249</v>
      </c>
      <c r="E792" s="2">
        <v>6000</v>
      </c>
      <c r="F792" s="2">
        <v>100</v>
      </c>
      <c r="G792" s="60">
        <v>83.45</v>
      </c>
      <c r="H792" s="303">
        <f t="shared" si="133"/>
        <v>8345</v>
      </c>
      <c r="I792" s="60">
        <v>18</v>
      </c>
      <c r="J792" s="439"/>
      <c r="K792" s="439"/>
      <c r="L792" s="439"/>
      <c r="M792" s="60">
        <f t="shared" si="134"/>
        <v>18</v>
      </c>
      <c r="N792" s="303">
        <f t="shared" si="135"/>
        <v>8327</v>
      </c>
      <c r="O792" s="249" t="s">
        <v>2071</v>
      </c>
      <c r="P792" s="304" t="s">
        <v>369</v>
      </c>
    </row>
    <row r="793" spans="2:18" ht="12.75" customHeight="1" x14ac:dyDescent="0.25">
      <c r="B793" s="325" t="s">
        <v>2819</v>
      </c>
      <c r="C793" s="325" t="s">
        <v>2818</v>
      </c>
      <c r="D793" s="325" t="s">
        <v>1249</v>
      </c>
      <c r="E793" s="2">
        <v>6000</v>
      </c>
      <c r="F793" s="2">
        <v>300</v>
      </c>
      <c r="G793" s="60">
        <v>83.45</v>
      </c>
      <c r="H793" s="303">
        <f t="shared" si="133"/>
        <v>25035</v>
      </c>
      <c r="I793" s="60">
        <v>54</v>
      </c>
      <c r="J793" s="439"/>
      <c r="K793" s="439"/>
      <c r="L793" s="439"/>
      <c r="M793" s="60">
        <f t="shared" si="134"/>
        <v>54</v>
      </c>
      <c r="N793" s="303">
        <f t="shared" si="135"/>
        <v>24981</v>
      </c>
      <c r="O793" s="249" t="s">
        <v>2071</v>
      </c>
      <c r="P793" s="304" t="s">
        <v>369</v>
      </c>
    </row>
    <row r="794" spans="2:18" ht="12.75" customHeight="1" x14ac:dyDescent="0.25">
      <c r="B794" s="325" t="s">
        <v>2819</v>
      </c>
      <c r="C794" s="325" t="s">
        <v>2818</v>
      </c>
      <c r="D794" s="325" t="s">
        <v>1249</v>
      </c>
      <c r="E794" s="2">
        <v>6000</v>
      </c>
      <c r="F794" s="2">
        <v>450</v>
      </c>
      <c r="G794" s="60">
        <v>83.4</v>
      </c>
      <c r="H794" s="303">
        <f t="shared" si="133"/>
        <v>37530</v>
      </c>
      <c r="I794" s="60">
        <v>81</v>
      </c>
      <c r="J794" s="439"/>
      <c r="K794" s="439"/>
      <c r="L794" s="439"/>
      <c r="M794" s="60">
        <f t="shared" si="134"/>
        <v>81</v>
      </c>
      <c r="N794" s="303">
        <f t="shared" si="135"/>
        <v>37449</v>
      </c>
      <c r="O794" s="249" t="s">
        <v>2071</v>
      </c>
      <c r="P794" s="304" t="s">
        <v>369</v>
      </c>
    </row>
    <row r="795" spans="2:18" ht="12.75" customHeight="1" x14ac:dyDescent="0.25">
      <c r="B795" s="325" t="s">
        <v>2819</v>
      </c>
      <c r="C795" s="325" t="s">
        <v>2818</v>
      </c>
      <c r="D795" s="325" t="s">
        <v>1249</v>
      </c>
      <c r="E795" s="2">
        <v>6000</v>
      </c>
      <c r="F795" s="2">
        <v>200</v>
      </c>
      <c r="G795" s="60">
        <v>83.35</v>
      </c>
      <c r="H795" s="303">
        <f t="shared" si="133"/>
        <v>16670</v>
      </c>
      <c r="I795" s="60">
        <v>36</v>
      </c>
      <c r="J795" s="439"/>
      <c r="K795" s="439"/>
      <c r="L795" s="439"/>
      <c r="M795" s="60">
        <f t="shared" si="134"/>
        <v>36</v>
      </c>
      <c r="N795" s="303">
        <f t="shared" si="135"/>
        <v>16634</v>
      </c>
      <c r="O795" s="249" t="s">
        <v>2071</v>
      </c>
      <c r="P795" s="304" t="s">
        <v>369</v>
      </c>
    </row>
    <row r="796" spans="2:18" ht="12.75" customHeight="1" x14ac:dyDescent="0.25">
      <c r="B796" s="325" t="s">
        <v>2819</v>
      </c>
      <c r="C796" s="325" t="s">
        <v>2818</v>
      </c>
      <c r="D796" s="325" t="s">
        <v>1249</v>
      </c>
      <c r="E796" s="2">
        <v>6000</v>
      </c>
      <c r="F796" s="2">
        <v>200</v>
      </c>
      <c r="G796" s="60">
        <v>83.35</v>
      </c>
      <c r="H796" s="303">
        <f t="shared" si="133"/>
        <v>16670</v>
      </c>
      <c r="I796" s="60">
        <v>36</v>
      </c>
      <c r="J796" s="439"/>
      <c r="K796" s="439"/>
      <c r="L796" s="439"/>
      <c r="M796" s="60">
        <f t="shared" si="134"/>
        <v>36</v>
      </c>
      <c r="N796" s="303">
        <f t="shared" si="135"/>
        <v>16634</v>
      </c>
      <c r="O796" s="249" t="s">
        <v>2071</v>
      </c>
      <c r="P796" s="304" t="s">
        <v>369</v>
      </c>
    </row>
    <row r="797" spans="2:18" ht="12.75" customHeight="1" x14ac:dyDescent="0.25">
      <c r="B797" s="295" t="s">
        <v>2827</v>
      </c>
      <c r="C797" s="325" t="s">
        <v>2818</v>
      </c>
      <c r="D797" s="325" t="s">
        <v>1249</v>
      </c>
      <c r="E797" s="2">
        <v>6100</v>
      </c>
      <c r="F797" s="2">
        <v>1050</v>
      </c>
      <c r="G797" s="60">
        <v>53.05</v>
      </c>
      <c r="H797" s="303">
        <f t="shared" si="133"/>
        <v>55702.5</v>
      </c>
      <c r="I797" s="60">
        <v>189</v>
      </c>
      <c r="J797" s="439"/>
      <c r="K797" s="439"/>
      <c r="L797" s="439"/>
      <c r="M797" s="60">
        <f t="shared" si="134"/>
        <v>189</v>
      </c>
      <c r="N797" s="303">
        <f t="shared" si="135"/>
        <v>55513.5</v>
      </c>
      <c r="O797" s="249" t="s">
        <v>551</v>
      </c>
      <c r="P797" s="304" t="s">
        <v>369</v>
      </c>
    </row>
    <row r="798" spans="2:18" ht="12.75" customHeight="1" x14ac:dyDescent="0.25">
      <c r="B798" s="295" t="s">
        <v>2827</v>
      </c>
      <c r="C798" s="325" t="s">
        <v>2818</v>
      </c>
      <c r="D798" s="325" t="s">
        <v>1249</v>
      </c>
      <c r="E798" s="2">
        <v>6100</v>
      </c>
      <c r="F798" s="2">
        <v>50</v>
      </c>
      <c r="G798" s="60">
        <v>53</v>
      </c>
      <c r="H798" s="303">
        <f t="shared" si="133"/>
        <v>2650</v>
      </c>
      <c r="I798" s="60">
        <v>9</v>
      </c>
      <c r="J798" s="439"/>
      <c r="K798" s="439"/>
      <c r="L798" s="439"/>
      <c r="M798" s="60">
        <f t="shared" si="134"/>
        <v>9</v>
      </c>
      <c r="N798" s="303">
        <f t="shared" si="135"/>
        <v>2641</v>
      </c>
      <c r="O798" s="249" t="s">
        <v>551</v>
      </c>
      <c r="P798" s="304" t="s">
        <v>369</v>
      </c>
    </row>
    <row r="799" spans="2:18" ht="12.75" customHeight="1" x14ac:dyDescent="0.25">
      <c r="B799" s="295" t="s">
        <v>2827</v>
      </c>
      <c r="C799" s="325" t="s">
        <v>2818</v>
      </c>
      <c r="D799" s="325" t="s">
        <v>1249</v>
      </c>
      <c r="E799" s="2">
        <v>6100</v>
      </c>
      <c r="F799" s="2">
        <v>50</v>
      </c>
      <c r="G799" s="60">
        <v>53</v>
      </c>
      <c r="H799" s="303">
        <f t="shared" si="133"/>
        <v>2650</v>
      </c>
      <c r="I799" s="60">
        <v>9</v>
      </c>
      <c r="J799" s="439"/>
      <c r="K799" s="439"/>
      <c r="L799" s="439"/>
      <c r="M799" s="60">
        <f t="shared" si="134"/>
        <v>9</v>
      </c>
      <c r="N799" s="303">
        <f t="shared" si="135"/>
        <v>2641</v>
      </c>
      <c r="O799" s="249" t="s">
        <v>551</v>
      </c>
      <c r="P799" s="304" t="s">
        <v>369</v>
      </c>
    </row>
    <row r="800" spans="2:18" ht="12.75" customHeight="1" x14ac:dyDescent="0.25">
      <c r="B800" s="295" t="s">
        <v>2827</v>
      </c>
      <c r="C800" s="325" t="s">
        <v>2818</v>
      </c>
      <c r="D800" s="325" t="s">
        <v>1249</v>
      </c>
      <c r="E800" s="2">
        <v>6100</v>
      </c>
      <c r="F800" s="2">
        <v>50</v>
      </c>
      <c r="G800" s="60">
        <v>53</v>
      </c>
      <c r="H800" s="303">
        <f t="shared" si="133"/>
        <v>2650</v>
      </c>
      <c r="I800" s="60">
        <v>9</v>
      </c>
      <c r="J800" s="439"/>
      <c r="K800" s="439"/>
      <c r="L800" s="439"/>
      <c r="M800" s="60">
        <f t="shared" si="134"/>
        <v>9</v>
      </c>
      <c r="N800" s="303">
        <f t="shared" si="135"/>
        <v>2641</v>
      </c>
      <c r="O800" s="249" t="s">
        <v>551</v>
      </c>
      <c r="P800" s="304" t="s">
        <v>369</v>
      </c>
    </row>
    <row r="801" spans="2:18" ht="12.75" customHeight="1" x14ac:dyDescent="0.25">
      <c r="B801" s="295" t="s">
        <v>2827</v>
      </c>
      <c r="C801" s="325" t="s">
        <v>2818</v>
      </c>
      <c r="D801" s="325" t="s">
        <v>1249</v>
      </c>
      <c r="E801" s="2">
        <v>6100</v>
      </c>
      <c r="F801" s="2">
        <v>50</v>
      </c>
      <c r="G801" s="60">
        <v>53</v>
      </c>
      <c r="H801" s="303">
        <f t="shared" si="133"/>
        <v>2650</v>
      </c>
      <c r="I801" s="60">
        <v>9</v>
      </c>
      <c r="J801" s="439"/>
      <c r="K801" s="439"/>
      <c r="L801" s="439"/>
      <c r="M801" s="60">
        <f t="shared" si="134"/>
        <v>9</v>
      </c>
      <c r="N801" s="303">
        <f t="shared" si="135"/>
        <v>2641</v>
      </c>
      <c r="O801" s="249" t="s">
        <v>551</v>
      </c>
      <c r="P801" s="304" t="s">
        <v>369</v>
      </c>
    </row>
    <row r="802" spans="2:18" ht="12.75" customHeight="1" x14ac:dyDescent="0.25">
      <c r="B802" s="295" t="s">
        <v>2827</v>
      </c>
      <c r="C802" s="325" t="s">
        <v>2818</v>
      </c>
      <c r="D802" s="325" t="s">
        <v>1249</v>
      </c>
      <c r="E802" s="2">
        <v>6100</v>
      </c>
      <c r="F802" s="2">
        <v>100</v>
      </c>
      <c r="G802" s="60">
        <v>53</v>
      </c>
      <c r="H802" s="303">
        <f t="shared" si="133"/>
        <v>5300</v>
      </c>
      <c r="I802" s="60">
        <v>18</v>
      </c>
      <c r="J802" s="439"/>
      <c r="K802" s="439"/>
      <c r="L802" s="439"/>
      <c r="M802" s="60">
        <f t="shared" si="134"/>
        <v>18</v>
      </c>
      <c r="N802" s="303">
        <f t="shared" si="135"/>
        <v>5282</v>
      </c>
      <c r="O802" s="249" t="s">
        <v>551</v>
      </c>
      <c r="P802" s="304" t="s">
        <v>369</v>
      </c>
    </row>
    <row r="803" spans="2:18" ht="12.75" customHeight="1" x14ac:dyDescent="0.25">
      <c r="B803" s="295" t="s">
        <v>2827</v>
      </c>
      <c r="C803" s="325" t="s">
        <v>2818</v>
      </c>
      <c r="D803" s="325" t="s">
        <v>1249</v>
      </c>
      <c r="E803" s="2">
        <v>6100</v>
      </c>
      <c r="F803" s="2">
        <v>500</v>
      </c>
      <c r="G803" s="60">
        <v>53</v>
      </c>
      <c r="H803" s="303">
        <f t="shared" si="133"/>
        <v>26500</v>
      </c>
      <c r="I803" s="60">
        <v>90</v>
      </c>
      <c r="J803" s="439"/>
      <c r="K803" s="439"/>
      <c r="L803" s="439"/>
      <c r="M803" s="60">
        <f t="shared" si="134"/>
        <v>90</v>
      </c>
      <c r="N803" s="303">
        <f t="shared" si="135"/>
        <v>26410</v>
      </c>
      <c r="O803" s="249" t="s">
        <v>551</v>
      </c>
      <c r="P803" s="304" t="s">
        <v>369</v>
      </c>
    </row>
    <row r="804" spans="2:18" ht="13.2" x14ac:dyDescent="0.25">
      <c r="B804" s="295" t="s">
        <v>2827</v>
      </c>
      <c r="C804" s="325" t="s">
        <v>2818</v>
      </c>
      <c r="D804" s="325" t="s">
        <v>1249</v>
      </c>
      <c r="E804" s="2">
        <v>6100</v>
      </c>
      <c r="F804" s="2">
        <v>100</v>
      </c>
      <c r="G804" s="60">
        <v>53</v>
      </c>
      <c r="H804" s="303">
        <f t="shared" si="133"/>
        <v>5300</v>
      </c>
      <c r="I804" s="60">
        <v>18</v>
      </c>
      <c r="J804" s="439"/>
      <c r="K804" s="439"/>
      <c r="L804" s="439"/>
      <c r="M804" s="60">
        <f t="shared" si="134"/>
        <v>18</v>
      </c>
      <c r="N804" s="303">
        <f t="shared" si="135"/>
        <v>5282</v>
      </c>
      <c r="O804" s="249" t="s">
        <v>551</v>
      </c>
      <c r="P804" s="304" t="s">
        <v>369</v>
      </c>
      <c r="R804" s="247"/>
    </row>
    <row r="805" spans="2:18" ht="12.75" customHeight="1" x14ac:dyDescent="0.25">
      <c r="B805" s="295" t="s">
        <v>2827</v>
      </c>
      <c r="C805" s="325" t="s">
        <v>2818</v>
      </c>
      <c r="D805" s="325" t="s">
        <v>1249</v>
      </c>
      <c r="E805" s="2">
        <v>6100</v>
      </c>
      <c r="F805" s="2">
        <v>50</v>
      </c>
      <c r="G805" s="60">
        <v>53</v>
      </c>
      <c r="H805" s="303">
        <f t="shared" si="133"/>
        <v>2650</v>
      </c>
      <c r="I805" s="60">
        <v>9</v>
      </c>
      <c r="J805" s="439"/>
      <c r="K805" s="439"/>
      <c r="L805" s="439"/>
      <c r="M805" s="60">
        <f t="shared" si="134"/>
        <v>9</v>
      </c>
      <c r="N805" s="303">
        <f t="shared" si="135"/>
        <v>2641</v>
      </c>
      <c r="O805" s="249" t="s">
        <v>551</v>
      </c>
      <c r="P805" s="304" t="s">
        <v>369</v>
      </c>
    </row>
    <row r="806" spans="2:18" ht="12.75" customHeight="1" x14ac:dyDescent="0.25">
      <c r="B806" s="295" t="s">
        <v>2827</v>
      </c>
      <c r="C806" s="325" t="s">
        <v>2818</v>
      </c>
      <c r="D806" s="325" t="s">
        <v>1249</v>
      </c>
      <c r="E806" s="2">
        <v>6100</v>
      </c>
      <c r="F806" s="2">
        <v>50</v>
      </c>
      <c r="G806" s="60">
        <v>53</v>
      </c>
      <c r="H806" s="303">
        <f t="shared" si="133"/>
        <v>2650</v>
      </c>
      <c r="I806" s="60">
        <v>9</v>
      </c>
      <c r="J806" s="439"/>
      <c r="K806" s="439"/>
      <c r="L806" s="439"/>
      <c r="M806" s="60">
        <f t="shared" si="134"/>
        <v>9</v>
      </c>
      <c r="N806" s="303">
        <f t="shared" si="135"/>
        <v>2641</v>
      </c>
      <c r="O806" s="249" t="s">
        <v>551</v>
      </c>
      <c r="P806" s="304" t="s">
        <v>369</v>
      </c>
    </row>
    <row r="807" spans="2:18" ht="12.75" customHeight="1" x14ac:dyDescent="0.25">
      <c r="B807" s="295" t="s">
        <v>2827</v>
      </c>
      <c r="C807" s="325" t="s">
        <v>2818</v>
      </c>
      <c r="D807" s="325" t="s">
        <v>1249</v>
      </c>
      <c r="E807" s="2">
        <v>6100</v>
      </c>
      <c r="F807" s="2">
        <v>600</v>
      </c>
      <c r="G807" s="60">
        <v>53</v>
      </c>
      <c r="H807" s="303">
        <f t="shared" si="133"/>
        <v>31800</v>
      </c>
      <c r="I807" s="60">
        <v>108</v>
      </c>
      <c r="J807" s="439"/>
      <c r="K807" s="439"/>
      <c r="L807" s="439"/>
      <c r="M807" s="60">
        <f t="shared" si="134"/>
        <v>108</v>
      </c>
      <c r="N807" s="303">
        <f t="shared" si="135"/>
        <v>31692</v>
      </c>
      <c r="O807" s="249" t="s">
        <v>551</v>
      </c>
      <c r="P807" s="304" t="s">
        <v>369</v>
      </c>
    </row>
    <row r="808" spans="2:18" ht="12.75" customHeight="1" x14ac:dyDescent="0.25">
      <c r="B808" s="295" t="s">
        <v>2827</v>
      </c>
      <c r="C808" s="325" t="s">
        <v>2818</v>
      </c>
      <c r="D808" s="325" t="s">
        <v>1249</v>
      </c>
      <c r="E808" s="2">
        <v>6100</v>
      </c>
      <c r="F808" s="2">
        <v>400</v>
      </c>
      <c r="G808" s="60">
        <v>53</v>
      </c>
      <c r="H808" s="303">
        <f t="shared" si="133"/>
        <v>21200</v>
      </c>
      <c r="I808" s="60">
        <v>72</v>
      </c>
      <c r="J808" s="439"/>
      <c r="K808" s="439"/>
      <c r="L808" s="439"/>
      <c r="M808" s="60">
        <f t="shared" si="134"/>
        <v>72</v>
      </c>
      <c r="N808" s="303">
        <f t="shared" si="135"/>
        <v>21128</v>
      </c>
      <c r="O808" s="249" t="s">
        <v>551</v>
      </c>
      <c r="P808" s="304" t="s">
        <v>369</v>
      </c>
    </row>
    <row r="809" spans="2:18" ht="12.75" customHeight="1" x14ac:dyDescent="0.25">
      <c r="B809" s="295" t="s">
        <v>2827</v>
      </c>
      <c r="C809" s="325" t="s">
        <v>2818</v>
      </c>
      <c r="D809" s="325" t="s">
        <v>1249</v>
      </c>
      <c r="E809" s="2">
        <v>6100</v>
      </c>
      <c r="F809" s="2">
        <v>400</v>
      </c>
      <c r="G809" s="60">
        <v>53</v>
      </c>
      <c r="H809" s="303">
        <f t="shared" si="133"/>
        <v>21200</v>
      </c>
      <c r="I809" s="60">
        <v>72</v>
      </c>
      <c r="J809" s="439"/>
      <c r="K809" s="439"/>
      <c r="L809" s="439"/>
      <c r="M809" s="60">
        <f t="shared" si="134"/>
        <v>72</v>
      </c>
      <c r="N809" s="303">
        <f t="shared" si="135"/>
        <v>21128</v>
      </c>
      <c r="O809" s="249" t="s">
        <v>551</v>
      </c>
      <c r="P809" s="304" t="s">
        <v>369</v>
      </c>
    </row>
    <row r="810" spans="2:18" ht="12.75" customHeight="1" x14ac:dyDescent="0.25">
      <c r="B810" s="295" t="s">
        <v>2827</v>
      </c>
      <c r="C810" s="325" t="s">
        <v>2818</v>
      </c>
      <c r="D810" s="325" t="s">
        <v>1249</v>
      </c>
      <c r="E810" s="2">
        <v>6100</v>
      </c>
      <c r="F810" s="2">
        <v>400</v>
      </c>
      <c r="G810" s="60">
        <v>53</v>
      </c>
      <c r="H810" s="303">
        <f t="shared" si="133"/>
        <v>21200</v>
      </c>
      <c r="I810" s="60">
        <v>72</v>
      </c>
      <c r="J810" s="439"/>
      <c r="K810" s="439"/>
      <c r="L810" s="439"/>
      <c r="M810" s="60">
        <f t="shared" si="134"/>
        <v>72</v>
      </c>
      <c r="N810" s="303">
        <f t="shared" si="135"/>
        <v>21128</v>
      </c>
      <c r="O810" s="249" t="s">
        <v>551</v>
      </c>
      <c r="P810" s="304" t="s">
        <v>369</v>
      </c>
    </row>
    <row r="811" spans="2:18" ht="12.75" customHeight="1" x14ac:dyDescent="0.25">
      <c r="B811" s="295" t="s">
        <v>2827</v>
      </c>
      <c r="C811" s="325" t="s">
        <v>2818</v>
      </c>
      <c r="D811" s="325" t="s">
        <v>1249</v>
      </c>
      <c r="E811" s="2">
        <v>6100</v>
      </c>
      <c r="F811" s="2">
        <v>400</v>
      </c>
      <c r="G811" s="60">
        <v>53</v>
      </c>
      <c r="H811" s="303">
        <f t="shared" si="133"/>
        <v>21200</v>
      </c>
      <c r="I811" s="60">
        <v>72</v>
      </c>
      <c r="J811" s="439"/>
      <c r="K811" s="439"/>
      <c r="L811" s="439"/>
      <c r="M811" s="60">
        <f t="shared" si="134"/>
        <v>72</v>
      </c>
      <c r="N811" s="303">
        <f t="shared" si="135"/>
        <v>21128</v>
      </c>
      <c r="O811" s="249" t="s">
        <v>551</v>
      </c>
      <c r="P811" s="304" t="s">
        <v>369</v>
      </c>
    </row>
    <row r="812" spans="2:18" ht="13.2" x14ac:dyDescent="0.25">
      <c r="B812" s="295" t="s">
        <v>2827</v>
      </c>
      <c r="C812" s="325" t="s">
        <v>2818</v>
      </c>
      <c r="D812" s="325" t="s">
        <v>1249</v>
      </c>
      <c r="E812" s="2">
        <v>6100</v>
      </c>
      <c r="F812" s="2">
        <v>400</v>
      </c>
      <c r="G812" s="60">
        <v>53</v>
      </c>
      <c r="H812" s="303">
        <f t="shared" si="133"/>
        <v>21200</v>
      </c>
      <c r="I812" s="60">
        <v>72</v>
      </c>
      <c r="J812" s="444"/>
      <c r="K812" s="444"/>
      <c r="L812" s="444"/>
      <c r="M812" s="60">
        <f t="shared" si="134"/>
        <v>72</v>
      </c>
      <c r="N812" s="303">
        <f t="shared" si="135"/>
        <v>21128</v>
      </c>
      <c r="O812" s="249" t="s">
        <v>551</v>
      </c>
      <c r="P812" s="304" t="s">
        <v>369</v>
      </c>
      <c r="R812" s="247"/>
    </row>
    <row r="813" spans="2:18" ht="12.75" customHeight="1" x14ac:dyDescent="0.25">
      <c r="B813" s="295" t="s">
        <v>2827</v>
      </c>
      <c r="C813" s="325" t="s">
        <v>2818</v>
      </c>
      <c r="D813" s="325" t="s">
        <v>1249</v>
      </c>
      <c r="E813" s="2">
        <v>6100</v>
      </c>
      <c r="F813" s="2">
        <v>200</v>
      </c>
      <c r="G813" s="60">
        <v>53</v>
      </c>
      <c r="H813" s="303">
        <f t="shared" si="133"/>
        <v>10600</v>
      </c>
      <c r="I813" s="60">
        <v>36</v>
      </c>
      <c r="J813" s="444"/>
      <c r="K813" s="444"/>
      <c r="L813" s="444"/>
      <c r="M813" s="60">
        <f t="shared" si="134"/>
        <v>36</v>
      </c>
      <c r="N813" s="303">
        <f t="shared" si="135"/>
        <v>10564</v>
      </c>
      <c r="O813" s="249" t="s">
        <v>551</v>
      </c>
      <c r="P813" s="304" t="s">
        <v>369</v>
      </c>
    </row>
    <row r="814" spans="2:18" ht="12.75" customHeight="1" x14ac:dyDescent="0.25">
      <c r="B814" s="295" t="s">
        <v>2827</v>
      </c>
      <c r="C814" s="325" t="s">
        <v>2818</v>
      </c>
      <c r="D814" s="325" t="s">
        <v>1249</v>
      </c>
      <c r="E814" s="2">
        <v>6100</v>
      </c>
      <c r="F814" s="2">
        <v>150</v>
      </c>
      <c r="G814" s="60">
        <v>53</v>
      </c>
      <c r="H814" s="303">
        <f t="shared" si="133"/>
        <v>7950</v>
      </c>
      <c r="I814" s="60">
        <v>27</v>
      </c>
      <c r="J814" s="444"/>
      <c r="K814" s="444"/>
      <c r="L814" s="444"/>
      <c r="M814" s="60">
        <f t="shared" si="134"/>
        <v>27</v>
      </c>
      <c r="N814" s="303">
        <f t="shared" si="135"/>
        <v>7923</v>
      </c>
      <c r="O814" s="249" t="s">
        <v>551</v>
      </c>
      <c r="P814" s="304" t="s">
        <v>369</v>
      </c>
    </row>
    <row r="815" spans="2:18" ht="12.75" customHeight="1" x14ac:dyDescent="0.25">
      <c r="B815" s="295" t="s">
        <v>2825</v>
      </c>
      <c r="C815" s="325" t="s">
        <v>2818</v>
      </c>
      <c r="D815" s="325" t="s">
        <v>1245</v>
      </c>
      <c r="E815" s="2">
        <v>6000</v>
      </c>
      <c r="F815" s="2">
        <v>1000</v>
      </c>
      <c r="G815" s="60">
        <v>64.599999999999994</v>
      </c>
      <c r="H815" s="303">
        <f t="shared" si="133"/>
        <v>64599.999999999993</v>
      </c>
      <c r="I815" s="60">
        <v>180</v>
      </c>
      <c r="J815" s="444"/>
      <c r="K815" s="444"/>
      <c r="L815" s="444"/>
      <c r="M815" s="60">
        <f>SUM(I815:L815)</f>
        <v>180</v>
      </c>
      <c r="N815" s="303">
        <f>H815-M815</f>
        <v>64419.999999999993</v>
      </c>
      <c r="O815" s="249" t="s">
        <v>553</v>
      </c>
      <c r="P815" s="304" t="s">
        <v>369</v>
      </c>
    </row>
    <row r="816" spans="2:18" ht="12.75" customHeight="1" x14ac:dyDescent="0.25">
      <c r="B816" s="295" t="s">
        <v>2825</v>
      </c>
      <c r="C816" s="325" t="s">
        <v>2818</v>
      </c>
      <c r="D816" s="325" t="s">
        <v>1245</v>
      </c>
      <c r="E816" s="2">
        <v>6000</v>
      </c>
      <c r="F816" s="2">
        <v>1000</v>
      </c>
      <c r="G816" s="60">
        <v>64.55</v>
      </c>
      <c r="H816" s="303">
        <f t="shared" si="133"/>
        <v>64550</v>
      </c>
      <c r="I816" s="60">
        <v>180</v>
      </c>
      <c r="J816" s="444"/>
      <c r="K816" s="444"/>
      <c r="L816" s="444"/>
      <c r="M816" s="60">
        <f>SUM(I816:L816)</f>
        <v>180</v>
      </c>
      <c r="N816" s="303">
        <f>H816-M816</f>
        <v>64370</v>
      </c>
      <c r="O816" s="249" t="s">
        <v>553</v>
      </c>
      <c r="P816" s="304" t="s">
        <v>369</v>
      </c>
    </row>
    <row r="817" spans="2:18" ht="12.75" customHeight="1" x14ac:dyDescent="0.25">
      <c r="B817" s="295" t="s">
        <v>2826</v>
      </c>
      <c r="C817" s="325" t="s">
        <v>2818</v>
      </c>
      <c r="D817" s="325" t="s">
        <v>1249</v>
      </c>
      <c r="E817" s="2">
        <v>6100</v>
      </c>
      <c r="F817" s="2">
        <v>2000</v>
      </c>
      <c r="G817" s="60">
        <v>50</v>
      </c>
      <c r="H817" s="303">
        <f t="shared" si="133"/>
        <v>100000</v>
      </c>
      <c r="I817" s="60">
        <v>360</v>
      </c>
      <c r="J817" s="247">
        <v>53.15</v>
      </c>
      <c r="K817" s="247">
        <f>17+6</f>
        <v>23</v>
      </c>
      <c r="L817" s="247">
        <v>70</v>
      </c>
      <c r="M817" s="60">
        <f>SUM(I817:L817)</f>
        <v>506.15</v>
      </c>
      <c r="N817" s="303">
        <f>H817-M817</f>
        <v>99493.85</v>
      </c>
      <c r="O817" s="249" t="s">
        <v>2822</v>
      </c>
      <c r="P817" s="249" t="s">
        <v>369</v>
      </c>
    </row>
    <row r="818" spans="2:18" ht="12.75" customHeight="1" x14ac:dyDescent="0.25">
      <c r="B818" s="295" t="s">
        <v>2831</v>
      </c>
      <c r="C818" s="325" t="s">
        <v>2818</v>
      </c>
      <c r="D818" s="325" t="s">
        <v>1249</v>
      </c>
      <c r="E818" s="2">
        <v>6100</v>
      </c>
      <c r="F818" s="2">
        <v>200</v>
      </c>
      <c r="G818" s="60">
        <v>42.7</v>
      </c>
      <c r="H818" s="303">
        <f t="shared" si="133"/>
        <v>8540</v>
      </c>
      <c r="I818" s="60">
        <v>36</v>
      </c>
      <c r="J818" s="444"/>
      <c r="K818" s="444"/>
      <c r="L818" s="444"/>
      <c r="M818" s="60">
        <f t="shared" ref="M818:M823" si="136">SUM(I818:L818)</f>
        <v>36</v>
      </c>
      <c r="N818" s="303">
        <f t="shared" ref="N818:N823" si="137">H818-M818</f>
        <v>8504</v>
      </c>
      <c r="O818" s="249" t="s">
        <v>2828</v>
      </c>
      <c r="P818" s="249" t="s">
        <v>369</v>
      </c>
    </row>
    <row r="819" spans="2:18" ht="12.75" customHeight="1" x14ac:dyDescent="0.25">
      <c r="B819" s="295" t="s">
        <v>2831</v>
      </c>
      <c r="C819" s="325" t="s">
        <v>2818</v>
      </c>
      <c r="D819" s="325" t="s">
        <v>1249</v>
      </c>
      <c r="E819" s="2">
        <v>6100</v>
      </c>
      <c r="F819" s="2">
        <v>350</v>
      </c>
      <c r="G819" s="60">
        <v>42.7</v>
      </c>
      <c r="H819" s="303">
        <f t="shared" si="133"/>
        <v>14945.000000000002</v>
      </c>
      <c r="I819" s="60">
        <v>63</v>
      </c>
      <c r="J819" s="444"/>
      <c r="K819" s="444"/>
      <c r="L819" s="444"/>
      <c r="M819" s="60">
        <f t="shared" si="136"/>
        <v>63</v>
      </c>
      <c r="N819" s="303">
        <f t="shared" si="137"/>
        <v>14882.000000000002</v>
      </c>
      <c r="O819" s="249" t="s">
        <v>2828</v>
      </c>
      <c r="P819" s="249" t="s">
        <v>369</v>
      </c>
    </row>
    <row r="820" spans="2:18" ht="12.75" customHeight="1" x14ac:dyDescent="0.25">
      <c r="B820" s="295" t="s">
        <v>2831</v>
      </c>
      <c r="C820" s="325" t="s">
        <v>2818</v>
      </c>
      <c r="D820" s="325" t="s">
        <v>1249</v>
      </c>
      <c r="E820" s="2">
        <v>6100</v>
      </c>
      <c r="F820" s="2">
        <v>300</v>
      </c>
      <c r="G820" s="60">
        <v>42.7</v>
      </c>
      <c r="H820" s="303">
        <f t="shared" si="133"/>
        <v>12810</v>
      </c>
      <c r="I820" s="60">
        <v>54</v>
      </c>
      <c r="J820" s="444"/>
      <c r="K820" s="444"/>
      <c r="L820" s="444"/>
      <c r="M820" s="60">
        <f t="shared" si="136"/>
        <v>54</v>
      </c>
      <c r="N820" s="303">
        <f t="shared" si="137"/>
        <v>12756</v>
      </c>
      <c r="O820" s="249" t="s">
        <v>2828</v>
      </c>
      <c r="P820" s="249" t="s">
        <v>369</v>
      </c>
    </row>
    <row r="821" spans="2:18" ht="13.2" x14ac:dyDescent="0.25">
      <c r="B821" s="295" t="s">
        <v>2831</v>
      </c>
      <c r="C821" s="325" t="s">
        <v>2818</v>
      </c>
      <c r="D821" s="325" t="s">
        <v>1249</v>
      </c>
      <c r="E821" s="2">
        <v>6100</v>
      </c>
      <c r="F821" s="2">
        <v>750</v>
      </c>
      <c r="G821" s="60">
        <v>42.65</v>
      </c>
      <c r="H821" s="303">
        <f t="shared" si="133"/>
        <v>31987.5</v>
      </c>
      <c r="I821" s="60">
        <v>135</v>
      </c>
      <c r="J821" s="444"/>
      <c r="K821" s="444"/>
      <c r="L821" s="444"/>
      <c r="M821" s="60">
        <f t="shared" si="136"/>
        <v>135</v>
      </c>
      <c r="N821" s="303">
        <f t="shared" si="137"/>
        <v>31852.5</v>
      </c>
      <c r="O821" s="249" t="s">
        <v>2828</v>
      </c>
      <c r="P821" s="304" t="s">
        <v>369</v>
      </c>
      <c r="R821" s="247"/>
    </row>
    <row r="822" spans="2:18" ht="12.75" customHeight="1" x14ac:dyDescent="0.25">
      <c r="B822" s="295" t="s">
        <v>2831</v>
      </c>
      <c r="C822" s="325" t="s">
        <v>2818</v>
      </c>
      <c r="D822" s="325" t="s">
        <v>1249</v>
      </c>
      <c r="E822" s="2">
        <v>6100</v>
      </c>
      <c r="F822" s="2">
        <v>200</v>
      </c>
      <c r="G822" s="60">
        <v>42.65</v>
      </c>
      <c r="H822" s="303">
        <f t="shared" si="133"/>
        <v>8530</v>
      </c>
      <c r="I822" s="60">
        <v>36</v>
      </c>
      <c r="J822" s="444"/>
      <c r="K822" s="444"/>
      <c r="L822" s="444"/>
      <c r="M822" s="60">
        <f t="shared" si="136"/>
        <v>36</v>
      </c>
      <c r="N822" s="303">
        <f t="shared" si="137"/>
        <v>8494</v>
      </c>
      <c r="O822" s="249" t="s">
        <v>2828</v>
      </c>
      <c r="P822" s="249" t="s">
        <v>369</v>
      </c>
    </row>
    <row r="823" spans="2:18" ht="12.75" customHeight="1" x14ac:dyDescent="0.25">
      <c r="B823" s="295" t="s">
        <v>2831</v>
      </c>
      <c r="C823" s="325" t="s">
        <v>2818</v>
      </c>
      <c r="D823" s="325" t="s">
        <v>1249</v>
      </c>
      <c r="E823" s="2">
        <v>6100</v>
      </c>
      <c r="F823" s="2">
        <v>700</v>
      </c>
      <c r="G823" s="60">
        <v>42.6</v>
      </c>
      <c r="H823" s="303">
        <f t="shared" si="133"/>
        <v>29820</v>
      </c>
      <c r="I823" s="60">
        <v>126</v>
      </c>
      <c r="J823" s="444"/>
      <c r="K823" s="444"/>
      <c r="L823" s="444"/>
      <c r="M823" s="60">
        <f t="shared" si="136"/>
        <v>126</v>
      </c>
      <c r="N823" s="303">
        <f t="shared" si="137"/>
        <v>29694</v>
      </c>
      <c r="O823" s="249" t="s">
        <v>2828</v>
      </c>
      <c r="P823" s="249" t="s">
        <v>369</v>
      </c>
    </row>
    <row r="824" spans="2:18" ht="12.75" customHeight="1" x14ac:dyDescent="0.25">
      <c r="B824" s="295" t="s">
        <v>2838</v>
      </c>
      <c r="C824" s="325" t="s">
        <v>2818</v>
      </c>
      <c r="D824" s="325" t="s">
        <v>1249</v>
      </c>
      <c r="E824" s="2">
        <v>6200</v>
      </c>
      <c r="F824" s="2">
        <v>1200</v>
      </c>
      <c r="G824" s="60">
        <v>0.5</v>
      </c>
      <c r="H824" s="303">
        <f t="shared" si="133"/>
        <v>600</v>
      </c>
      <c r="I824" s="60">
        <v>216</v>
      </c>
      <c r="J824" s="439"/>
      <c r="K824" s="439"/>
      <c r="L824" s="439"/>
      <c r="M824" s="60">
        <f t="shared" ref="M824:M830" si="138">SUM(I824:L824)</f>
        <v>216</v>
      </c>
      <c r="N824" s="303">
        <f t="shared" ref="N824:N832" si="139">H824-M824</f>
        <v>384</v>
      </c>
      <c r="O824" s="249" t="s">
        <v>1323</v>
      </c>
      <c r="P824" s="249" t="s">
        <v>369</v>
      </c>
    </row>
    <row r="825" spans="2:18" ht="13.2" x14ac:dyDescent="0.25">
      <c r="B825" s="295" t="s">
        <v>2838</v>
      </c>
      <c r="C825" s="325" t="s">
        <v>2818</v>
      </c>
      <c r="D825" s="325" t="s">
        <v>1249</v>
      </c>
      <c r="E825" s="2">
        <v>6100</v>
      </c>
      <c r="F825" s="2">
        <v>50</v>
      </c>
      <c r="G825" s="60">
        <v>7.5</v>
      </c>
      <c r="H825" s="303">
        <f t="shared" si="133"/>
        <v>375</v>
      </c>
      <c r="I825" s="60">
        <v>9</v>
      </c>
      <c r="J825" s="440"/>
      <c r="K825" s="440"/>
      <c r="L825" s="441"/>
      <c r="M825" s="60">
        <f t="shared" si="138"/>
        <v>9</v>
      </c>
      <c r="N825" s="303">
        <f t="shared" si="139"/>
        <v>366</v>
      </c>
      <c r="O825" s="249" t="s">
        <v>1323</v>
      </c>
      <c r="P825" s="249" t="s">
        <v>369</v>
      </c>
      <c r="R825" s="247"/>
    </row>
    <row r="826" spans="2:18" ht="12.75" customHeight="1" x14ac:dyDescent="0.25">
      <c r="B826" s="295" t="s">
        <v>2838</v>
      </c>
      <c r="C826" s="325" t="s">
        <v>2818</v>
      </c>
      <c r="D826" s="325" t="s">
        <v>1249</v>
      </c>
      <c r="E826" s="2">
        <v>6100</v>
      </c>
      <c r="F826" s="2">
        <v>800</v>
      </c>
      <c r="G826" s="60">
        <v>7.5</v>
      </c>
      <c r="H826" s="303">
        <f t="shared" si="133"/>
        <v>6000</v>
      </c>
      <c r="I826" s="60">
        <v>144</v>
      </c>
      <c r="J826" s="445"/>
      <c r="K826" s="439"/>
      <c r="L826" s="439"/>
      <c r="M826" s="60">
        <f t="shared" si="138"/>
        <v>144</v>
      </c>
      <c r="N826" s="303">
        <f t="shared" si="139"/>
        <v>5856</v>
      </c>
      <c r="O826" s="249" t="s">
        <v>1323</v>
      </c>
      <c r="P826" s="249" t="s">
        <v>369</v>
      </c>
    </row>
    <row r="827" spans="2:18" ht="12.75" customHeight="1" x14ac:dyDescent="0.25">
      <c r="B827" s="295" t="s">
        <v>2838</v>
      </c>
      <c r="C827" s="325" t="s">
        <v>2818</v>
      </c>
      <c r="D827" s="325" t="s">
        <v>1249</v>
      </c>
      <c r="E827" s="2">
        <v>6100</v>
      </c>
      <c r="F827" s="2">
        <v>1200</v>
      </c>
      <c r="G827" s="60">
        <v>7.5</v>
      </c>
      <c r="H827" s="303">
        <f t="shared" si="133"/>
        <v>9000</v>
      </c>
      <c r="I827" s="60">
        <v>216</v>
      </c>
      <c r="J827" s="439"/>
      <c r="K827" s="439"/>
      <c r="L827" s="439"/>
      <c r="M827" s="60">
        <f t="shared" si="138"/>
        <v>216</v>
      </c>
      <c r="N827" s="303">
        <f t="shared" si="139"/>
        <v>8784</v>
      </c>
      <c r="O827" s="249" t="s">
        <v>1323</v>
      </c>
      <c r="P827" s="249" t="s">
        <v>369</v>
      </c>
    </row>
    <row r="828" spans="2:18" ht="12.75" customHeight="1" x14ac:dyDescent="0.25">
      <c r="B828" s="295" t="s">
        <v>2838</v>
      </c>
      <c r="C828" s="325" t="s">
        <v>2818</v>
      </c>
      <c r="D828" s="325" t="s">
        <v>1249</v>
      </c>
      <c r="E828" s="2">
        <v>6100</v>
      </c>
      <c r="F828" s="2">
        <v>800</v>
      </c>
      <c r="G828" s="60">
        <v>7.5</v>
      </c>
      <c r="H828" s="303">
        <f t="shared" si="133"/>
        <v>6000</v>
      </c>
      <c r="I828" s="60">
        <v>144</v>
      </c>
      <c r="J828" s="439"/>
      <c r="K828" s="439"/>
      <c r="L828" s="439"/>
      <c r="M828" s="60">
        <f t="shared" si="138"/>
        <v>144</v>
      </c>
      <c r="N828" s="303">
        <f t="shared" si="139"/>
        <v>5856</v>
      </c>
      <c r="O828" s="249" t="s">
        <v>1323</v>
      </c>
      <c r="P828" s="249" t="s">
        <v>369</v>
      </c>
    </row>
    <row r="829" spans="2:18" ht="12.75" customHeight="1" x14ac:dyDescent="0.25">
      <c r="B829" s="295" t="s">
        <v>2838</v>
      </c>
      <c r="C829" s="325" t="s">
        <v>2818</v>
      </c>
      <c r="D829" s="325" t="s">
        <v>1249</v>
      </c>
      <c r="E829" s="2">
        <v>6100</v>
      </c>
      <c r="F829" s="2">
        <v>1600</v>
      </c>
      <c r="G829" s="60">
        <v>7.5</v>
      </c>
      <c r="H829" s="303">
        <f t="shared" si="133"/>
        <v>12000</v>
      </c>
      <c r="I829" s="60">
        <v>288</v>
      </c>
      <c r="J829" s="439"/>
      <c r="K829" s="439"/>
      <c r="L829" s="439"/>
      <c r="M829" s="60">
        <f t="shared" si="138"/>
        <v>288</v>
      </c>
      <c r="N829" s="303">
        <f t="shared" si="139"/>
        <v>11712</v>
      </c>
      <c r="O829" s="249" t="s">
        <v>1323</v>
      </c>
      <c r="P829" s="249" t="s">
        <v>369</v>
      </c>
    </row>
    <row r="830" spans="2:18" ht="12.75" customHeight="1" x14ac:dyDescent="0.25">
      <c r="B830" s="295" t="s">
        <v>2838</v>
      </c>
      <c r="C830" s="325" t="s">
        <v>2818</v>
      </c>
      <c r="D830" s="325" t="s">
        <v>1249</v>
      </c>
      <c r="E830" s="2">
        <v>6100</v>
      </c>
      <c r="F830" s="2">
        <v>1600</v>
      </c>
      <c r="G830" s="60">
        <v>7.5</v>
      </c>
      <c r="H830" s="303">
        <f t="shared" si="133"/>
        <v>12000</v>
      </c>
      <c r="I830" s="60">
        <v>288</v>
      </c>
      <c r="J830" s="439"/>
      <c r="K830" s="439"/>
      <c r="L830" s="439"/>
      <c r="M830" s="60">
        <f t="shared" si="138"/>
        <v>288</v>
      </c>
      <c r="N830" s="303">
        <f t="shared" si="139"/>
        <v>11712</v>
      </c>
      <c r="O830" s="249" t="s">
        <v>1323</v>
      </c>
      <c r="P830" s="249" t="s">
        <v>369</v>
      </c>
    </row>
    <row r="831" spans="2:18" ht="12.75" customHeight="1" x14ac:dyDescent="0.25">
      <c r="B831" s="295" t="s">
        <v>2838</v>
      </c>
      <c r="C831" s="325" t="s">
        <v>2818</v>
      </c>
      <c r="D831" s="325" t="s">
        <v>1249</v>
      </c>
      <c r="E831" s="2">
        <v>6100</v>
      </c>
      <c r="F831" s="2">
        <v>1450</v>
      </c>
      <c r="G831" s="60">
        <v>7.5</v>
      </c>
      <c r="H831" s="303">
        <f t="shared" ref="H831:H894" si="140">F831*G831</f>
        <v>10875</v>
      </c>
      <c r="I831" s="60">
        <v>261</v>
      </c>
      <c r="J831" s="247">
        <v>198.48</v>
      </c>
      <c r="K831" s="247">
        <v>14</v>
      </c>
      <c r="L831" s="247">
        <v>39.799999999999997</v>
      </c>
      <c r="M831" s="60">
        <f>SUM(I831:L831)</f>
        <v>513.28</v>
      </c>
      <c r="N831" s="303">
        <f>H831-M831</f>
        <v>10361.719999999999</v>
      </c>
      <c r="O831" s="249" t="s">
        <v>1323</v>
      </c>
      <c r="P831" s="249" t="s">
        <v>369</v>
      </c>
    </row>
    <row r="832" spans="2:18" ht="12.75" customHeight="1" x14ac:dyDescent="0.25">
      <c r="B832" s="295" t="s">
        <v>2845</v>
      </c>
      <c r="C832" s="325" t="s">
        <v>2843</v>
      </c>
      <c r="D832" s="325" t="s">
        <v>1245</v>
      </c>
      <c r="E832" s="2">
        <v>1500</v>
      </c>
      <c r="F832" s="2">
        <v>500</v>
      </c>
      <c r="G832" s="60">
        <v>6.1</v>
      </c>
      <c r="H832" s="303">
        <f t="shared" si="140"/>
        <v>3050</v>
      </c>
      <c r="I832" s="60">
        <v>18</v>
      </c>
      <c r="J832" s="439"/>
      <c r="K832" s="439"/>
      <c r="L832" s="439"/>
      <c r="M832" s="60">
        <f t="shared" ref="M832:M850" si="141">SUM(I832:L832)</f>
        <v>18</v>
      </c>
      <c r="N832" s="303">
        <f t="shared" si="139"/>
        <v>3032</v>
      </c>
      <c r="O832" s="319" t="s">
        <v>1327</v>
      </c>
      <c r="P832" s="249" t="s">
        <v>369</v>
      </c>
    </row>
    <row r="833" spans="2:18" ht="12.75" customHeight="1" x14ac:dyDescent="0.25">
      <c r="B833" s="295" t="s">
        <v>2860</v>
      </c>
      <c r="C833" s="295" t="s">
        <v>2840</v>
      </c>
      <c r="D833" s="325" t="s">
        <v>1249</v>
      </c>
      <c r="E833" s="2">
        <v>120</v>
      </c>
      <c r="F833" s="2">
        <v>4000</v>
      </c>
      <c r="G833" s="60">
        <v>0.3</v>
      </c>
      <c r="H833" s="303">
        <f t="shared" si="140"/>
        <v>1200</v>
      </c>
      <c r="I833" s="60">
        <v>9</v>
      </c>
      <c r="J833" s="439"/>
      <c r="K833" s="439"/>
      <c r="L833" s="439"/>
      <c r="M833" s="60">
        <f t="shared" si="141"/>
        <v>9</v>
      </c>
      <c r="N833" s="303">
        <f t="shared" ref="N833:N850" si="142">H833-M833</f>
        <v>1191</v>
      </c>
      <c r="O833" s="319" t="s">
        <v>55</v>
      </c>
      <c r="P833" s="249" t="s">
        <v>369</v>
      </c>
    </row>
    <row r="834" spans="2:18" ht="12.75" customHeight="1" x14ac:dyDescent="0.25">
      <c r="B834" s="295" t="s">
        <v>2860</v>
      </c>
      <c r="C834" s="295" t="s">
        <v>2840</v>
      </c>
      <c r="D834" s="325" t="s">
        <v>1249</v>
      </c>
      <c r="E834" s="2">
        <v>120</v>
      </c>
      <c r="F834" s="2">
        <v>4000</v>
      </c>
      <c r="G834" s="60">
        <v>0.3</v>
      </c>
      <c r="H834" s="303">
        <f t="shared" si="140"/>
        <v>1200</v>
      </c>
      <c r="I834" s="60">
        <v>9</v>
      </c>
      <c r="J834" s="439"/>
      <c r="K834" s="439"/>
      <c r="L834" s="439"/>
      <c r="M834" s="60">
        <f t="shared" si="141"/>
        <v>9</v>
      </c>
      <c r="N834" s="303">
        <f t="shared" si="142"/>
        <v>1191</v>
      </c>
      <c r="O834" s="319" t="s">
        <v>55</v>
      </c>
      <c r="P834" s="249" t="s">
        <v>369</v>
      </c>
    </row>
    <row r="835" spans="2:18" ht="12.75" customHeight="1" x14ac:dyDescent="0.25">
      <c r="B835" s="295" t="s">
        <v>2861</v>
      </c>
      <c r="C835" s="295" t="s">
        <v>2840</v>
      </c>
      <c r="D835" s="325" t="s">
        <v>1249</v>
      </c>
      <c r="E835" s="2">
        <v>120</v>
      </c>
      <c r="F835" s="2">
        <v>4000</v>
      </c>
      <c r="G835" s="60">
        <v>0.15</v>
      </c>
      <c r="H835" s="303">
        <f t="shared" si="140"/>
        <v>600</v>
      </c>
      <c r="I835" s="60">
        <v>9</v>
      </c>
      <c r="J835" s="439"/>
      <c r="K835" s="439"/>
      <c r="L835" s="439"/>
      <c r="M835" s="60">
        <f t="shared" si="141"/>
        <v>9</v>
      </c>
      <c r="N835" s="303">
        <f t="shared" si="142"/>
        <v>591</v>
      </c>
      <c r="O835" s="319" t="s">
        <v>2865</v>
      </c>
      <c r="P835" s="249" t="s">
        <v>369</v>
      </c>
    </row>
    <row r="836" spans="2:18" ht="12.75" customHeight="1" x14ac:dyDescent="0.25">
      <c r="B836" s="295" t="s">
        <v>2861</v>
      </c>
      <c r="C836" s="295" t="s">
        <v>2840</v>
      </c>
      <c r="D836" s="325" t="s">
        <v>1249</v>
      </c>
      <c r="E836" s="2">
        <v>120</v>
      </c>
      <c r="F836" s="2">
        <v>4000</v>
      </c>
      <c r="G836" s="60">
        <v>0.15</v>
      </c>
      <c r="H836" s="303">
        <f t="shared" si="140"/>
        <v>600</v>
      </c>
      <c r="I836" s="60">
        <v>9</v>
      </c>
      <c r="J836" s="439"/>
      <c r="K836" s="439"/>
      <c r="L836" s="439"/>
      <c r="M836" s="60">
        <f t="shared" si="141"/>
        <v>9</v>
      </c>
      <c r="N836" s="303">
        <f t="shared" si="142"/>
        <v>591</v>
      </c>
      <c r="O836" s="319" t="s">
        <v>2865</v>
      </c>
      <c r="P836" s="249" t="s">
        <v>369</v>
      </c>
    </row>
    <row r="837" spans="2:18" ht="12.75" customHeight="1" x14ac:dyDescent="0.25">
      <c r="B837" s="295" t="s">
        <v>2866</v>
      </c>
      <c r="C837" s="325" t="s">
        <v>2841</v>
      </c>
      <c r="D837" s="325" t="s">
        <v>1249</v>
      </c>
      <c r="E837" s="2">
        <v>6200</v>
      </c>
      <c r="F837" s="2">
        <v>4100</v>
      </c>
      <c r="G837" s="60">
        <v>2.35</v>
      </c>
      <c r="H837" s="303">
        <f t="shared" si="140"/>
        <v>9635</v>
      </c>
      <c r="I837" s="60">
        <v>738</v>
      </c>
      <c r="J837" s="439"/>
      <c r="K837" s="439"/>
      <c r="L837" s="439"/>
      <c r="M837" s="60">
        <f t="shared" si="141"/>
        <v>738</v>
      </c>
      <c r="N837" s="303">
        <f t="shared" si="142"/>
        <v>8897</v>
      </c>
      <c r="O837" s="249" t="s">
        <v>2868</v>
      </c>
      <c r="P837" s="249" t="s">
        <v>369</v>
      </c>
    </row>
    <row r="838" spans="2:18" ht="13.2" x14ac:dyDescent="0.25">
      <c r="B838" s="295" t="s">
        <v>2866</v>
      </c>
      <c r="C838" s="325" t="s">
        <v>2841</v>
      </c>
      <c r="D838" s="325" t="s">
        <v>1249</v>
      </c>
      <c r="E838" s="2">
        <v>6200</v>
      </c>
      <c r="F838" s="2">
        <v>2400</v>
      </c>
      <c r="G838" s="60">
        <v>2.35</v>
      </c>
      <c r="H838" s="303">
        <f t="shared" si="140"/>
        <v>5640</v>
      </c>
      <c r="I838" s="60">
        <v>432</v>
      </c>
      <c r="J838" s="439"/>
      <c r="K838" s="439"/>
      <c r="L838" s="439"/>
      <c r="M838" s="60">
        <f t="shared" si="141"/>
        <v>432</v>
      </c>
      <c r="N838" s="303">
        <f>H838-M838</f>
        <v>5208</v>
      </c>
      <c r="O838" s="249" t="s">
        <v>2868</v>
      </c>
      <c r="P838" s="249" t="s">
        <v>369</v>
      </c>
      <c r="R838" s="247"/>
    </row>
    <row r="839" spans="2:18" ht="12.75" customHeight="1" x14ac:dyDescent="0.25">
      <c r="B839" s="295" t="s">
        <v>2866</v>
      </c>
      <c r="C839" s="295" t="s">
        <v>2841</v>
      </c>
      <c r="D839" s="325" t="s">
        <v>1249</v>
      </c>
      <c r="E839" s="2">
        <v>6200</v>
      </c>
      <c r="F839" s="2">
        <v>500</v>
      </c>
      <c r="G839" s="60">
        <v>2.35</v>
      </c>
      <c r="H839" s="303">
        <f t="shared" si="140"/>
        <v>1175</v>
      </c>
      <c r="I839" s="60">
        <v>90</v>
      </c>
      <c r="J839" s="439"/>
      <c r="K839" s="439"/>
      <c r="L839" s="439"/>
      <c r="M839" s="60">
        <f t="shared" si="141"/>
        <v>90</v>
      </c>
      <c r="N839" s="303">
        <f t="shared" si="142"/>
        <v>1085</v>
      </c>
      <c r="O839" s="249" t="s">
        <v>2868</v>
      </c>
      <c r="P839" s="249" t="s">
        <v>369</v>
      </c>
    </row>
    <row r="840" spans="2:18" ht="13.2" x14ac:dyDescent="0.25">
      <c r="B840" s="295" t="s">
        <v>2867</v>
      </c>
      <c r="C840" s="295" t="s">
        <v>2876</v>
      </c>
      <c r="D840" s="295" t="s">
        <v>1249</v>
      </c>
      <c r="E840" s="2">
        <v>880</v>
      </c>
      <c r="F840" s="2">
        <v>1000</v>
      </c>
      <c r="G840" s="60">
        <v>6</v>
      </c>
      <c r="H840" s="303">
        <f t="shared" si="140"/>
        <v>6000</v>
      </c>
      <c r="I840" s="60">
        <v>36</v>
      </c>
      <c r="J840" s="439"/>
      <c r="K840" s="439"/>
      <c r="L840" s="439"/>
      <c r="M840" s="60">
        <f t="shared" si="141"/>
        <v>36</v>
      </c>
      <c r="N840" s="303">
        <f t="shared" si="142"/>
        <v>5964</v>
      </c>
      <c r="O840" s="304" t="s">
        <v>2870</v>
      </c>
      <c r="P840" s="249" t="s">
        <v>369</v>
      </c>
      <c r="R840" s="247"/>
    </row>
    <row r="841" spans="2:18" ht="12.75" customHeight="1" x14ac:dyDescent="0.25">
      <c r="B841" s="295" t="s">
        <v>2867</v>
      </c>
      <c r="C841" s="295" t="s">
        <v>2876</v>
      </c>
      <c r="D841" s="325" t="s">
        <v>1249</v>
      </c>
      <c r="E841" s="2">
        <v>880</v>
      </c>
      <c r="F841" s="2">
        <v>1750</v>
      </c>
      <c r="G841" s="60">
        <v>5.45</v>
      </c>
      <c r="H841" s="303">
        <f t="shared" si="140"/>
        <v>9537.5</v>
      </c>
      <c r="I841" s="60">
        <v>63</v>
      </c>
      <c r="J841" s="439"/>
      <c r="K841" s="439"/>
      <c r="L841" s="439"/>
      <c r="M841" s="60">
        <f t="shared" si="141"/>
        <v>63</v>
      </c>
      <c r="N841" s="303">
        <f t="shared" si="142"/>
        <v>9474.5</v>
      </c>
      <c r="O841" s="304" t="s">
        <v>2870</v>
      </c>
      <c r="P841" s="249" t="s">
        <v>369</v>
      </c>
    </row>
    <row r="842" spans="2:18" ht="13.2" x14ac:dyDescent="0.25">
      <c r="B842" s="295" t="s">
        <v>2867</v>
      </c>
      <c r="C842" s="295" t="s">
        <v>2876</v>
      </c>
      <c r="D842" s="325" t="s">
        <v>1249</v>
      </c>
      <c r="E842" s="2">
        <v>880</v>
      </c>
      <c r="F842" s="2">
        <v>250</v>
      </c>
      <c r="G842" s="60">
        <v>5.45</v>
      </c>
      <c r="H842" s="303">
        <f t="shared" si="140"/>
        <v>1362.5</v>
      </c>
      <c r="I842" s="60">
        <v>9</v>
      </c>
      <c r="J842" s="299">
        <v>14.81</v>
      </c>
      <c r="K842" s="299">
        <v>5</v>
      </c>
      <c r="L842" s="224">
        <v>11.83</v>
      </c>
      <c r="M842" s="60">
        <f t="shared" si="141"/>
        <v>40.64</v>
      </c>
      <c r="N842" s="303">
        <f t="shared" si="142"/>
        <v>1321.86</v>
      </c>
      <c r="O842" s="304" t="s">
        <v>2870</v>
      </c>
      <c r="P842" s="249" t="s">
        <v>369</v>
      </c>
      <c r="R842" s="247"/>
    </row>
    <row r="843" spans="2:18" ht="12.75" customHeight="1" x14ac:dyDescent="0.25">
      <c r="B843" s="295" t="s">
        <v>2871</v>
      </c>
      <c r="C843" s="325" t="s">
        <v>2877</v>
      </c>
      <c r="D843" s="325" t="s">
        <v>1245</v>
      </c>
      <c r="E843" s="2">
        <v>500</v>
      </c>
      <c r="F843" s="2">
        <v>1000</v>
      </c>
      <c r="G843" s="60">
        <v>7.9</v>
      </c>
      <c r="H843" s="303">
        <f t="shared" si="140"/>
        <v>7900</v>
      </c>
      <c r="I843" s="60">
        <v>9</v>
      </c>
      <c r="J843" s="439"/>
      <c r="K843" s="439"/>
      <c r="L843" s="439"/>
      <c r="M843" s="60">
        <f t="shared" si="141"/>
        <v>9</v>
      </c>
      <c r="N843" s="303">
        <f t="shared" si="142"/>
        <v>7891</v>
      </c>
      <c r="O843" s="249" t="s">
        <v>2872</v>
      </c>
      <c r="P843" s="249" t="s">
        <v>369</v>
      </c>
    </row>
    <row r="844" spans="2:18" ht="12.75" customHeight="1" x14ac:dyDescent="0.25">
      <c r="B844" s="295" t="s">
        <v>2871</v>
      </c>
      <c r="C844" s="325" t="s">
        <v>2877</v>
      </c>
      <c r="D844" s="325" t="s">
        <v>1245</v>
      </c>
      <c r="E844" s="2">
        <v>500</v>
      </c>
      <c r="F844" s="2">
        <v>1000</v>
      </c>
      <c r="G844" s="60">
        <v>7.6</v>
      </c>
      <c r="H844" s="303">
        <f t="shared" si="140"/>
        <v>7600</v>
      </c>
      <c r="I844" s="60">
        <v>9</v>
      </c>
      <c r="J844" s="439"/>
      <c r="K844" s="439"/>
      <c r="L844" s="439"/>
      <c r="M844" s="60">
        <f t="shared" si="141"/>
        <v>9</v>
      </c>
      <c r="N844" s="303">
        <f t="shared" si="142"/>
        <v>7591</v>
      </c>
      <c r="O844" s="249" t="s">
        <v>2872</v>
      </c>
      <c r="P844" s="249" t="s">
        <v>369</v>
      </c>
    </row>
    <row r="845" spans="2:18" ht="12.75" customHeight="1" x14ac:dyDescent="0.25">
      <c r="B845" s="295" t="s">
        <v>2871</v>
      </c>
      <c r="C845" s="325" t="s">
        <v>2841</v>
      </c>
      <c r="D845" s="325" t="s">
        <v>1249</v>
      </c>
      <c r="E845" s="2">
        <v>5900</v>
      </c>
      <c r="F845" s="2">
        <v>250</v>
      </c>
      <c r="G845" s="60">
        <v>80</v>
      </c>
      <c r="H845" s="303">
        <f t="shared" si="140"/>
        <v>20000</v>
      </c>
      <c r="I845" s="60">
        <v>45</v>
      </c>
      <c r="J845" s="439"/>
      <c r="K845" s="439"/>
      <c r="L845" s="439"/>
      <c r="M845" s="60">
        <f t="shared" si="141"/>
        <v>45</v>
      </c>
      <c r="N845" s="303">
        <f t="shared" si="142"/>
        <v>19955</v>
      </c>
      <c r="O845" s="249" t="s">
        <v>2872</v>
      </c>
      <c r="P845" s="249" t="s">
        <v>369</v>
      </c>
    </row>
    <row r="846" spans="2:18" ht="13.2" x14ac:dyDescent="0.25">
      <c r="B846" s="295" t="s">
        <v>2869</v>
      </c>
      <c r="C846" s="295" t="s">
        <v>2877</v>
      </c>
      <c r="D846" s="325" t="s">
        <v>1245</v>
      </c>
      <c r="E846" s="2">
        <v>500</v>
      </c>
      <c r="F846" s="2">
        <v>1000</v>
      </c>
      <c r="G846" s="60">
        <v>5.15</v>
      </c>
      <c r="H846" s="303">
        <f t="shared" si="140"/>
        <v>5150</v>
      </c>
      <c r="I846" s="60">
        <v>9</v>
      </c>
      <c r="J846" s="439"/>
      <c r="K846" s="439"/>
      <c r="L846" s="439"/>
      <c r="M846" s="60">
        <f t="shared" si="141"/>
        <v>9</v>
      </c>
      <c r="N846" s="303">
        <f t="shared" si="142"/>
        <v>5141</v>
      </c>
      <c r="O846" s="304" t="s">
        <v>2879</v>
      </c>
      <c r="P846" s="249" t="s">
        <v>369</v>
      </c>
      <c r="R846" s="247"/>
    </row>
    <row r="847" spans="2:18" ht="12.75" customHeight="1" x14ac:dyDescent="0.25">
      <c r="B847" s="295" t="s">
        <v>2869</v>
      </c>
      <c r="C847" s="325" t="s">
        <v>2878</v>
      </c>
      <c r="D847" s="325" t="s">
        <v>1249</v>
      </c>
      <c r="E847" s="2">
        <v>840</v>
      </c>
      <c r="F847" s="2">
        <v>500</v>
      </c>
      <c r="G847" s="60">
        <v>8.5</v>
      </c>
      <c r="H847" s="303">
        <f t="shared" si="140"/>
        <v>4250</v>
      </c>
      <c r="I847" s="60">
        <v>9</v>
      </c>
      <c r="J847" s="439"/>
      <c r="K847" s="439"/>
      <c r="L847" s="439"/>
      <c r="M847" s="60">
        <f t="shared" si="141"/>
        <v>9</v>
      </c>
      <c r="N847" s="303">
        <f t="shared" si="142"/>
        <v>4241</v>
      </c>
      <c r="O847" s="304" t="s">
        <v>2879</v>
      </c>
      <c r="P847" s="249" t="s">
        <v>369</v>
      </c>
    </row>
    <row r="848" spans="2:18" ht="12.75" customHeight="1" x14ac:dyDescent="0.25">
      <c r="B848" s="295" t="s">
        <v>2869</v>
      </c>
      <c r="C848" s="325" t="s">
        <v>2878</v>
      </c>
      <c r="D848" s="325" t="s">
        <v>1249</v>
      </c>
      <c r="E848" s="2">
        <v>840</v>
      </c>
      <c r="F848" s="2">
        <v>500</v>
      </c>
      <c r="G848" s="60">
        <v>8.1</v>
      </c>
      <c r="H848" s="303">
        <f t="shared" si="140"/>
        <v>4050</v>
      </c>
      <c r="I848" s="60">
        <v>9</v>
      </c>
      <c r="J848" s="439"/>
      <c r="K848" s="439"/>
      <c r="L848" s="439"/>
      <c r="M848" s="60">
        <f t="shared" si="141"/>
        <v>9</v>
      </c>
      <c r="N848" s="303">
        <f t="shared" si="142"/>
        <v>4041</v>
      </c>
      <c r="O848" s="304" t="s">
        <v>2879</v>
      </c>
      <c r="P848" s="249" t="s">
        <v>369</v>
      </c>
    </row>
    <row r="849" spans="2:18" ht="12.75" customHeight="1" x14ac:dyDescent="0.25">
      <c r="B849" s="295" t="s">
        <v>2880</v>
      </c>
      <c r="C849" s="325" t="s">
        <v>2841</v>
      </c>
      <c r="D849" s="325" t="s">
        <v>1245</v>
      </c>
      <c r="E849" s="2">
        <v>5900</v>
      </c>
      <c r="F849" s="2">
        <v>400</v>
      </c>
      <c r="G849" s="60">
        <v>73.5</v>
      </c>
      <c r="H849" s="303">
        <f t="shared" si="140"/>
        <v>29400</v>
      </c>
      <c r="I849" s="60">
        <v>72</v>
      </c>
      <c r="J849" s="439"/>
      <c r="K849" s="439"/>
      <c r="L849" s="439"/>
      <c r="M849" s="60">
        <f t="shared" si="141"/>
        <v>72</v>
      </c>
      <c r="N849" s="303">
        <f t="shared" si="142"/>
        <v>29328</v>
      </c>
      <c r="O849" s="249" t="s">
        <v>565</v>
      </c>
      <c r="P849" s="249" t="s">
        <v>369</v>
      </c>
    </row>
    <row r="850" spans="2:18" ht="12.75" customHeight="1" x14ac:dyDescent="0.25">
      <c r="B850" s="295" t="s">
        <v>2880</v>
      </c>
      <c r="C850" s="325" t="s">
        <v>2841</v>
      </c>
      <c r="D850" s="325" t="s">
        <v>1245</v>
      </c>
      <c r="E850" s="2">
        <v>5900</v>
      </c>
      <c r="F850" s="2">
        <v>300</v>
      </c>
      <c r="G850" s="60">
        <v>73.5</v>
      </c>
      <c r="H850" s="303">
        <f t="shared" si="140"/>
        <v>22050</v>
      </c>
      <c r="I850" s="60">
        <v>54</v>
      </c>
      <c r="J850" s="247">
        <v>20.02</v>
      </c>
      <c r="K850" s="247">
        <f>9+4</f>
        <v>13</v>
      </c>
      <c r="L850" s="247">
        <v>36.020000000000003</v>
      </c>
      <c r="M850" s="60">
        <f t="shared" si="141"/>
        <v>123.03999999999999</v>
      </c>
      <c r="N850" s="303">
        <f t="shared" si="142"/>
        <v>21926.959999999999</v>
      </c>
      <c r="O850" s="249" t="s">
        <v>565</v>
      </c>
      <c r="P850" s="249" t="s">
        <v>369</v>
      </c>
    </row>
    <row r="851" spans="2:18" ht="13.2" x14ac:dyDescent="0.25">
      <c r="B851" s="295" t="s">
        <v>2881</v>
      </c>
      <c r="C851" s="295" t="s">
        <v>2841</v>
      </c>
      <c r="D851" s="325" t="s">
        <v>1245</v>
      </c>
      <c r="E851" s="2">
        <v>5800</v>
      </c>
      <c r="F851" s="2">
        <v>400</v>
      </c>
      <c r="G851" s="60">
        <v>30.5</v>
      </c>
      <c r="H851" s="303">
        <f t="shared" si="140"/>
        <v>12200</v>
      </c>
      <c r="I851" s="60">
        <v>72</v>
      </c>
      <c r="J851" s="440"/>
      <c r="K851" s="440"/>
      <c r="L851" s="441"/>
      <c r="M851" s="60">
        <f t="shared" ref="M851:M859" si="143">SUM(I851:L851)</f>
        <v>72</v>
      </c>
      <c r="N851" s="303">
        <f t="shared" ref="N851:N869" si="144">H851-M851</f>
        <v>12128</v>
      </c>
      <c r="O851" s="304" t="s">
        <v>567</v>
      </c>
      <c r="P851" s="304" t="s">
        <v>369</v>
      </c>
      <c r="R851" s="247"/>
    </row>
    <row r="852" spans="2:18" ht="12.75" customHeight="1" x14ac:dyDescent="0.25">
      <c r="B852" s="295" t="s">
        <v>2881</v>
      </c>
      <c r="C852" s="325" t="s">
        <v>2841</v>
      </c>
      <c r="D852" s="325" t="s">
        <v>1245</v>
      </c>
      <c r="E852" s="2">
        <v>5800</v>
      </c>
      <c r="F852" s="2">
        <v>400</v>
      </c>
      <c r="G852" s="60">
        <v>30.5</v>
      </c>
      <c r="H852" s="303">
        <f t="shared" si="140"/>
        <v>12200</v>
      </c>
      <c r="I852" s="60">
        <v>72</v>
      </c>
      <c r="J852" s="445"/>
      <c r="K852" s="439"/>
      <c r="L852" s="439"/>
      <c r="M852" s="60">
        <f t="shared" si="143"/>
        <v>72</v>
      </c>
      <c r="N852" s="303">
        <f t="shared" si="144"/>
        <v>12128</v>
      </c>
      <c r="O852" s="304" t="s">
        <v>567</v>
      </c>
      <c r="P852" s="249" t="s">
        <v>369</v>
      </c>
    </row>
    <row r="853" spans="2:18" ht="12.75" customHeight="1" x14ac:dyDescent="0.25">
      <c r="B853" s="295" t="s">
        <v>2881</v>
      </c>
      <c r="C853" s="325" t="s">
        <v>2841</v>
      </c>
      <c r="D853" s="325" t="s">
        <v>1245</v>
      </c>
      <c r="E853" s="2">
        <v>5800</v>
      </c>
      <c r="F853" s="2">
        <v>100</v>
      </c>
      <c r="G853" s="60">
        <v>30.5</v>
      </c>
      <c r="H853" s="303">
        <f t="shared" si="140"/>
        <v>3050</v>
      </c>
      <c r="I853" s="60">
        <v>18</v>
      </c>
      <c r="J853" s="439"/>
      <c r="K853" s="439"/>
      <c r="L853" s="439"/>
      <c r="M853" s="60">
        <f t="shared" si="143"/>
        <v>18</v>
      </c>
      <c r="N853" s="303">
        <f t="shared" si="144"/>
        <v>3032</v>
      </c>
      <c r="O853" s="304" t="s">
        <v>567</v>
      </c>
      <c r="P853" s="249" t="s">
        <v>369</v>
      </c>
    </row>
    <row r="854" spans="2:18" ht="12.75" customHeight="1" x14ac:dyDescent="0.25">
      <c r="B854" s="295" t="s">
        <v>2881</v>
      </c>
      <c r="C854" s="325" t="s">
        <v>2841</v>
      </c>
      <c r="D854" s="325" t="s">
        <v>1245</v>
      </c>
      <c r="E854" s="2">
        <v>5800</v>
      </c>
      <c r="F854" s="2">
        <v>50</v>
      </c>
      <c r="G854" s="60">
        <v>30.5</v>
      </c>
      <c r="H854" s="303">
        <f t="shared" si="140"/>
        <v>1525</v>
      </c>
      <c r="I854" s="60">
        <v>9</v>
      </c>
      <c r="J854" s="439"/>
      <c r="K854" s="439"/>
      <c r="L854" s="439"/>
      <c r="M854" s="60">
        <f t="shared" si="143"/>
        <v>9</v>
      </c>
      <c r="N854" s="303">
        <f t="shared" si="144"/>
        <v>1516</v>
      </c>
      <c r="O854" s="304" t="s">
        <v>567</v>
      </c>
      <c r="P854" s="249" t="s">
        <v>369</v>
      </c>
    </row>
    <row r="855" spans="2:18" ht="12.75" customHeight="1" x14ac:dyDescent="0.25">
      <c r="B855" s="295" t="s">
        <v>2881</v>
      </c>
      <c r="C855" s="325" t="s">
        <v>2841</v>
      </c>
      <c r="D855" s="325" t="s">
        <v>1245</v>
      </c>
      <c r="E855" s="2">
        <v>5800</v>
      </c>
      <c r="F855" s="2">
        <v>100</v>
      </c>
      <c r="G855" s="60">
        <v>30.5</v>
      </c>
      <c r="H855" s="303">
        <f t="shared" si="140"/>
        <v>3050</v>
      </c>
      <c r="I855" s="60">
        <v>18</v>
      </c>
      <c r="J855" s="439"/>
      <c r="K855" s="439"/>
      <c r="L855" s="439"/>
      <c r="M855" s="60">
        <f t="shared" si="143"/>
        <v>18</v>
      </c>
      <c r="N855" s="303">
        <f t="shared" si="144"/>
        <v>3032</v>
      </c>
      <c r="O855" s="304" t="s">
        <v>567</v>
      </c>
      <c r="P855" s="249" t="s">
        <v>369</v>
      </c>
    </row>
    <row r="856" spans="2:18" ht="12.75" customHeight="1" x14ac:dyDescent="0.25">
      <c r="B856" s="295" t="s">
        <v>2881</v>
      </c>
      <c r="C856" s="325" t="s">
        <v>2841</v>
      </c>
      <c r="D856" s="325" t="s">
        <v>1245</v>
      </c>
      <c r="E856" s="2">
        <v>5800</v>
      </c>
      <c r="F856" s="2">
        <v>200</v>
      </c>
      <c r="G856" s="60">
        <v>30.5</v>
      </c>
      <c r="H856" s="303">
        <f t="shared" si="140"/>
        <v>6100</v>
      </c>
      <c r="I856" s="60">
        <v>36</v>
      </c>
      <c r="J856" s="439"/>
      <c r="K856" s="439"/>
      <c r="L856" s="439"/>
      <c r="M856" s="60">
        <f t="shared" si="143"/>
        <v>36</v>
      </c>
      <c r="N856" s="303">
        <f t="shared" si="144"/>
        <v>6064</v>
      </c>
      <c r="O856" s="304" t="s">
        <v>567</v>
      </c>
      <c r="P856" s="249" t="s">
        <v>369</v>
      </c>
    </row>
    <row r="857" spans="2:18" ht="12.75" customHeight="1" x14ac:dyDescent="0.25">
      <c r="B857" s="295" t="s">
        <v>2881</v>
      </c>
      <c r="C857" s="325" t="s">
        <v>2841</v>
      </c>
      <c r="D857" s="325" t="s">
        <v>1245</v>
      </c>
      <c r="E857" s="2">
        <v>5800</v>
      </c>
      <c r="F857" s="2">
        <v>100</v>
      </c>
      <c r="G857" s="60">
        <v>30.5</v>
      </c>
      <c r="H857" s="303">
        <f t="shared" si="140"/>
        <v>3050</v>
      </c>
      <c r="I857" s="60">
        <v>18</v>
      </c>
      <c r="J857" s="439"/>
      <c r="K857" s="439"/>
      <c r="L857" s="439"/>
      <c r="M857" s="60">
        <f t="shared" si="143"/>
        <v>18</v>
      </c>
      <c r="N857" s="303">
        <f t="shared" si="144"/>
        <v>3032</v>
      </c>
      <c r="O857" s="304" t="s">
        <v>567</v>
      </c>
      <c r="P857" s="249" t="s">
        <v>369</v>
      </c>
    </row>
    <row r="858" spans="2:18" ht="12.75" customHeight="1" x14ac:dyDescent="0.25">
      <c r="B858" s="295" t="s">
        <v>2881</v>
      </c>
      <c r="C858" s="325" t="s">
        <v>2841</v>
      </c>
      <c r="D858" s="325" t="s">
        <v>1245</v>
      </c>
      <c r="E858" s="2">
        <v>5800</v>
      </c>
      <c r="F858" s="2">
        <v>50</v>
      </c>
      <c r="G858" s="60">
        <v>30.5</v>
      </c>
      <c r="H858" s="303">
        <f t="shared" si="140"/>
        <v>1525</v>
      </c>
      <c r="I858" s="60">
        <v>9</v>
      </c>
      <c r="J858" s="439"/>
      <c r="K858" s="439"/>
      <c r="L858" s="439"/>
      <c r="M858" s="60">
        <f t="shared" si="143"/>
        <v>9</v>
      </c>
      <c r="N858" s="303">
        <f t="shared" si="144"/>
        <v>1516</v>
      </c>
      <c r="O858" s="304" t="s">
        <v>567</v>
      </c>
      <c r="P858" s="249" t="s">
        <v>369</v>
      </c>
    </row>
    <row r="859" spans="2:18" ht="12.75" customHeight="1" x14ac:dyDescent="0.25">
      <c r="B859" s="295" t="s">
        <v>2881</v>
      </c>
      <c r="C859" s="325" t="s">
        <v>2841</v>
      </c>
      <c r="D859" s="325" t="s">
        <v>1249</v>
      </c>
      <c r="E859" s="2">
        <v>5900</v>
      </c>
      <c r="F859" s="2">
        <v>1000</v>
      </c>
      <c r="G859" s="60">
        <v>34.200000000000003</v>
      </c>
      <c r="H859" s="303">
        <f t="shared" si="140"/>
        <v>34200</v>
      </c>
      <c r="I859" s="60">
        <v>180</v>
      </c>
      <c r="J859" s="247">
        <v>121.23</v>
      </c>
      <c r="K859" s="247">
        <f>13+11</f>
        <v>24</v>
      </c>
      <c r="L859" s="247">
        <v>116.79</v>
      </c>
      <c r="M859" s="60">
        <f t="shared" si="143"/>
        <v>442.02000000000004</v>
      </c>
      <c r="N859" s="303">
        <f t="shared" si="144"/>
        <v>33757.980000000003</v>
      </c>
      <c r="O859" s="304" t="s">
        <v>567</v>
      </c>
      <c r="P859" s="249" t="s">
        <v>369</v>
      </c>
    </row>
    <row r="860" spans="2:18" ht="13.2" x14ac:dyDescent="0.25">
      <c r="B860" s="295" t="s">
        <v>2886</v>
      </c>
      <c r="C860" s="325" t="s">
        <v>2841</v>
      </c>
      <c r="D860" s="325" t="s">
        <v>1249</v>
      </c>
      <c r="E860" s="2">
        <v>5900</v>
      </c>
      <c r="F860" s="2">
        <v>750</v>
      </c>
      <c r="G860" s="60">
        <v>21.6</v>
      </c>
      <c r="H860" s="303">
        <f t="shared" si="140"/>
        <v>16200.000000000002</v>
      </c>
      <c r="I860" s="60">
        <v>135</v>
      </c>
      <c r="J860" s="439"/>
      <c r="K860" s="439"/>
      <c r="L860" s="439"/>
      <c r="M860" s="60">
        <f t="shared" ref="M860:M869" si="145">SUM(I860:L860)</f>
        <v>135</v>
      </c>
      <c r="N860" s="303">
        <f t="shared" si="144"/>
        <v>16065.000000000002</v>
      </c>
      <c r="O860" s="304" t="s">
        <v>2885</v>
      </c>
      <c r="P860" s="304" t="s">
        <v>369</v>
      </c>
      <c r="R860" s="247"/>
    </row>
    <row r="861" spans="2:18" ht="12.75" customHeight="1" x14ac:dyDescent="0.25">
      <c r="B861" s="249" t="s">
        <v>2887</v>
      </c>
      <c r="C861" s="325" t="s">
        <v>2884</v>
      </c>
      <c r="D861" s="325" t="s">
        <v>1249</v>
      </c>
      <c r="E861" s="2">
        <v>6000</v>
      </c>
      <c r="F861" s="2">
        <v>800</v>
      </c>
      <c r="G861" s="60">
        <v>35.549999999999997</v>
      </c>
      <c r="H861" s="303">
        <f t="shared" si="140"/>
        <v>28439.999999999996</v>
      </c>
      <c r="I861" s="60">
        <v>144</v>
      </c>
      <c r="J861" s="439"/>
      <c r="K861" s="439"/>
      <c r="L861" s="439"/>
      <c r="M861" s="60">
        <f t="shared" si="145"/>
        <v>144</v>
      </c>
      <c r="N861" s="303">
        <f t="shared" si="144"/>
        <v>28295.999999999996</v>
      </c>
      <c r="O861" s="249" t="s">
        <v>577</v>
      </c>
      <c r="P861" s="249" t="s">
        <v>369</v>
      </c>
    </row>
    <row r="862" spans="2:18" ht="12.75" customHeight="1" x14ac:dyDescent="0.25">
      <c r="B862" s="249" t="s">
        <v>2887</v>
      </c>
      <c r="C862" s="325" t="s">
        <v>2884</v>
      </c>
      <c r="D862" s="325" t="s">
        <v>1249</v>
      </c>
      <c r="E862" s="2">
        <v>6000</v>
      </c>
      <c r="F862" s="2">
        <v>450</v>
      </c>
      <c r="G862" s="60">
        <v>38.5</v>
      </c>
      <c r="H862" s="303">
        <f t="shared" si="140"/>
        <v>17325</v>
      </c>
      <c r="I862" s="60">
        <v>81</v>
      </c>
      <c r="J862" s="439"/>
      <c r="K862" s="439"/>
      <c r="L862" s="439"/>
      <c r="M862" s="60">
        <f t="shared" si="145"/>
        <v>81</v>
      </c>
      <c r="N862" s="303">
        <f t="shared" si="144"/>
        <v>17244</v>
      </c>
      <c r="O862" s="249" t="s">
        <v>577</v>
      </c>
      <c r="P862" s="249" t="s">
        <v>369</v>
      </c>
    </row>
    <row r="863" spans="2:18" ht="12.75" customHeight="1" x14ac:dyDescent="0.25">
      <c r="B863" s="249" t="s">
        <v>2887</v>
      </c>
      <c r="C863" s="325" t="s">
        <v>2884</v>
      </c>
      <c r="D863" s="325" t="s">
        <v>1249</v>
      </c>
      <c r="E863" s="2">
        <v>6000</v>
      </c>
      <c r="F863" s="2">
        <v>450</v>
      </c>
      <c r="G863" s="60">
        <v>38.5</v>
      </c>
      <c r="H863" s="303">
        <f t="shared" si="140"/>
        <v>17325</v>
      </c>
      <c r="I863" s="60">
        <v>81</v>
      </c>
      <c r="J863" s="439"/>
      <c r="K863" s="439"/>
      <c r="L863" s="439"/>
      <c r="M863" s="60">
        <f t="shared" si="145"/>
        <v>81</v>
      </c>
      <c r="N863" s="303">
        <f t="shared" si="144"/>
        <v>17244</v>
      </c>
      <c r="O863" s="249" t="s">
        <v>577</v>
      </c>
      <c r="P863" s="249" t="s">
        <v>369</v>
      </c>
    </row>
    <row r="864" spans="2:18" ht="12.75" customHeight="1" x14ac:dyDescent="0.25">
      <c r="B864" s="249" t="s">
        <v>2890</v>
      </c>
      <c r="C864" s="325" t="s">
        <v>2884</v>
      </c>
      <c r="D864" s="325" t="s">
        <v>1249</v>
      </c>
      <c r="E864" s="2">
        <v>6000</v>
      </c>
      <c r="F864" s="2">
        <v>300</v>
      </c>
      <c r="G864" s="60">
        <v>11.3</v>
      </c>
      <c r="H864" s="303">
        <f t="shared" si="140"/>
        <v>3390</v>
      </c>
      <c r="I864" s="60">
        <v>54</v>
      </c>
      <c r="J864" s="439"/>
      <c r="K864" s="439"/>
      <c r="L864" s="439"/>
      <c r="M864" s="60">
        <f t="shared" si="145"/>
        <v>54</v>
      </c>
      <c r="N864" s="303">
        <f t="shared" si="144"/>
        <v>3336</v>
      </c>
      <c r="O864" s="249" t="s">
        <v>2500</v>
      </c>
      <c r="P864" s="249" t="s">
        <v>369</v>
      </c>
    </row>
    <row r="865" spans="2:16" ht="12.75" customHeight="1" x14ac:dyDescent="0.25">
      <c r="B865" s="249" t="s">
        <v>2890</v>
      </c>
      <c r="C865" s="325" t="s">
        <v>2884</v>
      </c>
      <c r="D865" s="325" t="s">
        <v>1249</v>
      </c>
      <c r="E865" s="2">
        <v>6000</v>
      </c>
      <c r="F865" s="2">
        <v>400</v>
      </c>
      <c r="G865" s="60">
        <v>11.3</v>
      </c>
      <c r="H865" s="303">
        <f t="shared" si="140"/>
        <v>4520</v>
      </c>
      <c r="I865" s="60">
        <v>72</v>
      </c>
      <c r="J865" s="439"/>
      <c r="K865" s="439"/>
      <c r="L865" s="439"/>
      <c r="M865" s="60">
        <f t="shared" si="145"/>
        <v>72</v>
      </c>
      <c r="N865" s="303">
        <f t="shared" si="144"/>
        <v>4448</v>
      </c>
      <c r="O865" s="249" t="s">
        <v>2500</v>
      </c>
      <c r="P865" s="249" t="s">
        <v>369</v>
      </c>
    </row>
    <row r="866" spans="2:16" ht="12.75" customHeight="1" x14ac:dyDescent="0.25">
      <c r="B866" s="295" t="s">
        <v>2890</v>
      </c>
      <c r="C866" s="325" t="s">
        <v>2884</v>
      </c>
      <c r="D866" s="325" t="s">
        <v>1249</v>
      </c>
      <c r="E866" s="2">
        <v>6000</v>
      </c>
      <c r="F866" s="2">
        <v>300</v>
      </c>
      <c r="G866" s="60">
        <v>11.3</v>
      </c>
      <c r="H866" s="303">
        <f t="shared" si="140"/>
        <v>3390</v>
      </c>
      <c r="I866" s="60">
        <v>54</v>
      </c>
      <c r="J866" s="439"/>
      <c r="K866" s="439"/>
      <c r="L866" s="439"/>
      <c r="M866" s="60">
        <f t="shared" si="145"/>
        <v>54</v>
      </c>
      <c r="N866" s="303">
        <f t="shared" si="144"/>
        <v>3336</v>
      </c>
      <c r="O866" s="249" t="s">
        <v>2500</v>
      </c>
      <c r="P866" s="249" t="s">
        <v>369</v>
      </c>
    </row>
    <row r="867" spans="2:16" ht="12.75" customHeight="1" x14ac:dyDescent="0.25">
      <c r="B867" s="295" t="s">
        <v>2891</v>
      </c>
      <c r="C867" s="325" t="s">
        <v>2889</v>
      </c>
      <c r="D867" s="325" t="s">
        <v>1249</v>
      </c>
      <c r="E867" s="2">
        <v>840</v>
      </c>
      <c r="F867" s="2">
        <v>250</v>
      </c>
      <c r="G867" s="60">
        <v>14.1</v>
      </c>
      <c r="H867" s="303">
        <f t="shared" si="140"/>
        <v>3525</v>
      </c>
      <c r="I867" s="60">
        <v>9</v>
      </c>
      <c r="J867" s="439"/>
      <c r="K867" s="439"/>
      <c r="L867" s="439"/>
      <c r="M867" s="60">
        <f t="shared" si="145"/>
        <v>9</v>
      </c>
      <c r="N867" s="303">
        <f t="shared" si="144"/>
        <v>3516</v>
      </c>
      <c r="O867" s="249" t="s">
        <v>2892</v>
      </c>
      <c r="P867" s="249" t="s">
        <v>369</v>
      </c>
    </row>
    <row r="868" spans="2:16" ht="12.75" customHeight="1" x14ac:dyDescent="0.25">
      <c r="B868" s="295" t="s">
        <v>2891</v>
      </c>
      <c r="C868" s="325" t="s">
        <v>2889</v>
      </c>
      <c r="D868" s="325" t="s">
        <v>1249</v>
      </c>
      <c r="E868" s="2">
        <v>840</v>
      </c>
      <c r="F868" s="2">
        <v>250</v>
      </c>
      <c r="G868" s="60">
        <v>14.1</v>
      </c>
      <c r="H868" s="303">
        <f t="shared" si="140"/>
        <v>3525</v>
      </c>
      <c r="I868" s="60">
        <v>9</v>
      </c>
      <c r="J868" s="439"/>
      <c r="K868" s="439"/>
      <c r="L868" s="439"/>
      <c r="M868" s="60">
        <f t="shared" si="145"/>
        <v>9</v>
      </c>
      <c r="N868" s="303">
        <f t="shared" si="144"/>
        <v>3516</v>
      </c>
      <c r="O868" s="249" t="s">
        <v>2892</v>
      </c>
      <c r="P868" s="249" t="s">
        <v>369</v>
      </c>
    </row>
    <row r="869" spans="2:16" ht="12.75" customHeight="1" x14ac:dyDescent="0.25">
      <c r="B869" s="295" t="s">
        <v>2891</v>
      </c>
      <c r="C869" s="325" t="s">
        <v>2889</v>
      </c>
      <c r="D869" s="325" t="s">
        <v>1249</v>
      </c>
      <c r="E869" s="2">
        <v>840</v>
      </c>
      <c r="F869" s="2">
        <v>250</v>
      </c>
      <c r="G869" s="60">
        <v>14.1</v>
      </c>
      <c r="H869" s="303">
        <f t="shared" si="140"/>
        <v>3525</v>
      </c>
      <c r="I869" s="60">
        <v>9</v>
      </c>
      <c r="J869" s="439"/>
      <c r="K869" s="439"/>
      <c r="L869" s="439"/>
      <c r="M869" s="60">
        <f t="shared" si="145"/>
        <v>9</v>
      </c>
      <c r="N869" s="303">
        <f t="shared" si="144"/>
        <v>3516</v>
      </c>
      <c r="O869" s="249" t="s">
        <v>2892</v>
      </c>
      <c r="P869" s="249" t="s">
        <v>369</v>
      </c>
    </row>
    <row r="870" spans="2:16" ht="12.75" customHeight="1" x14ac:dyDescent="0.25">
      <c r="B870" s="295" t="s">
        <v>2893</v>
      </c>
      <c r="C870" s="325" t="s">
        <v>2889</v>
      </c>
      <c r="D870" s="325" t="s">
        <v>1249</v>
      </c>
      <c r="E870" s="2">
        <v>840</v>
      </c>
      <c r="F870" s="2">
        <v>500</v>
      </c>
      <c r="G870" s="60">
        <v>17.45</v>
      </c>
      <c r="H870" s="303">
        <f t="shared" si="140"/>
        <v>8725</v>
      </c>
      <c r="I870" s="60">
        <v>18</v>
      </c>
      <c r="J870" s="445"/>
      <c r="K870" s="439"/>
      <c r="L870" s="439"/>
      <c r="M870" s="60">
        <f t="shared" ref="M870:M881" si="146">SUM(I870:L870)</f>
        <v>18</v>
      </c>
      <c r="N870" s="303">
        <f t="shared" ref="N870:N888" si="147">H870-M870</f>
        <v>8707</v>
      </c>
      <c r="O870" s="249" t="s">
        <v>2507</v>
      </c>
      <c r="P870" s="249" t="s">
        <v>369</v>
      </c>
    </row>
    <row r="871" spans="2:16" ht="12.75" customHeight="1" x14ac:dyDescent="0.25">
      <c r="B871" s="295" t="s">
        <v>2893</v>
      </c>
      <c r="C871" s="325" t="s">
        <v>2889</v>
      </c>
      <c r="D871" s="325" t="s">
        <v>1249</v>
      </c>
      <c r="E871" s="2">
        <v>840</v>
      </c>
      <c r="F871" s="2">
        <v>500</v>
      </c>
      <c r="G871" s="60">
        <v>17.399999999999999</v>
      </c>
      <c r="H871" s="303">
        <f t="shared" si="140"/>
        <v>8700</v>
      </c>
      <c r="I871" s="60">
        <v>18</v>
      </c>
      <c r="J871" s="439"/>
      <c r="K871" s="439"/>
      <c r="L871" s="439"/>
      <c r="M871" s="60">
        <f t="shared" si="146"/>
        <v>18</v>
      </c>
      <c r="N871" s="303">
        <f t="shared" si="147"/>
        <v>8682</v>
      </c>
      <c r="O871" s="249" t="s">
        <v>2507</v>
      </c>
      <c r="P871" s="249" t="s">
        <v>369</v>
      </c>
    </row>
    <row r="872" spans="2:16" ht="12.75" customHeight="1" x14ac:dyDescent="0.25">
      <c r="B872" s="295" t="s">
        <v>2896</v>
      </c>
      <c r="C872" s="325" t="s">
        <v>2894</v>
      </c>
      <c r="D872" s="325" t="s">
        <v>1249</v>
      </c>
      <c r="E872" s="2">
        <v>75</v>
      </c>
      <c r="F872" s="2">
        <v>4000</v>
      </c>
      <c r="G872" s="60">
        <v>3.4</v>
      </c>
      <c r="H872" s="303">
        <f t="shared" si="140"/>
        <v>13600</v>
      </c>
      <c r="I872" s="60">
        <v>9</v>
      </c>
      <c r="J872" s="439"/>
      <c r="K872" s="439"/>
      <c r="L872" s="439"/>
      <c r="M872" s="60">
        <f t="shared" si="146"/>
        <v>9</v>
      </c>
      <c r="N872" s="303">
        <f t="shared" si="147"/>
        <v>13591</v>
      </c>
      <c r="O872" s="249" t="s">
        <v>2511</v>
      </c>
      <c r="P872" s="249" t="s">
        <v>369</v>
      </c>
    </row>
    <row r="873" spans="2:16" ht="12.75" customHeight="1" x14ac:dyDescent="0.25">
      <c r="B873" s="295" t="s">
        <v>2896</v>
      </c>
      <c r="C873" s="325" t="s">
        <v>2894</v>
      </c>
      <c r="D873" s="325" t="s">
        <v>1249</v>
      </c>
      <c r="E873" s="2">
        <v>75</v>
      </c>
      <c r="F873" s="2">
        <v>4000</v>
      </c>
      <c r="G873" s="60">
        <v>3.4</v>
      </c>
      <c r="H873" s="303">
        <f t="shared" si="140"/>
        <v>13600</v>
      </c>
      <c r="I873" s="60">
        <v>9</v>
      </c>
      <c r="J873" s="439"/>
      <c r="K873" s="439"/>
      <c r="L873" s="439"/>
      <c r="M873" s="60">
        <f t="shared" si="146"/>
        <v>9</v>
      </c>
      <c r="N873" s="303">
        <f t="shared" si="147"/>
        <v>13591</v>
      </c>
      <c r="O873" s="249" t="s">
        <v>2511</v>
      </c>
      <c r="P873" s="249" t="s">
        <v>369</v>
      </c>
    </row>
    <row r="874" spans="2:16" ht="12.75" customHeight="1" x14ac:dyDescent="0.25">
      <c r="B874" s="295" t="s">
        <v>2898</v>
      </c>
      <c r="C874" s="325" t="s">
        <v>2897</v>
      </c>
      <c r="D874" s="325" t="s">
        <v>1249</v>
      </c>
      <c r="E874" s="2">
        <v>160</v>
      </c>
      <c r="F874" s="2">
        <v>4000</v>
      </c>
      <c r="G874" s="60">
        <v>3.3</v>
      </c>
      <c r="H874" s="303">
        <f t="shared" si="140"/>
        <v>13200</v>
      </c>
      <c r="I874" s="60">
        <v>9</v>
      </c>
      <c r="J874" s="439"/>
      <c r="K874" s="439"/>
      <c r="L874" s="439"/>
      <c r="M874" s="60">
        <f t="shared" si="146"/>
        <v>9</v>
      </c>
      <c r="N874" s="303">
        <f t="shared" si="147"/>
        <v>13191</v>
      </c>
      <c r="O874" s="249" t="s">
        <v>2899</v>
      </c>
      <c r="P874" s="249" t="s">
        <v>369</v>
      </c>
    </row>
    <row r="875" spans="2:16" ht="12.75" customHeight="1" x14ac:dyDescent="0.25">
      <c r="B875" s="295" t="s">
        <v>2901</v>
      </c>
      <c r="C875" s="325" t="s">
        <v>2895</v>
      </c>
      <c r="D875" s="325" t="s">
        <v>1249</v>
      </c>
      <c r="E875" s="2">
        <v>27.5</v>
      </c>
      <c r="F875" s="2">
        <v>8000</v>
      </c>
      <c r="G875" s="60">
        <v>1.1000000000000001</v>
      </c>
      <c r="H875" s="303">
        <f t="shared" si="140"/>
        <v>8800</v>
      </c>
      <c r="I875" s="60">
        <v>9</v>
      </c>
      <c r="J875" s="439"/>
      <c r="K875" s="439"/>
      <c r="L875" s="439"/>
      <c r="M875" s="60">
        <f t="shared" si="146"/>
        <v>9</v>
      </c>
      <c r="N875" s="303">
        <f t="shared" si="147"/>
        <v>8791</v>
      </c>
      <c r="O875" s="249" t="s">
        <v>2900</v>
      </c>
      <c r="P875" s="249" t="s">
        <v>369</v>
      </c>
    </row>
    <row r="876" spans="2:16" ht="12.75" customHeight="1" x14ac:dyDescent="0.25">
      <c r="B876" s="295" t="s">
        <v>2901</v>
      </c>
      <c r="C876" s="325" t="s">
        <v>2895</v>
      </c>
      <c r="D876" s="325" t="s">
        <v>1249</v>
      </c>
      <c r="E876" s="2">
        <v>27.5</v>
      </c>
      <c r="F876" s="2">
        <v>8000</v>
      </c>
      <c r="G876" s="60">
        <v>1.05</v>
      </c>
      <c r="H876" s="303">
        <f t="shared" si="140"/>
        <v>8400</v>
      </c>
      <c r="I876" s="60">
        <v>9</v>
      </c>
      <c r="J876" s="439"/>
      <c r="K876" s="439"/>
      <c r="L876" s="439"/>
      <c r="M876" s="60">
        <f t="shared" si="146"/>
        <v>9</v>
      </c>
      <c r="N876" s="303">
        <f t="shared" si="147"/>
        <v>8391</v>
      </c>
      <c r="O876" s="249" t="s">
        <v>2900</v>
      </c>
      <c r="P876" s="249" t="s">
        <v>369</v>
      </c>
    </row>
    <row r="877" spans="2:16" ht="12.75" customHeight="1" x14ac:dyDescent="0.25">
      <c r="B877" s="295" t="s">
        <v>2901</v>
      </c>
      <c r="C877" s="325" t="s">
        <v>2895</v>
      </c>
      <c r="D877" s="325" t="s">
        <v>1249</v>
      </c>
      <c r="E877" s="2">
        <v>27.5</v>
      </c>
      <c r="F877" s="2">
        <v>8000</v>
      </c>
      <c r="G877" s="60">
        <v>1.05</v>
      </c>
      <c r="H877" s="303">
        <f t="shared" si="140"/>
        <v>8400</v>
      </c>
      <c r="I877" s="60">
        <v>9</v>
      </c>
      <c r="J877" s="439"/>
      <c r="K877" s="439"/>
      <c r="L877" s="439"/>
      <c r="M877" s="60">
        <f t="shared" si="146"/>
        <v>9</v>
      </c>
      <c r="N877" s="303">
        <f t="shared" si="147"/>
        <v>8391</v>
      </c>
      <c r="O877" s="249" t="s">
        <v>2900</v>
      </c>
      <c r="P877" s="249" t="s">
        <v>369</v>
      </c>
    </row>
    <row r="878" spans="2:16" ht="12.75" customHeight="1" x14ac:dyDescent="0.25">
      <c r="B878" s="295" t="s">
        <v>2901</v>
      </c>
      <c r="C878" s="325" t="s">
        <v>2895</v>
      </c>
      <c r="D878" s="325" t="s">
        <v>1249</v>
      </c>
      <c r="E878" s="2">
        <v>27.5</v>
      </c>
      <c r="F878" s="2">
        <v>8000</v>
      </c>
      <c r="G878" s="60">
        <v>1.05</v>
      </c>
      <c r="H878" s="303">
        <f t="shared" si="140"/>
        <v>8400</v>
      </c>
      <c r="I878" s="60">
        <v>9</v>
      </c>
      <c r="J878" s="439"/>
      <c r="K878" s="439"/>
      <c r="L878" s="439"/>
      <c r="M878" s="60">
        <f t="shared" si="146"/>
        <v>9</v>
      </c>
      <c r="N878" s="303">
        <f t="shared" si="147"/>
        <v>8391</v>
      </c>
      <c r="O878" s="249" t="s">
        <v>2900</v>
      </c>
      <c r="P878" s="249" t="s">
        <v>369</v>
      </c>
    </row>
    <row r="879" spans="2:16" ht="12.75" customHeight="1" x14ac:dyDescent="0.25">
      <c r="B879" s="295" t="s">
        <v>2901</v>
      </c>
      <c r="C879" s="325" t="s">
        <v>2897</v>
      </c>
      <c r="D879" s="325" t="s">
        <v>1249</v>
      </c>
      <c r="E879" s="2">
        <v>160</v>
      </c>
      <c r="F879" s="2">
        <v>8000</v>
      </c>
      <c r="G879" s="60">
        <v>2.9</v>
      </c>
      <c r="H879" s="303">
        <f t="shared" si="140"/>
        <v>23200</v>
      </c>
      <c r="I879" s="60">
        <v>18</v>
      </c>
      <c r="J879" s="439"/>
      <c r="K879" s="439"/>
      <c r="L879" s="439"/>
      <c r="M879" s="60">
        <f t="shared" si="146"/>
        <v>18</v>
      </c>
      <c r="N879" s="303">
        <f t="shared" si="147"/>
        <v>23182</v>
      </c>
      <c r="O879" s="249" t="s">
        <v>2900</v>
      </c>
      <c r="P879" s="249" t="s">
        <v>369</v>
      </c>
    </row>
    <row r="880" spans="2:16" ht="12.75" customHeight="1" x14ac:dyDescent="0.25">
      <c r="B880" s="295" t="s">
        <v>2903</v>
      </c>
      <c r="C880" s="325" t="s">
        <v>2884</v>
      </c>
      <c r="D880" s="325" t="s">
        <v>1249</v>
      </c>
      <c r="E880" s="2">
        <v>6100</v>
      </c>
      <c r="F880" s="2">
        <v>450</v>
      </c>
      <c r="G880" s="60">
        <v>19.100000000000001</v>
      </c>
      <c r="H880" s="303">
        <f t="shared" si="140"/>
        <v>8595</v>
      </c>
      <c r="I880" s="60">
        <v>81</v>
      </c>
      <c r="J880" s="439"/>
      <c r="K880" s="439"/>
      <c r="L880" s="439"/>
      <c r="M880" s="60">
        <f t="shared" si="146"/>
        <v>81</v>
      </c>
      <c r="N880" s="303">
        <f t="shared" si="147"/>
        <v>8514</v>
      </c>
      <c r="O880" s="249" t="s">
        <v>2902</v>
      </c>
      <c r="P880" s="249" t="s">
        <v>369</v>
      </c>
    </row>
    <row r="881" spans="2:16" ht="12.75" customHeight="1" x14ac:dyDescent="0.25">
      <c r="B881" s="295" t="s">
        <v>2903</v>
      </c>
      <c r="C881" s="325" t="s">
        <v>2884</v>
      </c>
      <c r="D881" s="325" t="s">
        <v>1249</v>
      </c>
      <c r="E881" s="2">
        <v>6100</v>
      </c>
      <c r="F881" s="2">
        <v>1550</v>
      </c>
      <c r="G881" s="60">
        <v>19.100000000000001</v>
      </c>
      <c r="H881" s="303">
        <f t="shared" si="140"/>
        <v>29605.000000000004</v>
      </c>
      <c r="I881" s="60">
        <v>279</v>
      </c>
      <c r="J881" s="439"/>
      <c r="K881" s="439"/>
      <c r="L881" s="439"/>
      <c r="M881" s="60">
        <f t="shared" si="146"/>
        <v>279</v>
      </c>
      <c r="N881" s="303">
        <f t="shared" si="147"/>
        <v>29326.000000000004</v>
      </c>
      <c r="O881" s="249" t="s">
        <v>2902</v>
      </c>
      <c r="P881" s="249" t="s">
        <v>369</v>
      </c>
    </row>
    <row r="882" spans="2:16" ht="12.75" customHeight="1" x14ac:dyDescent="0.25">
      <c r="B882" s="295" t="s">
        <v>2904</v>
      </c>
      <c r="C882" s="325" t="s">
        <v>2884</v>
      </c>
      <c r="D882" s="325" t="s">
        <v>1249</v>
      </c>
      <c r="E882" s="2">
        <v>6100</v>
      </c>
      <c r="F882" s="2">
        <v>700</v>
      </c>
      <c r="G882" s="60">
        <v>11.7</v>
      </c>
      <c r="H882" s="303">
        <f t="shared" si="140"/>
        <v>8189.9999999999991</v>
      </c>
      <c r="I882" s="60">
        <v>126</v>
      </c>
      <c r="J882" s="439"/>
      <c r="K882" s="439"/>
      <c r="L882" s="439"/>
      <c r="M882" s="60">
        <f t="shared" ref="M882:M888" si="148">SUM(I882:L882)</f>
        <v>126</v>
      </c>
      <c r="N882" s="303">
        <f t="shared" si="147"/>
        <v>8063.9999999999991</v>
      </c>
      <c r="O882" s="249" t="s">
        <v>2906</v>
      </c>
      <c r="P882" s="249" t="s">
        <v>369</v>
      </c>
    </row>
    <row r="883" spans="2:16" ht="12.75" customHeight="1" x14ac:dyDescent="0.25">
      <c r="B883" s="295" t="s">
        <v>2904</v>
      </c>
      <c r="C883" s="325" t="s">
        <v>2884</v>
      </c>
      <c r="D883" s="325" t="s">
        <v>1249</v>
      </c>
      <c r="E883" s="2">
        <v>6100</v>
      </c>
      <c r="F883" s="2">
        <v>1800</v>
      </c>
      <c r="G883" s="60">
        <v>11.7</v>
      </c>
      <c r="H883" s="303">
        <f t="shared" si="140"/>
        <v>21060</v>
      </c>
      <c r="I883" s="60">
        <v>324</v>
      </c>
      <c r="J883" s="439"/>
      <c r="K883" s="439"/>
      <c r="L883" s="439"/>
      <c r="M883" s="60">
        <f t="shared" si="148"/>
        <v>324</v>
      </c>
      <c r="N883" s="303">
        <f t="shared" si="147"/>
        <v>20736</v>
      </c>
      <c r="O883" s="249" t="s">
        <v>2906</v>
      </c>
      <c r="P883" s="249" t="s">
        <v>369</v>
      </c>
    </row>
    <row r="884" spans="2:16" ht="12.75" customHeight="1" x14ac:dyDescent="0.25">
      <c r="B884" s="295" t="s">
        <v>2908</v>
      </c>
      <c r="C884" s="325" t="s">
        <v>2884</v>
      </c>
      <c r="D884" s="325" t="s">
        <v>1249</v>
      </c>
      <c r="E884" s="2">
        <v>6100</v>
      </c>
      <c r="F884" s="2">
        <v>200</v>
      </c>
      <c r="G884" s="60">
        <v>8.25</v>
      </c>
      <c r="H884" s="303">
        <f t="shared" si="140"/>
        <v>1650</v>
      </c>
      <c r="I884" s="60">
        <v>36</v>
      </c>
      <c r="J884" s="439"/>
      <c r="K884" s="439"/>
      <c r="L884" s="439"/>
      <c r="M884" s="60">
        <f t="shared" si="148"/>
        <v>36</v>
      </c>
      <c r="N884" s="303">
        <f t="shared" si="147"/>
        <v>1614</v>
      </c>
      <c r="O884" s="249" t="s">
        <v>2907</v>
      </c>
      <c r="P884" s="249" t="s">
        <v>369</v>
      </c>
    </row>
    <row r="885" spans="2:16" ht="12.75" customHeight="1" x14ac:dyDescent="0.25">
      <c r="B885" s="295" t="s">
        <v>2908</v>
      </c>
      <c r="C885" s="325" t="s">
        <v>2884</v>
      </c>
      <c r="D885" s="325" t="s">
        <v>1249</v>
      </c>
      <c r="E885" s="2">
        <v>6000</v>
      </c>
      <c r="F885" s="2">
        <v>100</v>
      </c>
      <c r="G885" s="60">
        <v>24.2</v>
      </c>
      <c r="H885" s="303">
        <f t="shared" si="140"/>
        <v>2420</v>
      </c>
      <c r="I885" s="60">
        <v>18</v>
      </c>
      <c r="J885" s="439"/>
      <c r="K885" s="439"/>
      <c r="L885" s="439"/>
      <c r="M885" s="60">
        <f t="shared" si="148"/>
        <v>18</v>
      </c>
      <c r="N885" s="303">
        <f t="shared" si="147"/>
        <v>2402</v>
      </c>
      <c r="O885" s="249" t="s">
        <v>2907</v>
      </c>
      <c r="P885" s="249" t="s">
        <v>369</v>
      </c>
    </row>
    <row r="886" spans="2:16" ht="12.75" customHeight="1" x14ac:dyDescent="0.25">
      <c r="B886" s="295" t="s">
        <v>2908</v>
      </c>
      <c r="C886" s="325" t="s">
        <v>2884</v>
      </c>
      <c r="D886" s="325" t="s">
        <v>1249</v>
      </c>
      <c r="E886" s="2">
        <v>6000</v>
      </c>
      <c r="F886" s="2">
        <v>100</v>
      </c>
      <c r="G886" s="60">
        <v>24.2</v>
      </c>
      <c r="H886" s="303">
        <f t="shared" si="140"/>
        <v>2420</v>
      </c>
      <c r="I886" s="60">
        <v>18</v>
      </c>
      <c r="J886" s="439"/>
      <c r="K886" s="439"/>
      <c r="L886" s="439"/>
      <c r="M886" s="60">
        <f t="shared" si="148"/>
        <v>18</v>
      </c>
      <c r="N886" s="303">
        <f t="shared" si="147"/>
        <v>2402</v>
      </c>
      <c r="O886" s="249" t="s">
        <v>2907</v>
      </c>
      <c r="P886" s="249" t="s">
        <v>369</v>
      </c>
    </row>
    <row r="887" spans="2:16" ht="12.75" customHeight="1" x14ac:dyDescent="0.25">
      <c r="B887" s="295" t="s">
        <v>2908</v>
      </c>
      <c r="C887" s="325" t="s">
        <v>2884</v>
      </c>
      <c r="D887" s="325" t="s">
        <v>1249</v>
      </c>
      <c r="E887" s="2">
        <v>6000</v>
      </c>
      <c r="F887" s="2">
        <v>400</v>
      </c>
      <c r="G887" s="60">
        <v>24.2</v>
      </c>
      <c r="H887" s="303">
        <f t="shared" si="140"/>
        <v>9680</v>
      </c>
      <c r="I887" s="60">
        <v>72</v>
      </c>
      <c r="J887" s="439"/>
      <c r="K887" s="439"/>
      <c r="L887" s="439"/>
      <c r="M887" s="60">
        <f t="shared" si="148"/>
        <v>72</v>
      </c>
      <c r="N887" s="303">
        <f t="shared" si="147"/>
        <v>9608</v>
      </c>
      <c r="O887" s="249" t="s">
        <v>2907</v>
      </c>
      <c r="P887" s="249" t="s">
        <v>369</v>
      </c>
    </row>
    <row r="888" spans="2:16" ht="12.75" customHeight="1" x14ac:dyDescent="0.25">
      <c r="B888" s="295" t="s">
        <v>2908</v>
      </c>
      <c r="C888" s="325" t="s">
        <v>2884</v>
      </c>
      <c r="D888" s="325" t="s">
        <v>1249</v>
      </c>
      <c r="E888" s="2">
        <v>6000</v>
      </c>
      <c r="F888" s="2">
        <v>400</v>
      </c>
      <c r="G888" s="60">
        <v>24.2</v>
      </c>
      <c r="H888" s="303">
        <f t="shared" si="140"/>
        <v>9680</v>
      </c>
      <c r="I888" s="60">
        <v>72</v>
      </c>
      <c r="J888" s="439"/>
      <c r="K888" s="439"/>
      <c r="L888" s="439"/>
      <c r="M888" s="60">
        <f t="shared" si="148"/>
        <v>72</v>
      </c>
      <c r="N888" s="303">
        <f t="shared" si="147"/>
        <v>9608</v>
      </c>
      <c r="O888" s="249" t="s">
        <v>2907</v>
      </c>
      <c r="P888" s="249" t="s">
        <v>369</v>
      </c>
    </row>
    <row r="889" spans="2:16" ht="12.75" customHeight="1" x14ac:dyDescent="0.25">
      <c r="B889" s="295" t="s">
        <v>2911</v>
      </c>
      <c r="C889" s="325" t="s">
        <v>2905</v>
      </c>
      <c r="D889" s="325" t="s">
        <v>1249</v>
      </c>
      <c r="E889" s="2">
        <v>12400</v>
      </c>
      <c r="F889" s="2">
        <v>400</v>
      </c>
      <c r="G889" s="60">
        <v>11</v>
      </c>
      <c r="H889" s="303">
        <f t="shared" si="140"/>
        <v>4400</v>
      </c>
      <c r="I889" s="60">
        <v>144</v>
      </c>
      <c r="J889" s="439"/>
      <c r="K889" s="439"/>
      <c r="L889" s="439"/>
      <c r="M889" s="60">
        <f>SUM(I889:L889)</f>
        <v>144</v>
      </c>
      <c r="N889" s="303">
        <f>H889-M889</f>
        <v>4256</v>
      </c>
      <c r="O889" s="249" t="s">
        <v>2910</v>
      </c>
      <c r="P889" s="249" t="s">
        <v>369</v>
      </c>
    </row>
    <row r="890" spans="2:16" ht="12.75" customHeight="1" x14ac:dyDescent="0.25">
      <c r="B890" s="295" t="s">
        <v>2911</v>
      </c>
      <c r="C890" s="325" t="s">
        <v>2905</v>
      </c>
      <c r="D890" s="325" t="s">
        <v>1249</v>
      </c>
      <c r="E890" s="2">
        <v>12400</v>
      </c>
      <c r="F890" s="2">
        <v>300</v>
      </c>
      <c r="G890" s="60">
        <v>11</v>
      </c>
      <c r="H890" s="303">
        <f t="shared" si="140"/>
        <v>3300</v>
      </c>
      <c r="I890" s="60">
        <v>108</v>
      </c>
      <c r="J890" s="439"/>
      <c r="K890" s="439"/>
      <c r="L890" s="439"/>
      <c r="M890" s="60">
        <f>SUM(I890:L890)</f>
        <v>108</v>
      </c>
      <c r="N890" s="303">
        <f>H890-M890</f>
        <v>3192</v>
      </c>
      <c r="O890" s="249" t="s">
        <v>2910</v>
      </c>
      <c r="P890" s="249" t="s">
        <v>369</v>
      </c>
    </row>
    <row r="891" spans="2:16" ht="12.75" customHeight="1" x14ac:dyDescent="0.25">
      <c r="B891" s="295" t="s">
        <v>2913</v>
      </c>
      <c r="C891" s="325" t="s">
        <v>2905</v>
      </c>
      <c r="D891" s="325" t="s">
        <v>1249</v>
      </c>
      <c r="E891" s="2">
        <v>12000</v>
      </c>
      <c r="F891" s="2">
        <v>25</v>
      </c>
      <c r="G891" s="60">
        <v>8.5</v>
      </c>
      <c r="H891" s="303">
        <f t="shared" si="140"/>
        <v>212.5</v>
      </c>
      <c r="I891" s="60">
        <v>9</v>
      </c>
      <c r="J891" s="439"/>
      <c r="K891" s="439"/>
      <c r="L891" s="439"/>
      <c r="M891" s="60">
        <f t="shared" ref="M891:M902" si="149">SUM(I891:L891)</f>
        <v>9</v>
      </c>
      <c r="N891" s="303">
        <f t="shared" ref="N891:N902" si="150">H891-M891</f>
        <v>203.5</v>
      </c>
      <c r="O891" s="249" t="s">
        <v>2912</v>
      </c>
      <c r="P891" s="249" t="s">
        <v>369</v>
      </c>
    </row>
    <row r="892" spans="2:16" ht="12.75" customHeight="1" x14ac:dyDescent="0.25">
      <c r="B892" s="295" t="s">
        <v>2913</v>
      </c>
      <c r="C892" s="325" t="s">
        <v>2905</v>
      </c>
      <c r="D892" s="325" t="s">
        <v>1249</v>
      </c>
      <c r="E892" s="2">
        <v>12000</v>
      </c>
      <c r="F892" s="2">
        <v>25</v>
      </c>
      <c r="G892" s="60">
        <v>8.5</v>
      </c>
      <c r="H892" s="303">
        <f t="shared" si="140"/>
        <v>212.5</v>
      </c>
      <c r="I892" s="60">
        <v>9</v>
      </c>
      <c r="J892" s="439"/>
      <c r="K892" s="439"/>
      <c r="L892" s="439"/>
      <c r="M892" s="60">
        <f t="shared" si="149"/>
        <v>9</v>
      </c>
      <c r="N892" s="303">
        <f t="shared" si="150"/>
        <v>203.5</v>
      </c>
      <c r="O892" s="249" t="s">
        <v>2912</v>
      </c>
      <c r="P892" s="249" t="s">
        <v>369</v>
      </c>
    </row>
    <row r="893" spans="2:16" ht="12.75" customHeight="1" x14ac:dyDescent="0.25">
      <c r="B893" s="295" t="s">
        <v>2913</v>
      </c>
      <c r="C893" s="325" t="s">
        <v>2905</v>
      </c>
      <c r="D893" s="325" t="s">
        <v>1249</v>
      </c>
      <c r="E893" s="2">
        <v>12000</v>
      </c>
      <c r="F893" s="2">
        <v>25</v>
      </c>
      <c r="G893" s="60">
        <v>8.5</v>
      </c>
      <c r="H893" s="303">
        <f t="shared" si="140"/>
        <v>212.5</v>
      </c>
      <c r="I893" s="60">
        <v>9</v>
      </c>
      <c r="J893" s="439"/>
      <c r="K893" s="439"/>
      <c r="L893" s="439"/>
      <c r="M893" s="60">
        <f t="shared" si="149"/>
        <v>9</v>
      </c>
      <c r="N893" s="303">
        <f t="shared" si="150"/>
        <v>203.5</v>
      </c>
      <c r="O893" s="249" t="s">
        <v>2912</v>
      </c>
      <c r="P893" s="249" t="s">
        <v>369</v>
      </c>
    </row>
    <row r="894" spans="2:16" ht="12.75" customHeight="1" x14ac:dyDescent="0.25">
      <c r="B894" s="295" t="s">
        <v>2913</v>
      </c>
      <c r="C894" s="325" t="s">
        <v>2905</v>
      </c>
      <c r="D894" s="325" t="s">
        <v>1249</v>
      </c>
      <c r="E894" s="2">
        <v>12000</v>
      </c>
      <c r="F894" s="2">
        <v>25</v>
      </c>
      <c r="G894" s="60">
        <v>8.5</v>
      </c>
      <c r="H894" s="303">
        <f t="shared" si="140"/>
        <v>212.5</v>
      </c>
      <c r="I894" s="60">
        <v>9</v>
      </c>
      <c r="J894" s="439"/>
      <c r="K894" s="439"/>
      <c r="L894" s="439"/>
      <c r="M894" s="60">
        <f t="shared" si="149"/>
        <v>9</v>
      </c>
      <c r="N894" s="303">
        <f t="shared" si="150"/>
        <v>203.5</v>
      </c>
      <c r="O894" s="249" t="s">
        <v>2912</v>
      </c>
      <c r="P894" s="249" t="s">
        <v>369</v>
      </c>
    </row>
    <row r="895" spans="2:16" ht="12.75" customHeight="1" x14ac:dyDescent="0.25">
      <c r="B895" s="295" t="s">
        <v>2913</v>
      </c>
      <c r="C895" s="325" t="s">
        <v>2905</v>
      </c>
      <c r="D895" s="325" t="s">
        <v>1249</v>
      </c>
      <c r="E895" s="2">
        <v>12000</v>
      </c>
      <c r="F895" s="2">
        <v>25</v>
      </c>
      <c r="G895" s="60">
        <v>8.5</v>
      </c>
      <c r="H895" s="303">
        <f t="shared" ref="H895:H907" si="151">F895*G895</f>
        <v>212.5</v>
      </c>
      <c r="I895" s="60">
        <v>9</v>
      </c>
      <c r="J895" s="439"/>
      <c r="K895" s="439"/>
      <c r="L895" s="439"/>
      <c r="M895" s="60">
        <f t="shared" si="149"/>
        <v>9</v>
      </c>
      <c r="N895" s="303">
        <f t="shared" si="150"/>
        <v>203.5</v>
      </c>
      <c r="O895" s="249" t="s">
        <v>2912</v>
      </c>
      <c r="P895" s="249" t="s">
        <v>369</v>
      </c>
    </row>
    <row r="896" spans="2:16" ht="12.75" customHeight="1" x14ac:dyDescent="0.25">
      <c r="B896" s="295" t="s">
        <v>2913</v>
      </c>
      <c r="C896" s="325" t="s">
        <v>2905</v>
      </c>
      <c r="D896" s="325" t="s">
        <v>1249</v>
      </c>
      <c r="E896" s="2">
        <v>12000</v>
      </c>
      <c r="F896" s="2">
        <v>25</v>
      </c>
      <c r="G896" s="60">
        <v>8.5</v>
      </c>
      <c r="H896" s="303">
        <f t="shared" si="151"/>
        <v>212.5</v>
      </c>
      <c r="I896" s="60">
        <v>9</v>
      </c>
      <c r="J896" s="439"/>
      <c r="K896" s="439"/>
      <c r="L896" s="439"/>
      <c r="M896" s="60">
        <f t="shared" si="149"/>
        <v>9</v>
      </c>
      <c r="N896" s="303">
        <f t="shared" si="150"/>
        <v>203.5</v>
      </c>
      <c r="O896" s="249" t="s">
        <v>2912</v>
      </c>
      <c r="P896" s="249" t="s">
        <v>369</v>
      </c>
    </row>
    <row r="897" spans="2:16" ht="12.75" customHeight="1" x14ac:dyDescent="0.25">
      <c r="B897" s="295" t="s">
        <v>2913</v>
      </c>
      <c r="C897" s="325" t="s">
        <v>2905</v>
      </c>
      <c r="D897" s="325" t="s">
        <v>1249</v>
      </c>
      <c r="E897" s="2">
        <v>12000</v>
      </c>
      <c r="F897" s="2">
        <v>25</v>
      </c>
      <c r="G897" s="60">
        <v>8.5</v>
      </c>
      <c r="H897" s="303">
        <f t="shared" si="151"/>
        <v>212.5</v>
      </c>
      <c r="I897" s="60">
        <v>9</v>
      </c>
      <c r="J897" s="439"/>
      <c r="K897" s="439"/>
      <c r="L897" s="439"/>
      <c r="M897" s="60">
        <f t="shared" si="149"/>
        <v>9</v>
      </c>
      <c r="N897" s="303">
        <f t="shared" si="150"/>
        <v>203.5</v>
      </c>
      <c r="O897" s="249" t="s">
        <v>2912</v>
      </c>
      <c r="P897" s="249" t="s">
        <v>369</v>
      </c>
    </row>
    <row r="898" spans="2:16" ht="12.75" customHeight="1" x14ac:dyDescent="0.25">
      <c r="B898" s="295" t="s">
        <v>2913</v>
      </c>
      <c r="C898" s="325" t="s">
        <v>2905</v>
      </c>
      <c r="D898" s="325" t="s">
        <v>1249</v>
      </c>
      <c r="E898" s="2">
        <v>12000</v>
      </c>
      <c r="F898" s="2">
        <v>25</v>
      </c>
      <c r="G898" s="60">
        <v>8.5</v>
      </c>
      <c r="H898" s="303">
        <f t="shared" si="151"/>
        <v>212.5</v>
      </c>
      <c r="I898" s="60">
        <v>9</v>
      </c>
      <c r="J898" s="439"/>
      <c r="K898" s="439"/>
      <c r="L898" s="439"/>
      <c r="M898" s="60">
        <f t="shared" si="149"/>
        <v>9</v>
      </c>
      <c r="N898" s="303">
        <f t="shared" si="150"/>
        <v>203.5</v>
      </c>
      <c r="O898" s="249" t="s">
        <v>2912</v>
      </c>
      <c r="P898" s="249" t="s">
        <v>369</v>
      </c>
    </row>
    <row r="899" spans="2:16" ht="12.75" customHeight="1" x14ac:dyDescent="0.25">
      <c r="B899" s="295" t="s">
        <v>2913</v>
      </c>
      <c r="C899" s="325" t="s">
        <v>2905</v>
      </c>
      <c r="D899" s="325" t="s">
        <v>1249</v>
      </c>
      <c r="E899" s="2">
        <v>12000</v>
      </c>
      <c r="F899" s="2">
        <v>25</v>
      </c>
      <c r="G899" s="60">
        <v>8.5</v>
      </c>
      <c r="H899" s="303">
        <f t="shared" si="151"/>
        <v>212.5</v>
      </c>
      <c r="I899" s="60">
        <v>9</v>
      </c>
      <c r="J899" s="439"/>
      <c r="K899" s="439"/>
      <c r="L899" s="439"/>
      <c r="M899" s="60">
        <f t="shared" si="149"/>
        <v>9</v>
      </c>
      <c r="N899" s="303">
        <f t="shared" si="150"/>
        <v>203.5</v>
      </c>
      <c r="O899" s="249" t="s">
        <v>2912</v>
      </c>
      <c r="P899" s="249" t="s">
        <v>369</v>
      </c>
    </row>
    <row r="900" spans="2:16" ht="12.75" customHeight="1" x14ac:dyDescent="0.25">
      <c r="B900" s="295" t="s">
        <v>2913</v>
      </c>
      <c r="C900" s="325" t="s">
        <v>2905</v>
      </c>
      <c r="D900" s="325" t="s">
        <v>1249</v>
      </c>
      <c r="E900" s="2">
        <v>12000</v>
      </c>
      <c r="F900" s="2">
        <v>25</v>
      </c>
      <c r="G900" s="60">
        <v>8.5</v>
      </c>
      <c r="H900" s="303">
        <f t="shared" si="151"/>
        <v>212.5</v>
      </c>
      <c r="I900" s="60">
        <v>9</v>
      </c>
      <c r="J900" s="439"/>
      <c r="K900" s="439"/>
      <c r="L900" s="439"/>
      <c r="M900" s="60">
        <f t="shared" si="149"/>
        <v>9</v>
      </c>
      <c r="N900" s="303">
        <f t="shared" si="150"/>
        <v>203.5</v>
      </c>
      <c r="O900" s="249" t="s">
        <v>2912</v>
      </c>
      <c r="P900" s="249" t="s">
        <v>369</v>
      </c>
    </row>
    <row r="901" spans="2:16" ht="12.75" customHeight="1" x14ac:dyDescent="0.25">
      <c r="B901" s="295" t="s">
        <v>2913</v>
      </c>
      <c r="C901" s="325" t="s">
        <v>2897</v>
      </c>
      <c r="D901" s="325" t="s">
        <v>1249</v>
      </c>
      <c r="E901" s="2">
        <v>150</v>
      </c>
      <c r="F901" s="2">
        <v>4000</v>
      </c>
      <c r="G901" s="60">
        <v>0.65</v>
      </c>
      <c r="H901" s="303">
        <f t="shared" si="151"/>
        <v>2600</v>
      </c>
      <c r="I901" s="60">
        <v>9</v>
      </c>
      <c r="J901" s="439"/>
      <c r="K901" s="439"/>
      <c r="L901" s="439"/>
      <c r="M901" s="60">
        <f t="shared" si="149"/>
        <v>9</v>
      </c>
      <c r="N901" s="303">
        <f t="shared" si="150"/>
        <v>2591</v>
      </c>
      <c r="O901" s="249" t="s">
        <v>2912</v>
      </c>
      <c r="P901" s="249" t="s">
        <v>369</v>
      </c>
    </row>
    <row r="902" spans="2:16" ht="12.75" customHeight="1" x14ac:dyDescent="0.25">
      <c r="B902" s="295" t="s">
        <v>2913</v>
      </c>
      <c r="C902" s="325" t="s">
        <v>2897</v>
      </c>
      <c r="D902" s="325" t="s">
        <v>1249</v>
      </c>
      <c r="E902" s="2">
        <v>150</v>
      </c>
      <c r="F902" s="2">
        <v>4000</v>
      </c>
      <c r="G902" s="60">
        <v>0.65</v>
      </c>
      <c r="H902" s="303">
        <f t="shared" si="151"/>
        <v>2600</v>
      </c>
      <c r="I902" s="60">
        <v>9</v>
      </c>
      <c r="J902" s="439"/>
      <c r="K902" s="439"/>
      <c r="L902" s="439"/>
      <c r="M902" s="60">
        <f t="shared" si="149"/>
        <v>9</v>
      </c>
      <c r="N902" s="303">
        <f t="shared" si="150"/>
        <v>2591</v>
      </c>
      <c r="O902" s="249" t="s">
        <v>2912</v>
      </c>
      <c r="P902" s="249" t="s">
        <v>369</v>
      </c>
    </row>
    <row r="903" spans="2:16" ht="12.75" customHeight="1" x14ac:dyDescent="0.25">
      <c r="B903" s="295" t="s">
        <v>2914</v>
      </c>
      <c r="C903" s="325" t="s">
        <v>2905</v>
      </c>
      <c r="D903" s="325" t="s">
        <v>1249</v>
      </c>
      <c r="E903" s="2">
        <v>11700</v>
      </c>
      <c r="F903" s="2">
        <v>25</v>
      </c>
      <c r="G903" s="60">
        <v>5</v>
      </c>
      <c r="H903" s="303">
        <f t="shared" si="151"/>
        <v>125</v>
      </c>
      <c r="I903" s="60">
        <v>9</v>
      </c>
      <c r="J903" s="439"/>
      <c r="K903" s="439"/>
      <c r="L903" s="439"/>
      <c r="M903" s="60">
        <f>SUM(I903:L903)</f>
        <v>9</v>
      </c>
      <c r="N903" s="303">
        <f>H903-M903</f>
        <v>116</v>
      </c>
      <c r="O903" s="249" t="s">
        <v>2915</v>
      </c>
      <c r="P903" s="249" t="s">
        <v>369</v>
      </c>
    </row>
    <row r="904" spans="2:16" ht="12.75" customHeight="1" x14ac:dyDescent="0.25">
      <c r="B904" s="295" t="s">
        <v>2914</v>
      </c>
      <c r="C904" s="325" t="s">
        <v>2905</v>
      </c>
      <c r="D904" s="325" t="s">
        <v>1249</v>
      </c>
      <c r="E904" s="2">
        <v>11700</v>
      </c>
      <c r="F904" s="2">
        <v>50</v>
      </c>
      <c r="G904" s="60">
        <v>5</v>
      </c>
      <c r="H904" s="303">
        <f t="shared" si="151"/>
        <v>250</v>
      </c>
      <c r="I904" s="60">
        <v>18</v>
      </c>
      <c r="J904" s="439"/>
      <c r="K904" s="439"/>
      <c r="L904" s="439"/>
      <c r="M904" s="60">
        <f>SUM(I904:L904)</f>
        <v>18</v>
      </c>
      <c r="N904" s="303">
        <f>H904-M904</f>
        <v>232</v>
      </c>
      <c r="O904" s="249" t="s">
        <v>2915</v>
      </c>
      <c r="P904" s="249" t="s">
        <v>369</v>
      </c>
    </row>
    <row r="905" spans="2:16" ht="12.75" customHeight="1" x14ac:dyDescent="0.25">
      <c r="B905" s="295" t="s">
        <v>2914</v>
      </c>
      <c r="C905" s="325" t="s">
        <v>2905</v>
      </c>
      <c r="D905" s="325" t="s">
        <v>1249</v>
      </c>
      <c r="E905" s="2">
        <v>11700</v>
      </c>
      <c r="F905" s="2">
        <v>25</v>
      </c>
      <c r="G905" s="60">
        <v>5</v>
      </c>
      <c r="H905" s="303">
        <f t="shared" si="151"/>
        <v>125</v>
      </c>
      <c r="I905" s="60">
        <v>9</v>
      </c>
      <c r="J905" s="439"/>
      <c r="K905" s="439"/>
      <c r="L905" s="439"/>
      <c r="M905" s="60">
        <f>SUM(I905:L905)</f>
        <v>9</v>
      </c>
      <c r="N905" s="303">
        <f>H905-M905</f>
        <v>116</v>
      </c>
      <c r="O905" s="249" t="s">
        <v>2915</v>
      </c>
      <c r="P905" s="249" t="s">
        <v>369</v>
      </c>
    </row>
    <row r="906" spans="2:16" ht="12.75" customHeight="1" x14ac:dyDescent="0.25">
      <c r="B906" s="295" t="s">
        <v>2914</v>
      </c>
      <c r="C906" s="325" t="s">
        <v>2905</v>
      </c>
      <c r="D906" s="325" t="s">
        <v>1249</v>
      </c>
      <c r="E906" s="2">
        <v>11700</v>
      </c>
      <c r="F906" s="2">
        <v>100</v>
      </c>
      <c r="G906" s="60">
        <v>5</v>
      </c>
      <c r="H906" s="303">
        <f t="shared" si="151"/>
        <v>500</v>
      </c>
      <c r="I906" s="60">
        <v>36</v>
      </c>
      <c r="J906" s="247">
        <v>8.99</v>
      </c>
      <c r="K906" s="247">
        <v>1</v>
      </c>
      <c r="L906" s="247">
        <v>0.7</v>
      </c>
      <c r="M906" s="60">
        <f>SUM(I906:L906)</f>
        <v>46.690000000000005</v>
      </c>
      <c r="N906" s="303">
        <f>H906-M906</f>
        <v>453.31</v>
      </c>
      <c r="O906" s="249" t="s">
        <v>2915</v>
      </c>
      <c r="P906" s="249" t="s">
        <v>369</v>
      </c>
    </row>
    <row r="907" spans="2:16" ht="12.75" customHeight="1" x14ac:dyDescent="0.25">
      <c r="B907" s="295" t="s">
        <v>2916</v>
      </c>
      <c r="C907" s="325" t="s">
        <v>2884</v>
      </c>
      <c r="D907" s="325" t="s">
        <v>1245</v>
      </c>
      <c r="E907" s="2">
        <v>5600</v>
      </c>
      <c r="F907" s="2">
        <v>50</v>
      </c>
      <c r="G907" s="60">
        <v>2.0499999999999998</v>
      </c>
      <c r="H907" s="303">
        <f t="shared" si="151"/>
        <v>102.49999999999999</v>
      </c>
      <c r="I907" s="60">
        <v>9</v>
      </c>
      <c r="J907" s="247">
        <v>2.27</v>
      </c>
      <c r="K907" s="247">
        <v>1</v>
      </c>
      <c r="L907" s="247">
        <v>0.41</v>
      </c>
      <c r="M907" s="60">
        <f>SUM(I907:L907)</f>
        <v>12.68</v>
      </c>
      <c r="N907" s="303">
        <f>H907-M907</f>
        <v>89.82</v>
      </c>
      <c r="O907" s="249" t="s">
        <v>1643</v>
      </c>
      <c r="P907" s="249" t="s">
        <v>369</v>
      </c>
    </row>
    <row r="908" spans="2:16" ht="12.75" customHeight="1" x14ac:dyDescent="0.25">
      <c r="B908" s="325"/>
      <c r="C908" s="325"/>
      <c r="D908" s="325"/>
      <c r="E908" s="2"/>
      <c r="F908" s="2"/>
      <c r="G908" s="60"/>
      <c r="H908" s="303"/>
      <c r="I908" s="60"/>
    </row>
    <row r="909" spans="2:16" ht="12.75" customHeight="1" x14ac:dyDescent="0.25">
      <c r="B909" s="325"/>
      <c r="C909" s="325"/>
      <c r="D909" s="325"/>
      <c r="E909" s="2"/>
      <c r="F909" s="2"/>
      <c r="G909" s="60"/>
      <c r="H909" s="303"/>
      <c r="I909" s="60"/>
    </row>
    <row r="910" spans="2:16" ht="12.75" customHeight="1" x14ac:dyDescent="0.25">
      <c r="B910" s="325"/>
      <c r="C910" s="325"/>
      <c r="D910" s="325"/>
      <c r="E910" s="2"/>
      <c r="F910" s="2"/>
      <c r="G910" s="60"/>
      <c r="H910" s="303"/>
      <c r="I910" s="60"/>
    </row>
    <row r="911" spans="2:16" ht="12.75" customHeight="1" x14ac:dyDescent="0.25">
      <c r="B911" s="325"/>
      <c r="C911" s="325"/>
      <c r="D911" s="325"/>
      <c r="E911" s="2"/>
      <c r="F911" s="2"/>
      <c r="G911" s="60"/>
      <c r="H911" s="303"/>
      <c r="I911" s="60"/>
    </row>
    <row r="912" spans="2:16" ht="12.75" customHeight="1" x14ac:dyDescent="0.25">
      <c r="B912" s="325"/>
      <c r="C912" s="325"/>
      <c r="D912" s="325"/>
      <c r="E912" s="2"/>
      <c r="F912" s="2"/>
      <c r="G912" s="60"/>
      <c r="H912" s="303"/>
      <c r="I912" s="60"/>
    </row>
    <row r="913" spans="2:18" ht="12.75" customHeight="1" x14ac:dyDescent="0.25">
      <c r="B913" s="325"/>
      <c r="C913" s="325"/>
      <c r="D913" s="325"/>
      <c r="E913" s="2"/>
      <c r="F913" s="2"/>
      <c r="G913" s="60"/>
      <c r="H913" s="303"/>
      <c r="I913" s="60"/>
    </row>
    <row r="914" spans="2:18" ht="12.75" customHeight="1" x14ac:dyDescent="0.25">
      <c r="B914" s="325"/>
      <c r="C914" s="325"/>
      <c r="D914" s="325"/>
      <c r="E914" s="2"/>
      <c r="F914" s="2"/>
      <c r="G914" s="60"/>
      <c r="H914" s="303"/>
      <c r="I914" s="60"/>
    </row>
    <row r="915" spans="2:18" ht="12.75" customHeight="1" x14ac:dyDescent="0.25">
      <c r="B915" s="325"/>
      <c r="C915" s="325"/>
      <c r="D915" s="325"/>
      <c r="E915" s="2"/>
      <c r="F915" s="2"/>
      <c r="G915" s="60"/>
      <c r="H915" s="303"/>
      <c r="I915" s="60"/>
    </row>
    <row r="916" spans="2:18" ht="12.75" customHeight="1" x14ac:dyDescent="0.25">
      <c r="B916" s="325"/>
      <c r="C916" s="325"/>
      <c r="D916" s="325"/>
      <c r="E916" s="2"/>
      <c r="F916" s="2"/>
      <c r="G916" s="60"/>
      <c r="H916" s="303"/>
      <c r="I916" s="60"/>
    </row>
    <row r="917" spans="2:18" ht="12.75" customHeight="1" x14ac:dyDescent="0.25">
      <c r="B917" s="325"/>
      <c r="C917" s="325"/>
      <c r="D917" s="325"/>
      <c r="E917" s="2"/>
      <c r="F917" s="2"/>
      <c r="G917" s="60"/>
      <c r="H917" s="303"/>
      <c r="I917" s="60"/>
    </row>
    <row r="918" spans="2:18" ht="12.75" customHeight="1" x14ac:dyDescent="0.25">
      <c r="B918" s="325"/>
      <c r="C918" s="325"/>
      <c r="D918" s="325"/>
      <c r="E918" s="2"/>
      <c r="F918" s="2"/>
      <c r="G918" s="60"/>
      <c r="H918" s="303"/>
      <c r="I918" s="60"/>
    </row>
    <row r="919" spans="2:18" ht="12.75" customHeight="1" x14ac:dyDescent="0.25">
      <c r="B919" s="325"/>
      <c r="C919" s="325"/>
      <c r="D919" s="325"/>
      <c r="E919" s="2"/>
      <c r="F919" s="2"/>
      <c r="G919" s="60"/>
      <c r="H919" s="303"/>
      <c r="I919" s="60"/>
    </row>
    <row r="920" spans="2:18" ht="12.75" customHeight="1" x14ac:dyDescent="0.25">
      <c r="B920" s="325"/>
      <c r="C920" s="325"/>
      <c r="D920" s="325"/>
      <c r="E920" s="2"/>
      <c r="F920" s="2"/>
      <c r="G920" s="60"/>
      <c r="H920" s="303"/>
      <c r="I920" s="60"/>
    </row>
    <row r="921" spans="2:18" ht="12.75" customHeight="1" x14ac:dyDescent="0.25">
      <c r="B921" s="325"/>
      <c r="C921" s="325"/>
      <c r="D921" s="325"/>
      <c r="E921" s="2"/>
      <c r="F921" s="2"/>
      <c r="G921" s="60"/>
      <c r="H921" s="303"/>
      <c r="I921" s="60"/>
    </row>
    <row r="922" spans="2:18" ht="12.75" customHeight="1" x14ac:dyDescent="0.25">
      <c r="B922" s="325"/>
      <c r="C922" s="325"/>
      <c r="D922" s="325"/>
      <c r="E922" s="2"/>
      <c r="F922" s="2"/>
      <c r="G922" s="60"/>
      <c r="H922" s="303"/>
      <c r="I922" s="60"/>
    </row>
    <row r="923" spans="2:18" ht="12.75" customHeight="1" x14ac:dyDescent="0.25">
      <c r="B923" s="325"/>
      <c r="C923" s="325"/>
      <c r="D923" s="325"/>
      <c r="E923" s="2"/>
      <c r="F923" s="2"/>
      <c r="G923" s="60"/>
      <c r="H923" s="303"/>
      <c r="I923" s="60"/>
    </row>
    <row r="924" spans="2:18" ht="12.75" customHeight="1" x14ac:dyDescent="0.25">
      <c r="B924" s="325"/>
      <c r="C924" s="325"/>
      <c r="D924" s="325"/>
      <c r="E924" s="2"/>
      <c r="F924" s="2"/>
      <c r="G924" s="60"/>
      <c r="H924" s="303"/>
      <c r="I924" s="60"/>
    </row>
    <row r="925" spans="2:18" ht="12.75" customHeight="1" x14ac:dyDescent="0.25">
      <c r="B925" s="325"/>
      <c r="C925" s="325"/>
      <c r="D925" s="325"/>
      <c r="E925" s="2"/>
      <c r="F925" s="2"/>
      <c r="G925" s="60"/>
      <c r="H925" s="303"/>
      <c r="I925" s="60"/>
    </row>
    <row r="926" spans="2:18" ht="12.75" customHeight="1" x14ac:dyDescent="0.25">
      <c r="B926" s="325"/>
      <c r="C926" s="325"/>
      <c r="D926" s="325"/>
      <c r="E926" s="2"/>
      <c r="F926" s="2"/>
      <c r="G926" s="60"/>
      <c r="H926" s="303"/>
      <c r="I926" s="60"/>
    </row>
    <row r="927" spans="2:18" ht="13.2" x14ac:dyDescent="0.25">
      <c r="B927" s="325"/>
      <c r="C927" s="325"/>
      <c r="D927" s="325"/>
      <c r="E927" s="2"/>
      <c r="F927" s="2"/>
      <c r="G927" s="60"/>
      <c r="H927" s="303"/>
      <c r="I927" s="60"/>
      <c r="J927" s="299"/>
      <c r="K927" s="299"/>
      <c r="L927" s="224"/>
      <c r="M927" s="60"/>
      <c r="N927" s="303"/>
      <c r="O927" s="304"/>
      <c r="P927" s="304"/>
      <c r="R927" s="247"/>
    </row>
    <row r="928" spans="2:18" ht="12.75" customHeight="1" x14ac:dyDescent="0.25">
      <c r="B928" s="325"/>
      <c r="C928" s="325"/>
      <c r="D928" s="325"/>
      <c r="E928" s="2"/>
      <c r="F928" s="2"/>
      <c r="G928" s="60"/>
      <c r="H928" s="303"/>
      <c r="I928" s="60"/>
      <c r="J928" s="300"/>
      <c r="M928" s="257" t="s">
        <v>2127</v>
      </c>
      <c r="N928" s="257">
        <f>SUM(N544:N927)</f>
        <v>5038935.8599999994</v>
      </c>
    </row>
    <row r="929" spans="2:19" ht="12.75" customHeight="1" x14ac:dyDescent="0.25">
      <c r="B929" s="325"/>
      <c r="C929" s="325"/>
      <c r="D929" s="325"/>
      <c r="E929" s="2"/>
      <c r="F929" s="2"/>
      <c r="G929" s="60"/>
      <c r="H929" s="303"/>
      <c r="I929" s="60"/>
      <c r="M929" s="260"/>
      <c r="N929" s="255"/>
      <c r="S929" s="247"/>
    </row>
    <row r="930" spans="2:19" ht="12.75" customHeight="1" x14ac:dyDescent="0.25">
      <c r="B930" s="325"/>
      <c r="C930" s="325"/>
      <c r="D930" s="325"/>
      <c r="E930" s="2"/>
      <c r="F930" s="2"/>
      <c r="G930" s="60"/>
      <c r="H930" s="303"/>
      <c r="I930" s="60"/>
      <c r="J930" s="300"/>
      <c r="M930" s="257" t="s">
        <v>2139</v>
      </c>
      <c r="N930" s="257">
        <f>N928-N540</f>
        <v>-327976.45999999996</v>
      </c>
      <c r="P930" s="299"/>
    </row>
    <row r="931" spans="2:19" ht="12.75" customHeight="1" x14ac:dyDescent="0.25">
      <c r="B931" s="325"/>
      <c r="C931" s="325"/>
      <c r="D931" s="325"/>
      <c r="E931" s="2"/>
      <c r="F931" s="2"/>
      <c r="G931" s="60"/>
      <c r="H931" s="303"/>
      <c r="I931" s="60"/>
      <c r="J931" s="300"/>
      <c r="K931" s="233"/>
    </row>
    <row r="932" spans="2:19" ht="12.75" customHeight="1" x14ac:dyDescent="0.25">
      <c r="B932" s="16"/>
      <c r="C932" s="2"/>
      <c r="D932" s="2"/>
      <c r="E932" s="2"/>
      <c r="F932" s="2"/>
      <c r="G932" s="60"/>
      <c r="H932" s="303"/>
      <c r="I932" s="60"/>
      <c r="J932" s="224"/>
      <c r="K932" s="233"/>
      <c r="L932" s="278"/>
      <c r="M932" s="283" t="s">
        <v>538</v>
      </c>
      <c r="N932" s="282" t="s">
        <v>537</v>
      </c>
    </row>
    <row r="933" spans="2:19" ht="12.75" customHeight="1" x14ac:dyDescent="0.25">
      <c r="B933" s="16"/>
      <c r="C933" s="16"/>
      <c r="D933" s="2"/>
      <c r="E933" s="2"/>
      <c r="F933" s="2"/>
      <c r="G933" s="60"/>
      <c r="H933" s="303"/>
      <c r="I933" s="60"/>
      <c r="J933" s="224"/>
      <c r="K933" s="233"/>
      <c r="L933" s="279" t="s">
        <v>1046</v>
      </c>
      <c r="M933" s="424">
        <f>N930</f>
        <v>-327976.45999999996</v>
      </c>
      <c r="N933" s="425">
        <f>M33</f>
        <v>0</v>
      </c>
    </row>
    <row r="934" spans="2:19" ht="12.75" customHeight="1" x14ac:dyDescent="0.25">
      <c r="B934" s="16"/>
      <c r="C934" s="2"/>
      <c r="D934" s="2"/>
      <c r="E934" s="2"/>
      <c r="F934" s="2"/>
      <c r="G934" s="60"/>
      <c r="H934" s="303"/>
      <c r="I934" s="60"/>
      <c r="J934" s="224"/>
      <c r="K934" s="233"/>
      <c r="L934" s="280" t="s">
        <v>1140</v>
      </c>
      <c r="M934" s="426">
        <f>F1045+F1057+F1092+F1150</f>
        <v>2665.93</v>
      </c>
      <c r="N934" s="427"/>
    </row>
    <row r="935" spans="2:19" ht="12.75" customHeight="1" x14ac:dyDescent="0.25">
      <c r="B935" s="385"/>
      <c r="C935" s="385"/>
      <c r="D935" s="293"/>
      <c r="E935" s="293"/>
      <c r="F935" s="293"/>
      <c r="G935" s="294"/>
      <c r="H935" s="386"/>
      <c r="I935" s="60"/>
      <c r="J935" s="224"/>
      <c r="K935" s="1"/>
      <c r="L935" s="281" t="s">
        <v>1262</v>
      </c>
      <c r="M935" s="428">
        <f>M933-M934</f>
        <v>-330642.38999999996</v>
      </c>
      <c r="N935" s="428">
        <f>N933-N934</f>
        <v>0</v>
      </c>
    </row>
    <row r="936" spans="2:19" ht="12.75" customHeight="1" x14ac:dyDescent="0.25">
      <c r="B936" s="385"/>
      <c r="C936" s="293"/>
      <c r="D936" s="293"/>
      <c r="E936" s="293"/>
      <c r="F936" s="293"/>
      <c r="G936" s="294"/>
      <c r="H936" s="386"/>
      <c r="I936" s="60"/>
      <c r="J936" s="224"/>
      <c r="K936" s="1"/>
      <c r="M936" s="260"/>
      <c r="N936" s="255"/>
    </row>
    <row r="937" spans="2:19" ht="12.75" customHeight="1" x14ac:dyDescent="0.25">
      <c r="B937" s="387"/>
      <c r="C937" s="225"/>
      <c r="D937" s="225"/>
      <c r="E937" s="225"/>
      <c r="F937" s="326"/>
      <c r="G937" s="326"/>
      <c r="H937" s="326"/>
      <c r="I937" s="1"/>
      <c r="J937" s="224"/>
      <c r="K937" s="1"/>
      <c r="M937" s="257"/>
      <c r="N937" s="257"/>
    </row>
    <row r="938" spans="2:19" ht="20.100000000000001" customHeight="1" x14ac:dyDescent="0.25">
      <c r="B938" s="385"/>
      <c r="C938" s="225"/>
      <c r="D938" s="225"/>
      <c r="E938" s="293"/>
      <c r="F938" s="293"/>
      <c r="G938" s="293"/>
      <c r="H938" s="294"/>
      <c r="I938" s="1"/>
      <c r="J938" s="224"/>
      <c r="K938" s="1"/>
      <c r="L938" s="260"/>
      <c r="M938" s="255" t="s">
        <v>74</v>
      </c>
      <c r="N938" s="364">
        <f>N935+M935</f>
        <v>-330642.38999999996</v>
      </c>
      <c r="O938" s="263"/>
      <c r="P938" s="263"/>
    </row>
    <row r="939" spans="2:19" ht="12.75" customHeight="1" x14ac:dyDescent="0.25">
      <c r="I939" s="1"/>
      <c r="J939" s="224"/>
      <c r="K939" s="1"/>
      <c r="L939" s="260"/>
      <c r="M939" s="255"/>
      <c r="N939" s="255"/>
      <c r="O939" s="263"/>
      <c r="P939" s="263"/>
    </row>
    <row r="940" spans="2:19" ht="12.75" customHeight="1" x14ac:dyDescent="0.25">
      <c r="I940" s="1"/>
      <c r="J940" s="224"/>
      <c r="K940" s="1"/>
      <c r="L940" s="260"/>
      <c r="M940" s="255" t="s">
        <v>2141</v>
      </c>
      <c r="N940" s="383">
        <f>H1024</f>
        <v>330962.51</v>
      </c>
      <c r="O940" s="263"/>
      <c r="P940" s="263"/>
    </row>
    <row r="941" spans="2:19" ht="12.75" customHeight="1" x14ac:dyDescent="0.25">
      <c r="B941" s="355"/>
      <c r="D941" s="250"/>
      <c r="E941" s="233"/>
      <c r="F941" s="233"/>
      <c r="G941" s="233"/>
      <c r="H941" s="233"/>
      <c r="I941" s="235"/>
      <c r="J941" s="224"/>
      <c r="L941" s="260"/>
      <c r="M941" s="255"/>
      <c r="N941" s="255"/>
      <c r="O941" s="263"/>
      <c r="P941" s="263"/>
    </row>
    <row r="942" spans="2:19" ht="12.75" customHeight="1" thickBot="1" x14ac:dyDescent="0.3">
      <c r="B942" s="354"/>
      <c r="D942" s="250"/>
      <c r="E942" s="250"/>
      <c r="F942" s="300"/>
      <c r="G942" s="300"/>
      <c r="H942" s="250"/>
      <c r="J942" s="224"/>
      <c r="L942" s="260"/>
      <c r="M942" s="290"/>
      <c r="N942" s="290" t="s">
        <v>539</v>
      </c>
      <c r="O942" s="263"/>
      <c r="P942" s="263"/>
    </row>
    <row r="943" spans="2:19" ht="12.75" customHeight="1" thickBot="1" x14ac:dyDescent="0.3">
      <c r="B943" s="354"/>
      <c r="D943" s="250"/>
      <c r="E943" s="250"/>
      <c r="F943" s="300"/>
      <c r="G943" s="300"/>
      <c r="H943" s="250"/>
      <c r="L943" s="260"/>
      <c r="M943" s="255" t="s">
        <v>1568</v>
      </c>
      <c r="N943" s="384">
        <f>SUM(N938:N942)</f>
        <v>320.12000000005355</v>
      </c>
      <c r="O943" s="263"/>
      <c r="P943" s="263" t="s">
        <v>2921</v>
      </c>
    </row>
    <row r="944" spans="2:19" ht="12.75" customHeight="1" x14ac:dyDescent="0.25">
      <c r="H944" s="224"/>
      <c r="M944" s="257"/>
      <c r="N944" s="257"/>
      <c r="Q944" s="259"/>
    </row>
    <row r="945" spans="6:18" ht="12.75" customHeight="1" x14ac:dyDescent="0.25">
      <c r="N945" s="247"/>
    </row>
    <row r="946" spans="6:18" ht="12.75" customHeight="1" x14ac:dyDescent="0.25">
      <c r="M946" s="255" t="s">
        <v>458</v>
      </c>
      <c r="N946" s="298" t="s">
        <v>2922</v>
      </c>
      <c r="O946" s="263"/>
      <c r="P946" s="337"/>
      <c r="R946" s="247"/>
    </row>
    <row r="948" spans="6:18" ht="12.75" customHeight="1" x14ac:dyDescent="0.25">
      <c r="M948" s="257"/>
      <c r="N948" s="289"/>
    </row>
    <row r="949" spans="6:18" ht="12.75" customHeight="1" x14ac:dyDescent="0.25">
      <c r="L949" s="374"/>
      <c r="M949" s="375" t="s">
        <v>2081</v>
      </c>
      <c r="N949" s="360">
        <f>'FY12-Equ-FNO-RKG '!M816</f>
        <v>-69038.39000000275</v>
      </c>
      <c r="Q949" s="247"/>
      <c r="R949" s="247"/>
    </row>
    <row r="950" spans="6:18" ht="12.75" customHeight="1" x14ac:dyDescent="0.25">
      <c r="L950" s="361"/>
      <c r="M950" s="362" t="s">
        <v>1503</v>
      </c>
      <c r="N950" s="366">
        <f>N940-N949</f>
        <v>400000.90000000276</v>
      </c>
      <c r="O950" s="368" t="s">
        <v>73</v>
      </c>
      <c r="P950" s="433">
        <f>N940</f>
        <v>330962.51</v>
      </c>
      <c r="R950" s="247"/>
    </row>
    <row r="951" spans="6:18" ht="12.75" customHeight="1" x14ac:dyDescent="0.25">
      <c r="F951" s="436"/>
      <c r="G951" s="436"/>
      <c r="H951" s="436"/>
      <c r="I951" s="436"/>
      <c r="J951" s="436"/>
      <c r="L951" s="363"/>
      <c r="M951" s="364" t="s">
        <v>2821</v>
      </c>
      <c r="N951" s="367"/>
      <c r="O951" s="364" t="s">
        <v>2821</v>
      </c>
      <c r="P951" s="371">
        <f>N951</f>
        <v>0</v>
      </c>
    </row>
    <row r="952" spans="6:18" ht="13.2" x14ac:dyDescent="0.25">
      <c r="L952" s="363"/>
      <c r="M952" s="364" t="s">
        <v>2820</v>
      </c>
      <c r="N952" s="367"/>
      <c r="O952" s="364" t="s">
        <v>2820</v>
      </c>
      <c r="P952" s="367">
        <f>N952</f>
        <v>0</v>
      </c>
    </row>
    <row r="953" spans="6:18" ht="13.2" x14ac:dyDescent="0.25">
      <c r="L953" s="379"/>
      <c r="M953" s="380" t="s">
        <v>948</v>
      </c>
      <c r="N953" s="381">
        <f>N951+N952+N943-N950</f>
        <v>-399680.78000000271</v>
      </c>
      <c r="O953" s="382" t="s">
        <v>383</v>
      </c>
      <c r="P953" s="434">
        <f>P951+P952+N943-P950</f>
        <v>-330642.38999999996</v>
      </c>
      <c r="R953" s="247"/>
    </row>
    <row r="954" spans="6:18" ht="13.2" x14ac:dyDescent="0.25">
      <c r="R954" s="247"/>
    </row>
    <row r="957" spans="6:18" ht="12.75" customHeight="1" x14ac:dyDescent="0.25">
      <c r="L957" s="374"/>
      <c r="M957" s="375" t="s">
        <v>1505</v>
      </c>
      <c r="N957" s="377">
        <v>99921.29</v>
      </c>
      <c r="O957" s="376" t="s">
        <v>2169</v>
      </c>
      <c r="P957" s="435">
        <f>N957-N953</f>
        <v>499602.07000000268</v>
      </c>
      <c r="Q957" s="259"/>
    </row>
    <row r="960" spans="6:18" ht="13.8" thickBot="1" x14ac:dyDescent="0.3"/>
    <row r="961" spans="1:16" ht="12.75" customHeight="1" thickBot="1" x14ac:dyDescent="0.3">
      <c r="A961" s="351" t="s">
        <v>2143</v>
      </c>
      <c r="B961" s="251"/>
      <c r="C961" s="251"/>
      <c r="D961" s="251"/>
      <c r="E961" s="251"/>
      <c r="F961" s="251"/>
      <c r="G961" s="419"/>
      <c r="H961" s="247"/>
      <c r="N961" s="254"/>
    </row>
    <row r="962" spans="1:16" ht="12.75" customHeight="1" x14ac:dyDescent="0.25">
      <c r="A962" s="358" t="s">
        <v>184</v>
      </c>
      <c r="B962" s="409" t="s">
        <v>999</v>
      </c>
      <c r="C962" s="409" t="s">
        <v>2082</v>
      </c>
      <c r="D962" s="409" t="s">
        <v>2084</v>
      </c>
      <c r="E962" s="409" t="s">
        <v>940</v>
      </c>
      <c r="F962" s="409" t="s">
        <v>668</v>
      </c>
      <c r="G962" s="409" t="s">
        <v>667</v>
      </c>
      <c r="H962" s="247"/>
    </row>
    <row r="963" spans="1:16" ht="12.75" customHeight="1" x14ac:dyDescent="0.25">
      <c r="A963" s="295" t="s">
        <v>939</v>
      </c>
      <c r="B963" s="295" t="s">
        <v>939</v>
      </c>
      <c r="C963" s="291" t="s">
        <v>927</v>
      </c>
      <c r="D963" s="417" t="s">
        <v>1231</v>
      </c>
      <c r="E963" s="267"/>
      <c r="F963" s="255"/>
      <c r="G963" s="255">
        <v>962.51</v>
      </c>
      <c r="H963" s="260"/>
      <c r="O963" s="309"/>
    </row>
    <row r="964" spans="1:16" ht="12.75" customHeight="1" x14ac:dyDescent="0.25">
      <c r="A964" s="295" t="s">
        <v>2245</v>
      </c>
      <c r="B964" s="295" t="s">
        <v>2245</v>
      </c>
      <c r="C964" s="293" t="s">
        <v>934</v>
      </c>
      <c r="D964" s="233">
        <v>4752</v>
      </c>
      <c r="E964" s="267" t="s">
        <v>932</v>
      </c>
      <c r="F964" s="60"/>
      <c r="G964" s="299">
        <v>10000</v>
      </c>
      <c r="H964" s="247"/>
    </row>
    <row r="965" spans="1:16" ht="12.75" customHeight="1" x14ac:dyDescent="0.25">
      <c r="A965" s="295" t="s">
        <v>2256</v>
      </c>
      <c r="B965" s="295" t="s">
        <v>2256</v>
      </c>
      <c r="C965" s="225" t="s">
        <v>935</v>
      </c>
      <c r="D965" s="250">
        <v>4894</v>
      </c>
      <c r="E965" s="231" t="s">
        <v>932</v>
      </c>
      <c r="F965" s="299"/>
      <c r="G965" s="299">
        <v>50000</v>
      </c>
      <c r="H965" s="247"/>
    </row>
    <row r="966" spans="1:16" ht="12.75" customHeight="1" x14ac:dyDescent="0.25">
      <c r="A966" s="295" t="s">
        <v>2249</v>
      </c>
      <c r="B966" s="295" t="s">
        <v>2249</v>
      </c>
      <c r="C966" s="416" t="s">
        <v>937</v>
      </c>
      <c r="D966" s="417">
        <v>548713</v>
      </c>
      <c r="E966" s="418" t="s">
        <v>932</v>
      </c>
      <c r="F966" s="299"/>
      <c r="G966" s="299">
        <v>20000</v>
      </c>
      <c r="H966" s="260"/>
      <c r="J966" s="224"/>
      <c r="K966" s="224"/>
      <c r="L966" s="224"/>
      <c r="M966" s="224"/>
      <c r="O966" s="224"/>
      <c r="P966" s="224"/>
    </row>
    <row r="967" spans="1:16" ht="12.75" customHeight="1" x14ac:dyDescent="0.25">
      <c r="A967" s="295" t="s">
        <v>1023</v>
      </c>
      <c r="B967" s="295" t="s">
        <v>1023</v>
      </c>
      <c r="C967" s="416" t="s">
        <v>937</v>
      </c>
      <c r="D967" s="417">
        <v>612116</v>
      </c>
      <c r="E967" s="418" t="s">
        <v>932</v>
      </c>
      <c r="F967" s="299"/>
      <c r="G967" s="299">
        <v>15000</v>
      </c>
      <c r="I967" s="260"/>
      <c r="J967" s="224"/>
      <c r="K967" s="224"/>
      <c r="L967" s="224"/>
      <c r="M967" s="224"/>
      <c r="O967" s="224"/>
      <c r="P967" s="224"/>
    </row>
    <row r="968" spans="1:16" ht="12.75" customHeight="1" x14ac:dyDescent="0.25">
      <c r="A968" s="295" t="s">
        <v>1029</v>
      </c>
      <c r="B968" s="295" t="s">
        <v>1029</v>
      </c>
      <c r="C968" s="416" t="s">
        <v>2170</v>
      </c>
      <c r="D968" s="417">
        <v>270712</v>
      </c>
      <c r="E968" s="418" t="s">
        <v>932</v>
      </c>
      <c r="F968" s="299">
        <v>65000</v>
      </c>
      <c r="G968" s="299"/>
      <c r="J968" s="224"/>
      <c r="K968" s="224"/>
      <c r="L968" s="224"/>
      <c r="M968" s="224"/>
      <c r="O968" s="224"/>
      <c r="P968" s="224"/>
    </row>
    <row r="969" spans="1:16" ht="12.75" customHeight="1" x14ac:dyDescent="0.25">
      <c r="A969" s="295" t="s">
        <v>2490</v>
      </c>
      <c r="B969" s="295" t="s">
        <v>2490</v>
      </c>
      <c r="C969" s="416" t="s">
        <v>2170</v>
      </c>
      <c r="D969" s="417">
        <v>80812</v>
      </c>
      <c r="E969" s="418" t="s">
        <v>932</v>
      </c>
      <c r="F969" s="299">
        <v>50000</v>
      </c>
      <c r="G969" s="299"/>
      <c r="H969" s="260"/>
      <c r="J969" s="224"/>
      <c r="K969" s="224"/>
      <c r="L969" s="224"/>
      <c r="M969" s="224"/>
      <c r="O969" s="224"/>
      <c r="P969" s="224"/>
    </row>
    <row r="970" spans="1:16" ht="12.75" customHeight="1" x14ac:dyDescent="0.25">
      <c r="A970" s="295" t="s">
        <v>2495</v>
      </c>
      <c r="B970" s="295" t="s">
        <v>2495</v>
      </c>
      <c r="C970" s="416" t="s">
        <v>2496</v>
      </c>
      <c r="D970" s="417">
        <v>659120</v>
      </c>
      <c r="E970" s="418" t="s">
        <v>932</v>
      </c>
      <c r="F970" s="299"/>
      <c r="G970" s="299">
        <v>10000</v>
      </c>
      <c r="H970" s="247"/>
      <c r="I970" s="260"/>
      <c r="J970" s="224"/>
      <c r="K970" s="224"/>
      <c r="L970" s="224"/>
      <c r="M970" s="224"/>
      <c r="O970" s="224"/>
      <c r="P970" s="224"/>
    </row>
    <row r="971" spans="1:16" ht="12.75" customHeight="1" x14ac:dyDescent="0.25">
      <c r="A971" s="295" t="s">
        <v>1135</v>
      </c>
      <c r="B971" s="295" t="s">
        <v>1135</v>
      </c>
      <c r="C971" s="416" t="s">
        <v>937</v>
      </c>
      <c r="D971" s="417">
        <v>670348</v>
      </c>
      <c r="E971" s="418" t="s">
        <v>932</v>
      </c>
      <c r="F971" s="299">
        <v>0</v>
      </c>
      <c r="G971" s="299">
        <v>10000</v>
      </c>
      <c r="H971" s="295"/>
      <c r="I971" s="295"/>
      <c r="J971" s="224"/>
      <c r="K971" s="224"/>
      <c r="L971" s="224"/>
      <c r="M971" s="224"/>
      <c r="O971" s="224"/>
      <c r="P971" s="224"/>
    </row>
    <row r="972" spans="1:16" ht="12.75" customHeight="1" x14ac:dyDescent="0.25">
      <c r="A972" s="295" t="s">
        <v>1135</v>
      </c>
      <c r="B972" s="295" t="s">
        <v>1135</v>
      </c>
      <c r="C972" s="416" t="s">
        <v>937</v>
      </c>
      <c r="D972" s="417">
        <v>670223</v>
      </c>
      <c r="E972" s="418" t="s">
        <v>932</v>
      </c>
      <c r="F972" s="299">
        <v>0</v>
      </c>
      <c r="G972" s="299">
        <v>15000</v>
      </c>
      <c r="H972" s="295"/>
      <c r="I972" s="295"/>
      <c r="J972" s="224"/>
      <c r="K972" s="224"/>
      <c r="L972" s="224"/>
      <c r="M972" s="224"/>
      <c r="O972" s="224"/>
      <c r="P972" s="224"/>
    </row>
    <row r="973" spans="1:16" ht="12.75" customHeight="1" x14ac:dyDescent="0.25">
      <c r="A973" s="295" t="s">
        <v>1138</v>
      </c>
      <c r="B973" s="295" t="s">
        <v>1138</v>
      </c>
      <c r="C973" s="416" t="s">
        <v>937</v>
      </c>
      <c r="D973" s="417">
        <v>691549</v>
      </c>
      <c r="E973" s="418" t="s">
        <v>932</v>
      </c>
      <c r="F973" s="299">
        <v>0</v>
      </c>
      <c r="G973" s="299">
        <v>2000</v>
      </c>
      <c r="H973" s="295"/>
      <c r="J973" s="224"/>
      <c r="K973" s="224"/>
      <c r="L973" s="224"/>
      <c r="M973" s="224"/>
      <c r="O973" s="224"/>
      <c r="P973" s="224"/>
    </row>
    <row r="974" spans="1:16" ht="12.75" customHeight="1" x14ac:dyDescent="0.25">
      <c r="A974" s="295" t="s">
        <v>2700</v>
      </c>
      <c r="B974" s="295" t="s">
        <v>2700</v>
      </c>
      <c r="C974" s="416" t="s">
        <v>937</v>
      </c>
      <c r="D974" s="417">
        <v>701631</v>
      </c>
      <c r="E974" s="418" t="s">
        <v>932</v>
      </c>
      <c r="F974" s="299">
        <v>0</v>
      </c>
      <c r="G974" s="299">
        <v>25000</v>
      </c>
      <c r="H974" s="295"/>
      <c r="J974" s="224"/>
      <c r="K974" s="224"/>
      <c r="L974" s="224"/>
      <c r="M974" s="224"/>
      <c r="O974" s="224"/>
      <c r="P974" s="224"/>
    </row>
    <row r="975" spans="1:16" ht="12.75" customHeight="1" x14ac:dyDescent="0.25">
      <c r="A975" s="295" t="s">
        <v>2706</v>
      </c>
      <c r="B975" s="295" t="s">
        <v>2706</v>
      </c>
      <c r="C975" s="416" t="s">
        <v>937</v>
      </c>
      <c r="D975" s="417">
        <v>722471</v>
      </c>
      <c r="E975" s="418" t="s">
        <v>932</v>
      </c>
      <c r="F975" s="299">
        <v>0</v>
      </c>
      <c r="G975" s="299">
        <v>25000</v>
      </c>
      <c r="H975" s="295"/>
      <c r="J975" s="224"/>
      <c r="K975" s="224"/>
      <c r="L975" s="224"/>
      <c r="M975" s="224"/>
      <c r="O975" s="224"/>
      <c r="P975" s="224"/>
    </row>
    <row r="976" spans="1:16" ht="12.75" customHeight="1" x14ac:dyDescent="0.25">
      <c r="A976" s="295" t="s">
        <v>1340</v>
      </c>
      <c r="B976" s="295" t="s">
        <v>1340</v>
      </c>
      <c r="C976" s="416" t="s">
        <v>937</v>
      </c>
      <c r="D976" s="417">
        <v>733663</v>
      </c>
      <c r="E976" s="418" t="s">
        <v>932</v>
      </c>
      <c r="F976" s="299">
        <v>0</v>
      </c>
      <c r="G976" s="299">
        <v>10000</v>
      </c>
      <c r="J976" s="224"/>
      <c r="K976" s="224"/>
      <c r="L976" s="224"/>
      <c r="M976" s="224"/>
      <c r="O976" s="224"/>
      <c r="P976" s="224"/>
    </row>
    <row r="977" spans="1:16" ht="12.75" customHeight="1" x14ac:dyDescent="0.25">
      <c r="A977" s="295" t="s">
        <v>20</v>
      </c>
      <c r="B977" s="295" t="s">
        <v>20</v>
      </c>
      <c r="C977" s="416" t="s">
        <v>937</v>
      </c>
      <c r="D977" s="417">
        <v>756269</v>
      </c>
      <c r="E977" s="418" t="s">
        <v>932</v>
      </c>
      <c r="F977" s="299">
        <v>0</v>
      </c>
      <c r="G977" s="299">
        <v>50000</v>
      </c>
      <c r="J977" s="224"/>
      <c r="K977" s="224"/>
      <c r="L977" s="224"/>
      <c r="M977" s="224"/>
      <c r="O977" s="224"/>
      <c r="P977" s="224"/>
    </row>
    <row r="978" spans="1:16" ht="12.75" customHeight="1" x14ac:dyDescent="0.25">
      <c r="A978" s="295" t="s">
        <v>22</v>
      </c>
      <c r="B978" s="295" t="s">
        <v>22</v>
      </c>
      <c r="C978" s="416" t="s">
        <v>81</v>
      </c>
      <c r="D978" s="417">
        <v>757630</v>
      </c>
      <c r="E978" s="418" t="s">
        <v>932</v>
      </c>
      <c r="F978" s="299">
        <v>0</v>
      </c>
      <c r="G978" s="299">
        <v>13000</v>
      </c>
      <c r="J978" s="224"/>
      <c r="K978" s="224"/>
      <c r="L978" s="224"/>
      <c r="M978" s="224"/>
      <c r="O978" s="224"/>
      <c r="P978" s="224"/>
    </row>
    <row r="979" spans="1:16" ht="12.75" customHeight="1" x14ac:dyDescent="0.25">
      <c r="A979" s="295" t="s">
        <v>82</v>
      </c>
      <c r="B979" s="295" t="s">
        <v>82</v>
      </c>
      <c r="C979" s="416" t="s">
        <v>937</v>
      </c>
      <c r="D979" s="417">
        <v>763888</v>
      </c>
      <c r="E979" s="418" t="s">
        <v>932</v>
      </c>
      <c r="F979" s="299">
        <v>0</v>
      </c>
      <c r="G979" s="299">
        <v>10000</v>
      </c>
      <c r="J979" s="224"/>
      <c r="K979" s="224"/>
      <c r="L979" s="224"/>
      <c r="M979" s="224"/>
      <c r="O979" s="224"/>
      <c r="P979" s="224"/>
    </row>
    <row r="980" spans="1:16" ht="12.75" customHeight="1" x14ac:dyDescent="0.25">
      <c r="A980" s="295" t="s">
        <v>1443</v>
      </c>
      <c r="B980" s="295" t="s">
        <v>1443</v>
      </c>
      <c r="C980" s="416" t="s">
        <v>937</v>
      </c>
      <c r="D980" s="417">
        <v>772131</v>
      </c>
      <c r="E980" s="418" t="s">
        <v>932</v>
      </c>
      <c r="F980" s="299">
        <v>0</v>
      </c>
      <c r="G980" s="299">
        <v>10000</v>
      </c>
      <c r="J980" s="224"/>
      <c r="K980" s="224"/>
      <c r="L980" s="224"/>
      <c r="M980" s="224"/>
      <c r="O980" s="224"/>
      <c r="P980" s="224"/>
    </row>
    <row r="981" spans="1:16" ht="12.75" customHeight="1" x14ac:dyDescent="0.25">
      <c r="A981" s="295" t="s">
        <v>91</v>
      </c>
      <c r="B981" s="295" t="s">
        <v>91</v>
      </c>
      <c r="C981" s="416" t="s">
        <v>2170</v>
      </c>
      <c r="D981" s="417">
        <v>131012</v>
      </c>
      <c r="E981" s="418" t="s">
        <v>932</v>
      </c>
      <c r="F981" s="299">
        <v>30000</v>
      </c>
      <c r="G981" s="299"/>
      <c r="J981" s="224"/>
      <c r="K981" s="224"/>
      <c r="L981" s="224"/>
      <c r="M981" s="224"/>
      <c r="O981" s="224"/>
      <c r="P981" s="224"/>
    </row>
    <row r="982" spans="1:16" ht="12.75" customHeight="1" x14ac:dyDescent="0.25">
      <c r="A982" s="295" t="s">
        <v>1468</v>
      </c>
      <c r="B982" s="295" t="s">
        <v>1468</v>
      </c>
      <c r="C982" s="416" t="s">
        <v>2170</v>
      </c>
      <c r="D982" s="417">
        <v>171012</v>
      </c>
      <c r="E982" s="418" t="s">
        <v>932</v>
      </c>
      <c r="F982" s="299">
        <v>25000</v>
      </c>
      <c r="G982" s="299"/>
      <c r="H982" s="295"/>
      <c r="I982" s="224"/>
      <c r="J982" s="224"/>
      <c r="K982" s="224"/>
      <c r="L982" s="224"/>
      <c r="M982" s="224"/>
      <c r="O982" s="224"/>
      <c r="P982" s="224"/>
    </row>
    <row r="983" spans="1:16" ht="12.75" customHeight="1" x14ac:dyDescent="0.25">
      <c r="A983" s="295" t="s">
        <v>1493</v>
      </c>
      <c r="B983" s="295" t="s">
        <v>1493</v>
      </c>
      <c r="C983" s="416" t="s">
        <v>2170</v>
      </c>
      <c r="D983" s="417">
        <v>201012</v>
      </c>
      <c r="E983" s="418" t="s">
        <v>932</v>
      </c>
      <c r="F983" s="299">
        <v>50000</v>
      </c>
      <c r="G983" s="299"/>
      <c r="I983" s="224"/>
      <c r="J983" s="224"/>
      <c r="K983" s="224"/>
      <c r="L983" s="224"/>
      <c r="M983" s="224"/>
      <c r="O983" s="224"/>
      <c r="P983" s="224"/>
    </row>
    <row r="984" spans="1:16" ht="12.75" customHeight="1" x14ac:dyDescent="0.25">
      <c r="A984" s="295" t="s">
        <v>1499</v>
      </c>
      <c r="B984" s="295" t="s">
        <v>1499</v>
      </c>
      <c r="C984" s="416" t="s">
        <v>937</v>
      </c>
      <c r="D984" s="417">
        <v>827000</v>
      </c>
      <c r="E984" s="418" t="s">
        <v>932</v>
      </c>
      <c r="F984" s="299">
        <v>0</v>
      </c>
      <c r="G984" s="299">
        <v>3000</v>
      </c>
      <c r="I984" s="224"/>
      <c r="J984" s="224"/>
      <c r="K984" s="224"/>
      <c r="L984" s="224"/>
      <c r="M984" s="224"/>
      <c r="O984" s="224"/>
      <c r="P984" s="224"/>
    </row>
    <row r="985" spans="1:16" ht="12.75" customHeight="1" x14ac:dyDescent="0.25">
      <c r="A985" s="295" t="s">
        <v>1499</v>
      </c>
      <c r="B985" s="295" t="s">
        <v>1499</v>
      </c>
      <c r="C985" s="416" t="s">
        <v>937</v>
      </c>
      <c r="D985" s="417">
        <v>826927</v>
      </c>
      <c r="E985" s="418" t="s">
        <v>932</v>
      </c>
      <c r="F985" s="299">
        <v>0</v>
      </c>
      <c r="G985" s="299">
        <v>14000</v>
      </c>
      <c r="I985" s="224"/>
      <c r="J985" s="224"/>
      <c r="K985" s="224"/>
      <c r="L985" s="224"/>
      <c r="M985" s="224"/>
      <c r="O985" s="224"/>
      <c r="P985" s="224"/>
    </row>
    <row r="986" spans="1:16" ht="12.75" customHeight="1" x14ac:dyDescent="0.25">
      <c r="A986" s="295" t="s">
        <v>1492</v>
      </c>
      <c r="B986" s="295" t="s">
        <v>1492</v>
      </c>
      <c r="C986" s="416" t="s">
        <v>937</v>
      </c>
      <c r="D986" s="417">
        <v>839908</v>
      </c>
      <c r="E986" s="418" t="s">
        <v>932</v>
      </c>
      <c r="F986" s="299">
        <v>0</v>
      </c>
      <c r="G986" s="299">
        <v>25000</v>
      </c>
      <c r="I986" s="224"/>
      <c r="J986" s="224"/>
      <c r="K986" s="224"/>
      <c r="L986" s="224"/>
      <c r="M986" s="224"/>
      <c r="O986" s="224"/>
      <c r="P986" s="224"/>
    </row>
    <row r="987" spans="1:16" ht="12.75" customHeight="1" x14ac:dyDescent="0.25">
      <c r="A987" s="295" t="s">
        <v>138</v>
      </c>
      <c r="B987" s="295" t="s">
        <v>138</v>
      </c>
      <c r="C987" s="416" t="s">
        <v>937</v>
      </c>
      <c r="D987" s="417">
        <v>855342</v>
      </c>
      <c r="E987" s="418" t="s">
        <v>932</v>
      </c>
      <c r="F987" s="299">
        <v>0</v>
      </c>
      <c r="G987" s="299">
        <v>20000</v>
      </c>
      <c r="I987" s="224"/>
      <c r="J987" s="224"/>
      <c r="K987" s="224"/>
      <c r="L987" s="224"/>
      <c r="M987" s="224"/>
      <c r="O987" s="224"/>
      <c r="P987" s="224"/>
    </row>
    <row r="988" spans="1:16" ht="12.75" customHeight="1" x14ac:dyDescent="0.25">
      <c r="A988" s="295" t="s">
        <v>1491</v>
      </c>
      <c r="B988" s="295" t="s">
        <v>1491</v>
      </c>
      <c r="C988" s="416" t="s">
        <v>937</v>
      </c>
      <c r="D988" s="417">
        <v>866819</v>
      </c>
      <c r="E988" s="418" t="s">
        <v>932</v>
      </c>
      <c r="F988" s="299">
        <v>0</v>
      </c>
      <c r="G988" s="299">
        <v>10000</v>
      </c>
      <c r="I988" s="224"/>
      <c r="J988" s="224"/>
      <c r="K988" s="224"/>
      <c r="L988" s="224"/>
      <c r="M988" s="224"/>
      <c r="O988" s="224"/>
      <c r="P988" s="224"/>
    </row>
    <row r="989" spans="1:16" ht="12.75" customHeight="1" x14ac:dyDescent="0.25">
      <c r="A989" s="295" t="s">
        <v>129</v>
      </c>
      <c r="B989" s="295" t="s">
        <v>129</v>
      </c>
      <c r="C989" s="416" t="s">
        <v>937</v>
      </c>
      <c r="D989" s="417">
        <v>883828</v>
      </c>
      <c r="E989" s="418" t="s">
        <v>932</v>
      </c>
      <c r="F989" s="299">
        <v>0</v>
      </c>
      <c r="G989" s="299">
        <v>5000</v>
      </c>
      <c r="I989" s="224"/>
      <c r="J989" s="224"/>
      <c r="K989" s="224"/>
      <c r="L989" s="224"/>
      <c r="M989" s="224"/>
      <c r="O989" s="224"/>
      <c r="P989" s="224"/>
    </row>
    <row r="990" spans="1:16" ht="12.75" customHeight="1" x14ac:dyDescent="0.25">
      <c r="A990" s="295" t="s">
        <v>130</v>
      </c>
      <c r="B990" s="295" t="s">
        <v>130</v>
      </c>
      <c r="C990" s="416" t="s">
        <v>131</v>
      </c>
      <c r="D990" s="417">
        <v>901896</v>
      </c>
      <c r="E990" s="418" t="s">
        <v>932</v>
      </c>
      <c r="F990" s="299">
        <v>0</v>
      </c>
      <c r="G990" s="299">
        <v>5000</v>
      </c>
      <c r="I990" s="224"/>
      <c r="J990" s="224"/>
      <c r="K990" s="224"/>
      <c r="L990" s="224"/>
      <c r="M990" s="224"/>
      <c r="O990" s="224"/>
      <c r="P990" s="224"/>
    </row>
    <row r="991" spans="1:16" ht="12.75" customHeight="1" x14ac:dyDescent="0.25">
      <c r="A991" s="295" t="s">
        <v>130</v>
      </c>
      <c r="B991" s="295" t="s">
        <v>130</v>
      </c>
      <c r="C991" s="416" t="s">
        <v>131</v>
      </c>
      <c r="D991" s="417">
        <v>901148</v>
      </c>
      <c r="E991" s="418" t="s">
        <v>932</v>
      </c>
      <c r="F991" s="299">
        <v>0</v>
      </c>
      <c r="G991" s="299">
        <v>70000</v>
      </c>
      <c r="I991" s="224"/>
      <c r="J991" s="224"/>
      <c r="K991" s="224"/>
      <c r="L991" s="224"/>
      <c r="M991" s="224"/>
      <c r="O991" s="224"/>
      <c r="P991" s="224"/>
    </row>
    <row r="992" spans="1:16" ht="12.75" customHeight="1" x14ac:dyDescent="0.25">
      <c r="A992" s="295" t="s">
        <v>100</v>
      </c>
      <c r="B992" s="295" t="s">
        <v>100</v>
      </c>
      <c r="C992" s="416" t="s">
        <v>103</v>
      </c>
      <c r="D992" s="417">
        <v>301112</v>
      </c>
      <c r="E992" s="418" t="s">
        <v>932</v>
      </c>
      <c r="F992" s="299">
        <v>227000</v>
      </c>
      <c r="G992" s="299"/>
      <c r="I992" s="224"/>
      <c r="J992" s="224"/>
      <c r="K992" s="224"/>
      <c r="L992" s="224"/>
      <c r="M992" s="224"/>
      <c r="O992" s="224"/>
      <c r="P992" s="224"/>
    </row>
    <row r="993" spans="1:16" ht="12.75" customHeight="1" x14ac:dyDescent="0.25">
      <c r="A993" s="295" t="s">
        <v>2795</v>
      </c>
      <c r="B993" s="295" t="s">
        <v>2795</v>
      </c>
      <c r="C993" s="416" t="s">
        <v>937</v>
      </c>
      <c r="D993" s="417">
        <v>948550</v>
      </c>
      <c r="E993" s="418" t="s">
        <v>932</v>
      </c>
      <c r="F993" s="299">
        <v>0</v>
      </c>
      <c r="G993" s="299">
        <v>25000</v>
      </c>
      <c r="I993" s="224"/>
      <c r="J993" s="224"/>
      <c r="K993" s="224"/>
      <c r="L993" s="224"/>
      <c r="M993" s="224"/>
      <c r="O993" s="224"/>
      <c r="P993" s="224"/>
    </row>
    <row r="994" spans="1:16" ht="12.75" customHeight="1" x14ac:dyDescent="0.25">
      <c r="A994" s="295" t="s">
        <v>2813</v>
      </c>
      <c r="B994" s="295" t="s">
        <v>2813</v>
      </c>
      <c r="C994" s="416" t="s">
        <v>937</v>
      </c>
      <c r="D994" s="417">
        <v>990079</v>
      </c>
      <c r="E994" s="418" t="s">
        <v>932</v>
      </c>
      <c r="F994" s="299">
        <v>0</v>
      </c>
      <c r="G994" s="299">
        <v>20000</v>
      </c>
      <c r="I994" s="224"/>
      <c r="J994" s="224"/>
      <c r="K994" s="224"/>
      <c r="L994" s="224"/>
      <c r="M994" s="224"/>
      <c r="O994" s="224"/>
      <c r="P994" s="224"/>
    </row>
    <row r="995" spans="1:16" ht="12.75" customHeight="1" x14ac:dyDescent="0.25">
      <c r="A995" s="295" t="s">
        <v>2814</v>
      </c>
      <c r="B995" s="295" t="s">
        <v>2814</v>
      </c>
      <c r="C995" s="416" t="s">
        <v>937</v>
      </c>
      <c r="D995" s="417">
        <v>995036</v>
      </c>
      <c r="E995" s="418" t="s">
        <v>932</v>
      </c>
      <c r="F995" s="299">
        <v>0</v>
      </c>
      <c r="G995" s="299">
        <v>50000</v>
      </c>
      <c r="I995" s="224"/>
      <c r="J995" s="224"/>
      <c r="K995" s="224"/>
      <c r="L995" s="224"/>
      <c r="M995" s="224"/>
      <c r="O995" s="224"/>
      <c r="P995" s="224"/>
    </row>
    <row r="996" spans="1:16" ht="12.75" customHeight="1" x14ac:dyDescent="0.25">
      <c r="A996" s="295" t="s">
        <v>2814</v>
      </c>
      <c r="B996" s="295" t="s">
        <v>2814</v>
      </c>
      <c r="C996" s="416" t="s">
        <v>937</v>
      </c>
      <c r="D996" s="417">
        <v>994674</v>
      </c>
      <c r="E996" s="418" t="s">
        <v>932</v>
      </c>
      <c r="F996" s="299">
        <v>0</v>
      </c>
      <c r="G996" s="299">
        <v>50000</v>
      </c>
      <c r="I996" s="224"/>
      <c r="J996" s="224"/>
      <c r="K996" s="224"/>
      <c r="L996" s="224"/>
      <c r="M996" s="224"/>
      <c r="O996" s="224"/>
      <c r="P996" s="224"/>
    </row>
    <row r="997" spans="1:16" ht="12.75" customHeight="1" x14ac:dyDescent="0.25">
      <c r="A997" s="295" t="s">
        <v>2819</v>
      </c>
      <c r="B997" s="295" t="s">
        <v>2819</v>
      </c>
      <c r="C997" s="416" t="s">
        <v>937</v>
      </c>
      <c r="D997" s="417">
        <v>1013997</v>
      </c>
      <c r="E997" s="418" t="s">
        <v>932</v>
      </c>
      <c r="F997" s="299">
        <v>0</v>
      </c>
      <c r="G997" s="299">
        <v>5000</v>
      </c>
      <c r="I997" s="224"/>
      <c r="J997" s="224"/>
      <c r="K997" s="224"/>
      <c r="L997" s="224"/>
      <c r="M997" s="224"/>
      <c r="O997" s="224"/>
      <c r="P997" s="224"/>
    </row>
    <row r="998" spans="1:16" ht="12.75" customHeight="1" x14ac:dyDescent="0.25">
      <c r="A998" s="295" t="s">
        <v>2819</v>
      </c>
      <c r="B998" s="295" t="s">
        <v>2819</v>
      </c>
      <c r="C998" s="416" t="s">
        <v>937</v>
      </c>
      <c r="D998" s="417">
        <v>1013919</v>
      </c>
      <c r="E998" s="418" t="s">
        <v>932</v>
      </c>
      <c r="F998" s="299">
        <v>0</v>
      </c>
      <c r="G998" s="299">
        <v>15000</v>
      </c>
      <c r="I998" s="224"/>
      <c r="J998" s="224"/>
      <c r="K998" s="224"/>
      <c r="L998" s="224"/>
      <c r="M998" s="224"/>
      <c r="O998" s="224"/>
      <c r="P998" s="224"/>
    </row>
    <row r="999" spans="1:16" ht="12.75" customHeight="1" x14ac:dyDescent="0.25">
      <c r="A999" s="295" t="s">
        <v>2824</v>
      </c>
      <c r="B999" s="295" t="s">
        <v>2824</v>
      </c>
      <c r="C999" s="416" t="s">
        <v>937</v>
      </c>
      <c r="D999" s="417">
        <v>1054925</v>
      </c>
      <c r="E999" s="418" t="s">
        <v>932</v>
      </c>
      <c r="F999" s="299">
        <v>0</v>
      </c>
      <c r="G999" s="299">
        <v>5000</v>
      </c>
      <c r="I999" s="224"/>
      <c r="J999" s="224"/>
      <c r="K999" s="224"/>
      <c r="L999" s="224"/>
      <c r="M999" s="224"/>
      <c r="O999" s="224"/>
      <c r="P999" s="224"/>
    </row>
    <row r="1000" spans="1:16" ht="12.75" customHeight="1" x14ac:dyDescent="0.25">
      <c r="A1000" s="295" t="s">
        <v>2824</v>
      </c>
      <c r="B1000" s="295" t="s">
        <v>2824</v>
      </c>
      <c r="C1000" s="416" t="s">
        <v>937</v>
      </c>
      <c r="D1000" s="417">
        <v>1054777</v>
      </c>
      <c r="E1000" s="418" t="s">
        <v>932</v>
      </c>
      <c r="F1000" s="299">
        <v>0</v>
      </c>
      <c r="G1000" s="299">
        <v>25000</v>
      </c>
      <c r="I1000" s="224"/>
      <c r="J1000" s="224"/>
      <c r="K1000" s="224"/>
      <c r="L1000" s="224"/>
      <c r="M1000" s="224"/>
      <c r="O1000" s="224"/>
      <c r="P1000" s="224"/>
    </row>
    <row r="1001" spans="1:16" ht="12.75" customHeight="1" x14ac:dyDescent="0.25">
      <c r="A1001" s="295" t="s">
        <v>2831</v>
      </c>
      <c r="B1001" s="295" t="s">
        <v>2831</v>
      </c>
      <c r="C1001" s="416" t="s">
        <v>937</v>
      </c>
      <c r="D1001" s="417">
        <v>1059232</v>
      </c>
      <c r="E1001" s="418" t="s">
        <v>932</v>
      </c>
      <c r="F1001" s="299">
        <v>0</v>
      </c>
      <c r="G1001" s="299">
        <v>35000</v>
      </c>
      <c r="I1001" s="224"/>
      <c r="J1001" s="224"/>
      <c r="K1001" s="224"/>
      <c r="L1001" s="224"/>
      <c r="M1001" s="224"/>
      <c r="O1001" s="224"/>
      <c r="P1001" s="224"/>
    </row>
    <row r="1002" spans="1:16" ht="12.75" customHeight="1" x14ac:dyDescent="0.25">
      <c r="A1002" s="295" t="s">
        <v>2833</v>
      </c>
      <c r="B1002" s="295" t="s">
        <v>2833</v>
      </c>
      <c r="C1002" s="416" t="s">
        <v>937</v>
      </c>
      <c r="D1002" s="417">
        <v>1065820</v>
      </c>
      <c r="E1002" s="418" t="s">
        <v>932</v>
      </c>
      <c r="F1002" s="299">
        <v>0</v>
      </c>
      <c r="G1002" s="299">
        <v>10000</v>
      </c>
      <c r="H1002" s="295"/>
      <c r="I1002" s="224"/>
      <c r="J1002" s="224"/>
      <c r="K1002" s="224"/>
      <c r="L1002" s="224"/>
      <c r="M1002" s="224"/>
      <c r="O1002" s="224"/>
      <c r="P1002" s="224"/>
    </row>
    <row r="1003" spans="1:16" ht="12.75" customHeight="1" x14ac:dyDescent="0.25">
      <c r="A1003" s="295" t="s">
        <v>2835</v>
      </c>
      <c r="B1003" s="295" t="s">
        <v>2835</v>
      </c>
      <c r="C1003" s="416" t="s">
        <v>937</v>
      </c>
      <c r="D1003" s="417">
        <v>1114894</v>
      </c>
      <c r="E1003" s="418" t="s">
        <v>932</v>
      </c>
      <c r="F1003" s="299">
        <v>0</v>
      </c>
      <c r="G1003" s="299">
        <v>6000</v>
      </c>
      <c r="H1003" s="295"/>
      <c r="I1003" s="224"/>
      <c r="J1003" s="224"/>
      <c r="K1003" s="224"/>
      <c r="L1003" s="224"/>
      <c r="M1003" s="224"/>
      <c r="O1003" s="224"/>
      <c r="P1003" s="224"/>
    </row>
    <row r="1004" spans="1:16" ht="12.75" customHeight="1" x14ac:dyDescent="0.25">
      <c r="A1004" s="295" t="s">
        <v>2839</v>
      </c>
      <c r="B1004" s="295" t="s">
        <v>2839</v>
      </c>
      <c r="C1004" s="416" t="s">
        <v>937</v>
      </c>
      <c r="D1004" s="417">
        <v>1136129</v>
      </c>
      <c r="E1004" s="418" t="s">
        <v>932</v>
      </c>
      <c r="F1004" s="299">
        <v>0</v>
      </c>
      <c r="G1004" s="299">
        <v>25000</v>
      </c>
      <c r="H1004" s="295"/>
      <c r="I1004" s="224"/>
      <c r="J1004" s="224"/>
      <c r="K1004" s="224"/>
      <c r="L1004" s="224"/>
      <c r="M1004" s="224"/>
      <c r="O1004" s="224"/>
      <c r="P1004" s="224"/>
    </row>
    <row r="1005" spans="1:16" ht="12.75" customHeight="1" x14ac:dyDescent="0.25">
      <c r="A1005" s="295" t="s">
        <v>2858</v>
      </c>
      <c r="B1005" s="295" t="s">
        <v>2858</v>
      </c>
      <c r="C1005" s="416" t="s">
        <v>937</v>
      </c>
      <c r="D1005" s="417">
        <v>1150023</v>
      </c>
      <c r="E1005" s="418" t="s">
        <v>932</v>
      </c>
      <c r="F1005" s="299">
        <v>0</v>
      </c>
      <c r="G1005" s="299">
        <v>10000</v>
      </c>
      <c r="H1005" s="295"/>
      <c r="I1005" s="224"/>
      <c r="J1005" s="224"/>
      <c r="K1005" s="224"/>
      <c r="L1005" s="224"/>
      <c r="M1005" s="224"/>
      <c r="O1005" s="224"/>
      <c r="P1005" s="224"/>
    </row>
    <row r="1006" spans="1:16" ht="12.75" customHeight="1" x14ac:dyDescent="0.25">
      <c r="A1006" s="295" t="s">
        <v>2859</v>
      </c>
      <c r="B1006" s="295" t="s">
        <v>2859</v>
      </c>
      <c r="C1006" s="416" t="s">
        <v>937</v>
      </c>
      <c r="D1006" s="417">
        <v>1156486</v>
      </c>
      <c r="E1006" s="418" t="s">
        <v>932</v>
      </c>
      <c r="F1006" s="299">
        <v>0</v>
      </c>
      <c r="G1006" s="299">
        <v>15000</v>
      </c>
      <c r="H1006" s="295"/>
      <c r="I1006" s="224"/>
      <c r="J1006" s="224"/>
      <c r="K1006" s="224"/>
      <c r="L1006" s="224"/>
      <c r="M1006" s="224"/>
      <c r="O1006" s="224"/>
      <c r="P1006" s="224"/>
    </row>
    <row r="1007" spans="1:16" ht="12.75" customHeight="1" x14ac:dyDescent="0.25">
      <c r="A1007" s="295" t="s">
        <v>2861</v>
      </c>
      <c r="B1007" s="295" t="s">
        <v>2861</v>
      </c>
      <c r="C1007" s="416" t="s">
        <v>937</v>
      </c>
      <c r="D1007" s="417">
        <v>1170865</v>
      </c>
      <c r="E1007" s="418" t="s">
        <v>932</v>
      </c>
      <c r="F1007" s="299">
        <v>0</v>
      </c>
      <c r="G1007" s="299">
        <v>6000</v>
      </c>
      <c r="H1007" s="295"/>
      <c r="I1007" s="224"/>
      <c r="J1007" s="224"/>
      <c r="K1007" s="224"/>
      <c r="L1007" s="224"/>
      <c r="M1007" s="224"/>
      <c r="O1007" s="224"/>
      <c r="P1007" s="224"/>
    </row>
    <row r="1008" spans="1:16" ht="12.75" customHeight="1" x14ac:dyDescent="0.25">
      <c r="A1008" s="295" t="s">
        <v>2863</v>
      </c>
      <c r="B1008" s="295" t="s">
        <v>2863</v>
      </c>
      <c r="C1008" s="416" t="s">
        <v>937</v>
      </c>
      <c r="D1008" s="417">
        <v>1187580</v>
      </c>
      <c r="E1008" s="418" t="s">
        <v>932</v>
      </c>
      <c r="F1008" s="299">
        <v>0</v>
      </c>
      <c r="G1008" s="299">
        <v>3000</v>
      </c>
      <c r="H1008" s="295"/>
      <c r="I1008" s="224"/>
      <c r="J1008" s="224"/>
      <c r="K1008" s="224"/>
      <c r="L1008" s="224"/>
      <c r="M1008" s="224"/>
      <c r="O1008" s="224"/>
      <c r="P1008" s="224"/>
    </row>
    <row r="1009" spans="1:16" ht="12.75" customHeight="1" x14ac:dyDescent="0.25">
      <c r="A1009" s="295" t="s">
        <v>2866</v>
      </c>
      <c r="B1009" s="295" t="s">
        <v>2866</v>
      </c>
      <c r="C1009" s="416" t="s">
        <v>937</v>
      </c>
      <c r="D1009" s="417">
        <v>1195043</v>
      </c>
      <c r="E1009" s="418" t="s">
        <v>932</v>
      </c>
      <c r="F1009" s="299">
        <v>0</v>
      </c>
      <c r="G1009" s="299">
        <v>1500</v>
      </c>
      <c r="H1009" s="295"/>
      <c r="I1009" s="224"/>
      <c r="J1009" s="224"/>
      <c r="K1009" s="224"/>
      <c r="L1009" s="224"/>
      <c r="M1009" s="224"/>
      <c r="O1009" s="224"/>
      <c r="P1009" s="224"/>
    </row>
    <row r="1010" spans="1:16" ht="12.75" customHeight="1" x14ac:dyDescent="0.25">
      <c r="A1010" s="295" t="s">
        <v>2869</v>
      </c>
      <c r="B1010" s="295" t="s">
        <v>2869</v>
      </c>
      <c r="C1010" s="416" t="s">
        <v>937</v>
      </c>
      <c r="D1010" s="417">
        <v>1213186</v>
      </c>
      <c r="E1010" s="418" t="s">
        <v>932</v>
      </c>
      <c r="F1010" s="299">
        <v>0</v>
      </c>
      <c r="G1010" s="299">
        <v>4000</v>
      </c>
      <c r="H1010" s="295"/>
      <c r="I1010" s="224"/>
      <c r="J1010" s="224"/>
      <c r="K1010" s="224"/>
      <c r="L1010" s="224"/>
      <c r="M1010" s="224"/>
      <c r="O1010" s="224"/>
      <c r="P1010" s="224"/>
    </row>
    <row r="1011" spans="1:16" ht="12.75" customHeight="1" x14ac:dyDescent="0.25">
      <c r="A1011" s="295" t="s">
        <v>2887</v>
      </c>
      <c r="B1011" s="295" t="s">
        <v>2887</v>
      </c>
      <c r="C1011" s="416" t="s">
        <v>131</v>
      </c>
      <c r="D1011" s="417">
        <v>1240325</v>
      </c>
      <c r="E1011" s="418" t="s">
        <v>932</v>
      </c>
      <c r="F1011" s="299">
        <v>0</v>
      </c>
      <c r="G1011" s="299">
        <v>2000</v>
      </c>
      <c r="H1011" s="295"/>
      <c r="I1011" s="224"/>
      <c r="J1011" s="224"/>
      <c r="K1011" s="224"/>
      <c r="L1011" s="224"/>
      <c r="M1011" s="224"/>
      <c r="O1011" s="224"/>
      <c r="P1011" s="224"/>
    </row>
    <row r="1012" spans="1:16" ht="12.75" customHeight="1" x14ac:dyDescent="0.25">
      <c r="A1012" s="295" t="s">
        <v>2886</v>
      </c>
      <c r="B1012" s="295" t="s">
        <v>2886</v>
      </c>
      <c r="C1012" s="416" t="s">
        <v>937</v>
      </c>
      <c r="D1012" s="417">
        <v>1238062</v>
      </c>
      <c r="E1012" s="418" t="s">
        <v>932</v>
      </c>
      <c r="F1012" s="299">
        <v>0</v>
      </c>
      <c r="G1012" s="299">
        <v>5000</v>
      </c>
      <c r="H1012" s="295"/>
      <c r="I1012" s="224"/>
      <c r="J1012" s="224"/>
      <c r="K1012" s="224"/>
      <c r="L1012" s="224"/>
      <c r="M1012" s="224"/>
      <c r="O1012" s="224"/>
      <c r="P1012" s="224"/>
    </row>
    <row r="1013" spans="1:16" ht="12.75" customHeight="1" x14ac:dyDescent="0.25">
      <c r="A1013" s="295" t="s">
        <v>2891</v>
      </c>
      <c r="B1013" s="295" t="s">
        <v>2891</v>
      </c>
      <c r="C1013" s="416" t="s">
        <v>937</v>
      </c>
      <c r="D1013" s="417">
        <v>1257611</v>
      </c>
      <c r="E1013" s="418" t="s">
        <v>932</v>
      </c>
      <c r="F1013" s="299">
        <v>0</v>
      </c>
      <c r="G1013" s="299">
        <v>3000</v>
      </c>
      <c r="H1013" s="295"/>
      <c r="I1013" s="224"/>
      <c r="J1013" s="224"/>
      <c r="K1013" s="224"/>
      <c r="L1013" s="224"/>
      <c r="M1013" s="224"/>
      <c r="O1013" s="224"/>
      <c r="P1013" s="224"/>
    </row>
    <row r="1014" spans="1:16" ht="12.75" customHeight="1" x14ac:dyDescent="0.25">
      <c r="A1014" s="295" t="s">
        <v>2898</v>
      </c>
      <c r="B1014" s="295" t="s">
        <v>2898</v>
      </c>
      <c r="C1014" s="416" t="s">
        <v>937</v>
      </c>
      <c r="D1014" s="417">
        <v>1279259</v>
      </c>
      <c r="E1014" s="418" t="s">
        <v>932</v>
      </c>
      <c r="F1014" s="299">
        <v>0</v>
      </c>
      <c r="G1014" s="299">
        <v>2000</v>
      </c>
      <c r="H1014" s="295"/>
      <c r="K1014" s="224"/>
      <c r="L1014" s="224"/>
      <c r="M1014" s="224"/>
      <c r="O1014" s="224"/>
      <c r="P1014" s="224"/>
    </row>
    <row r="1015" spans="1:16" ht="12.75" customHeight="1" x14ac:dyDescent="0.25">
      <c r="A1015" s="295" t="s">
        <v>2898</v>
      </c>
      <c r="B1015" s="295" t="s">
        <v>2898</v>
      </c>
      <c r="C1015" s="416" t="s">
        <v>937</v>
      </c>
      <c r="D1015" s="417">
        <v>1279165</v>
      </c>
      <c r="E1015" s="418" t="s">
        <v>932</v>
      </c>
      <c r="F1015" s="299">
        <v>0</v>
      </c>
      <c r="G1015" s="299">
        <v>6000</v>
      </c>
      <c r="H1015" s="295"/>
      <c r="K1015" s="224"/>
      <c r="L1015" s="224"/>
      <c r="M1015" s="224"/>
      <c r="O1015" s="224"/>
      <c r="P1015" s="224"/>
    </row>
    <row r="1016" spans="1:16" ht="12.75" customHeight="1" x14ac:dyDescent="0.25">
      <c r="A1016" s="295" t="s">
        <v>2903</v>
      </c>
      <c r="B1016" s="295" t="s">
        <v>2903</v>
      </c>
      <c r="C1016" s="416" t="s">
        <v>131</v>
      </c>
      <c r="D1016" s="417">
        <v>1292709</v>
      </c>
      <c r="E1016" s="418" t="s">
        <v>932</v>
      </c>
      <c r="F1016" s="299">
        <v>0</v>
      </c>
      <c r="G1016" s="299">
        <v>800</v>
      </c>
      <c r="H1016" s="295"/>
      <c r="K1016" s="224"/>
      <c r="L1016" s="224"/>
      <c r="M1016" s="224"/>
      <c r="O1016" s="224"/>
      <c r="P1016" s="224"/>
    </row>
    <row r="1017" spans="1:16" ht="12.75" customHeight="1" x14ac:dyDescent="0.25">
      <c r="A1017" s="295" t="s">
        <v>2904</v>
      </c>
      <c r="B1017" s="295" t="s">
        <v>2904</v>
      </c>
      <c r="C1017" s="416" t="s">
        <v>937</v>
      </c>
      <c r="D1017" s="417">
        <v>1293718</v>
      </c>
      <c r="E1017" s="418" t="s">
        <v>932</v>
      </c>
      <c r="F1017" s="299">
        <v>0</v>
      </c>
      <c r="G1017" s="299">
        <v>5000</v>
      </c>
      <c r="H1017" s="295"/>
      <c r="K1017" s="224"/>
      <c r="L1017" s="224"/>
      <c r="M1017" s="224"/>
      <c r="O1017" s="224"/>
      <c r="P1017" s="224"/>
    </row>
    <row r="1018" spans="1:16" ht="12.75" customHeight="1" x14ac:dyDescent="0.25">
      <c r="A1018" s="295" t="s">
        <v>2908</v>
      </c>
      <c r="B1018" s="295" t="s">
        <v>2908</v>
      </c>
      <c r="C1018" s="416" t="s">
        <v>937</v>
      </c>
      <c r="D1018" s="417">
        <v>1302903</v>
      </c>
      <c r="E1018" s="418" t="s">
        <v>932</v>
      </c>
      <c r="F1018" s="299">
        <v>0</v>
      </c>
      <c r="G1018" s="299">
        <v>6000</v>
      </c>
      <c r="H1018" s="295"/>
      <c r="K1018" s="224"/>
      <c r="L1018" s="224"/>
      <c r="M1018" s="224"/>
      <c r="O1018" s="224"/>
      <c r="P1018" s="224"/>
    </row>
    <row r="1019" spans="1:16" ht="12.75" customHeight="1" x14ac:dyDescent="0.25">
      <c r="A1019" s="295" t="s">
        <v>2913</v>
      </c>
      <c r="B1019" s="295" t="s">
        <v>2913</v>
      </c>
      <c r="C1019" s="416" t="s">
        <v>937</v>
      </c>
      <c r="D1019" s="417">
        <v>1323248</v>
      </c>
      <c r="E1019" s="418" t="s">
        <v>932</v>
      </c>
      <c r="F1019" s="299">
        <v>0</v>
      </c>
      <c r="G1019" s="299">
        <v>10000</v>
      </c>
      <c r="H1019" s="295"/>
      <c r="K1019" s="224"/>
      <c r="L1019" s="224"/>
      <c r="M1019" s="224"/>
      <c r="O1019" s="224"/>
      <c r="P1019" s="224"/>
    </row>
    <row r="1020" spans="1:16" ht="12.75" customHeight="1" x14ac:dyDescent="0.25">
      <c r="A1020" s="295" t="s">
        <v>2916</v>
      </c>
      <c r="B1020" s="295" t="s">
        <v>2916</v>
      </c>
      <c r="C1020" s="416" t="s">
        <v>2917</v>
      </c>
      <c r="D1020" s="417">
        <v>280313</v>
      </c>
      <c r="E1020" s="418" t="s">
        <v>932</v>
      </c>
      <c r="F1020" s="299">
        <v>300</v>
      </c>
      <c r="G1020" s="299"/>
      <c r="H1020" s="295"/>
      <c r="K1020" s="224"/>
      <c r="L1020" s="224"/>
      <c r="M1020" s="224"/>
      <c r="O1020" s="224"/>
      <c r="P1020" s="224"/>
    </row>
    <row r="1021" spans="1:16" ht="12.75" customHeight="1" x14ac:dyDescent="0.25">
      <c r="A1021" s="295"/>
      <c r="C1021" s="416"/>
      <c r="D1021" s="417"/>
      <c r="E1021" s="418"/>
      <c r="F1021" s="299"/>
      <c r="G1021" s="299"/>
      <c r="H1021" s="295"/>
      <c r="K1021" s="224"/>
      <c r="L1021" s="224"/>
      <c r="M1021" s="224"/>
      <c r="O1021" s="224"/>
      <c r="P1021" s="224"/>
    </row>
    <row r="1022" spans="1:16" ht="12.75" customHeight="1" x14ac:dyDescent="0.25">
      <c r="A1022" s="353"/>
      <c r="B1022" s="325"/>
      <c r="C1022" s="265"/>
      <c r="D1022" s="266"/>
      <c r="E1022" s="255"/>
      <c r="F1022" s="362">
        <f>SUM(F963:F1021)</f>
        <v>447300</v>
      </c>
      <c r="G1022" s="362">
        <f>SUM(G963:G1021)</f>
        <v>778262.51</v>
      </c>
      <c r="H1022" s="255"/>
      <c r="I1022" s="260"/>
      <c r="J1022" s="260"/>
      <c r="K1022" s="224"/>
      <c r="L1022" s="224"/>
      <c r="M1022" s="224"/>
      <c r="O1022" s="224"/>
      <c r="P1022" s="224"/>
    </row>
    <row r="1023" spans="1:16" ht="13.8" thickBot="1" x14ac:dyDescent="0.3">
      <c r="B1023" s="325"/>
      <c r="C1023" s="264"/>
      <c r="D1023" s="265"/>
      <c r="E1023" s="255"/>
      <c r="F1023" s="255"/>
      <c r="G1023" s="255"/>
      <c r="H1023" s="243"/>
      <c r="K1023" s="224"/>
      <c r="L1023" s="224"/>
      <c r="M1023" s="224"/>
      <c r="O1023" s="224"/>
      <c r="P1023" s="224"/>
    </row>
    <row r="1024" spans="1:16" ht="13.8" thickBot="1" x14ac:dyDescent="0.3">
      <c r="B1024" s="325"/>
      <c r="C1024" s="264"/>
      <c r="D1024" s="265"/>
      <c r="E1024" s="266"/>
      <c r="G1024" s="263" t="s">
        <v>2141</v>
      </c>
      <c r="H1024" s="276">
        <f>G1022-F1022</f>
        <v>330962.51</v>
      </c>
      <c r="K1024" s="224"/>
      <c r="L1024" s="224"/>
      <c r="M1024" s="224"/>
      <c r="O1024" s="224"/>
      <c r="P1024" s="224"/>
    </row>
    <row r="1025" spans="1:16" ht="13.2" x14ac:dyDescent="0.25">
      <c r="B1025" s="325"/>
      <c r="C1025" s="264"/>
      <c r="D1025" s="265"/>
      <c r="E1025" s="272"/>
      <c r="F1025" s="267"/>
      <c r="G1025" s="267"/>
      <c r="H1025" s="243"/>
      <c r="K1025" s="224"/>
      <c r="L1025" s="224"/>
      <c r="M1025" s="224"/>
      <c r="O1025" s="224"/>
      <c r="P1025" s="224"/>
    </row>
    <row r="1026" spans="1:16" ht="13.2" x14ac:dyDescent="0.25">
      <c r="B1026" s="325"/>
      <c r="C1026" s="264"/>
      <c r="D1026" s="265"/>
      <c r="E1026" s="266"/>
      <c r="F1026" s="267"/>
      <c r="G1026" s="267"/>
      <c r="H1026" s="243"/>
      <c r="K1026" s="224"/>
      <c r="L1026" s="224"/>
      <c r="M1026" s="224"/>
      <c r="O1026" s="224"/>
      <c r="P1026" s="224"/>
    </row>
    <row r="1027" spans="1:16" ht="12.75" customHeight="1" x14ac:dyDescent="0.25">
      <c r="B1027" s="325"/>
      <c r="C1027" s="268"/>
      <c r="D1027" s="253"/>
      <c r="E1027" s="224"/>
      <c r="F1027" s="224"/>
      <c r="G1027" s="224"/>
      <c r="H1027" s="246"/>
      <c r="K1027" s="224"/>
      <c r="L1027" s="224"/>
      <c r="M1027" s="224"/>
      <c r="O1027" s="224"/>
      <c r="P1027" s="224"/>
    </row>
    <row r="1028" spans="1:16" ht="12.75" customHeight="1" x14ac:dyDescent="0.25">
      <c r="C1028" s="241"/>
      <c r="D1028" s="229"/>
      <c r="E1028" s="229"/>
      <c r="F1028" s="230"/>
      <c r="G1028" s="230"/>
      <c r="H1028" s="230"/>
      <c r="K1028" s="224"/>
      <c r="L1028" s="224"/>
      <c r="M1028" s="224"/>
      <c r="O1028" s="224"/>
      <c r="P1028" s="224"/>
    </row>
    <row r="1029" spans="1:16" ht="12.75" customHeight="1" thickBot="1" x14ac:dyDescent="0.3">
      <c r="C1029" s="241"/>
      <c r="D1029" s="229"/>
      <c r="E1029" s="229"/>
      <c r="F1029" s="230"/>
      <c r="G1029" s="246"/>
      <c r="H1029" s="230"/>
    </row>
    <row r="1030" spans="1:16" ht="12.75" customHeight="1" thickBot="1" x14ac:dyDescent="0.3">
      <c r="A1030" s="351" t="s">
        <v>941</v>
      </c>
      <c r="B1030" s="273"/>
      <c r="C1030" s="274"/>
      <c r="D1030" s="274"/>
      <c r="E1030" s="415"/>
      <c r="F1030" s="415"/>
      <c r="G1030" s="275"/>
      <c r="H1030" s="247"/>
    </row>
    <row r="1031" spans="1:16" ht="12.75" customHeight="1" x14ac:dyDescent="0.25">
      <c r="A1031" s="358" t="s">
        <v>184</v>
      </c>
      <c r="B1031" s="414" t="s">
        <v>999</v>
      </c>
      <c r="C1031" s="409" t="s">
        <v>2082</v>
      </c>
      <c r="D1031" s="409" t="s">
        <v>2084</v>
      </c>
      <c r="E1031" s="409" t="s">
        <v>940</v>
      </c>
      <c r="F1031" s="409" t="s">
        <v>668</v>
      </c>
      <c r="G1031" s="409" t="s">
        <v>667</v>
      </c>
      <c r="H1031" s="247"/>
    </row>
    <row r="1032" spans="1:16" s="1" customFormat="1" ht="13.2" x14ac:dyDescent="0.25">
      <c r="A1032" s="295" t="s">
        <v>943</v>
      </c>
      <c r="B1032" s="295" t="s">
        <v>943</v>
      </c>
      <c r="C1032" s="225" t="s">
        <v>1232</v>
      </c>
      <c r="D1032" s="250" t="s">
        <v>931</v>
      </c>
      <c r="E1032" s="91" t="s">
        <v>932</v>
      </c>
      <c r="F1032" s="299">
        <v>111.24</v>
      </c>
      <c r="H1032" s="260"/>
      <c r="I1032" s="59"/>
      <c r="K1032" s="59"/>
      <c r="L1032" s="59"/>
      <c r="O1032" s="2"/>
      <c r="P1032" s="2"/>
    </row>
    <row r="1033" spans="1:16" s="1" customFormat="1" ht="13.2" x14ac:dyDescent="0.25">
      <c r="A1033" s="295" t="s">
        <v>944</v>
      </c>
      <c r="B1033" s="295" t="s">
        <v>944</v>
      </c>
      <c r="C1033" s="225" t="s">
        <v>1232</v>
      </c>
      <c r="D1033" s="250" t="s">
        <v>933</v>
      </c>
      <c r="E1033" s="91" t="s">
        <v>932</v>
      </c>
      <c r="F1033" s="299">
        <v>111.24</v>
      </c>
      <c r="H1033" s="260"/>
      <c r="I1033" s="59"/>
      <c r="K1033" s="59"/>
      <c r="L1033" s="59"/>
      <c r="O1033" s="2"/>
      <c r="P1033" s="2"/>
    </row>
    <row r="1034" spans="1:16" ht="12.75" customHeight="1" x14ac:dyDescent="0.25">
      <c r="A1034" s="295" t="s">
        <v>945</v>
      </c>
      <c r="B1034" s="295" t="s">
        <v>945</v>
      </c>
      <c r="C1034" s="293" t="s">
        <v>1232</v>
      </c>
      <c r="D1034" s="250" t="s">
        <v>936</v>
      </c>
      <c r="E1034" s="91" t="s">
        <v>932</v>
      </c>
      <c r="F1034" s="249">
        <v>111.24</v>
      </c>
      <c r="H1034" s="59"/>
    </row>
    <row r="1035" spans="1:16" s="1" customFormat="1" ht="13.2" x14ac:dyDescent="0.25">
      <c r="A1035" s="295" t="s">
        <v>1024</v>
      </c>
      <c r="B1035" s="295" t="s">
        <v>1024</v>
      </c>
      <c r="C1035" s="293" t="s">
        <v>1232</v>
      </c>
      <c r="D1035" s="250" t="s">
        <v>1022</v>
      </c>
      <c r="E1035" s="91" t="s">
        <v>932</v>
      </c>
      <c r="F1035" s="249">
        <v>111.24</v>
      </c>
      <c r="G1035" s="299"/>
      <c r="H1035" s="247"/>
      <c r="I1035" s="59"/>
      <c r="K1035" s="59"/>
      <c r="L1035" s="59"/>
      <c r="O1035" s="2"/>
      <c r="P1035" s="2"/>
    </row>
    <row r="1036" spans="1:16" s="1" customFormat="1" ht="13.2" x14ac:dyDescent="0.25">
      <c r="A1036" s="295" t="s">
        <v>2498</v>
      </c>
      <c r="B1036" s="295" t="s">
        <v>2498</v>
      </c>
      <c r="C1036" s="293" t="s">
        <v>1232</v>
      </c>
      <c r="D1036" s="250" t="s">
        <v>2497</v>
      </c>
      <c r="E1036" s="91" t="s">
        <v>932</v>
      </c>
      <c r="F1036" s="249">
        <v>111.24</v>
      </c>
      <c r="G1036" s="235"/>
      <c r="H1036" s="59"/>
      <c r="I1036" s="59"/>
      <c r="K1036" s="59"/>
      <c r="L1036" s="59"/>
      <c r="O1036" s="2"/>
      <c r="P1036" s="2"/>
    </row>
    <row r="1037" spans="1:16" s="1" customFormat="1" ht="13.2" x14ac:dyDescent="0.25">
      <c r="A1037" s="295" t="s">
        <v>2710</v>
      </c>
      <c r="B1037" s="295" t="s">
        <v>2710</v>
      </c>
      <c r="C1037" s="293" t="s">
        <v>1232</v>
      </c>
      <c r="D1037" s="250" t="s">
        <v>2709</v>
      </c>
      <c r="E1037" s="91" t="s">
        <v>932</v>
      </c>
      <c r="F1037" s="249">
        <v>111.24</v>
      </c>
      <c r="H1037" s="59"/>
      <c r="I1037" s="59"/>
      <c r="K1037" s="59"/>
      <c r="L1037" s="59"/>
      <c r="O1037" s="2"/>
      <c r="P1037" s="2"/>
    </row>
    <row r="1038" spans="1:16" ht="12.75" customHeight="1" x14ac:dyDescent="0.25">
      <c r="A1038" s="295" t="s">
        <v>98</v>
      </c>
      <c r="B1038" s="295" t="s">
        <v>98</v>
      </c>
      <c r="C1038" s="250" t="s">
        <v>1232</v>
      </c>
      <c r="D1038" s="224" t="s">
        <v>90</v>
      </c>
      <c r="E1038" s="235" t="s">
        <v>932</v>
      </c>
      <c r="F1038" s="255">
        <v>111.24</v>
      </c>
      <c r="H1038" s="247"/>
    </row>
    <row r="1039" spans="1:16" ht="12.75" customHeight="1" x14ac:dyDescent="0.25">
      <c r="A1039" s="295" t="s">
        <v>134</v>
      </c>
      <c r="B1039" s="295" t="s">
        <v>134</v>
      </c>
      <c r="C1039" s="250" t="s">
        <v>1232</v>
      </c>
      <c r="D1039" s="224" t="s">
        <v>133</v>
      </c>
      <c r="E1039" s="235" t="s">
        <v>932</v>
      </c>
      <c r="F1039" s="255">
        <v>111.24</v>
      </c>
      <c r="H1039" s="247"/>
    </row>
    <row r="1040" spans="1:16" s="1" customFormat="1" ht="13.2" x14ac:dyDescent="0.25">
      <c r="A1040" s="295" t="s">
        <v>2806</v>
      </c>
      <c r="B1040" s="295" t="s">
        <v>2806</v>
      </c>
      <c r="C1040" s="250" t="s">
        <v>1232</v>
      </c>
      <c r="D1040" s="224" t="s">
        <v>2805</v>
      </c>
      <c r="E1040" s="235" t="s">
        <v>932</v>
      </c>
      <c r="F1040" s="255">
        <v>111.24</v>
      </c>
      <c r="H1040" s="59"/>
      <c r="I1040" s="59"/>
      <c r="K1040" s="59"/>
      <c r="L1040" s="59"/>
      <c r="O1040" s="2"/>
      <c r="P1040" s="2"/>
    </row>
    <row r="1041" spans="1:16" ht="12.75" customHeight="1" x14ac:dyDescent="0.25">
      <c r="A1041" s="295" t="s">
        <v>2836</v>
      </c>
      <c r="B1041" s="295" t="s">
        <v>2836</v>
      </c>
      <c r="C1041" s="416" t="s">
        <v>1232</v>
      </c>
      <c r="D1041" s="417" t="s">
        <v>2834</v>
      </c>
      <c r="E1041" s="418" t="s">
        <v>932</v>
      </c>
      <c r="F1041" s="299">
        <v>111.24</v>
      </c>
      <c r="G1041" s="299"/>
      <c r="H1041" s="295"/>
    </row>
    <row r="1042" spans="1:16" s="1" customFormat="1" ht="13.2" x14ac:dyDescent="0.25">
      <c r="A1042" s="295" t="s">
        <v>2864</v>
      </c>
      <c r="B1042" s="295" t="s">
        <v>2864</v>
      </c>
      <c r="C1042" s="416" t="s">
        <v>1232</v>
      </c>
      <c r="D1042" s="417" t="s">
        <v>2862</v>
      </c>
      <c r="E1042" s="418" t="s">
        <v>932</v>
      </c>
      <c r="F1042" s="299">
        <v>111.24</v>
      </c>
      <c r="H1042" s="59"/>
      <c r="I1042" s="59"/>
      <c r="K1042" s="59"/>
      <c r="L1042" s="59"/>
      <c r="O1042" s="2"/>
      <c r="P1042" s="2"/>
    </row>
    <row r="1043" spans="1:16" ht="12.75" customHeight="1" x14ac:dyDescent="0.25">
      <c r="A1043" s="295" t="s">
        <v>2903</v>
      </c>
      <c r="B1043" s="295" t="s">
        <v>2903</v>
      </c>
      <c r="C1043" s="416" t="s">
        <v>1232</v>
      </c>
      <c r="D1043" s="417" t="s">
        <v>2909</v>
      </c>
      <c r="E1043" s="418" t="s">
        <v>932</v>
      </c>
      <c r="F1043" s="299">
        <v>111.24</v>
      </c>
      <c r="G1043" s="299"/>
      <c r="H1043" s="295"/>
    </row>
    <row r="1044" spans="1:16" ht="12.75" customHeight="1" thickBot="1" x14ac:dyDescent="0.3">
      <c r="A1044" s="295"/>
      <c r="D1044" s="224"/>
      <c r="E1044" s="235"/>
      <c r="F1044" s="255"/>
      <c r="H1044" s="247"/>
    </row>
    <row r="1045" spans="1:16" ht="12.75" customHeight="1" thickBot="1" x14ac:dyDescent="0.3">
      <c r="A1045" s="295"/>
      <c r="C1045" s="1"/>
      <c r="E1045" s="2" t="s">
        <v>535</v>
      </c>
      <c r="F1045" s="277">
        <f>SUM(F1032:F1044)</f>
        <v>1334.8799999999999</v>
      </c>
      <c r="H1045" s="59"/>
      <c r="N1045" s="254"/>
    </row>
    <row r="1046" spans="1:16" ht="12.75" customHeight="1" x14ac:dyDescent="0.25">
      <c r="A1046" s="295"/>
      <c r="C1046" s="1"/>
      <c r="E1046" s="1"/>
      <c r="F1046" s="390"/>
      <c r="H1046" s="59"/>
      <c r="N1046" s="254"/>
    </row>
    <row r="1047" spans="1:16" s="1" customFormat="1" ht="13.2" x14ac:dyDescent="0.25">
      <c r="A1047" s="295" t="s">
        <v>2863</v>
      </c>
      <c r="B1047" s="295" t="s">
        <v>2863</v>
      </c>
      <c r="C1047" s="416" t="s">
        <v>1236</v>
      </c>
      <c r="D1047" s="417" t="s">
        <v>1237</v>
      </c>
      <c r="E1047" s="418" t="s">
        <v>932</v>
      </c>
      <c r="F1047" s="299">
        <v>251.06</v>
      </c>
      <c r="H1047" s="59"/>
      <c r="I1047" s="59"/>
      <c r="K1047" s="59"/>
      <c r="L1047" s="59"/>
      <c r="O1047" s="2"/>
      <c r="P1047" s="2"/>
    </row>
    <row r="1048" spans="1:16" ht="12.75" customHeight="1" x14ac:dyDescent="0.25">
      <c r="A1048" s="295" t="s">
        <v>2893</v>
      </c>
      <c r="B1048" s="295" t="s">
        <v>2893</v>
      </c>
      <c r="C1048" s="416" t="s">
        <v>1236</v>
      </c>
      <c r="D1048" s="417" t="s">
        <v>1237</v>
      </c>
      <c r="E1048" s="418" t="s">
        <v>932</v>
      </c>
      <c r="F1048" s="299">
        <v>29.84</v>
      </c>
      <c r="G1048" s="299"/>
      <c r="H1048" s="295"/>
    </row>
    <row r="1049" spans="1:16" ht="12.75" customHeight="1" x14ac:dyDescent="0.25">
      <c r="A1049" s="389"/>
      <c r="B1049" s="1"/>
      <c r="C1049" s="1"/>
      <c r="D1049" s="1"/>
      <c r="E1049" s="1"/>
      <c r="F1049" s="389"/>
      <c r="H1049" s="59"/>
      <c r="N1049" s="254"/>
    </row>
    <row r="1050" spans="1:16" ht="12.75" customHeight="1" x14ac:dyDescent="0.25">
      <c r="A1050" s="389"/>
      <c r="B1050" s="1"/>
      <c r="C1050" s="1"/>
      <c r="D1050" s="1"/>
      <c r="E1050" s="1"/>
      <c r="F1050" s="389"/>
      <c r="H1050" s="59"/>
      <c r="N1050" s="254"/>
    </row>
    <row r="1051" spans="1:16" ht="12.75" customHeight="1" x14ac:dyDescent="0.25">
      <c r="B1051" s="390"/>
      <c r="D1051" s="250"/>
      <c r="E1051" s="224"/>
      <c r="H1051" s="390"/>
    </row>
    <row r="1052" spans="1:16" ht="12.75" customHeight="1" x14ac:dyDescent="0.25">
      <c r="B1052" s="269"/>
      <c r="D1052" s="250"/>
      <c r="E1052" s="224"/>
      <c r="H1052" s="269"/>
    </row>
    <row r="1053" spans="1:16" ht="12.75" customHeight="1" x14ac:dyDescent="0.25">
      <c r="B1053" s="385"/>
      <c r="C1053" s="225"/>
      <c r="D1053" s="224"/>
      <c r="E1053" s="294"/>
      <c r="H1053" s="269"/>
    </row>
    <row r="1054" spans="1:16" ht="12.75" customHeight="1" x14ac:dyDescent="0.25">
      <c r="B1054" s="269"/>
      <c r="D1054" s="224"/>
      <c r="E1054" s="224"/>
      <c r="H1054" s="269"/>
    </row>
    <row r="1055" spans="1:16" ht="12.75" customHeight="1" x14ac:dyDescent="0.25">
      <c r="B1055" s="269"/>
      <c r="C1055" s="224"/>
      <c r="E1055" s="224"/>
      <c r="H1055" s="269"/>
    </row>
    <row r="1056" spans="1:16" ht="12.75" customHeight="1" thickBot="1" x14ac:dyDescent="0.3">
      <c r="D1056" s="250"/>
      <c r="E1056" s="224"/>
    </row>
    <row r="1057" spans="1:16" s="1" customFormat="1" ht="13.8" thickBot="1" x14ac:dyDescent="0.3">
      <c r="B1057" s="16"/>
      <c r="C1057" s="57"/>
      <c r="D1057" s="91"/>
      <c r="E1057" s="2" t="s">
        <v>536</v>
      </c>
      <c r="F1057" s="277">
        <f>SUM(F1047:F1056)</f>
        <v>280.89999999999998</v>
      </c>
      <c r="H1057" s="59"/>
      <c r="I1057" s="59"/>
      <c r="J1057" s="59"/>
      <c r="K1057" s="59"/>
      <c r="L1057" s="59"/>
      <c r="O1057" s="2"/>
      <c r="P1057" s="2"/>
    </row>
    <row r="1058" spans="1:16" s="1" customFormat="1" ht="13.2" x14ac:dyDescent="0.25">
      <c r="B1058" s="16"/>
      <c r="C1058" s="57"/>
      <c r="D1058" s="91"/>
      <c r="F1058" s="59"/>
      <c r="G1058" s="59"/>
      <c r="H1058" s="59"/>
      <c r="I1058" s="59"/>
      <c r="J1058" s="59"/>
      <c r="K1058" s="59"/>
      <c r="L1058" s="59"/>
      <c r="O1058" s="2"/>
      <c r="P1058" s="2"/>
    </row>
    <row r="1060" spans="1:16" ht="12.75" customHeight="1" thickBot="1" x14ac:dyDescent="0.3">
      <c r="D1060" s="250"/>
      <c r="E1060" s="250"/>
      <c r="F1060" s="300"/>
      <c r="G1060" s="300"/>
      <c r="H1060" s="300"/>
    </row>
    <row r="1061" spans="1:16" ht="12.75" customHeight="1" thickBot="1" x14ac:dyDescent="0.3">
      <c r="A1061" s="420" t="s">
        <v>344</v>
      </c>
      <c r="B1061" s="413"/>
      <c r="C1061" s="273"/>
      <c r="D1061" s="274"/>
      <c r="E1061" s="274"/>
      <c r="F1061" s="415"/>
      <c r="G1061" s="421"/>
      <c r="H1061" s="300"/>
      <c r="I1061" s="224"/>
      <c r="J1061" s="224"/>
      <c r="K1061" s="224"/>
      <c r="L1061" s="224"/>
      <c r="M1061" s="224"/>
      <c r="O1061" s="224"/>
      <c r="P1061" s="224"/>
    </row>
    <row r="1062" spans="1:16" ht="12.75" customHeight="1" x14ac:dyDescent="0.25">
      <c r="A1062" s="358" t="s">
        <v>184</v>
      </c>
      <c r="B1062" s="414" t="s">
        <v>999</v>
      </c>
      <c r="C1062" s="409" t="s">
        <v>2082</v>
      </c>
      <c r="D1062" s="409" t="s">
        <v>2084</v>
      </c>
      <c r="E1062" s="409" t="s">
        <v>940</v>
      </c>
      <c r="F1062" s="409" t="s">
        <v>668</v>
      </c>
      <c r="G1062" s="409" t="s">
        <v>667</v>
      </c>
      <c r="H1062" s="300"/>
      <c r="I1062" s="224"/>
      <c r="J1062" s="224"/>
      <c r="K1062" s="224"/>
      <c r="L1062" s="224"/>
      <c r="M1062" s="224"/>
      <c r="O1062" s="224"/>
      <c r="P1062" s="224"/>
    </row>
    <row r="1063" spans="1:16" ht="12.75" customHeight="1" x14ac:dyDescent="0.25">
      <c r="A1063" s="224" t="s">
        <v>1025</v>
      </c>
      <c r="B1063" s="325" t="s">
        <v>1025</v>
      </c>
      <c r="C1063" s="250" t="s">
        <v>1026</v>
      </c>
      <c r="D1063" s="249" t="s">
        <v>1027</v>
      </c>
      <c r="E1063" s="249" t="s">
        <v>1028</v>
      </c>
      <c r="F1063" s="299">
        <v>25</v>
      </c>
      <c r="G1063" s="300"/>
      <c r="H1063" s="300"/>
      <c r="I1063" s="224"/>
      <c r="J1063" s="224"/>
      <c r="K1063" s="224"/>
      <c r="L1063" s="224"/>
      <c r="M1063" s="224"/>
      <c r="O1063" s="224"/>
      <c r="P1063" s="224"/>
    </row>
    <row r="1064" spans="1:16" ht="12.75" customHeight="1" x14ac:dyDescent="0.25">
      <c r="A1064" s="224" t="s">
        <v>1025</v>
      </c>
      <c r="B1064" s="325" t="s">
        <v>1025</v>
      </c>
      <c r="C1064" s="268" t="s">
        <v>1026</v>
      </c>
      <c r="D1064" s="249" t="s">
        <v>1027</v>
      </c>
      <c r="E1064" s="249" t="s">
        <v>1028</v>
      </c>
      <c r="F1064" s="299">
        <v>3.09</v>
      </c>
      <c r="G1064" s="300"/>
      <c r="H1064" s="300"/>
      <c r="I1064" s="224"/>
      <c r="J1064" s="224"/>
      <c r="K1064" s="224"/>
      <c r="L1064" s="224"/>
      <c r="M1064" s="224"/>
      <c r="O1064" s="224"/>
      <c r="P1064" s="224"/>
    </row>
    <row r="1065" spans="1:16" ht="12.75" customHeight="1" x14ac:dyDescent="0.25">
      <c r="A1065" s="224" t="s">
        <v>1340</v>
      </c>
      <c r="B1065" s="16" t="s">
        <v>1340</v>
      </c>
      <c r="C1065" s="233" t="s">
        <v>1341</v>
      </c>
      <c r="D1065" s="249" t="s">
        <v>1342</v>
      </c>
      <c r="E1065" s="2" t="s">
        <v>1028</v>
      </c>
      <c r="F1065" s="60">
        <v>25</v>
      </c>
      <c r="G1065" s="250"/>
      <c r="H1065" s="250"/>
      <c r="I1065" s="224"/>
      <c r="J1065" s="224"/>
      <c r="K1065" s="224"/>
      <c r="L1065" s="224"/>
      <c r="M1065" s="224"/>
      <c r="O1065" s="224"/>
      <c r="P1065" s="224"/>
    </row>
    <row r="1066" spans="1:16" ht="12.75" customHeight="1" x14ac:dyDescent="0.25">
      <c r="A1066" s="224" t="s">
        <v>1340</v>
      </c>
      <c r="B1066" s="16" t="s">
        <v>1340</v>
      </c>
      <c r="C1066" s="233" t="s">
        <v>1341</v>
      </c>
      <c r="D1066" s="249" t="s">
        <v>1342</v>
      </c>
      <c r="E1066" s="2" t="s">
        <v>1028</v>
      </c>
      <c r="F1066" s="60">
        <v>3.09</v>
      </c>
      <c r="I1066" s="224"/>
      <c r="J1066" s="224"/>
      <c r="K1066" s="224"/>
      <c r="L1066" s="224"/>
      <c r="M1066" s="224"/>
      <c r="O1066" s="224"/>
      <c r="P1066" s="224"/>
    </row>
    <row r="1067" spans="1:16" ht="12.75" customHeight="1" x14ac:dyDescent="0.25">
      <c r="A1067" s="16" t="s">
        <v>119</v>
      </c>
      <c r="B1067" s="16" t="s">
        <v>119</v>
      </c>
      <c r="C1067" s="233" t="s">
        <v>117</v>
      </c>
      <c r="D1067" s="249" t="s">
        <v>118</v>
      </c>
      <c r="E1067" s="2" t="s">
        <v>1028</v>
      </c>
      <c r="F1067" s="60">
        <v>50</v>
      </c>
      <c r="G1067" s="224"/>
      <c r="I1067" s="224"/>
      <c r="J1067" s="224"/>
      <c r="K1067" s="224"/>
      <c r="L1067" s="224"/>
      <c r="M1067" s="224"/>
      <c r="O1067" s="224"/>
      <c r="P1067" s="224"/>
    </row>
    <row r="1068" spans="1:16" ht="12.75" customHeight="1" x14ac:dyDescent="0.25">
      <c r="A1068" s="16" t="s">
        <v>119</v>
      </c>
      <c r="B1068" s="16" t="s">
        <v>119</v>
      </c>
      <c r="C1068" s="233" t="s">
        <v>117</v>
      </c>
      <c r="D1068" s="249" t="s">
        <v>118</v>
      </c>
      <c r="E1068" s="2" t="s">
        <v>1028</v>
      </c>
      <c r="F1068" s="60">
        <v>6.18</v>
      </c>
      <c r="G1068" s="224"/>
      <c r="I1068" s="224"/>
      <c r="J1068" s="224"/>
      <c r="K1068" s="224"/>
      <c r="L1068" s="224"/>
      <c r="M1068" s="224"/>
      <c r="O1068" s="224"/>
      <c r="P1068" s="224"/>
    </row>
    <row r="1069" spans="1:16" ht="12.75" customHeight="1" x14ac:dyDescent="0.25">
      <c r="A1069" s="224" t="s">
        <v>1468</v>
      </c>
      <c r="B1069" s="16" t="s">
        <v>1468</v>
      </c>
      <c r="C1069" s="233" t="s">
        <v>135</v>
      </c>
      <c r="D1069" s="249" t="s">
        <v>136</v>
      </c>
      <c r="E1069" s="2" t="s">
        <v>1028</v>
      </c>
      <c r="F1069" s="60">
        <v>25</v>
      </c>
      <c r="G1069" s="224"/>
      <c r="I1069" s="224"/>
      <c r="J1069" s="224"/>
      <c r="K1069" s="224"/>
      <c r="L1069" s="224"/>
      <c r="M1069" s="224"/>
      <c r="O1069" s="224"/>
      <c r="P1069" s="224"/>
    </row>
    <row r="1070" spans="1:16" ht="12.75" customHeight="1" x14ac:dyDescent="0.25">
      <c r="A1070" s="224" t="s">
        <v>1468</v>
      </c>
      <c r="B1070" s="16" t="s">
        <v>1468</v>
      </c>
      <c r="C1070" s="233" t="s">
        <v>135</v>
      </c>
      <c r="D1070" s="249" t="s">
        <v>136</v>
      </c>
      <c r="E1070" s="2" t="s">
        <v>1028</v>
      </c>
      <c r="F1070" s="60">
        <v>3.09</v>
      </c>
      <c r="G1070" s="224"/>
      <c r="I1070" s="224"/>
      <c r="J1070" s="224"/>
      <c r="K1070" s="224"/>
      <c r="L1070" s="224"/>
      <c r="M1070" s="224"/>
      <c r="O1070" s="224"/>
      <c r="P1070" s="224"/>
    </row>
    <row r="1071" spans="1:16" ht="12.75" customHeight="1" x14ac:dyDescent="0.25">
      <c r="A1071" s="224" t="s">
        <v>1493</v>
      </c>
      <c r="B1071" s="16" t="s">
        <v>1493</v>
      </c>
      <c r="C1071" s="233" t="s">
        <v>1494</v>
      </c>
      <c r="D1071" s="249" t="s">
        <v>1495</v>
      </c>
      <c r="E1071" s="2" t="s">
        <v>1028</v>
      </c>
      <c r="F1071" s="60">
        <v>3.09</v>
      </c>
      <c r="G1071" s="224"/>
      <c r="I1071" s="224"/>
      <c r="J1071" s="224"/>
      <c r="K1071" s="224"/>
      <c r="L1071" s="224"/>
      <c r="M1071" s="224"/>
      <c r="O1071" s="224"/>
      <c r="P1071" s="224"/>
    </row>
    <row r="1072" spans="1:16" ht="12.75" customHeight="1" x14ac:dyDescent="0.25">
      <c r="A1072" s="224" t="s">
        <v>1493</v>
      </c>
      <c r="B1072" s="16" t="s">
        <v>1493</v>
      </c>
      <c r="C1072" s="233" t="s">
        <v>1494</v>
      </c>
      <c r="D1072" s="249" t="s">
        <v>1495</v>
      </c>
      <c r="E1072" s="2" t="s">
        <v>1028</v>
      </c>
      <c r="F1072" s="60">
        <v>25</v>
      </c>
      <c r="G1072" s="224"/>
      <c r="I1072" s="224"/>
      <c r="J1072" s="224"/>
      <c r="K1072" s="224"/>
      <c r="L1072" s="224"/>
      <c r="M1072" s="224"/>
      <c r="O1072" s="224"/>
      <c r="P1072" s="224"/>
    </row>
    <row r="1073" spans="1:16" ht="12.75" customHeight="1" x14ac:dyDescent="0.25">
      <c r="A1073" s="224" t="s">
        <v>1470</v>
      </c>
      <c r="B1073" s="16" t="s">
        <v>1470</v>
      </c>
      <c r="C1073" s="233" t="s">
        <v>1471</v>
      </c>
      <c r="D1073" s="249" t="s">
        <v>1472</v>
      </c>
      <c r="E1073" s="2" t="s">
        <v>1028</v>
      </c>
      <c r="F1073" s="60">
        <v>50</v>
      </c>
      <c r="G1073" s="224"/>
      <c r="I1073" s="224"/>
      <c r="J1073" s="224"/>
      <c r="K1073" s="224"/>
      <c r="L1073" s="224"/>
      <c r="M1073" s="224"/>
      <c r="O1073" s="224"/>
      <c r="P1073" s="224"/>
    </row>
    <row r="1074" spans="1:16" ht="12.75" customHeight="1" x14ac:dyDescent="0.25">
      <c r="A1074" s="224" t="s">
        <v>1470</v>
      </c>
      <c r="B1074" s="16" t="s">
        <v>1470</v>
      </c>
      <c r="C1074" s="233" t="s">
        <v>1471</v>
      </c>
      <c r="D1074" s="249" t="s">
        <v>1472</v>
      </c>
      <c r="E1074" s="2" t="s">
        <v>1028</v>
      </c>
      <c r="F1074" s="60">
        <v>6.18</v>
      </c>
      <c r="G1074" s="224"/>
      <c r="I1074" s="224"/>
      <c r="J1074" s="224"/>
      <c r="K1074" s="224"/>
      <c r="L1074" s="224"/>
      <c r="M1074" s="224"/>
      <c r="O1074" s="224"/>
      <c r="P1074" s="224"/>
    </row>
    <row r="1075" spans="1:16" ht="12.75" customHeight="1" x14ac:dyDescent="0.25">
      <c r="A1075" s="224" t="s">
        <v>100</v>
      </c>
      <c r="B1075" s="16" t="s">
        <v>100</v>
      </c>
      <c r="C1075" s="233" t="s">
        <v>101</v>
      </c>
      <c r="D1075" s="249" t="s">
        <v>102</v>
      </c>
      <c r="E1075" s="2" t="s">
        <v>1028</v>
      </c>
      <c r="F1075" s="60">
        <v>50</v>
      </c>
      <c r="G1075" s="224"/>
      <c r="I1075" s="224"/>
      <c r="J1075" s="224"/>
      <c r="K1075" s="224"/>
      <c r="L1075" s="224"/>
      <c r="M1075" s="224"/>
      <c r="O1075" s="224"/>
      <c r="P1075" s="224"/>
    </row>
    <row r="1076" spans="1:16" ht="12.75" customHeight="1" x14ac:dyDescent="0.25">
      <c r="A1076" s="224" t="s">
        <v>100</v>
      </c>
      <c r="B1076" s="16" t="s">
        <v>100</v>
      </c>
      <c r="C1076" s="233" t="s">
        <v>101</v>
      </c>
      <c r="D1076" s="249" t="s">
        <v>102</v>
      </c>
      <c r="E1076" s="2" t="s">
        <v>1028</v>
      </c>
      <c r="F1076" s="60">
        <v>6.18</v>
      </c>
      <c r="G1076" s="224"/>
      <c r="I1076" s="224"/>
      <c r="J1076" s="224"/>
      <c r="K1076" s="224"/>
      <c r="L1076" s="224"/>
      <c r="M1076" s="224"/>
      <c r="O1076" s="224"/>
      <c r="P1076" s="224"/>
    </row>
    <row r="1077" spans="1:16" ht="12.75" customHeight="1" x14ac:dyDescent="0.25">
      <c r="A1077" s="353" t="s">
        <v>2795</v>
      </c>
      <c r="B1077" s="16" t="s">
        <v>2795</v>
      </c>
      <c r="C1077" s="233" t="s">
        <v>2793</v>
      </c>
      <c r="D1077" s="249" t="s">
        <v>2794</v>
      </c>
      <c r="E1077" s="2" t="s">
        <v>1028</v>
      </c>
      <c r="F1077" s="60">
        <v>25</v>
      </c>
      <c r="G1077" s="224"/>
      <c r="I1077" s="224"/>
      <c r="J1077" s="224"/>
      <c r="K1077" s="224"/>
      <c r="L1077" s="224"/>
      <c r="M1077" s="224"/>
      <c r="O1077" s="224"/>
      <c r="P1077" s="224"/>
    </row>
    <row r="1078" spans="1:16" ht="12.75" customHeight="1" x14ac:dyDescent="0.25">
      <c r="A1078" s="353" t="s">
        <v>2795</v>
      </c>
      <c r="B1078" s="16" t="s">
        <v>2795</v>
      </c>
      <c r="C1078" s="233" t="s">
        <v>2793</v>
      </c>
      <c r="D1078" s="249" t="s">
        <v>2794</v>
      </c>
      <c r="E1078" s="2" t="s">
        <v>1028</v>
      </c>
      <c r="F1078" s="60">
        <v>3.09</v>
      </c>
      <c r="G1078" s="224"/>
      <c r="I1078" s="224"/>
      <c r="J1078" s="224"/>
      <c r="K1078" s="224"/>
      <c r="L1078" s="224"/>
      <c r="M1078" s="224"/>
      <c r="O1078" s="224"/>
      <c r="P1078" s="224"/>
    </row>
    <row r="1079" spans="1:16" ht="12.75" customHeight="1" x14ac:dyDescent="0.25">
      <c r="A1079" s="353" t="s">
        <v>2801</v>
      </c>
      <c r="B1079" s="16" t="s">
        <v>2801</v>
      </c>
      <c r="C1079" s="233" t="s">
        <v>2799</v>
      </c>
      <c r="D1079" s="249" t="s">
        <v>2800</v>
      </c>
      <c r="E1079" s="2" t="s">
        <v>1028</v>
      </c>
      <c r="F1079" s="60">
        <v>25</v>
      </c>
      <c r="G1079" s="224"/>
      <c r="I1079" s="224"/>
      <c r="J1079" s="224"/>
      <c r="K1079" s="224"/>
      <c r="L1079" s="224"/>
      <c r="M1079" s="224"/>
      <c r="O1079" s="224"/>
      <c r="P1079" s="224"/>
    </row>
    <row r="1080" spans="1:16" ht="12.75" customHeight="1" x14ac:dyDescent="0.25">
      <c r="A1080" s="353" t="s">
        <v>2801</v>
      </c>
      <c r="B1080" s="16" t="s">
        <v>2801</v>
      </c>
      <c r="C1080" s="233" t="s">
        <v>2799</v>
      </c>
      <c r="D1080" s="249" t="s">
        <v>2800</v>
      </c>
      <c r="E1080" s="2" t="s">
        <v>1028</v>
      </c>
      <c r="F1080" s="60">
        <v>3.09</v>
      </c>
      <c r="G1080" s="224"/>
      <c r="I1080" s="224"/>
      <c r="J1080" s="224"/>
      <c r="K1080" s="224"/>
      <c r="L1080" s="224"/>
      <c r="M1080" s="224"/>
      <c r="O1080" s="224"/>
      <c r="P1080" s="224"/>
    </row>
    <row r="1081" spans="1:16" ht="12.75" customHeight="1" x14ac:dyDescent="0.25">
      <c r="A1081" s="353" t="s">
        <v>2804</v>
      </c>
      <c r="B1081" s="16" t="s">
        <v>2804</v>
      </c>
      <c r="C1081" s="233" t="s">
        <v>2802</v>
      </c>
      <c r="D1081" s="249" t="s">
        <v>2803</v>
      </c>
      <c r="E1081" s="2" t="s">
        <v>1028</v>
      </c>
      <c r="F1081" s="60">
        <v>25</v>
      </c>
      <c r="G1081" s="224"/>
      <c r="I1081" s="224"/>
      <c r="J1081" s="224"/>
      <c r="K1081" s="224"/>
      <c r="L1081" s="224"/>
      <c r="M1081" s="224"/>
      <c r="O1081" s="224"/>
      <c r="P1081" s="224"/>
    </row>
    <row r="1082" spans="1:16" ht="12.75" customHeight="1" x14ac:dyDescent="0.25">
      <c r="A1082" s="353" t="s">
        <v>2804</v>
      </c>
      <c r="B1082" s="16" t="s">
        <v>2804</v>
      </c>
      <c r="C1082" s="233" t="s">
        <v>2802</v>
      </c>
      <c r="D1082" s="249" t="s">
        <v>2803</v>
      </c>
      <c r="E1082" s="2" t="s">
        <v>1028</v>
      </c>
      <c r="F1082" s="60">
        <v>3.09</v>
      </c>
      <c r="G1082" s="224"/>
      <c r="I1082" s="224"/>
      <c r="J1082" s="224"/>
      <c r="K1082" s="224"/>
      <c r="L1082" s="224"/>
      <c r="M1082" s="224"/>
      <c r="O1082" s="224"/>
      <c r="P1082" s="224"/>
    </row>
    <row r="1083" spans="1:16" ht="12.75" customHeight="1" x14ac:dyDescent="0.25">
      <c r="A1083" s="353" t="s">
        <v>2832</v>
      </c>
      <c r="B1083" s="16" t="s">
        <v>2832</v>
      </c>
      <c r="C1083" s="233" t="s">
        <v>2829</v>
      </c>
      <c r="D1083" s="249" t="s">
        <v>2830</v>
      </c>
      <c r="E1083" s="2" t="s">
        <v>1028</v>
      </c>
      <c r="F1083" s="60">
        <v>25</v>
      </c>
      <c r="G1083" s="299"/>
      <c r="I1083" s="224"/>
      <c r="J1083" s="224"/>
      <c r="K1083" s="224"/>
      <c r="L1083" s="224"/>
      <c r="M1083" s="224"/>
      <c r="O1083" s="224"/>
      <c r="P1083" s="224"/>
    </row>
    <row r="1084" spans="1:16" ht="12.75" customHeight="1" x14ac:dyDescent="0.25">
      <c r="A1084" s="353" t="s">
        <v>2832</v>
      </c>
      <c r="B1084" s="16" t="s">
        <v>2832</v>
      </c>
      <c r="C1084" s="233" t="s">
        <v>2829</v>
      </c>
      <c r="D1084" s="249" t="s">
        <v>2830</v>
      </c>
      <c r="E1084" s="2" t="s">
        <v>1028</v>
      </c>
      <c r="F1084" s="60">
        <v>3.09</v>
      </c>
      <c r="G1084" s="299"/>
      <c r="I1084" s="224"/>
      <c r="J1084" s="224"/>
      <c r="K1084" s="224"/>
      <c r="L1084" s="224"/>
      <c r="M1084" s="224"/>
      <c r="O1084" s="224"/>
      <c r="P1084" s="224"/>
    </row>
    <row r="1085" spans="1:16" ht="12.75" customHeight="1" x14ac:dyDescent="0.25">
      <c r="A1085" s="353" t="s">
        <v>2856</v>
      </c>
      <c r="B1085" s="16" t="s">
        <v>2856</v>
      </c>
      <c r="C1085" s="233" t="s">
        <v>2854</v>
      </c>
      <c r="D1085" s="249" t="s">
        <v>2855</v>
      </c>
      <c r="E1085" s="2" t="s">
        <v>1028</v>
      </c>
      <c r="F1085" s="60">
        <v>25</v>
      </c>
      <c r="G1085" s="224"/>
      <c r="I1085" s="224"/>
      <c r="J1085" s="224"/>
      <c r="K1085" s="224"/>
      <c r="L1085" s="224"/>
      <c r="M1085" s="224"/>
      <c r="O1085" s="224"/>
      <c r="P1085" s="224"/>
    </row>
    <row r="1086" spans="1:16" ht="12.75" customHeight="1" x14ac:dyDescent="0.25">
      <c r="A1086" s="353" t="s">
        <v>2856</v>
      </c>
      <c r="B1086" s="16" t="s">
        <v>2856</v>
      </c>
      <c r="C1086" s="233" t="s">
        <v>2854</v>
      </c>
      <c r="D1086" s="249" t="s">
        <v>2855</v>
      </c>
      <c r="E1086" s="2" t="s">
        <v>1028</v>
      </c>
      <c r="F1086" s="60">
        <v>3.09</v>
      </c>
      <c r="G1086" s="224"/>
      <c r="I1086" s="224"/>
      <c r="J1086" s="224"/>
      <c r="K1086" s="224"/>
      <c r="L1086" s="224"/>
      <c r="M1086" s="224"/>
      <c r="O1086" s="224"/>
      <c r="P1086" s="224"/>
    </row>
    <row r="1087" spans="1:16" ht="12.75" customHeight="1" x14ac:dyDescent="0.25">
      <c r="A1087" s="353" t="s">
        <v>2869</v>
      </c>
      <c r="B1087" s="16" t="s">
        <v>2869</v>
      </c>
      <c r="C1087" s="233" t="s">
        <v>2873</v>
      </c>
      <c r="D1087" s="249" t="s">
        <v>2874</v>
      </c>
      <c r="E1087" s="2" t="s">
        <v>1028</v>
      </c>
      <c r="F1087" s="60">
        <v>25</v>
      </c>
      <c r="G1087" s="299"/>
      <c r="H1087" s="295"/>
      <c r="I1087" s="224"/>
      <c r="J1087" s="224"/>
      <c r="K1087" s="224"/>
      <c r="L1087" s="224"/>
      <c r="M1087" s="224"/>
      <c r="O1087" s="224"/>
      <c r="P1087" s="224"/>
    </row>
    <row r="1088" spans="1:16" ht="12.75" customHeight="1" x14ac:dyDescent="0.25">
      <c r="A1088" s="353" t="s">
        <v>2869</v>
      </c>
      <c r="B1088" s="16" t="s">
        <v>2869</v>
      </c>
      <c r="C1088" s="233" t="s">
        <v>2873</v>
      </c>
      <c r="D1088" s="249" t="s">
        <v>2874</v>
      </c>
      <c r="E1088" s="2" t="s">
        <v>1028</v>
      </c>
      <c r="F1088" s="60">
        <v>3.09</v>
      </c>
      <c r="G1088" s="299"/>
      <c r="H1088" s="295"/>
      <c r="I1088" s="224"/>
      <c r="J1088" s="224"/>
      <c r="K1088" s="224"/>
      <c r="L1088" s="224"/>
      <c r="M1088" s="224"/>
      <c r="O1088" s="224"/>
      <c r="P1088" s="224"/>
    </row>
    <row r="1089" spans="1:16" ht="12.75" customHeight="1" x14ac:dyDescent="0.25">
      <c r="A1089" s="353" t="s">
        <v>2918</v>
      </c>
      <c r="B1089" s="16" t="s">
        <v>2918</v>
      </c>
      <c r="C1089" s="233" t="s">
        <v>2919</v>
      </c>
      <c r="D1089" s="249" t="s">
        <v>2920</v>
      </c>
      <c r="E1089" s="2" t="s">
        <v>1028</v>
      </c>
      <c r="F1089" s="60">
        <v>25</v>
      </c>
      <c r="G1089" s="224"/>
      <c r="I1089" s="224"/>
      <c r="J1089" s="224"/>
      <c r="K1089" s="224"/>
      <c r="L1089" s="224"/>
      <c r="M1089" s="224"/>
      <c r="O1089" s="224"/>
      <c r="P1089" s="224"/>
    </row>
    <row r="1090" spans="1:16" ht="12.75" customHeight="1" x14ac:dyDescent="0.25">
      <c r="A1090" s="353" t="s">
        <v>2918</v>
      </c>
      <c r="B1090" s="16" t="s">
        <v>2918</v>
      </c>
      <c r="C1090" s="233" t="s">
        <v>2919</v>
      </c>
      <c r="D1090" s="249" t="s">
        <v>2920</v>
      </c>
      <c r="E1090" s="2" t="s">
        <v>1028</v>
      </c>
      <c r="F1090" s="60">
        <v>3.09</v>
      </c>
      <c r="G1090" s="224"/>
      <c r="I1090" s="224"/>
      <c r="J1090" s="224"/>
      <c r="K1090" s="224"/>
      <c r="L1090" s="224"/>
      <c r="M1090" s="224"/>
      <c r="O1090" s="224"/>
      <c r="P1090" s="224"/>
    </row>
    <row r="1091" spans="1:16" ht="12.75" customHeight="1" thickBot="1" x14ac:dyDescent="0.3">
      <c r="B1091" s="16"/>
      <c r="C1091" s="233"/>
      <c r="D1091" s="249"/>
      <c r="E1091" s="2"/>
      <c r="F1091" s="60"/>
      <c r="G1091" s="224"/>
      <c r="I1091" s="224"/>
      <c r="J1091" s="224"/>
      <c r="K1091" s="224"/>
      <c r="L1091" s="224"/>
      <c r="M1091" s="224"/>
      <c r="O1091" s="224"/>
      <c r="P1091" s="224"/>
    </row>
    <row r="1092" spans="1:16" ht="12.75" customHeight="1" thickBot="1" x14ac:dyDescent="0.3">
      <c r="E1092" s="255" t="s">
        <v>946</v>
      </c>
      <c r="F1092" s="423">
        <f>SUM(F1063:F1091)</f>
        <v>477.52999999999986</v>
      </c>
      <c r="I1092" s="224"/>
      <c r="J1092" s="224"/>
      <c r="K1092" s="224"/>
      <c r="L1092" s="224"/>
      <c r="M1092" s="224"/>
      <c r="O1092" s="224"/>
      <c r="P1092" s="224"/>
    </row>
    <row r="1094" spans="1:16" ht="12.75" customHeight="1" x14ac:dyDescent="0.25">
      <c r="B1094" s="353"/>
      <c r="C1094" s="224"/>
      <c r="D1094" s="224"/>
      <c r="E1094" s="224"/>
      <c r="F1094" s="224"/>
      <c r="G1094" s="224"/>
      <c r="H1094" s="224"/>
      <c r="I1094" s="224"/>
      <c r="J1094" s="224"/>
      <c r="K1094" s="224"/>
      <c r="L1094" s="224"/>
      <c r="M1094" s="224"/>
      <c r="O1094" s="224"/>
      <c r="P1094" s="224"/>
    </row>
    <row r="1095" spans="1:16" ht="12.75" customHeight="1" x14ac:dyDescent="0.25">
      <c r="B1095" s="353"/>
      <c r="C1095" s="224"/>
      <c r="D1095" s="224"/>
      <c r="E1095" s="224"/>
      <c r="F1095" s="224"/>
      <c r="G1095" s="224"/>
      <c r="H1095" s="224"/>
      <c r="I1095" s="224"/>
      <c r="J1095" s="224"/>
      <c r="K1095" s="224"/>
      <c r="L1095" s="224"/>
      <c r="M1095" s="224"/>
      <c r="O1095" s="224"/>
      <c r="P1095" s="224"/>
    </row>
    <row r="1096" spans="1:16" ht="12.75" customHeight="1" thickBot="1" x14ac:dyDescent="0.3">
      <c r="B1096" s="353"/>
      <c r="C1096" s="224"/>
      <c r="D1096" s="224"/>
      <c r="E1096" s="224"/>
      <c r="F1096" s="224"/>
      <c r="G1096" s="224"/>
      <c r="H1096" s="224"/>
      <c r="I1096" s="224"/>
      <c r="J1096" s="224"/>
      <c r="K1096" s="224"/>
      <c r="L1096" s="224"/>
      <c r="M1096" s="224"/>
      <c r="O1096" s="224"/>
      <c r="P1096" s="224"/>
    </row>
    <row r="1097" spans="1:16" ht="12.75" customHeight="1" thickBot="1" x14ac:dyDescent="0.3">
      <c r="A1097" s="420" t="s">
        <v>895</v>
      </c>
      <c r="B1097" s="413"/>
      <c r="C1097" s="273"/>
      <c r="D1097" s="274"/>
      <c r="E1097" s="274"/>
      <c r="F1097" s="415"/>
      <c r="G1097" s="419"/>
      <c r="H1097" s="224"/>
      <c r="I1097" s="224"/>
      <c r="J1097" s="224"/>
      <c r="K1097" s="224"/>
      <c r="L1097" s="224"/>
      <c r="M1097" s="224"/>
      <c r="O1097" s="224"/>
      <c r="P1097" s="224"/>
    </row>
    <row r="1098" spans="1:16" ht="12.75" customHeight="1" x14ac:dyDescent="0.25">
      <c r="A1098" s="358" t="s">
        <v>184</v>
      </c>
      <c r="B1098" s="409" t="s">
        <v>999</v>
      </c>
      <c r="C1098" s="409" t="s">
        <v>2082</v>
      </c>
      <c r="D1098" s="409" t="s">
        <v>2084</v>
      </c>
      <c r="E1098" s="409" t="s">
        <v>940</v>
      </c>
      <c r="F1098" s="409" t="s">
        <v>668</v>
      </c>
      <c r="G1098" s="409" t="s">
        <v>667</v>
      </c>
      <c r="H1098" s="224"/>
      <c r="I1098" s="224"/>
      <c r="J1098" s="224"/>
      <c r="K1098" s="224"/>
      <c r="L1098" s="224"/>
      <c r="M1098" s="224"/>
      <c r="O1098" s="224"/>
      <c r="P1098" s="224"/>
    </row>
    <row r="1099" spans="1:16" ht="12.75" customHeight="1" x14ac:dyDescent="0.25">
      <c r="A1099" s="295" t="s">
        <v>942</v>
      </c>
      <c r="B1099" s="295" t="s">
        <v>1637</v>
      </c>
      <c r="C1099" s="291" t="s">
        <v>928</v>
      </c>
      <c r="D1099" s="446" t="s">
        <v>929</v>
      </c>
      <c r="E1099" s="267" t="s">
        <v>930</v>
      </c>
      <c r="F1099" s="292">
        <v>167.27</v>
      </c>
      <c r="G1099" s="299"/>
      <c r="L1099" s="224"/>
      <c r="M1099" s="224"/>
      <c r="O1099" s="224"/>
      <c r="P1099" s="224"/>
    </row>
    <row r="1100" spans="1:16" ht="12.75" customHeight="1" x14ac:dyDescent="0.25">
      <c r="A1100" s="295" t="s">
        <v>2249</v>
      </c>
      <c r="B1100" s="295" t="s">
        <v>2249</v>
      </c>
      <c r="C1100" s="416" t="s">
        <v>938</v>
      </c>
      <c r="D1100" s="446">
        <v>548713</v>
      </c>
      <c r="E1100" s="418" t="s">
        <v>932</v>
      </c>
      <c r="F1100" s="326">
        <v>6.74</v>
      </c>
      <c r="L1100" s="224"/>
      <c r="M1100" s="224"/>
      <c r="O1100" s="224"/>
      <c r="P1100" s="224"/>
    </row>
    <row r="1101" spans="1:16" ht="12.75" customHeight="1" x14ac:dyDescent="0.25">
      <c r="A1101" s="295" t="s">
        <v>1023</v>
      </c>
      <c r="B1101" s="295" t="s">
        <v>1023</v>
      </c>
      <c r="C1101" s="416" t="s">
        <v>938</v>
      </c>
      <c r="D1101" s="446">
        <v>612116</v>
      </c>
      <c r="E1101" s="418" t="s">
        <v>932</v>
      </c>
      <c r="F1101" s="299">
        <v>6.74</v>
      </c>
      <c r="G1101" s="299"/>
      <c r="L1101" s="224"/>
      <c r="M1101" s="224"/>
      <c r="O1101" s="224"/>
      <c r="P1101" s="224"/>
    </row>
    <row r="1102" spans="1:16" ht="12.75" customHeight="1" x14ac:dyDescent="0.25">
      <c r="A1102" s="295" t="s">
        <v>2495</v>
      </c>
      <c r="B1102" s="295" t="s">
        <v>2495</v>
      </c>
      <c r="C1102" s="416" t="s">
        <v>938</v>
      </c>
      <c r="D1102" s="446">
        <v>659120</v>
      </c>
      <c r="E1102" s="418" t="s">
        <v>932</v>
      </c>
      <c r="F1102" s="299">
        <v>6.74</v>
      </c>
      <c r="G1102" s="299"/>
      <c r="L1102" s="224"/>
      <c r="M1102" s="224"/>
      <c r="O1102" s="224"/>
      <c r="P1102" s="224"/>
    </row>
    <row r="1103" spans="1:16" ht="12.75" customHeight="1" x14ac:dyDescent="0.25">
      <c r="A1103" s="295" t="s">
        <v>1135</v>
      </c>
      <c r="B1103" s="295" t="s">
        <v>1135</v>
      </c>
      <c r="C1103" s="416" t="s">
        <v>938</v>
      </c>
      <c r="D1103" s="446">
        <v>670348</v>
      </c>
      <c r="E1103" s="418" t="s">
        <v>932</v>
      </c>
      <c r="F1103" s="60">
        <v>6.74</v>
      </c>
      <c r="G1103" s="299"/>
      <c r="H1103" s="260"/>
      <c r="I1103" s="260"/>
      <c r="L1103" s="224"/>
      <c r="M1103" s="224"/>
      <c r="O1103" s="224"/>
      <c r="P1103" s="224"/>
    </row>
    <row r="1104" spans="1:16" ht="12.75" customHeight="1" x14ac:dyDescent="0.25">
      <c r="A1104" s="295" t="s">
        <v>1135</v>
      </c>
      <c r="B1104" s="295" t="s">
        <v>1135</v>
      </c>
      <c r="C1104" s="416" t="s">
        <v>938</v>
      </c>
      <c r="D1104" s="446">
        <v>670223</v>
      </c>
      <c r="E1104" s="418" t="s">
        <v>932</v>
      </c>
      <c r="F1104" s="299">
        <v>6.74</v>
      </c>
      <c r="G1104" s="299"/>
      <c r="H1104" s="295"/>
      <c r="I1104" s="295"/>
      <c r="L1104" s="224"/>
      <c r="M1104" s="224"/>
      <c r="O1104" s="224"/>
      <c r="P1104" s="224"/>
    </row>
    <row r="1105" spans="1:16" ht="12.75" customHeight="1" x14ac:dyDescent="0.25">
      <c r="A1105" s="295" t="s">
        <v>1138</v>
      </c>
      <c r="B1105" s="295" t="s">
        <v>1138</v>
      </c>
      <c r="C1105" s="416" t="s">
        <v>938</v>
      </c>
      <c r="D1105" s="446">
        <v>691549</v>
      </c>
      <c r="E1105" s="418" t="s">
        <v>932</v>
      </c>
      <c r="F1105" s="299">
        <v>6.74</v>
      </c>
      <c r="G1105" s="299"/>
      <c r="H1105" s="295"/>
      <c r="L1105" s="224"/>
      <c r="M1105" s="224"/>
      <c r="O1105" s="224"/>
      <c r="P1105" s="224"/>
    </row>
    <row r="1106" spans="1:16" ht="12.75" customHeight="1" x14ac:dyDescent="0.25">
      <c r="A1106" s="295" t="s">
        <v>2700</v>
      </c>
      <c r="B1106" s="295" t="s">
        <v>2700</v>
      </c>
      <c r="C1106" s="416" t="s">
        <v>938</v>
      </c>
      <c r="D1106" s="446">
        <v>701631</v>
      </c>
      <c r="E1106" s="418" t="s">
        <v>932</v>
      </c>
      <c r="F1106" s="299">
        <v>6.74</v>
      </c>
      <c r="G1106" s="299"/>
      <c r="H1106" s="295"/>
      <c r="L1106" s="224"/>
      <c r="M1106" s="224"/>
      <c r="O1106" s="224"/>
      <c r="P1106" s="224"/>
    </row>
    <row r="1107" spans="1:16" ht="12.75" customHeight="1" x14ac:dyDescent="0.25">
      <c r="A1107" s="295" t="s">
        <v>2706</v>
      </c>
      <c r="B1107" s="295" t="s">
        <v>2706</v>
      </c>
      <c r="C1107" s="416" t="s">
        <v>938</v>
      </c>
      <c r="D1107" s="446">
        <v>722471</v>
      </c>
      <c r="E1107" s="418" t="s">
        <v>932</v>
      </c>
      <c r="F1107" s="299">
        <v>6.74</v>
      </c>
      <c r="G1107" s="299"/>
      <c r="H1107" s="295"/>
      <c r="L1107" s="224"/>
      <c r="M1107" s="224"/>
      <c r="O1107" s="224"/>
      <c r="P1107" s="224"/>
    </row>
    <row r="1108" spans="1:16" ht="12.75" customHeight="1" x14ac:dyDescent="0.25">
      <c r="A1108" s="295" t="s">
        <v>1340</v>
      </c>
      <c r="B1108" s="295" t="s">
        <v>1340</v>
      </c>
      <c r="C1108" s="416" t="s">
        <v>938</v>
      </c>
      <c r="D1108" s="446">
        <v>733663</v>
      </c>
      <c r="E1108" s="418" t="s">
        <v>932</v>
      </c>
      <c r="F1108" s="299">
        <v>6.74</v>
      </c>
      <c r="L1108" s="224"/>
      <c r="M1108" s="224"/>
      <c r="O1108" s="224"/>
      <c r="P1108" s="224"/>
    </row>
    <row r="1109" spans="1:16" ht="12.75" customHeight="1" x14ac:dyDescent="0.25">
      <c r="A1109" s="295" t="s">
        <v>20</v>
      </c>
      <c r="B1109" s="295" t="s">
        <v>20</v>
      </c>
      <c r="C1109" s="416" t="s">
        <v>938</v>
      </c>
      <c r="D1109" s="446">
        <v>756269</v>
      </c>
      <c r="E1109" s="418" t="s">
        <v>932</v>
      </c>
      <c r="F1109" s="299">
        <v>6.74</v>
      </c>
      <c r="G1109" s="299"/>
      <c r="I1109" s="224"/>
      <c r="J1109" s="224"/>
      <c r="K1109" s="224"/>
      <c r="L1109" s="224"/>
      <c r="M1109" s="224"/>
      <c r="O1109" s="224"/>
      <c r="P1109" s="224"/>
    </row>
    <row r="1110" spans="1:16" ht="12.75" customHeight="1" x14ac:dyDescent="0.25">
      <c r="A1110" s="295" t="s">
        <v>22</v>
      </c>
      <c r="B1110" s="295" t="s">
        <v>22</v>
      </c>
      <c r="C1110" s="416" t="s">
        <v>938</v>
      </c>
      <c r="D1110" s="446">
        <v>757630</v>
      </c>
      <c r="E1110" s="418" t="s">
        <v>932</v>
      </c>
      <c r="F1110" s="299">
        <v>6.74</v>
      </c>
      <c r="G1110" s="299"/>
      <c r="I1110" s="224"/>
      <c r="J1110" s="224"/>
      <c r="K1110" s="224"/>
      <c r="L1110" s="224"/>
      <c r="M1110" s="224"/>
      <c r="O1110" s="224"/>
      <c r="P1110" s="224"/>
    </row>
    <row r="1111" spans="1:16" ht="12.75" customHeight="1" x14ac:dyDescent="0.25">
      <c r="A1111" s="295" t="s">
        <v>82</v>
      </c>
      <c r="B1111" s="295" t="s">
        <v>82</v>
      </c>
      <c r="C1111" s="416" t="s">
        <v>938</v>
      </c>
      <c r="D1111" s="446">
        <v>763888</v>
      </c>
      <c r="E1111" s="418" t="s">
        <v>932</v>
      </c>
      <c r="F1111" s="299">
        <v>6.74</v>
      </c>
      <c r="G1111" s="299"/>
      <c r="I1111" s="224"/>
      <c r="J1111" s="224"/>
      <c r="K1111" s="224"/>
      <c r="L1111" s="224"/>
      <c r="M1111" s="224"/>
      <c r="O1111" s="224"/>
      <c r="P1111" s="224"/>
    </row>
    <row r="1112" spans="1:16" ht="12.75" customHeight="1" x14ac:dyDescent="0.25">
      <c r="A1112" s="295" t="s">
        <v>1443</v>
      </c>
      <c r="B1112" s="295" t="s">
        <v>1443</v>
      </c>
      <c r="C1112" s="416" t="s">
        <v>938</v>
      </c>
      <c r="D1112" s="446">
        <v>772131</v>
      </c>
      <c r="E1112" s="418" t="s">
        <v>932</v>
      </c>
      <c r="F1112" s="299">
        <v>6.74</v>
      </c>
      <c r="I1112" s="224"/>
      <c r="J1112" s="224"/>
      <c r="K1112" s="224"/>
      <c r="L1112" s="224"/>
      <c r="M1112" s="224"/>
      <c r="O1112" s="224"/>
      <c r="P1112" s="224"/>
    </row>
    <row r="1113" spans="1:16" ht="12.75" customHeight="1" x14ac:dyDescent="0.25">
      <c r="A1113" s="295" t="s">
        <v>1499</v>
      </c>
      <c r="B1113" s="295" t="s">
        <v>1499</v>
      </c>
      <c r="C1113" s="416" t="s">
        <v>938</v>
      </c>
      <c r="D1113" s="446">
        <v>827000</v>
      </c>
      <c r="E1113" s="418" t="s">
        <v>932</v>
      </c>
      <c r="F1113" s="299">
        <v>6.74</v>
      </c>
      <c r="G1113" s="224"/>
      <c r="I1113" s="224"/>
      <c r="J1113" s="224"/>
      <c r="K1113" s="224"/>
      <c r="L1113" s="224"/>
      <c r="M1113" s="224"/>
      <c r="O1113" s="224"/>
      <c r="P1113" s="224"/>
    </row>
    <row r="1114" spans="1:16" ht="12.75" customHeight="1" x14ac:dyDescent="0.25">
      <c r="A1114" s="295" t="s">
        <v>1499</v>
      </c>
      <c r="B1114" s="295" t="s">
        <v>1499</v>
      </c>
      <c r="C1114" s="416" t="s">
        <v>938</v>
      </c>
      <c r="D1114" s="446">
        <v>826927</v>
      </c>
      <c r="E1114" s="418" t="s">
        <v>932</v>
      </c>
      <c r="F1114" s="299">
        <v>6.74</v>
      </c>
      <c r="G1114" s="299"/>
      <c r="H1114" s="295"/>
      <c r="I1114" s="224"/>
      <c r="J1114" s="224"/>
      <c r="K1114" s="224"/>
      <c r="L1114" s="224"/>
      <c r="M1114" s="224"/>
      <c r="O1114" s="224"/>
      <c r="P1114" s="224"/>
    </row>
    <row r="1115" spans="1:16" ht="12.75" customHeight="1" x14ac:dyDescent="0.25">
      <c r="A1115" s="295" t="s">
        <v>1492</v>
      </c>
      <c r="B1115" s="295" t="s">
        <v>1492</v>
      </c>
      <c r="C1115" s="416" t="s">
        <v>938</v>
      </c>
      <c r="D1115" s="446">
        <v>839908</v>
      </c>
      <c r="E1115" s="418" t="s">
        <v>932</v>
      </c>
      <c r="F1115" s="299">
        <v>6.74</v>
      </c>
      <c r="G1115" s="299"/>
      <c r="I1115" s="224"/>
      <c r="J1115" s="224"/>
      <c r="K1115" s="224"/>
      <c r="L1115" s="224"/>
      <c r="M1115" s="224"/>
      <c r="O1115" s="224"/>
      <c r="P1115" s="224"/>
    </row>
    <row r="1116" spans="1:16" ht="12.75" customHeight="1" x14ac:dyDescent="0.25">
      <c r="A1116" s="295" t="s">
        <v>138</v>
      </c>
      <c r="B1116" s="295" t="s">
        <v>138</v>
      </c>
      <c r="C1116" s="416" t="s">
        <v>938</v>
      </c>
      <c r="D1116" s="446">
        <v>855342</v>
      </c>
      <c r="E1116" s="418" t="s">
        <v>932</v>
      </c>
      <c r="F1116" s="299">
        <v>6.74</v>
      </c>
      <c r="G1116" s="299"/>
      <c r="H1116" s="295"/>
      <c r="I1116" s="224"/>
      <c r="J1116" s="224"/>
      <c r="K1116" s="224"/>
      <c r="L1116" s="224"/>
      <c r="M1116" s="224"/>
      <c r="O1116" s="224"/>
      <c r="P1116" s="224"/>
    </row>
    <row r="1117" spans="1:16" ht="12.75" customHeight="1" x14ac:dyDescent="0.25">
      <c r="A1117" s="295" t="s">
        <v>1491</v>
      </c>
      <c r="B1117" s="295" t="s">
        <v>1491</v>
      </c>
      <c r="C1117" s="416" t="s">
        <v>938</v>
      </c>
      <c r="D1117" s="446">
        <v>866819</v>
      </c>
      <c r="E1117" s="418" t="s">
        <v>932</v>
      </c>
      <c r="F1117" s="299">
        <v>6.74</v>
      </c>
      <c r="G1117" s="299"/>
      <c r="I1117" s="224"/>
      <c r="J1117" s="224"/>
      <c r="K1117" s="224"/>
      <c r="L1117" s="224"/>
      <c r="M1117" s="224"/>
      <c r="O1117" s="224"/>
      <c r="P1117" s="224"/>
    </row>
    <row r="1118" spans="1:16" ht="12.75" customHeight="1" x14ac:dyDescent="0.25">
      <c r="A1118" s="295" t="s">
        <v>129</v>
      </c>
      <c r="B1118" s="295" t="s">
        <v>129</v>
      </c>
      <c r="C1118" s="416" t="s">
        <v>938</v>
      </c>
      <c r="D1118" s="446">
        <v>883828</v>
      </c>
      <c r="E1118" s="418" t="s">
        <v>932</v>
      </c>
      <c r="F1118" s="299">
        <v>6.74</v>
      </c>
      <c r="G1118" s="299"/>
      <c r="I1118" s="224"/>
      <c r="J1118" s="224"/>
      <c r="K1118" s="224"/>
      <c r="L1118" s="224"/>
      <c r="M1118" s="224"/>
      <c r="O1118" s="224"/>
      <c r="P1118" s="224"/>
    </row>
    <row r="1119" spans="1:16" ht="12.75" customHeight="1" x14ac:dyDescent="0.25">
      <c r="A1119" s="295" t="s">
        <v>130</v>
      </c>
      <c r="B1119" s="295" t="s">
        <v>130</v>
      </c>
      <c r="C1119" s="416" t="s">
        <v>938</v>
      </c>
      <c r="D1119" s="446">
        <v>901896</v>
      </c>
      <c r="E1119" s="418" t="s">
        <v>932</v>
      </c>
      <c r="F1119" s="299">
        <v>6.74</v>
      </c>
      <c r="G1119" s="299"/>
      <c r="I1119" s="224"/>
      <c r="J1119" s="224"/>
      <c r="K1119" s="224"/>
      <c r="L1119" s="224"/>
      <c r="M1119" s="224"/>
      <c r="O1119" s="224"/>
      <c r="P1119" s="224"/>
    </row>
    <row r="1120" spans="1:16" ht="12.75" customHeight="1" x14ac:dyDescent="0.25">
      <c r="A1120" s="295" t="s">
        <v>130</v>
      </c>
      <c r="B1120" s="295" t="s">
        <v>130</v>
      </c>
      <c r="C1120" s="416" t="s">
        <v>938</v>
      </c>
      <c r="D1120" s="446">
        <v>901148</v>
      </c>
      <c r="E1120" s="418" t="s">
        <v>932</v>
      </c>
      <c r="F1120" s="299">
        <v>6.74</v>
      </c>
      <c r="G1120" s="299"/>
      <c r="I1120" s="224"/>
      <c r="J1120" s="224"/>
      <c r="K1120" s="224"/>
      <c r="L1120" s="224"/>
      <c r="M1120" s="224"/>
      <c r="O1120" s="224"/>
      <c r="P1120" s="224"/>
    </row>
    <row r="1121" spans="1:16" ht="12.75" customHeight="1" x14ac:dyDescent="0.25">
      <c r="A1121" s="295" t="s">
        <v>2795</v>
      </c>
      <c r="B1121" s="295" t="s">
        <v>2795</v>
      </c>
      <c r="C1121" s="416" t="s">
        <v>938</v>
      </c>
      <c r="D1121" s="446">
        <v>948550</v>
      </c>
      <c r="E1121" s="418" t="s">
        <v>932</v>
      </c>
      <c r="F1121" s="299">
        <v>6.74</v>
      </c>
      <c r="G1121" s="224"/>
      <c r="I1121" s="224"/>
      <c r="J1121" s="224"/>
      <c r="K1121" s="224"/>
      <c r="L1121" s="224"/>
      <c r="M1121" s="224"/>
      <c r="O1121" s="224"/>
      <c r="P1121" s="224"/>
    </row>
    <row r="1122" spans="1:16" ht="12.75" customHeight="1" x14ac:dyDescent="0.25">
      <c r="A1122" s="295" t="s">
        <v>2813</v>
      </c>
      <c r="B1122" s="295" t="s">
        <v>2813</v>
      </c>
      <c r="C1122" s="416" t="s">
        <v>938</v>
      </c>
      <c r="D1122" s="446">
        <v>990079</v>
      </c>
      <c r="E1122" s="418" t="s">
        <v>932</v>
      </c>
      <c r="F1122" s="299">
        <v>6.74</v>
      </c>
      <c r="G1122" s="299"/>
      <c r="I1122" s="224"/>
      <c r="J1122" s="224"/>
      <c r="K1122" s="224"/>
      <c r="L1122" s="224"/>
      <c r="M1122" s="224"/>
      <c r="O1122" s="224"/>
      <c r="P1122" s="224"/>
    </row>
    <row r="1123" spans="1:16" ht="12.75" customHeight="1" x14ac:dyDescent="0.25">
      <c r="A1123" s="295" t="s">
        <v>2814</v>
      </c>
      <c r="B1123" s="295" t="s">
        <v>2814</v>
      </c>
      <c r="C1123" s="416" t="s">
        <v>938</v>
      </c>
      <c r="D1123" s="446">
        <v>995036</v>
      </c>
      <c r="E1123" s="418" t="s">
        <v>932</v>
      </c>
      <c r="F1123" s="299">
        <v>6.74</v>
      </c>
      <c r="I1123" s="224"/>
      <c r="J1123" s="224"/>
      <c r="K1123" s="224"/>
      <c r="L1123" s="224"/>
      <c r="M1123" s="224"/>
      <c r="O1123" s="224"/>
      <c r="P1123" s="224"/>
    </row>
    <row r="1124" spans="1:16" ht="12.75" customHeight="1" x14ac:dyDescent="0.25">
      <c r="A1124" s="295" t="s">
        <v>2814</v>
      </c>
      <c r="B1124" s="295" t="s">
        <v>2814</v>
      </c>
      <c r="C1124" s="416" t="s">
        <v>938</v>
      </c>
      <c r="D1124" s="446">
        <v>994674</v>
      </c>
      <c r="E1124" s="418" t="s">
        <v>932</v>
      </c>
      <c r="F1124" s="299">
        <v>6.74</v>
      </c>
      <c r="G1124" s="295"/>
      <c r="I1124" s="224"/>
      <c r="J1124" s="224"/>
      <c r="K1124" s="224"/>
      <c r="L1124" s="224"/>
      <c r="M1124" s="224"/>
      <c r="O1124" s="224"/>
      <c r="P1124" s="224"/>
    </row>
    <row r="1125" spans="1:16" ht="12.75" customHeight="1" x14ac:dyDescent="0.25">
      <c r="A1125" s="295" t="s">
        <v>2819</v>
      </c>
      <c r="B1125" s="295" t="s">
        <v>2819</v>
      </c>
      <c r="C1125" s="416" t="s">
        <v>938</v>
      </c>
      <c r="D1125" s="446">
        <v>1013997</v>
      </c>
      <c r="E1125" s="418" t="s">
        <v>932</v>
      </c>
      <c r="F1125" s="299">
        <v>6.74</v>
      </c>
      <c r="G1125" s="295"/>
      <c r="I1125" s="224"/>
      <c r="J1125" s="224"/>
      <c r="K1125" s="224"/>
      <c r="L1125" s="224"/>
      <c r="M1125" s="224"/>
      <c r="O1125" s="224"/>
      <c r="P1125" s="224"/>
    </row>
    <row r="1126" spans="1:16" ht="12.75" customHeight="1" x14ac:dyDescent="0.25">
      <c r="A1126" s="295" t="s">
        <v>2819</v>
      </c>
      <c r="B1126" s="295" t="s">
        <v>2819</v>
      </c>
      <c r="C1126" s="416" t="s">
        <v>938</v>
      </c>
      <c r="D1126" s="446">
        <v>1013919</v>
      </c>
      <c r="E1126" s="418" t="s">
        <v>932</v>
      </c>
      <c r="F1126" s="299">
        <v>6.74</v>
      </c>
      <c r="G1126" s="295"/>
      <c r="I1126" s="224"/>
      <c r="J1126" s="224"/>
      <c r="K1126" s="224"/>
      <c r="L1126" s="224"/>
      <c r="M1126" s="224"/>
      <c r="O1126" s="224"/>
      <c r="P1126" s="224"/>
    </row>
    <row r="1127" spans="1:16" ht="12.75" customHeight="1" x14ac:dyDescent="0.25">
      <c r="A1127" s="295" t="s">
        <v>2824</v>
      </c>
      <c r="B1127" s="295" t="s">
        <v>2824</v>
      </c>
      <c r="C1127" s="416" t="s">
        <v>938</v>
      </c>
      <c r="D1127" s="446">
        <v>1054925</v>
      </c>
      <c r="E1127" s="418" t="s">
        <v>932</v>
      </c>
      <c r="F1127" s="299">
        <v>6.74</v>
      </c>
      <c r="G1127" s="299"/>
      <c r="I1127" s="224"/>
      <c r="J1127" s="224"/>
      <c r="K1127" s="224"/>
      <c r="L1127" s="224"/>
      <c r="M1127" s="224"/>
      <c r="O1127" s="224"/>
      <c r="P1127" s="224"/>
    </row>
    <row r="1128" spans="1:16" ht="12.75" customHeight="1" x14ac:dyDescent="0.25">
      <c r="A1128" s="295" t="s">
        <v>2824</v>
      </c>
      <c r="B1128" s="295" t="s">
        <v>2824</v>
      </c>
      <c r="C1128" s="416" t="s">
        <v>938</v>
      </c>
      <c r="D1128" s="446">
        <v>1054777</v>
      </c>
      <c r="E1128" s="418" t="s">
        <v>932</v>
      </c>
      <c r="F1128" s="299">
        <v>6.74</v>
      </c>
      <c r="G1128" s="299"/>
      <c r="I1128" s="224"/>
      <c r="J1128" s="224"/>
      <c r="K1128" s="224"/>
      <c r="L1128" s="224"/>
      <c r="M1128" s="224"/>
      <c r="O1128" s="224"/>
      <c r="P1128" s="224"/>
    </row>
    <row r="1129" spans="1:16" ht="12.75" customHeight="1" x14ac:dyDescent="0.25">
      <c r="A1129" s="295" t="s">
        <v>2831</v>
      </c>
      <c r="B1129" s="295" t="s">
        <v>2831</v>
      </c>
      <c r="C1129" s="416" t="s">
        <v>938</v>
      </c>
      <c r="D1129" s="446">
        <v>1059232</v>
      </c>
      <c r="E1129" s="418" t="s">
        <v>932</v>
      </c>
      <c r="F1129" s="299">
        <v>6.74</v>
      </c>
      <c r="G1129" s="299"/>
      <c r="I1129" s="224"/>
      <c r="J1129" s="224"/>
      <c r="K1129" s="224"/>
      <c r="L1129" s="224"/>
      <c r="M1129" s="224"/>
      <c r="O1129" s="224"/>
      <c r="P1129" s="224"/>
    </row>
    <row r="1130" spans="1:16" ht="12.75" customHeight="1" x14ac:dyDescent="0.25">
      <c r="A1130" s="295" t="s">
        <v>2833</v>
      </c>
      <c r="B1130" s="295" t="s">
        <v>2833</v>
      </c>
      <c r="C1130" s="416" t="s">
        <v>938</v>
      </c>
      <c r="D1130" s="446">
        <v>1065820</v>
      </c>
      <c r="E1130" s="418" t="s">
        <v>932</v>
      </c>
      <c r="F1130" s="299">
        <v>6.74</v>
      </c>
      <c r="I1130" s="224"/>
      <c r="J1130" s="224"/>
      <c r="K1130" s="224"/>
      <c r="L1130" s="224"/>
      <c r="M1130" s="224"/>
      <c r="O1130" s="224"/>
      <c r="P1130" s="224"/>
    </row>
    <row r="1131" spans="1:16" ht="12.75" customHeight="1" x14ac:dyDescent="0.25">
      <c r="A1131" s="295" t="s">
        <v>2835</v>
      </c>
      <c r="B1131" s="295" t="s">
        <v>2835</v>
      </c>
      <c r="C1131" s="416" t="s">
        <v>938</v>
      </c>
      <c r="D1131" s="446">
        <v>1114894</v>
      </c>
      <c r="E1131" s="418" t="s">
        <v>932</v>
      </c>
      <c r="F1131" s="299">
        <v>6.74</v>
      </c>
      <c r="G1131" s="299"/>
      <c r="H1131" s="295"/>
      <c r="I1131" s="224"/>
      <c r="J1131" s="224"/>
      <c r="K1131" s="224"/>
      <c r="L1131" s="224"/>
      <c r="M1131" s="224"/>
      <c r="O1131" s="224"/>
      <c r="P1131" s="224"/>
    </row>
    <row r="1132" spans="1:16" ht="12.75" customHeight="1" x14ac:dyDescent="0.25">
      <c r="A1132" s="295" t="s">
        <v>2839</v>
      </c>
      <c r="B1132" s="295" t="s">
        <v>2839</v>
      </c>
      <c r="C1132" s="416" t="s">
        <v>938</v>
      </c>
      <c r="D1132" s="417">
        <v>1136129</v>
      </c>
      <c r="E1132" s="418" t="s">
        <v>932</v>
      </c>
      <c r="F1132" s="299">
        <v>6.74</v>
      </c>
      <c r="G1132" s="299"/>
      <c r="H1132" s="295"/>
      <c r="I1132" s="224"/>
      <c r="J1132" s="224"/>
      <c r="K1132" s="224"/>
      <c r="L1132" s="224"/>
      <c r="M1132" s="224"/>
      <c r="O1132" s="224"/>
      <c r="P1132" s="224"/>
    </row>
    <row r="1133" spans="1:16" ht="12.75" customHeight="1" x14ac:dyDescent="0.25">
      <c r="A1133" s="295" t="s">
        <v>2859</v>
      </c>
      <c r="B1133" s="295" t="s">
        <v>2859</v>
      </c>
      <c r="C1133" s="416" t="s">
        <v>938</v>
      </c>
      <c r="D1133" s="417">
        <v>1156486</v>
      </c>
      <c r="E1133" s="418" t="s">
        <v>932</v>
      </c>
      <c r="F1133" s="299">
        <v>6.74</v>
      </c>
      <c r="G1133" s="299"/>
      <c r="H1133" s="295"/>
      <c r="I1133" s="224"/>
      <c r="J1133" s="224"/>
      <c r="K1133" s="224"/>
      <c r="L1133" s="224"/>
      <c r="M1133" s="224"/>
      <c r="O1133" s="224"/>
      <c r="P1133" s="224"/>
    </row>
    <row r="1134" spans="1:16" ht="12.75" customHeight="1" x14ac:dyDescent="0.25">
      <c r="A1134" s="295" t="s">
        <v>2858</v>
      </c>
      <c r="B1134" s="295" t="s">
        <v>2858</v>
      </c>
      <c r="C1134" s="416" t="s">
        <v>938</v>
      </c>
      <c r="D1134" s="417">
        <v>1150023</v>
      </c>
      <c r="E1134" s="418" t="s">
        <v>932</v>
      </c>
      <c r="F1134" s="299">
        <v>6.74</v>
      </c>
      <c r="G1134" s="299"/>
      <c r="H1134" s="295"/>
      <c r="I1134" s="224"/>
      <c r="J1134" s="224"/>
      <c r="K1134" s="224"/>
      <c r="L1134" s="224"/>
      <c r="M1134" s="224"/>
      <c r="O1134" s="224"/>
      <c r="P1134" s="224"/>
    </row>
    <row r="1135" spans="1:16" ht="12.75" customHeight="1" x14ac:dyDescent="0.25">
      <c r="A1135" s="295" t="s">
        <v>2861</v>
      </c>
      <c r="B1135" s="295" t="s">
        <v>2861</v>
      </c>
      <c r="C1135" s="416" t="s">
        <v>938</v>
      </c>
      <c r="D1135" s="417">
        <v>1170865</v>
      </c>
      <c r="E1135" s="418" t="s">
        <v>932</v>
      </c>
      <c r="F1135" s="299">
        <v>6.74</v>
      </c>
      <c r="G1135" s="299"/>
      <c r="H1135" s="295"/>
      <c r="I1135" s="224"/>
      <c r="J1135" s="224"/>
      <c r="K1135" s="224"/>
      <c r="L1135" s="224"/>
      <c r="M1135" s="224"/>
      <c r="O1135" s="224"/>
      <c r="P1135" s="224"/>
    </row>
    <row r="1136" spans="1:16" ht="12.75" customHeight="1" x14ac:dyDescent="0.25">
      <c r="A1136" s="295" t="s">
        <v>2875</v>
      </c>
      <c r="B1136" s="295" t="s">
        <v>2863</v>
      </c>
      <c r="C1136" s="416" t="s">
        <v>938</v>
      </c>
      <c r="D1136" s="417">
        <v>1187580</v>
      </c>
      <c r="E1136" s="418" t="s">
        <v>932</v>
      </c>
      <c r="F1136" s="299">
        <v>6.74</v>
      </c>
      <c r="G1136" s="299"/>
      <c r="H1136" s="295"/>
      <c r="I1136" s="224"/>
      <c r="J1136" s="224"/>
      <c r="K1136" s="224"/>
      <c r="L1136" s="224"/>
      <c r="M1136" s="224"/>
      <c r="O1136" s="224"/>
      <c r="P1136" s="224"/>
    </row>
    <row r="1137" spans="1:16" ht="12.75" customHeight="1" x14ac:dyDescent="0.25">
      <c r="A1137" s="295" t="s">
        <v>2866</v>
      </c>
      <c r="B1137" s="295" t="s">
        <v>2866</v>
      </c>
      <c r="C1137" s="416" t="s">
        <v>938</v>
      </c>
      <c r="D1137" s="417">
        <v>1195043</v>
      </c>
      <c r="E1137" s="418" t="s">
        <v>932</v>
      </c>
      <c r="F1137" s="299">
        <v>6.74</v>
      </c>
      <c r="G1137" s="299"/>
      <c r="H1137" s="295"/>
      <c r="I1137" s="224"/>
      <c r="J1137" s="224"/>
      <c r="K1137" s="224"/>
      <c r="L1137" s="224"/>
      <c r="M1137" s="224"/>
      <c r="O1137" s="224"/>
      <c r="P1137" s="224"/>
    </row>
    <row r="1138" spans="1:16" ht="12.75" customHeight="1" x14ac:dyDescent="0.25">
      <c r="A1138" s="295" t="s">
        <v>2869</v>
      </c>
      <c r="B1138" s="295" t="s">
        <v>2869</v>
      </c>
      <c r="C1138" s="416" t="s">
        <v>938</v>
      </c>
      <c r="D1138" s="417">
        <v>1213186</v>
      </c>
      <c r="E1138" s="418" t="s">
        <v>932</v>
      </c>
      <c r="F1138" s="299">
        <v>6.74</v>
      </c>
      <c r="G1138" s="299"/>
      <c r="H1138" s="295"/>
      <c r="I1138" s="224"/>
      <c r="J1138" s="224"/>
      <c r="K1138" s="224"/>
      <c r="L1138" s="224"/>
      <c r="M1138" s="224"/>
      <c r="O1138" s="224"/>
      <c r="P1138" s="224"/>
    </row>
    <row r="1139" spans="1:16" ht="12.75" customHeight="1" x14ac:dyDescent="0.25">
      <c r="A1139" s="295" t="s">
        <v>2887</v>
      </c>
      <c r="B1139" s="295" t="s">
        <v>2887</v>
      </c>
      <c r="C1139" s="416" t="s">
        <v>2888</v>
      </c>
      <c r="D1139" s="417" t="s">
        <v>580</v>
      </c>
      <c r="E1139" s="418" t="s">
        <v>1028</v>
      </c>
      <c r="F1139" s="299">
        <v>81.83</v>
      </c>
      <c r="I1139" s="224"/>
      <c r="J1139" s="224"/>
      <c r="K1139" s="224"/>
      <c r="L1139" s="224"/>
      <c r="M1139" s="224"/>
      <c r="O1139" s="224"/>
      <c r="P1139" s="224"/>
    </row>
    <row r="1140" spans="1:16" ht="12.75" customHeight="1" x14ac:dyDescent="0.25">
      <c r="A1140" s="295" t="s">
        <v>2887</v>
      </c>
      <c r="B1140" s="295" t="s">
        <v>2887</v>
      </c>
      <c r="C1140" s="416" t="s">
        <v>938</v>
      </c>
      <c r="D1140" s="417">
        <v>1240325</v>
      </c>
      <c r="E1140" s="418" t="s">
        <v>932</v>
      </c>
      <c r="F1140" s="299">
        <v>6.74</v>
      </c>
      <c r="G1140" s="299"/>
      <c r="H1140" s="295"/>
      <c r="I1140" s="224"/>
      <c r="J1140" s="224"/>
      <c r="K1140" s="224"/>
      <c r="L1140" s="224"/>
      <c r="M1140" s="224"/>
      <c r="O1140" s="224"/>
      <c r="P1140" s="224"/>
    </row>
    <row r="1141" spans="1:16" ht="12.75" customHeight="1" x14ac:dyDescent="0.25">
      <c r="A1141" s="295" t="s">
        <v>2886</v>
      </c>
      <c r="B1141" s="295" t="s">
        <v>2886</v>
      </c>
      <c r="C1141" s="416" t="s">
        <v>938</v>
      </c>
      <c r="D1141" s="417">
        <v>1238062</v>
      </c>
      <c r="E1141" s="418" t="s">
        <v>932</v>
      </c>
      <c r="F1141" s="299">
        <v>6.74</v>
      </c>
      <c r="G1141" s="299"/>
      <c r="H1141" s="295"/>
      <c r="I1141" s="224"/>
      <c r="J1141" s="224"/>
      <c r="K1141" s="224"/>
      <c r="L1141" s="224"/>
      <c r="M1141" s="224"/>
      <c r="O1141" s="224"/>
      <c r="P1141" s="224"/>
    </row>
    <row r="1142" spans="1:16" ht="12.75" customHeight="1" x14ac:dyDescent="0.25">
      <c r="A1142" s="295" t="s">
        <v>2891</v>
      </c>
      <c r="B1142" s="295" t="s">
        <v>2891</v>
      </c>
      <c r="C1142" s="416" t="s">
        <v>938</v>
      </c>
      <c r="D1142" s="417">
        <v>1257611</v>
      </c>
      <c r="E1142" s="418" t="s">
        <v>932</v>
      </c>
      <c r="F1142" s="299">
        <v>6.74</v>
      </c>
      <c r="G1142" s="299"/>
      <c r="H1142" s="295"/>
      <c r="I1142" s="224"/>
      <c r="J1142" s="224"/>
      <c r="K1142" s="224"/>
      <c r="L1142" s="224"/>
      <c r="M1142" s="224"/>
      <c r="O1142" s="224"/>
      <c r="P1142" s="224"/>
    </row>
    <row r="1143" spans="1:16" ht="12.75" customHeight="1" x14ac:dyDescent="0.25">
      <c r="A1143" s="295" t="s">
        <v>2898</v>
      </c>
      <c r="B1143" s="295" t="s">
        <v>2898</v>
      </c>
      <c r="C1143" s="416" t="s">
        <v>938</v>
      </c>
      <c r="D1143" s="417">
        <v>1279259</v>
      </c>
      <c r="E1143" s="418" t="s">
        <v>932</v>
      </c>
      <c r="F1143" s="299">
        <v>6.74</v>
      </c>
      <c r="G1143" s="299"/>
      <c r="H1143" s="295"/>
      <c r="I1143" s="224"/>
      <c r="J1143" s="224"/>
      <c r="K1143" s="224"/>
      <c r="L1143" s="224"/>
      <c r="M1143" s="224"/>
      <c r="O1143" s="224"/>
      <c r="P1143" s="224"/>
    </row>
    <row r="1144" spans="1:16" ht="12.75" customHeight="1" x14ac:dyDescent="0.25">
      <c r="A1144" s="295" t="s">
        <v>2898</v>
      </c>
      <c r="B1144" s="295" t="s">
        <v>2898</v>
      </c>
      <c r="C1144" s="416" t="s">
        <v>938</v>
      </c>
      <c r="D1144" s="417">
        <v>1279165</v>
      </c>
      <c r="E1144" s="418" t="s">
        <v>932</v>
      </c>
      <c r="F1144" s="299">
        <v>6.74</v>
      </c>
      <c r="G1144" s="299"/>
      <c r="H1144" s="295"/>
      <c r="I1144" s="224"/>
      <c r="J1144" s="224"/>
      <c r="K1144" s="224"/>
      <c r="L1144" s="224"/>
      <c r="M1144" s="224"/>
      <c r="O1144" s="224"/>
      <c r="P1144" s="224"/>
    </row>
    <row r="1145" spans="1:16" ht="12.75" customHeight="1" x14ac:dyDescent="0.25">
      <c r="A1145" s="295" t="s">
        <v>2903</v>
      </c>
      <c r="B1145" s="295" t="s">
        <v>2903</v>
      </c>
      <c r="C1145" s="416" t="s">
        <v>938</v>
      </c>
      <c r="D1145" s="417">
        <v>1292709</v>
      </c>
      <c r="E1145" s="418" t="s">
        <v>932</v>
      </c>
      <c r="F1145" s="299">
        <v>6.74</v>
      </c>
      <c r="G1145" s="299"/>
      <c r="H1145" s="295"/>
      <c r="I1145" s="224"/>
      <c r="J1145" s="224"/>
      <c r="K1145" s="224"/>
      <c r="L1145" s="224"/>
      <c r="M1145" s="224"/>
      <c r="O1145" s="224"/>
      <c r="P1145" s="224"/>
    </row>
    <row r="1146" spans="1:16" ht="12.75" customHeight="1" x14ac:dyDescent="0.25">
      <c r="A1146" s="295" t="s">
        <v>2904</v>
      </c>
      <c r="B1146" s="295" t="s">
        <v>2904</v>
      </c>
      <c r="C1146" s="416" t="s">
        <v>938</v>
      </c>
      <c r="D1146" s="417">
        <v>1293718</v>
      </c>
      <c r="E1146" s="418" t="s">
        <v>932</v>
      </c>
      <c r="F1146" s="299">
        <v>6.74</v>
      </c>
      <c r="G1146" s="299"/>
      <c r="H1146" s="295"/>
      <c r="I1146" s="224"/>
      <c r="J1146" s="224"/>
      <c r="K1146" s="224"/>
      <c r="L1146" s="224"/>
      <c r="M1146" s="224"/>
      <c r="O1146" s="224"/>
      <c r="P1146" s="224"/>
    </row>
    <row r="1147" spans="1:16" ht="12.75" customHeight="1" x14ac:dyDescent="0.25">
      <c r="A1147" s="295" t="s">
        <v>2908</v>
      </c>
      <c r="B1147" s="295" t="s">
        <v>2908</v>
      </c>
      <c r="C1147" s="416" t="s">
        <v>938</v>
      </c>
      <c r="D1147" s="417">
        <v>1302903</v>
      </c>
      <c r="E1147" s="418" t="s">
        <v>932</v>
      </c>
      <c r="F1147" s="299">
        <v>6.74</v>
      </c>
      <c r="G1147" s="299"/>
      <c r="H1147" s="295"/>
      <c r="K1147" s="224"/>
      <c r="L1147" s="224"/>
      <c r="M1147" s="224"/>
      <c r="O1147" s="224"/>
      <c r="P1147" s="224"/>
    </row>
    <row r="1148" spans="1:16" ht="12.75" customHeight="1" x14ac:dyDescent="0.25">
      <c r="A1148" s="295" t="s">
        <v>2913</v>
      </c>
      <c r="B1148" s="295" t="s">
        <v>2913</v>
      </c>
      <c r="C1148" s="416" t="s">
        <v>938</v>
      </c>
      <c r="D1148" s="417">
        <v>1323248</v>
      </c>
      <c r="E1148" s="418" t="s">
        <v>932</v>
      </c>
      <c r="F1148" s="299">
        <v>6.74</v>
      </c>
      <c r="G1148" s="299"/>
      <c r="H1148" s="295"/>
      <c r="K1148" s="224"/>
      <c r="L1148" s="224"/>
      <c r="M1148" s="224"/>
      <c r="O1148" s="224"/>
      <c r="P1148" s="224"/>
    </row>
    <row r="1149" spans="1:16" ht="12.75" customHeight="1" thickBot="1" x14ac:dyDescent="0.3">
      <c r="A1149" s="295"/>
      <c r="C1149" s="416"/>
      <c r="D1149" s="417"/>
      <c r="E1149" s="418"/>
      <c r="F1149" s="299"/>
      <c r="I1149" s="224"/>
      <c r="J1149" s="224"/>
      <c r="K1149" s="224"/>
      <c r="L1149" s="224"/>
      <c r="M1149" s="224"/>
      <c r="O1149" s="224"/>
      <c r="P1149" s="224"/>
    </row>
    <row r="1150" spans="1:16" ht="12.75" customHeight="1" thickBot="1" x14ac:dyDescent="0.3">
      <c r="A1150" s="295"/>
      <c r="C1150" s="233"/>
      <c r="D1150" s="249"/>
      <c r="E1150" s="2" t="s">
        <v>1040</v>
      </c>
      <c r="F1150" s="422">
        <f>SUM(F1099:F1149)</f>
        <v>572.62000000000035</v>
      </c>
      <c r="I1150" s="224"/>
      <c r="J1150" s="224"/>
      <c r="K1150" s="224"/>
      <c r="L1150" s="224"/>
      <c r="M1150" s="224"/>
      <c r="O1150" s="224"/>
      <c r="P1150" s="224"/>
    </row>
    <row r="1151" spans="1:16" ht="12.75" customHeight="1" x14ac:dyDescent="0.25">
      <c r="A1151" s="295"/>
      <c r="C1151" s="233"/>
      <c r="D1151" s="249"/>
      <c r="E1151" s="2"/>
      <c r="F1151" s="3"/>
      <c r="I1151" s="224"/>
      <c r="J1151" s="224"/>
      <c r="K1151" s="224"/>
      <c r="L1151" s="224"/>
      <c r="M1151" s="224"/>
      <c r="O1151" s="224"/>
      <c r="P1151" s="224"/>
    </row>
    <row r="1152" spans="1:16" ht="12.75" customHeight="1" x14ac:dyDescent="0.25">
      <c r="A1152" s="295"/>
      <c r="D1152" s="224"/>
      <c r="E1152" s="2"/>
      <c r="F1152" s="3"/>
      <c r="I1152" s="224"/>
      <c r="J1152" s="224"/>
      <c r="K1152" s="224"/>
      <c r="L1152" s="224"/>
      <c r="M1152" s="224"/>
      <c r="O1152" s="224"/>
      <c r="P1152" s="224"/>
    </row>
    <row r="1153" spans="1:16" ht="12.75" customHeight="1" x14ac:dyDescent="0.25">
      <c r="A1153" s="295"/>
      <c r="I1153" s="224"/>
      <c r="J1153" s="224"/>
      <c r="K1153" s="224"/>
      <c r="L1153" s="224"/>
      <c r="M1153" s="224"/>
      <c r="O1153" s="224"/>
      <c r="P1153" s="224"/>
    </row>
    <row r="1154" spans="1:16" ht="12.75" customHeight="1" x14ac:dyDescent="0.25">
      <c r="A1154" s="295"/>
      <c r="I1154" s="224"/>
      <c r="J1154" s="224"/>
      <c r="K1154" s="224"/>
      <c r="L1154" s="224"/>
      <c r="M1154" s="224"/>
      <c r="O1154" s="224"/>
      <c r="P1154" s="224"/>
    </row>
    <row r="1155" spans="1:16" ht="12.75" customHeight="1" x14ac:dyDescent="0.25">
      <c r="A1155" s="295"/>
      <c r="I1155" s="224"/>
      <c r="J1155" s="224"/>
      <c r="K1155" s="224"/>
      <c r="L1155" s="224"/>
      <c r="M1155" s="224"/>
      <c r="O1155" s="224"/>
      <c r="P1155" s="224"/>
    </row>
    <row r="1156" spans="1:16" ht="12.75" customHeight="1" x14ac:dyDescent="0.25">
      <c r="A1156" s="295"/>
      <c r="I1156" s="224"/>
      <c r="J1156" s="224"/>
      <c r="K1156" s="224"/>
      <c r="L1156" s="224"/>
      <c r="M1156" s="224"/>
      <c r="O1156" s="224"/>
      <c r="P1156" s="224"/>
    </row>
    <row r="1157" spans="1:16" ht="12.75" customHeight="1" x14ac:dyDescent="0.25">
      <c r="A1157" s="295"/>
      <c r="I1157" s="224"/>
      <c r="J1157" s="224"/>
      <c r="K1157" s="224"/>
      <c r="L1157" s="224"/>
      <c r="M1157" s="224"/>
      <c r="O1157" s="224"/>
      <c r="P1157" s="224"/>
    </row>
    <row r="1158" spans="1:16" ht="12.75" customHeight="1" x14ac:dyDescent="0.25">
      <c r="A1158" s="295"/>
      <c r="I1158" s="224"/>
      <c r="J1158" s="224"/>
      <c r="K1158" s="224"/>
      <c r="L1158" s="224"/>
      <c r="M1158" s="224"/>
      <c r="O1158" s="224"/>
      <c r="P1158" s="224"/>
    </row>
    <row r="1159" spans="1:16" ht="12.75" customHeight="1" x14ac:dyDescent="0.25">
      <c r="A1159" s="295"/>
      <c r="B1159" s="224"/>
      <c r="C1159" s="224"/>
      <c r="D1159" s="224"/>
      <c r="E1159" s="224"/>
      <c r="F1159" s="224"/>
      <c r="G1159" s="224"/>
      <c r="H1159" s="224"/>
      <c r="I1159" s="224"/>
      <c r="J1159" s="224"/>
      <c r="K1159" s="224"/>
      <c r="L1159" s="224"/>
      <c r="M1159" s="224"/>
      <c r="O1159" s="224"/>
      <c r="P1159" s="224"/>
    </row>
    <row r="1160" spans="1:16" ht="12.75" customHeight="1" x14ac:dyDescent="0.25">
      <c r="A1160" s="295"/>
      <c r="B1160" s="224"/>
      <c r="C1160" s="224"/>
      <c r="D1160" s="224"/>
      <c r="E1160" s="224"/>
      <c r="F1160" s="224"/>
      <c r="G1160" s="224"/>
      <c r="H1160" s="224"/>
      <c r="I1160" s="224"/>
      <c r="J1160" s="224"/>
      <c r="K1160" s="224"/>
      <c r="L1160" s="224"/>
      <c r="M1160" s="224"/>
      <c r="O1160" s="224"/>
      <c r="P1160" s="224"/>
    </row>
    <row r="1161" spans="1:16" ht="12.75" customHeight="1" x14ac:dyDescent="0.25">
      <c r="A1161" s="295"/>
      <c r="B1161" s="224"/>
      <c r="C1161" s="224"/>
      <c r="D1161" s="224"/>
      <c r="E1161" s="224"/>
      <c r="F1161" s="224"/>
      <c r="G1161" s="224"/>
      <c r="H1161" s="224"/>
      <c r="I1161" s="224"/>
      <c r="J1161" s="224"/>
      <c r="K1161" s="224"/>
      <c r="L1161" s="224"/>
      <c r="M1161" s="224"/>
      <c r="O1161" s="224"/>
      <c r="P1161" s="224"/>
    </row>
  </sheetData>
  <phoneticPr fontId="14" type="noConversion"/>
  <pageMargins left="0.75" right="0.75" top="1" bottom="1" header="0.5" footer="0.5"/>
  <pageSetup paperSize="9" orientation="portrait" horizontalDpi="300" verticalDpi="300" r:id="rId1"/>
  <headerFooter alignWithMargins="0"/>
  <ignoredErrors>
    <ignoredError sqref="M46 M93:M94 M132" formulaRange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25" workbookViewId="0">
      <selection activeCell="P22" sqref="P22"/>
    </sheetView>
  </sheetViews>
  <sheetFormatPr defaultColWidth="9.21875" defaultRowHeight="13.2" x14ac:dyDescent="0.25"/>
  <cols>
    <col min="1" max="1" width="13.21875" style="91" customWidth="1"/>
    <col min="2" max="2" width="38.5546875" style="1" customWidth="1"/>
    <col min="3" max="4" width="9.77734375" style="1" customWidth="1"/>
    <col min="5" max="5" width="9.21875" style="1"/>
    <col min="6" max="6" width="9.21875" style="18"/>
    <col min="7" max="8" width="10.21875" style="12" bestFit="1" customWidth="1"/>
    <col min="9" max="9" width="9.21875" style="10" customWidth="1"/>
    <col min="10" max="16384" width="9.21875" style="1"/>
  </cols>
  <sheetData>
    <row r="1" spans="1:9" x14ac:dyDescent="0.25">
      <c r="A1" s="107" t="s">
        <v>467</v>
      </c>
      <c r="B1" s="107" t="s">
        <v>468</v>
      </c>
      <c r="C1" s="107"/>
      <c r="D1" s="107" t="s">
        <v>186</v>
      </c>
      <c r="E1" s="107" t="s">
        <v>469</v>
      </c>
      <c r="F1" s="407" t="s">
        <v>188</v>
      </c>
      <c r="G1" s="107" t="s">
        <v>470</v>
      </c>
      <c r="H1" s="109" t="s">
        <v>471</v>
      </c>
      <c r="I1" s="216" t="s">
        <v>191</v>
      </c>
    </row>
    <row r="2" spans="1:9" x14ac:dyDescent="0.25">
      <c r="A2" s="437">
        <v>41341</v>
      </c>
      <c r="B2" s="478" t="s">
        <v>2977</v>
      </c>
      <c r="C2" s="30" t="s">
        <v>201</v>
      </c>
      <c r="D2" s="30" t="s">
        <v>197</v>
      </c>
      <c r="E2" s="30">
        <v>2000</v>
      </c>
      <c r="F2" s="402">
        <v>2</v>
      </c>
      <c r="G2" s="37">
        <v>4000</v>
      </c>
      <c r="H2" s="477">
        <v>109.23</v>
      </c>
      <c r="I2" s="404" t="s">
        <v>2978</v>
      </c>
    </row>
    <row r="3" spans="1:9" x14ac:dyDescent="0.25">
      <c r="A3" s="437">
        <v>41305</v>
      </c>
      <c r="B3" s="478" t="s">
        <v>2979</v>
      </c>
      <c r="C3" s="30" t="s">
        <v>201</v>
      </c>
      <c r="D3" s="30" t="s">
        <v>197</v>
      </c>
      <c r="E3" s="30">
        <v>500</v>
      </c>
      <c r="F3" s="402">
        <v>31.4</v>
      </c>
      <c r="G3" s="37">
        <v>15700</v>
      </c>
      <c r="H3" s="477">
        <v>223.26</v>
      </c>
      <c r="I3" s="404" t="s">
        <v>2980</v>
      </c>
    </row>
    <row r="4" spans="1:9" x14ac:dyDescent="0.25">
      <c r="A4" s="437">
        <v>41276</v>
      </c>
      <c r="B4" s="478" t="s">
        <v>2981</v>
      </c>
      <c r="C4" s="30" t="s">
        <v>201</v>
      </c>
      <c r="D4" s="30" t="s">
        <v>197</v>
      </c>
      <c r="E4" s="30">
        <v>1000</v>
      </c>
      <c r="F4" s="402">
        <v>27.99</v>
      </c>
      <c r="G4" s="37">
        <v>27987.5</v>
      </c>
      <c r="H4" s="477">
        <v>444.4</v>
      </c>
      <c r="I4" s="404" t="s">
        <v>2982</v>
      </c>
    </row>
    <row r="5" spans="1:9" x14ac:dyDescent="0.25">
      <c r="A5" s="437">
        <v>41262</v>
      </c>
      <c r="B5" s="478" t="s">
        <v>2983</v>
      </c>
      <c r="C5" s="30" t="s">
        <v>201</v>
      </c>
      <c r="D5" s="30" t="s">
        <v>197</v>
      </c>
      <c r="E5" s="30">
        <v>8000</v>
      </c>
      <c r="F5" s="402">
        <v>2.75</v>
      </c>
      <c r="G5" s="37">
        <v>22000</v>
      </c>
      <c r="H5" s="477">
        <v>440.68</v>
      </c>
      <c r="I5" s="404" t="s">
        <v>2984</v>
      </c>
    </row>
    <row r="6" spans="1:9" x14ac:dyDescent="0.25">
      <c r="A6" s="437">
        <v>41254</v>
      </c>
      <c r="B6" s="478" t="s">
        <v>2985</v>
      </c>
      <c r="C6" s="30" t="s">
        <v>201</v>
      </c>
      <c r="D6" s="30" t="s">
        <v>197</v>
      </c>
      <c r="E6" s="30">
        <v>500</v>
      </c>
      <c r="F6" s="402">
        <v>99.11</v>
      </c>
      <c r="G6" s="37">
        <v>49555</v>
      </c>
      <c r="H6" s="477">
        <v>1098.29</v>
      </c>
      <c r="I6" s="404" t="s">
        <v>2986</v>
      </c>
    </row>
    <row r="7" spans="1:9" x14ac:dyDescent="0.25">
      <c r="A7" s="437">
        <v>41253</v>
      </c>
      <c r="B7" s="478" t="s">
        <v>2985</v>
      </c>
      <c r="C7" s="30" t="s">
        <v>201</v>
      </c>
      <c r="D7" s="30" t="s">
        <v>197</v>
      </c>
      <c r="E7" s="30">
        <v>1000</v>
      </c>
      <c r="F7" s="402">
        <v>95.9</v>
      </c>
      <c r="G7" s="37">
        <v>95900</v>
      </c>
      <c r="H7" s="477">
        <v>2194.59</v>
      </c>
      <c r="I7" s="404" t="s">
        <v>2987</v>
      </c>
    </row>
    <row r="8" spans="1:9" x14ac:dyDescent="0.25">
      <c r="A8" s="437">
        <v>41253</v>
      </c>
      <c r="B8" s="478" t="s">
        <v>2988</v>
      </c>
      <c r="C8" s="30" t="s">
        <v>201</v>
      </c>
      <c r="D8" s="30" t="s">
        <v>197</v>
      </c>
      <c r="E8" s="30">
        <v>100</v>
      </c>
      <c r="F8" s="402">
        <v>95</v>
      </c>
      <c r="G8" s="37">
        <v>9500</v>
      </c>
      <c r="H8" s="477">
        <v>62.1</v>
      </c>
      <c r="I8" s="404" t="s">
        <v>2989</v>
      </c>
    </row>
    <row r="9" spans="1:9" x14ac:dyDescent="0.25">
      <c r="A9" s="437">
        <v>41225</v>
      </c>
      <c r="B9" s="478" t="s">
        <v>1415</v>
      </c>
      <c r="C9" s="30" t="s">
        <v>201</v>
      </c>
      <c r="D9" s="30" t="s">
        <v>197</v>
      </c>
      <c r="E9" s="30">
        <v>4000</v>
      </c>
      <c r="F9" s="402">
        <v>1.9</v>
      </c>
      <c r="G9" s="37">
        <v>7600</v>
      </c>
      <c r="H9" s="477">
        <v>111.48</v>
      </c>
      <c r="I9" s="404" t="s">
        <v>1416</v>
      </c>
    </row>
    <row r="10" spans="1:9" x14ac:dyDescent="0.25">
      <c r="A10" s="437">
        <v>41225</v>
      </c>
      <c r="B10" s="478" t="s">
        <v>1417</v>
      </c>
      <c r="C10" s="30" t="s">
        <v>201</v>
      </c>
      <c r="D10" s="30" t="s">
        <v>197</v>
      </c>
      <c r="E10" s="30">
        <v>2500</v>
      </c>
      <c r="F10" s="402">
        <v>5.9</v>
      </c>
      <c r="G10" s="37">
        <v>14750</v>
      </c>
      <c r="H10" s="477">
        <v>542.9</v>
      </c>
      <c r="I10" s="404" t="s">
        <v>1418</v>
      </c>
    </row>
    <row r="11" spans="1:9" x14ac:dyDescent="0.25">
      <c r="A11" s="437">
        <v>41213</v>
      </c>
      <c r="B11" s="478" t="s">
        <v>1419</v>
      </c>
      <c r="C11" s="30" t="s">
        <v>201</v>
      </c>
      <c r="D11" s="30" t="s">
        <v>197</v>
      </c>
      <c r="E11" s="30">
        <v>8000</v>
      </c>
      <c r="F11" s="402">
        <v>1.45</v>
      </c>
      <c r="G11" s="37">
        <v>11600</v>
      </c>
      <c r="H11" s="477">
        <v>113.97</v>
      </c>
      <c r="I11" s="404" t="s">
        <v>1420</v>
      </c>
    </row>
    <row r="12" spans="1:9" x14ac:dyDescent="0.25">
      <c r="A12" s="437">
        <v>41201</v>
      </c>
      <c r="B12" s="478" t="s">
        <v>1421</v>
      </c>
      <c r="C12" s="30" t="s">
        <v>201</v>
      </c>
      <c r="D12" s="30" t="s">
        <v>197</v>
      </c>
      <c r="E12" s="30">
        <v>300</v>
      </c>
      <c r="F12" s="402">
        <v>95</v>
      </c>
      <c r="G12" s="37">
        <v>28500</v>
      </c>
      <c r="H12" s="477">
        <v>658.21</v>
      </c>
      <c r="I12" s="404" t="s">
        <v>1422</v>
      </c>
    </row>
    <row r="13" spans="1:9" x14ac:dyDescent="0.25">
      <c r="A13" s="437">
        <v>41163</v>
      </c>
      <c r="B13" s="478" t="s">
        <v>1423</v>
      </c>
      <c r="C13" s="30" t="s">
        <v>201</v>
      </c>
      <c r="D13" s="30" t="s">
        <v>197</v>
      </c>
      <c r="E13" s="30">
        <v>500</v>
      </c>
      <c r="F13" s="402">
        <v>60</v>
      </c>
      <c r="G13" s="37">
        <v>30000</v>
      </c>
      <c r="H13" s="477">
        <v>1086.1099999999999</v>
      </c>
      <c r="I13" s="404" t="s">
        <v>1424</v>
      </c>
    </row>
    <row r="14" spans="1:9" x14ac:dyDescent="0.25">
      <c r="A14" s="437">
        <v>41150</v>
      </c>
      <c r="B14" s="478" t="s">
        <v>2635</v>
      </c>
      <c r="C14" s="30" t="s">
        <v>201</v>
      </c>
      <c r="D14" s="30" t="s">
        <v>197</v>
      </c>
      <c r="E14" s="30">
        <v>100</v>
      </c>
      <c r="F14" s="402">
        <v>199.45</v>
      </c>
      <c r="G14" s="37">
        <v>19945</v>
      </c>
      <c r="H14" s="477">
        <v>225.91</v>
      </c>
      <c r="I14" s="404" t="s">
        <v>2638</v>
      </c>
    </row>
    <row r="15" spans="1:9" x14ac:dyDescent="0.25">
      <c r="A15" s="437">
        <v>41145</v>
      </c>
      <c r="B15" s="478" t="s">
        <v>2636</v>
      </c>
      <c r="C15" s="30" t="s">
        <v>201</v>
      </c>
      <c r="D15" s="30" t="s">
        <v>197</v>
      </c>
      <c r="E15" s="30">
        <v>150</v>
      </c>
      <c r="F15" s="402">
        <v>95</v>
      </c>
      <c r="G15" s="37">
        <v>14250</v>
      </c>
      <c r="H15" s="477">
        <v>329.11</v>
      </c>
      <c r="I15" s="404" t="s">
        <v>2640</v>
      </c>
    </row>
    <row r="16" spans="1:9" x14ac:dyDescent="0.25">
      <c r="A16" s="437">
        <v>41046</v>
      </c>
      <c r="B16" s="478" t="s">
        <v>810</v>
      </c>
      <c r="C16" s="30" t="s">
        <v>201</v>
      </c>
      <c r="D16" s="30" t="s">
        <v>197</v>
      </c>
      <c r="E16" s="30">
        <v>150</v>
      </c>
      <c r="F16" s="402">
        <v>36.450000000000003</v>
      </c>
      <c r="G16" s="37">
        <v>5467.5</v>
      </c>
      <c r="H16" s="477">
        <v>323.64</v>
      </c>
      <c r="I16" s="404" t="s">
        <v>1425</v>
      </c>
    </row>
    <row r="17" spans="1:9" x14ac:dyDescent="0.25">
      <c r="A17" s="437">
        <v>41012</v>
      </c>
      <c r="B17" s="478" t="s">
        <v>1935</v>
      </c>
      <c r="C17" s="30" t="s">
        <v>201</v>
      </c>
      <c r="D17" s="30" t="s">
        <v>197</v>
      </c>
      <c r="E17" s="30">
        <v>200</v>
      </c>
      <c r="F17" s="402">
        <v>22.9</v>
      </c>
      <c r="G17" s="37">
        <v>4580</v>
      </c>
      <c r="H17" s="477">
        <v>429.81</v>
      </c>
      <c r="I17" s="404" t="s">
        <v>1426</v>
      </c>
    </row>
    <row r="18" spans="1:9" x14ac:dyDescent="0.25">
      <c r="A18" s="437">
        <v>41008</v>
      </c>
      <c r="B18" s="478" t="s">
        <v>1935</v>
      </c>
      <c r="C18" s="30" t="s">
        <v>201</v>
      </c>
      <c r="D18" s="30" t="s">
        <v>197</v>
      </c>
      <c r="E18" s="30">
        <v>300</v>
      </c>
      <c r="F18" s="402">
        <v>35.5</v>
      </c>
      <c r="G18" s="37">
        <v>10650</v>
      </c>
      <c r="H18" s="477">
        <v>647.09</v>
      </c>
      <c r="I18" s="404" t="s">
        <v>1427</v>
      </c>
    </row>
    <row r="19" spans="1:9" x14ac:dyDescent="0.25">
      <c r="A19" s="437">
        <v>41008</v>
      </c>
      <c r="B19" s="478" t="s">
        <v>1935</v>
      </c>
      <c r="C19" s="30" t="s">
        <v>201</v>
      </c>
      <c r="D19" s="30" t="s">
        <v>197</v>
      </c>
      <c r="E19" s="30">
        <v>500</v>
      </c>
      <c r="F19" s="402">
        <v>42</v>
      </c>
      <c r="G19" s="37">
        <v>21000</v>
      </c>
      <c r="H19" s="477">
        <v>1080.5</v>
      </c>
      <c r="I19" s="404" t="s">
        <v>1428</v>
      </c>
    </row>
    <row r="20" spans="1:9" x14ac:dyDescent="0.25">
      <c r="A20" s="437"/>
      <c r="B20" s="30"/>
      <c r="C20" s="30"/>
      <c r="D20" s="30"/>
      <c r="E20" s="30"/>
      <c r="F20" s="402"/>
      <c r="G20" s="37"/>
      <c r="H20" s="477"/>
      <c r="I20" s="404"/>
    </row>
    <row r="21" spans="1:9" x14ac:dyDescent="0.25">
      <c r="A21" s="404"/>
      <c r="B21" s="30"/>
      <c r="C21" s="30"/>
      <c r="D21" s="30"/>
      <c r="E21" s="30"/>
      <c r="F21" s="408"/>
      <c r="G21" s="430">
        <f>SUM(G2:G19)</f>
        <v>392985</v>
      </c>
      <c r="H21" s="430">
        <f>SUM(H2:H19)</f>
        <v>10121.279999999999</v>
      </c>
      <c r="I21" s="403"/>
    </row>
    <row r="22" spans="1:9" ht="13.8" thickBot="1" x14ac:dyDescent="0.3">
      <c r="A22" s="404"/>
      <c r="B22" s="30"/>
      <c r="C22" s="30"/>
      <c r="D22" s="30"/>
      <c r="E22" s="30"/>
      <c r="F22" s="408"/>
      <c r="G22" s="402"/>
      <c r="H22" s="402"/>
      <c r="I22" s="403"/>
    </row>
    <row r="23" spans="1:9" ht="13.8" thickBot="1" x14ac:dyDescent="0.3">
      <c r="A23" s="404"/>
      <c r="B23" s="30"/>
      <c r="C23" s="30"/>
      <c r="D23" s="30"/>
      <c r="E23" s="30"/>
      <c r="F23" s="408"/>
      <c r="G23" s="402" t="s">
        <v>624</v>
      </c>
      <c r="H23" s="431">
        <f>G21+H21</f>
        <v>403106.28</v>
      </c>
      <c r="I23" s="403"/>
    </row>
    <row r="24" spans="1:9" x14ac:dyDescent="0.25">
      <c r="A24" s="404"/>
      <c r="B24" s="30"/>
      <c r="C24" s="30"/>
      <c r="D24" s="30"/>
      <c r="E24" s="30"/>
      <c r="F24" s="408"/>
      <c r="G24" s="402"/>
      <c r="H24" s="438"/>
      <c r="I24" s="403"/>
    </row>
    <row r="25" spans="1:9" x14ac:dyDescent="0.25">
      <c r="A25" s="437"/>
      <c r="B25" s="30"/>
      <c r="C25" s="30"/>
      <c r="D25" s="30"/>
      <c r="E25" s="30"/>
      <c r="F25" s="408"/>
      <c r="G25" s="402"/>
      <c r="H25" s="37"/>
      <c r="I25" s="403"/>
    </row>
    <row r="26" spans="1:9" x14ac:dyDescent="0.25">
      <c r="A26" s="437">
        <v>41341</v>
      </c>
      <c r="B26" s="478" t="s">
        <v>2977</v>
      </c>
      <c r="C26" s="30" t="s">
        <v>201</v>
      </c>
      <c r="D26" s="30" t="s">
        <v>369</v>
      </c>
      <c r="E26" s="30">
        <v>2000</v>
      </c>
      <c r="F26" s="402">
        <v>1.7</v>
      </c>
      <c r="G26" s="37">
        <v>3400</v>
      </c>
      <c r="H26" s="477">
        <v>31.2</v>
      </c>
      <c r="I26" s="404" t="s">
        <v>2990</v>
      </c>
    </row>
    <row r="27" spans="1:9" x14ac:dyDescent="0.25">
      <c r="A27" s="437">
        <v>41324</v>
      </c>
      <c r="B27" s="478" t="s">
        <v>2979</v>
      </c>
      <c r="C27" s="30" t="s">
        <v>201</v>
      </c>
      <c r="D27" s="30" t="s">
        <v>369</v>
      </c>
      <c r="E27" s="30">
        <v>500</v>
      </c>
      <c r="F27" s="402">
        <v>7.1</v>
      </c>
      <c r="G27" s="37">
        <v>3550</v>
      </c>
      <c r="H27" s="477">
        <v>216.69</v>
      </c>
      <c r="I27" s="404" t="s">
        <v>2991</v>
      </c>
    </row>
    <row r="28" spans="1:9" x14ac:dyDescent="0.25">
      <c r="A28" s="437">
        <v>41281</v>
      </c>
      <c r="B28" s="478" t="s">
        <v>2981</v>
      </c>
      <c r="C28" s="30" t="s">
        <v>201</v>
      </c>
      <c r="D28" s="30" t="s">
        <v>369</v>
      </c>
      <c r="E28" s="30">
        <v>1000</v>
      </c>
      <c r="F28" s="402">
        <v>36</v>
      </c>
      <c r="G28" s="37">
        <v>36000</v>
      </c>
      <c r="H28" s="477">
        <v>455.4</v>
      </c>
      <c r="I28" s="404" t="s">
        <v>2992</v>
      </c>
    </row>
    <row r="29" spans="1:9" x14ac:dyDescent="0.25">
      <c r="A29" s="437">
        <v>41276</v>
      </c>
      <c r="B29" s="478" t="s">
        <v>2983</v>
      </c>
      <c r="C29" s="30" t="s">
        <v>201</v>
      </c>
      <c r="D29" s="30" t="s">
        <v>369</v>
      </c>
      <c r="E29" s="30">
        <v>8000</v>
      </c>
      <c r="F29" s="402">
        <v>3.35</v>
      </c>
      <c r="G29" s="37">
        <v>26800</v>
      </c>
      <c r="H29" s="477">
        <v>448.67</v>
      </c>
      <c r="I29" s="404" t="s">
        <v>2993</v>
      </c>
    </row>
    <row r="30" spans="1:9" x14ac:dyDescent="0.25">
      <c r="A30" s="437">
        <v>41261</v>
      </c>
      <c r="B30" s="478" t="s">
        <v>2985</v>
      </c>
      <c r="C30" s="30" t="s">
        <v>201</v>
      </c>
      <c r="D30" s="30" t="s">
        <v>369</v>
      </c>
      <c r="E30" s="30">
        <v>1500</v>
      </c>
      <c r="F30" s="402">
        <v>88</v>
      </c>
      <c r="G30" s="37">
        <v>132000</v>
      </c>
      <c r="H30" s="477">
        <v>3306.41</v>
      </c>
      <c r="I30" s="404" t="s">
        <v>2994</v>
      </c>
    </row>
    <row r="31" spans="1:9" x14ac:dyDescent="0.25">
      <c r="A31" s="437">
        <v>41253</v>
      </c>
      <c r="B31" s="478" t="s">
        <v>2988</v>
      </c>
      <c r="C31" s="30" t="s">
        <v>201</v>
      </c>
      <c r="D31" s="30" t="s">
        <v>369</v>
      </c>
      <c r="E31" s="30">
        <v>100</v>
      </c>
      <c r="F31" s="402">
        <v>96.2</v>
      </c>
      <c r="G31" s="37">
        <v>9620</v>
      </c>
      <c r="H31" s="477">
        <v>221.48</v>
      </c>
      <c r="I31" s="404" t="s">
        <v>2995</v>
      </c>
    </row>
    <row r="32" spans="1:9" x14ac:dyDescent="0.25">
      <c r="A32" s="437">
        <v>41240</v>
      </c>
      <c r="B32" s="478" t="s">
        <v>1417</v>
      </c>
      <c r="C32" s="30" t="s">
        <v>201</v>
      </c>
      <c r="D32" s="30" t="s">
        <v>369</v>
      </c>
      <c r="E32" s="30">
        <v>2500</v>
      </c>
      <c r="F32" s="402">
        <v>20.5</v>
      </c>
      <c r="G32" s="37">
        <v>51250</v>
      </c>
      <c r="H32" s="477">
        <v>574.64</v>
      </c>
      <c r="I32" s="404" t="s">
        <v>1429</v>
      </c>
    </row>
    <row r="33" spans="1:9" x14ac:dyDescent="0.25">
      <c r="A33" s="437">
        <v>41228</v>
      </c>
      <c r="B33" s="478" t="s">
        <v>1415</v>
      </c>
      <c r="C33" s="30" t="s">
        <v>201</v>
      </c>
      <c r="D33" s="30" t="s">
        <v>369</v>
      </c>
      <c r="E33" s="30">
        <v>4000</v>
      </c>
      <c r="F33" s="402">
        <v>0.45</v>
      </c>
      <c r="G33" s="37">
        <v>1800</v>
      </c>
      <c r="H33" s="477">
        <v>107.86</v>
      </c>
      <c r="I33" s="404" t="s">
        <v>1430</v>
      </c>
    </row>
    <row r="34" spans="1:9" x14ac:dyDescent="0.25">
      <c r="A34" s="437">
        <v>41225</v>
      </c>
      <c r="B34" s="478" t="s">
        <v>1419</v>
      </c>
      <c r="C34" s="30" t="s">
        <v>201</v>
      </c>
      <c r="D34" s="30" t="s">
        <v>369</v>
      </c>
      <c r="E34" s="30">
        <v>8000</v>
      </c>
      <c r="F34" s="402">
        <v>2.7</v>
      </c>
      <c r="G34" s="37">
        <v>21600</v>
      </c>
      <c r="H34" s="477">
        <v>124.2</v>
      </c>
      <c r="I34" s="404" t="s">
        <v>1431</v>
      </c>
    </row>
    <row r="35" spans="1:9" x14ac:dyDescent="0.25">
      <c r="A35" s="437">
        <v>41205</v>
      </c>
      <c r="B35" s="478" t="s">
        <v>1421</v>
      </c>
      <c r="C35" s="30" t="s">
        <v>201</v>
      </c>
      <c r="D35" s="30" t="s">
        <v>369</v>
      </c>
      <c r="E35" s="30">
        <v>300</v>
      </c>
      <c r="F35" s="402">
        <v>105.53</v>
      </c>
      <c r="G35" s="37">
        <v>31660</v>
      </c>
      <c r="H35" s="477">
        <v>665.16</v>
      </c>
      <c r="I35" s="404" t="s">
        <v>1432</v>
      </c>
    </row>
    <row r="36" spans="1:9" x14ac:dyDescent="0.25">
      <c r="A36" s="437">
        <v>41164</v>
      </c>
      <c r="B36" s="478" t="s">
        <v>1423</v>
      </c>
      <c r="C36" s="30" t="s">
        <v>201</v>
      </c>
      <c r="D36" s="30" t="s">
        <v>369</v>
      </c>
      <c r="E36" s="30">
        <v>500</v>
      </c>
      <c r="F36" s="402">
        <v>81.849999999999994</v>
      </c>
      <c r="G36" s="37">
        <v>40925</v>
      </c>
      <c r="H36" s="477">
        <v>1099.92</v>
      </c>
      <c r="I36" s="404" t="s">
        <v>1433</v>
      </c>
    </row>
    <row r="37" spans="1:9" x14ac:dyDescent="0.25">
      <c r="A37" s="437">
        <v>41151</v>
      </c>
      <c r="B37" s="478" t="s">
        <v>2635</v>
      </c>
      <c r="C37" s="30" t="s">
        <v>201</v>
      </c>
      <c r="D37" s="30" t="s">
        <v>369</v>
      </c>
      <c r="E37" s="30">
        <v>100</v>
      </c>
      <c r="F37" s="402">
        <v>190</v>
      </c>
      <c r="G37" s="37">
        <v>19000</v>
      </c>
      <c r="H37" s="477">
        <v>228.32</v>
      </c>
      <c r="I37" s="404" t="s">
        <v>2637</v>
      </c>
    </row>
    <row r="38" spans="1:9" x14ac:dyDescent="0.25">
      <c r="A38" s="437">
        <v>41150</v>
      </c>
      <c r="B38" s="478" t="s">
        <v>2636</v>
      </c>
      <c r="C38" s="30" t="s">
        <v>201</v>
      </c>
      <c r="D38" s="30" t="s">
        <v>369</v>
      </c>
      <c r="E38" s="30">
        <v>150</v>
      </c>
      <c r="F38" s="402">
        <v>165.15</v>
      </c>
      <c r="G38" s="37">
        <v>24772.5</v>
      </c>
      <c r="H38" s="477">
        <v>339.66</v>
      </c>
      <c r="I38" s="404" t="s">
        <v>2639</v>
      </c>
    </row>
    <row r="39" spans="1:9" x14ac:dyDescent="0.25">
      <c r="A39" s="437">
        <v>41047</v>
      </c>
      <c r="B39" s="478" t="s">
        <v>810</v>
      </c>
      <c r="C39" s="30" t="s">
        <v>201</v>
      </c>
      <c r="D39" s="30" t="s">
        <v>369</v>
      </c>
      <c r="E39" s="30">
        <v>150</v>
      </c>
      <c r="F39" s="402">
        <v>31</v>
      </c>
      <c r="G39" s="37">
        <v>4650</v>
      </c>
      <c r="H39" s="477">
        <v>324.12</v>
      </c>
      <c r="I39" s="404" t="s">
        <v>1434</v>
      </c>
    </row>
    <row r="40" spans="1:9" x14ac:dyDescent="0.25">
      <c r="A40" s="404"/>
      <c r="B40" s="30"/>
      <c r="C40" s="30"/>
      <c r="D40" s="30"/>
      <c r="E40" s="30"/>
      <c r="F40" s="408"/>
      <c r="G40" s="402"/>
      <c r="H40" s="402"/>
      <c r="I40" s="403"/>
    </row>
    <row r="41" spans="1:9" x14ac:dyDescent="0.25">
      <c r="A41" s="404"/>
      <c r="B41" s="30"/>
      <c r="C41" s="30"/>
      <c r="D41" s="30"/>
      <c r="E41" s="30"/>
      <c r="F41" s="408"/>
      <c r="G41" s="430">
        <f>SUM(G26:G40)</f>
        <v>407027.5</v>
      </c>
      <c r="H41" s="430">
        <f>SUM(H26:H40)</f>
        <v>8143.7299999999987</v>
      </c>
      <c r="I41" s="403"/>
    </row>
    <row r="42" spans="1:9" ht="13.8" thickBot="1" x14ac:dyDescent="0.3">
      <c r="A42" s="404"/>
      <c r="B42" s="30"/>
      <c r="C42" s="30"/>
      <c r="D42" s="30"/>
      <c r="E42" s="30"/>
      <c r="F42" s="408"/>
      <c r="G42" s="402"/>
      <c r="H42" s="37"/>
      <c r="I42" s="403"/>
    </row>
    <row r="43" spans="1:9" ht="13.8" thickBot="1" x14ac:dyDescent="0.3">
      <c r="A43" s="404"/>
      <c r="B43" s="30"/>
      <c r="C43" s="30"/>
      <c r="D43" s="30"/>
      <c r="E43" s="30"/>
      <c r="F43" s="408"/>
      <c r="G43" s="402" t="s">
        <v>659</v>
      </c>
      <c r="H43" s="431">
        <f>G41-H41</f>
        <v>398883.77</v>
      </c>
      <c r="I43" s="403"/>
    </row>
    <row r="44" spans="1:9" x14ac:dyDescent="0.25">
      <c r="G44" s="402"/>
      <c r="H44" s="37"/>
    </row>
    <row r="45" spans="1:9" ht="13.8" thickBot="1" x14ac:dyDescent="0.3">
      <c r="G45" s="402"/>
      <c r="H45" s="37"/>
    </row>
    <row r="46" spans="1:9" ht="13.8" thickBot="1" x14ac:dyDescent="0.3">
      <c r="G46" s="400" t="s">
        <v>660</v>
      </c>
      <c r="H46" s="432">
        <f>H43-H23</f>
        <v>-4222.5100000000093</v>
      </c>
    </row>
    <row r="47" spans="1:9" x14ac:dyDescent="0.25">
      <c r="G47" s="402"/>
      <c r="H47" s="37"/>
    </row>
    <row r="48" spans="1:9" x14ac:dyDescent="0.25">
      <c r="G48" s="402"/>
      <c r="H48" s="37"/>
    </row>
    <row r="49" spans="1:10" x14ac:dyDescent="0.25">
      <c r="A49" s="404"/>
      <c r="B49" s="30"/>
      <c r="C49" s="30"/>
      <c r="D49" s="30"/>
      <c r="E49" s="30"/>
      <c r="F49" s="408"/>
      <c r="G49" s="402"/>
      <c r="H49" s="37"/>
      <c r="I49" s="403"/>
    </row>
    <row r="50" spans="1:10" x14ac:dyDescent="0.25">
      <c r="A50" s="404"/>
      <c r="B50" s="30"/>
      <c r="C50" s="30"/>
      <c r="D50" s="30"/>
      <c r="E50" s="30"/>
      <c r="F50" s="408"/>
      <c r="G50" s="402"/>
      <c r="H50" s="37"/>
      <c r="I50" s="403"/>
    </row>
    <row r="51" spans="1:10" x14ac:dyDescent="0.25">
      <c r="A51" s="404"/>
      <c r="B51" s="30"/>
      <c r="C51" s="30"/>
      <c r="D51" s="30"/>
      <c r="E51" s="30"/>
      <c r="F51" s="408"/>
      <c r="G51" s="402"/>
      <c r="H51" s="402"/>
      <c r="I51" s="403"/>
    </row>
    <row r="52" spans="1:10" x14ac:dyDescent="0.25">
      <c r="A52" s="404"/>
      <c r="B52" s="30"/>
      <c r="C52" s="30"/>
      <c r="D52" s="30"/>
      <c r="E52" s="30"/>
      <c r="F52" s="408"/>
      <c r="G52" s="402"/>
      <c r="H52" s="402"/>
      <c r="I52" s="403"/>
    </row>
    <row r="53" spans="1:10" x14ac:dyDescent="0.25">
      <c r="A53" s="404"/>
      <c r="B53" s="30"/>
      <c r="C53" s="30"/>
      <c r="D53" s="30"/>
      <c r="E53" s="30"/>
      <c r="F53" s="408"/>
      <c r="G53" s="402"/>
      <c r="H53" s="402"/>
      <c r="I53" s="403"/>
    </row>
    <row r="54" spans="1:10" x14ac:dyDescent="0.25">
      <c r="A54" s="404"/>
      <c r="B54" s="30"/>
      <c r="C54" s="30"/>
      <c r="D54" s="30"/>
      <c r="E54" s="30"/>
      <c r="F54" s="408"/>
      <c r="G54" s="402"/>
      <c r="H54" s="402"/>
      <c r="I54" s="403"/>
    </row>
    <row r="55" spans="1:10" x14ac:dyDescent="0.25">
      <c r="A55" s="404"/>
      <c r="B55" s="30"/>
      <c r="C55" s="30"/>
      <c r="D55" s="30"/>
      <c r="E55" s="30"/>
      <c r="F55" s="408"/>
      <c r="G55" s="402"/>
      <c r="H55" s="37"/>
      <c r="I55" s="403"/>
      <c r="J55" s="403"/>
    </row>
    <row r="56" spans="1:10" x14ac:dyDescent="0.25">
      <c r="A56" s="404"/>
      <c r="B56" s="30"/>
      <c r="C56" s="30"/>
      <c r="D56" s="30"/>
      <c r="E56" s="30"/>
      <c r="F56" s="408"/>
      <c r="G56" s="402"/>
      <c r="H56" s="37"/>
      <c r="I56" s="403"/>
    </row>
    <row r="57" spans="1:10" x14ac:dyDescent="0.25">
      <c r="A57" s="404"/>
      <c r="B57" s="30"/>
      <c r="C57" s="30"/>
      <c r="D57" s="30"/>
      <c r="E57" s="30"/>
      <c r="F57" s="408"/>
      <c r="G57" s="402"/>
      <c r="H57" s="37"/>
      <c r="I57" s="403"/>
    </row>
    <row r="58" spans="1:10" x14ac:dyDescent="0.25">
      <c r="G58" s="402"/>
      <c r="H58" s="37"/>
      <c r="I58" s="402"/>
    </row>
    <row r="59" spans="1:10" x14ac:dyDescent="0.25">
      <c r="G59" s="400"/>
      <c r="H59" s="402"/>
      <c r="I59" s="402"/>
    </row>
    <row r="60" spans="1:10" x14ac:dyDescent="0.25">
      <c r="G60" s="402"/>
      <c r="H60" s="37"/>
      <c r="I60" s="402"/>
    </row>
    <row r="61" spans="1:10" x14ac:dyDescent="0.25">
      <c r="G61" s="402"/>
      <c r="H61" s="37"/>
      <c r="I61" s="402"/>
    </row>
    <row r="62" spans="1:10" x14ac:dyDescent="0.25">
      <c r="G62" s="402"/>
      <c r="H62" s="37"/>
      <c r="I62" s="402"/>
    </row>
    <row r="63" spans="1:10" x14ac:dyDescent="0.25">
      <c r="G63" s="402"/>
      <c r="H63" s="37"/>
      <c r="I63" s="402"/>
    </row>
    <row r="64" spans="1:10" x14ac:dyDescent="0.25">
      <c r="G64" s="402"/>
      <c r="H64" s="37"/>
      <c r="I64" s="402"/>
    </row>
    <row r="65" spans="7:9" x14ac:dyDescent="0.25">
      <c r="G65" s="402"/>
      <c r="H65" s="37"/>
      <c r="I65" s="402"/>
    </row>
    <row r="66" spans="7:9" x14ac:dyDescent="0.25">
      <c r="G66" s="402"/>
      <c r="H66" s="37"/>
      <c r="I66" s="402"/>
    </row>
  </sheetData>
  <autoFilter ref="A1:I1"/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workbookViewId="0">
      <selection activeCell="P22" sqref="P22"/>
    </sheetView>
  </sheetViews>
  <sheetFormatPr defaultColWidth="9.21875" defaultRowHeight="12" x14ac:dyDescent="0.2"/>
  <cols>
    <col min="1" max="2" width="10.77734375" style="397" customWidth="1"/>
    <col min="3" max="3" width="10.77734375" style="158" customWidth="1"/>
    <col min="4" max="4" width="10.77734375" style="397" customWidth="1"/>
    <col min="5" max="7" width="10.77734375" style="166" customWidth="1"/>
    <col min="8" max="8" width="25.77734375" style="397" customWidth="1"/>
    <col min="9" max="9" width="9.21875" style="397" customWidth="1"/>
    <col min="10" max="10" width="9.21875" style="397"/>
    <col min="11" max="11" width="20.77734375" style="397" customWidth="1"/>
    <col min="12" max="12" width="10.77734375" style="158" customWidth="1"/>
    <col min="13" max="16384" width="9.21875" style="153"/>
  </cols>
  <sheetData>
    <row r="1" spans="1:12" ht="24" x14ac:dyDescent="0.2">
      <c r="A1" s="217" t="s">
        <v>184</v>
      </c>
      <c r="B1" s="217" t="s">
        <v>185</v>
      </c>
      <c r="C1" s="217" t="s">
        <v>186</v>
      </c>
      <c r="D1" s="217" t="s">
        <v>187</v>
      </c>
      <c r="E1" s="218" t="s">
        <v>188</v>
      </c>
      <c r="F1" s="218" t="s">
        <v>189</v>
      </c>
      <c r="G1" s="218" t="s">
        <v>190</v>
      </c>
      <c r="H1" s="217" t="s">
        <v>191</v>
      </c>
      <c r="I1" s="217" t="s">
        <v>192</v>
      </c>
      <c r="J1" s="217" t="s">
        <v>193</v>
      </c>
      <c r="K1" s="217" t="s">
        <v>194</v>
      </c>
      <c r="L1" s="217" t="s">
        <v>195</v>
      </c>
    </row>
    <row r="2" spans="1:12" ht="12.6" x14ac:dyDescent="0.25">
      <c r="A2" s="154" t="s">
        <v>1054</v>
      </c>
      <c r="B2" s="396"/>
      <c r="C2" s="155"/>
      <c r="D2" s="396"/>
      <c r="E2" s="394"/>
      <c r="F2" s="394"/>
      <c r="G2" s="394"/>
      <c r="H2" s="396"/>
      <c r="I2" s="396"/>
      <c r="J2" s="396"/>
      <c r="K2" s="396"/>
      <c r="L2" s="155"/>
    </row>
    <row r="3" spans="1:12" x14ac:dyDescent="0.2">
      <c r="A3" s="399">
        <v>40967</v>
      </c>
      <c r="B3" s="397" t="s">
        <v>282</v>
      </c>
      <c r="C3" s="158" t="s">
        <v>197</v>
      </c>
      <c r="D3" s="397">
        <v>250</v>
      </c>
      <c r="E3" s="166">
        <v>40.5</v>
      </c>
      <c r="F3" s="166">
        <f>20250/2</f>
        <v>10125</v>
      </c>
      <c r="G3" s="166">
        <f>150.58/2</f>
        <v>75.290000000000006</v>
      </c>
      <c r="H3" s="397" t="s">
        <v>2524</v>
      </c>
      <c r="I3" s="397">
        <v>2012040</v>
      </c>
      <c r="J3" s="397" t="s">
        <v>199</v>
      </c>
      <c r="K3" s="397" t="s">
        <v>1051</v>
      </c>
      <c r="L3" s="158" t="s">
        <v>201</v>
      </c>
    </row>
    <row r="4" spans="1:12" x14ac:dyDescent="0.2">
      <c r="A4" s="399">
        <v>40996</v>
      </c>
      <c r="B4" s="397" t="s">
        <v>282</v>
      </c>
      <c r="C4" s="158" t="s">
        <v>197</v>
      </c>
      <c r="D4" s="397">
        <v>250</v>
      </c>
      <c r="E4" s="166">
        <v>39.5</v>
      </c>
      <c r="F4" s="166">
        <v>9875</v>
      </c>
      <c r="G4" s="166">
        <v>72.86</v>
      </c>
      <c r="H4" s="397" t="s">
        <v>1644</v>
      </c>
      <c r="I4" s="397">
        <v>201112249</v>
      </c>
      <c r="J4" s="397" t="s">
        <v>199</v>
      </c>
      <c r="K4" s="397" t="s">
        <v>1051</v>
      </c>
      <c r="L4" s="158" t="s">
        <v>204</v>
      </c>
    </row>
    <row r="5" spans="1:12" x14ac:dyDescent="0.2">
      <c r="A5" s="399"/>
    </row>
    <row r="6" spans="1:12" x14ac:dyDescent="0.2">
      <c r="A6" s="399"/>
    </row>
    <row r="7" spans="1:12" ht="12.6" x14ac:dyDescent="0.25">
      <c r="A7" s="159" t="s">
        <v>2967</v>
      </c>
    </row>
    <row r="8" spans="1:12" x14ac:dyDescent="0.2">
      <c r="A8" s="399">
        <v>41213</v>
      </c>
      <c r="B8" s="397" t="s">
        <v>1998</v>
      </c>
      <c r="C8" s="158" t="s">
        <v>197</v>
      </c>
      <c r="D8" s="397">
        <v>1000</v>
      </c>
      <c r="E8" s="166">
        <v>27.1</v>
      </c>
      <c r="F8" s="166">
        <v>27100</v>
      </c>
      <c r="G8" s="166">
        <v>197.57</v>
      </c>
      <c r="H8" s="397" t="s">
        <v>2956</v>
      </c>
      <c r="I8" s="397">
        <v>2012207</v>
      </c>
      <c r="J8" s="397" t="s">
        <v>199</v>
      </c>
      <c r="K8" s="397" t="s">
        <v>200</v>
      </c>
      <c r="L8" s="158" t="s">
        <v>201</v>
      </c>
    </row>
    <row r="9" spans="1:12" x14ac:dyDescent="0.2">
      <c r="A9" s="399">
        <v>41211</v>
      </c>
      <c r="B9" s="397" t="s">
        <v>1998</v>
      </c>
      <c r="C9" s="158" t="s">
        <v>197</v>
      </c>
      <c r="D9" s="397">
        <v>2000</v>
      </c>
      <c r="E9" s="166">
        <v>28.4</v>
      </c>
      <c r="F9" s="166">
        <v>56800</v>
      </c>
      <c r="G9" s="166">
        <v>413.26</v>
      </c>
      <c r="H9" s="397" t="s">
        <v>2957</v>
      </c>
      <c r="I9" s="397">
        <v>2012205</v>
      </c>
      <c r="J9" s="397" t="s">
        <v>199</v>
      </c>
      <c r="K9" s="397" t="s">
        <v>200</v>
      </c>
      <c r="L9" s="158" t="s">
        <v>201</v>
      </c>
    </row>
    <row r="10" spans="1:12" x14ac:dyDescent="0.2">
      <c r="A10" s="399">
        <v>41207</v>
      </c>
      <c r="B10" s="397" t="s">
        <v>1147</v>
      </c>
      <c r="C10" s="158" t="s">
        <v>197</v>
      </c>
      <c r="D10" s="397">
        <v>2000</v>
      </c>
      <c r="E10" s="166">
        <v>10.9</v>
      </c>
      <c r="F10" s="166">
        <v>21800</v>
      </c>
      <c r="G10" s="166">
        <v>158.72999999999999</v>
      </c>
      <c r="H10" s="397" t="s">
        <v>2958</v>
      </c>
      <c r="I10" s="397">
        <v>201213145</v>
      </c>
      <c r="J10" s="397" t="s">
        <v>199</v>
      </c>
      <c r="K10" s="397" t="s">
        <v>200</v>
      </c>
      <c r="L10" s="158" t="s">
        <v>204</v>
      </c>
    </row>
    <row r="11" spans="1:12" x14ac:dyDescent="0.2">
      <c r="A11" s="399">
        <v>41207</v>
      </c>
      <c r="B11" s="397" t="s">
        <v>1601</v>
      </c>
      <c r="C11" s="158" t="s">
        <v>197</v>
      </c>
      <c r="D11" s="397">
        <v>100</v>
      </c>
      <c r="E11" s="166">
        <v>66</v>
      </c>
      <c r="F11" s="166">
        <v>6600</v>
      </c>
      <c r="G11" s="166">
        <v>48.42</v>
      </c>
      <c r="H11" s="397" t="s">
        <v>2959</v>
      </c>
      <c r="I11" s="397">
        <v>2012203</v>
      </c>
      <c r="J11" s="397" t="s">
        <v>199</v>
      </c>
      <c r="K11" s="397" t="s">
        <v>200</v>
      </c>
      <c r="L11" s="158" t="s">
        <v>201</v>
      </c>
    </row>
    <row r="12" spans="1:12" x14ac:dyDescent="0.2">
      <c r="A12" s="399">
        <v>41205</v>
      </c>
      <c r="B12" s="397" t="s">
        <v>1601</v>
      </c>
      <c r="C12" s="158" t="s">
        <v>197</v>
      </c>
      <c r="D12" s="397">
        <v>900</v>
      </c>
      <c r="E12" s="166">
        <v>66.25</v>
      </c>
      <c r="F12" s="166">
        <v>59625</v>
      </c>
      <c r="G12" s="166">
        <v>434.19</v>
      </c>
      <c r="H12" s="397" t="s">
        <v>2960</v>
      </c>
      <c r="I12" s="397">
        <v>2012202</v>
      </c>
      <c r="J12" s="397" t="s">
        <v>199</v>
      </c>
      <c r="K12" s="397" t="s">
        <v>200</v>
      </c>
      <c r="L12" s="158" t="s">
        <v>201</v>
      </c>
    </row>
    <row r="13" spans="1:12" x14ac:dyDescent="0.2">
      <c r="A13" s="399">
        <v>41192</v>
      </c>
      <c r="B13" s="397" t="s">
        <v>2961</v>
      </c>
      <c r="C13" s="158" t="s">
        <v>197</v>
      </c>
      <c r="D13" s="397">
        <v>700</v>
      </c>
      <c r="E13" s="166">
        <v>57.9</v>
      </c>
      <c r="F13" s="166">
        <v>40529</v>
      </c>
      <c r="G13" s="166">
        <v>294.72000000000003</v>
      </c>
      <c r="H13" s="397" t="s">
        <v>2962</v>
      </c>
      <c r="I13" s="397">
        <v>201213135</v>
      </c>
      <c r="J13" s="397" t="s">
        <v>199</v>
      </c>
      <c r="K13" s="397" t="s">
        <v>200</v>
      </c>
      <c r="L13" s="158" t="s">
        <v>204</v>
      </c>
    </row>
    <row r="14" spans="1:12" x14ac:dyDescent="0.2">
      <c r="A14" s="399">
        <v>41137</v>
      </c>
      <c r="B14" s="397" t="s">
        <v>1147</v>
      </c>
      <c r="C14" s="158" t="s">
        <v>197</v>
      </c>
      <c r="D14" s="397">
        <v>10000</v>
      </c>
      <c r="E14" s="166">
        <v>9.9499999999999993</v>
      </c>
      <c r="F14" s="166">
        <v>99500</v>
      </c>
      <c r="G14" s="166">
        <v>671.35</v>
      </c>
      <c r="H14" s="397" t="s">
        <v>2963</v>
      </c>
      <c r="I14" s="397">
        <v>2012157</v>
      </c>
      <c r="J14" s="397" t="s">
        <v>199</v>
      </c>
      <c r="K14" s="397" t="s">
        <v>200</v>
      </c>
      <c r="L14" s="158" t="s">
        <v>201</v>
      </c>
    </row>
    <row r="15" spans="1:12" x14ac:dyDescent="0.2">
      <c r="A15" s="399">
        <v>41067</v>
      </c>
      <c r="B15" s="397" t="s">
        <v>2530</v>
      </c>
      <c r="C15" s="158" t="s">
        <v>197</v>
      </c>
      <c r="D15" s="397">
        <v>100</v>
      </c>
      <c r="E15" s="166">
        <v>213.4</v>
      </c>
      <c r="F15" s="166">
        <v>21340</v>
      </c>
      <c r="G15" s="166">
        <v>160.93</v>
      </c>
      <c r="H15" s="397" t="s">
        <v>2964</v>
      </c>
      <c r="I15" s="397">
        <v>201213049</v>
      </c>
      <c r="J15" s="397" t="s">
        <v>199</v>
      </c>
      <c r="K15" s="397" t="s">
        <v>200</v>
      </c>
      <c r="L15" s="158" t="s">
        <v>204</v>
      </c>
    </row>
    <row r="16" spans="1:12" x14ac:dyDescent="0.2">
      <c r="A16" s="399">
        <v>41002</v>
      </c>
      <c r="B16" s="397" t="s">
        <v>2530</v>
      </c>
      <c r="C16" s="158" t="s">
        <v>197</v>
      </c>
      <c r="D16" s="397">
        <v>100</v>
      </c>
      <c r="E16" s="166">
        <v>199.65</v>
      </c>
      <c r="F16" s="166">
        <v>19965</v>
      </c>
      <c r="G16" s="166">
        <v>150.30000000000001</v>
      </c>
      <c r="H16" s="397" t="s">
        <v>2965</v>
      </c>
      <c r="I16" s="397">
        <v>201213004</v>
      </c>
      <c r="J16" s="397" t="s">
        <v>199</v>
      </c>
      <c r="K16" s="397" t="s">
        <v>200</v>
      </c>
      <c r="L16" s="158" t="s">
        <v>204</v>
      </c>
    </row>
    <row r="17" spans="1:12" x14ac:dyDescent="0.2">
      <c r="A17" s="399">
        <v>41002</v>
      </c>
      <c r="B17" s="397" t="s">
        <v>282</v>
      </c>
      <c r="C17" s="158" t="s">
        <v>197</v>
      </c>
      <c r="D17" s="397">
        <v>1000</v>
      </c>
      <c r="E17" s="166">
        <v>40.5</v>
      </c>
      <c r="F17" s="166">
        <v>40500</v>
      </c>
      <c r="G17" s="166">
        <v>305.17</v>
      </c>
      <c r="H17" s="397" t="s">
        <v>2966</v>
      </c>
      <c r="I17" s="397">
        <v>2012064</v>
      </c>
      <c r="J17" s="397" t="s">
        <v>199</v>
      </c>
      <c r="K17" s="397" t="s">
        <v>200</v>
      </c>
      <c r="L17" s="158" t="s">
        <v>201</v>
      </c>
    </row>
    <row r="18" spans="1:12" x14ac:dyDescent="0.2">
      <c r="A18" s="399"/>
      <c r="D18" s="166"/>
      <c r="F18" s="166">
        <f>SUM(F3:F17)</f>
        <v>413759</v>
      </c>
      <c r="G18" s="166">
        <f>SUM(G3:G17)</f>
        <v>2982.79</v>
      </c>
    </row>
    <row r="19" spans="1:12" x14ac:dyDescent="0.2">
      <c r="A19" s="399"/>
    </row>
    <row r="20" spans="1:12" ht="12.6" x14ac:dyDescent="0.25">
      <c r="A20" s="399"/>
      <c r="D20" s="166"/>
      <c r="F20" s="475" t="s">
        <v>624</v>
      </c>
      <c r="G20" s="476">
        <f>F18+G18</f>
        <v>416741.79</v>
      </c>
    </row>
    <row r="21" spans="1:12" x14ac:dyDescent="0.2">
      <c r="A21" s="399"/>
      <c r="D21" s="166"/>
      <c r="G21" s="401"/>
    </row>
    <row r="22" spans="1:12" ht="12.6" x14ac:dyDescent="0.25">
      <c r="A22" s="159" t="s">
        <v>2738</v>
      </c>
    </row>
    <row r="23" spans="1:12" x14ac:dyDescent="0.2">
      <c r="A23" s="399">
        <v>41232</v>
      </c>
      <c r="B23" s="397" t="s">
        <v>1998</v>
      </c>
      <c r="C23" s="158" t="s">
        <v>369</v>
      </c>
      <c r="D23" s="397">
        <v>3000</v>
      </c>
      <c r="E23" s="166">
        <v>29</v>
      </c>
      <c r="F23" s="166">
        <v>87000</v>
      </c>
      <c r="G23" s="166">
        <v>633</v>
      </c>
      <c r="H23" s="397" t="s">
        <v>2968</v>
      </c>
      <c r="I23" s="397">
        <v>2012219</v>
      </c>
      <c r="J23" s="397" t="s">
        <v>199</v>
      </c>
      <c r="K23" s="397" t="s">
        <v>200</v>
      </c>
      <c r="L23" s="158" t="s">
        <v>201</v>
      </c>
    </row>
    <row r="24" spans="1:12" x14ac:dyDescent="0.2">
      <c r="A24" s="399">
        <v>41213</v>
      </c>
      <c r="B24" s="397" t="s">
        <v>1147</v>
      </c>
      <c r="C24" s="158" t="s">
        <v>369</v>
      </c>
      <c r="D24" s="397">
        <v>2000</v>
      </c>
      <c r="E24" s="166">
        <v>12.25</v>
      </c>
      <c r="F24" s="166">
        <v>24500</v>
      </c>
      <c r="G24" s="166">
        <v>178.26</v>
      </c>
      <c r="H24" s="397" t="s">
        <v>2969</v>
      </c>
      <c r="I24" s="397">
        <v>2012207</v>
      </c>
      <c r="J24" s="397" t="s">
        <v>199</v>
      </c>
      <c r="K24" s="397" t="s">
        <v>200</v>
      </c>
      <c r="L24" s="158" t="s">
        <v>201</v>
      </c>
    </row>
    <row r="25" spans="1:12" x14ac:dyDescent="0.2">
      <c r="A25" s="399">
        <v>41211</v>
      </c>
      <c r="B25" s="397" t="s">
        <v>2961</v>
      </c>
      <c r="C25" s="158" t="s">
        <v>369</v>
      </c>
      <c r="D25" s="397">
        <v>700</v>
      </c>
      <c r="E25" s="166">
        <v>62.79</v>
      </c>
      <c r="F25" s="166">
        <v>43953.4</v>
      </c>
      <c r="G25" s="166">
        <v>319.64</v>
      </c>
      <c r="H25" s="397" t="s">
        <v>2970</v>
      </c>
      <c r="I25" s="397">
        <v>2012205</v>
      </c>
      <c r="J25" s="397" t="s">
        <v>199</v>
      </c>
      <c r="K25" s="397" t="s">
        <v>200</v>
      </c>
      <c r="L25" s="158" t="s">
        <v>201</v>
      </c>
    </row>
    <row r="26" spans="1:12" x14ac:dyDescent="0.2">
      <c r="A26" s="399">
        <v>41211</v>
      </c>
      <c r="B26" s="397" t="s">
        <v>1601</v>
      </c>
      <c r="C26" s="158" t="s">
        <v>369</v>
      </c>
      <c r="D26" s="397">
        <v>900</v>
      </c>
      <c r="E26" s="166">
        <v>63.4</v>
      </c>
      <c r="F26" s="166">
        <v>57060</v>
      </c>
      <c r="G26" s="166">
        <v>415.17</v>
      </c>
      <c r="H26" s="397" t="s">
        <v>2971</v>
      </c>
      <c r="I26" s="397">
        <v>2012205</v>
      </c>
      <c r="J26" s="397" t="s">
        <v>199</v>
      </c>
      <c r="K26" s="397" t="s">
        <v>200</v>
      </c>
      <c r="L26" s="158" t="s">
        <v>201</v>
      </c>
    </row>
    <row r="27" spans="1:12" x14ac:dyDescent="0.2">
      <c r="A27" s="399">
        <v>41211</v>
      </c>
      <c r="B27" s="397" t="s">
        <v>1601</v>
      </c>
      <c r="C27" s="158" t="s">
        <v>369</v>
      </c>
      <c r="D27" s="397">
        <v>100</v>
      </c>
      <c r="E27" s="166">
        <v>63.5</v>
      </c>
      <c r="F27" s="166">
        <v>6350</v>
      </c>
      <c r="G27" s="166">
        <v>46.28</v>
      </c>
      <c r="H27" s="397" t="s">
        <v>2972</v>
      </c>
      <c r="I27" s="397">
        <v>2012205</v>
      </c>
      <c r="J27" s="397" t="s">
        <v>199</v>
      </c>
      <c r="K27" s="397" t="s">
        <v>200</v>
      </c>
      <c r="L27" s="158" t="s">
        <v>201</v>
      </c>
    </row>
    <row r="28" spans="1:12" x14ac:dyDescent="0.2">
      <c r="A28" s="399">
        <v>41192</v>
      </c>
      <c r="B28" s="397" t="s">
        <v>2530</v>
      </c>
      <c r="C28" s="158" t="s">
        <v>369</v>
      </c>
      <c r="D28" s="397">
        <v>100</v>
      </c>
      <c r="E28" s="166">
        <v>365.23</v>
      </c>
      <c r="F28" s="166">
        <v>36523.4</v>
      </c>
      <c r="G28" s="166">
        <v>265.54000000000002</v>
      </c>
      <c r="H28" s="397" t="s">
        <v>2973</v>
      </c>
      <c r="I28" s="397">
        <v>201213135</v>
      </c>
      <c r="J28" s="397" t="s">
        <v>199</v>
      </c>
      <c r="K28" s="397" t="s">
        <v>200</v>
      </c>
      <c r="L28" s="158" t="s">
        <v>204</v>
      </c>
    </row>
    <row r="29" spans="1:12" x14ac:dyDescent="0.2">
      <c r="A29" s="399">
        <v>41150</v>
      </c>
      <c r="B29" s="397" t="s">
        <v>1147</v>
      </c>
      <c r="C29" s="158" t="s">
        <v>369</v>
      </c>
      <c r="D29" s="397">
        <v>10000</v>
      </c>
      <c r="E29" s="166">
        <v>8.4</v>
      </c>
      <c r="F29" s="166">
        <v>84000</v>
      </c>
      <c r="G29" s="166">
        <v>653.86</v>
      </c>
      <c r="H29" s="397" t="s">
        <v>2974</v>
      </c>
      <c r="I29" s="397">
        <v>2012165</v>
      </c>
      <c r="J29" s="397" t="s">
        <v>199</v>
      </c>
      <c r="K29" s="397" t="s">
        <v>200</v>
      </c>
      <c r="L29" s="158" t="s">
        <v>201</v>
      </c>
    </row>
    <row r="30" spans="1:12" x14ac:dyDescent="0.2">
      <c r="A30" s="399">
        <v>41066</v>
      </c>
      <c r="B30" s="397" t="s">
        <v>2530</v>
      </c>
      <c r="C30" s="158" t="s">
        <v>369</v>
      </c>
      <c r="D30" s="397">
        <v>100</v>
      </c>
      <c r="E30" s="166">
        <v>213.04</v>
      </c>
      <c r="F30" s="166">
        <v>21304.25</v>
      </c>
      <c r="G30" s="166">
        <v>160.69999999999999</v>
      </c>
      <c r="H30" s="397" t="s">
        <v>2975</v>
      </c>
      <c r="I30" s="397">
        <v>201213048</v>
      </c>
      <c r="J30" s="397" t="s">
        <v>199</v>
      </c>
      <c r="K30" s="397" t="s">
        <v>200</v>
      </c>
      <c r="L30" s="158" t="s">
        <v>204</v>
      </c>
    </row>
    <row r="31" spans="1:12" x14ac:dyDescent="0.2">
      <c r="A31" s="399">
        <v>41066</v>
      </c>
      <c r="B31" s="397" t="s">
        <v>282</v>
      </c>
      <c r="C31" s="158" t="s">
        <v>369</v>
      </c>
      <c r="D31" s="397">
        <v>1500</v>
      </c>
      <c r="E31" s="166">
        <v>43.55</v>
      </c>
      <c r="F31" s="166">
        <v>65319.35</v>
      </c>
      <c r="G31" s="166">
        <v>491.93</v>
      </c>
      <c r="H31" s="397" t="s">
        <v>2976</v>
      </c>
      <c r="I31" s="397">
        <v>2012107</v>
      </c>
      <c r="J31" s="397" t="s">
        <v>199</v>
      </c>
      <c r="K31" s="397" t="s">
        <v>200</v>
      </c>
      <c r="L31" s="158" t="s">
        <v>201</v>
      </c>
    </row>
    <row r="32" spans="1:12" x14ac:dyDescent="0.2">
      <c r="D32" s="166"/>
      <c r="F32" s="166">
        <f>SUM(F23:F31)</f>
        <v>426010.39999999997</v>
      </c>
      <c r="G32" s="166">
        <f>SUM(G23:G31)</f>
        <v>3164.3799999999997</v>
      </c>
    </row>
    <row r="34" spans="1:10" ht="12.6" x14ac:dyDescent="0.2">
      <c r="D34" s="475"/>
      <c r="F34" s="475" t="s">
        <v>659</v>
      </c>
      <c r="G34" s="475">
        <f>F32-G32</f>
        <v>422846.01999999996</v>
      </c>
      <c r="H34" s="168"/>
    </row>
    <row r="36" spans="1:10" ht="12.6" x14ac:dyDescent="0.2">
      <c r="E36" s="153"/>
      <c r="F36" s="153"/>
      <c r="G36" s="153"/>
      <c r="I36" s="168"/>
      <c r="J36" s="398"/>
    </row>
    <row r="37" spans="1:10" x14ac:dyDescent="0.2">
      <c r="F37" s="17"/>
      <c r="G37" s="111"/>
    </row>
    <row r="38" spans="1:10" ht="13.2" x14ac:dyDescent="0.25">
      <c r="A38" s="54" t="s">
        <v>1281</v>
      </c>
    </row>
    <row r="39" spans="1:10" x14ac:dyDescent="0.2">
      <c r="A39" s="399"/>
    </row>
    <row r="40" spans="1:10" x14ac:dyDescent="0.2">
      <c r="A40" s="399"/>
    </row>
    <row r="41" spans="1:10" x14ac:dyDescent="0.2">
      <c r="A41" s="399"/>
      <c r="F41" s="166">
        <f>SUM(F39:F40)</f>
        <v>0</v>
      </c>
      <c r="G41" s="166">
        <f>SUM(G39:G40)</f>
        <v>0</v>
      </c>
    </row>
    <row r="42" spans="1:10" ht="12.6" x14ac:dyDescent="0.2">
      <c r="A42" s="399"/>
      <c r="F42" s="475" t="s">
        <v>1645</v>
      </c>
      <c r="G42" s="475">
        <f>F41+G41</f>
        <v>0</v>
      </c>
    </row>
    <row r="43" spans="1:10" x14ac:dyDescent="0.2">
      <c r="A43" s="399"/>
    </row>
    <row r="44" spans="1:10" ht="12.6" x14ac:dyDescent="0.25">
      <c r="A44" s="399"/>
      <c r="F44" s="167" t="s">
        <v>660</v>
      </c>
      <c r="G44" s="395">
        <f>G34-G20+G42</f>
        <v>6104.2299999999814</v>
      </c>
      <c r="H44" s="153"/>
    </row>
    <row r="141" spans="1:12" x14ac:dyDescent="0.2">
      <c r="A141" s="396"/>
      <c r="B141" s="153"/>
      <c r="C141" s="153"/>
      <c r="D141" s="153"/>
      <c r="E141" s="153"/>
      <c r="F141" s="153"/>
      <c r="G141" s="153"/>
      <c r="H141" s="153"/>
      <c r="I141" s="153"/>
      <c r="J141" s="153"/>
      <c r="K141" s="153"/>
      <c r="L141" s="153"/>
    </row>
    <row r="142" spans="1:12" x14ac:dyDescent="0.2">
      <c r="A142" s="396"/>
      <c r="B142" s="153"/>
      <c r="C142" s="153"/>
      <c r="D142" s="153"/>
      <c r="E142" s="153"/>
      <c r="F142" s="153"/>
      <c r="G142" s="153"/>
      <c r="H142" s="153"/>
      <c r="I142" s="153"/>
      <c r="J142" s="153"/>
      <c r="K142" s="153"/>
      <c r="L142" s="153"/>
    </row>
    <row r="143" spans="1:12" x14ac:dyDescent="0.2">
      <c r="A143" s="396"/>
      <c r="B143" s="153"/>
      <c r="C143" s="153"/>
      <c r="D143" s="153"/>
      <c r="E143" s="153"/>
      <c r="F143" s="153"/>
      <c r="G143" s="153"/>
      <c r="H143" s="153"/>
      <c r="I143" s="153"/>
      <c r="J143" s="153"/>
      <c r="K143" s="153"/>
      <c r="L143" s="153"/>
    </row>
    <row r="144" spans="1:12" x14ac:dyDescent="0.2">
      <c r="A144" s="396"/>
      <c r="B144" s="153"/>
      <c r="C144" s="153"/>
      <c r="D144" s="153"/>
      <c r="E144" s="153"/>
      <c r="F144" s="153"/>
      <c r="G144" s="153"/>
      <c r="H144" s="153"/>
      <c r="I144" s="153"/>
      <c r="J144" s="153"/>
      <c r="K144" s="153"/>
      <c r="L144" s="153"/>
    </row>
    <row r="145" spans="1:12" x14ac:dyDescent="0.2">
      <c r="A145" s="396"/>
      <c r="B145" s="153"/>
      <c r="C145" s="153"/>
      <c r="D145" s="153"/>
      <c r="E145" s="153"/>
      <c r="F145" s="153"/>
      <c r="G145" s="153"/>
      <c r="H145" s="153"/>
      <c r="I145" s="153"/>
      <c r="J145" s="153"/>
      <c r="K145" s="153"/>
      <c r="L145" s="153"/>
    </row>
    <row r="146" spans="1:12" x14ac:dyDescent="0.2">
      <c r="A146" s="396"/>
      <c r="B146" s="153"/>
      <c r="C146" s="153"/>
      <c r="D146" s="153"/>
      <c r="E146" s="153"/>
      <c r="F146" s="153"/>
      <c r="G146" s="153"/>
      <c r="H146" s="153"/>
      <c r="I146" s="153"/>
      <c r="J146" s="153"/>
      <c r="K146" s="153"/>
      <c r="L146" s="153"/>
    </row>
    <row r="147" spans="1:12" x14ac:dyDescent="0.2">
      <c r="A147" s="396"/>
      <c r="B147" s="153"/>
      <c r="C147" s="153"/>
      <c r="D147" s="153"/>
      <c r="E147" s="153"/>
      <c r="F147" s="153"/>
      <c r="G147" s="153"/>
      <c r="H147" s="153"/>
      <c r="I147" s="153"/>
      <c r="J147" s="153"/>
      <c r="K147" s="153"/>
      <c r="L147" s="153"/>
    </row>
    <row r="148" spans="1:12" x14ac:dyDescent="0.2">
      <c r="A148" s="396"/>
      <c r="B148" s="153"/>
      <c r="C148" s="153"/>
      <c r="D148" s="153"/>
      <c r="E148" s="153"/>
      <c r="F148" s="153"/>
      <c r="G148" s="153"/>
      <c r="H148" s="153"/>
      <c r="I148" s="153"/>
      <c r="J148" s="153"/>
      <c r="K148" s="153"/>
      <c r="L148" s="153"/>
    </row>
    <row r="149" spans="1:12" x14ac:dyDescent="0.2">
      <c r="A149" s="396"/>
      <c r="B149" s="153"/>
      <c r="C149" s="153"/>
      <c r="D149" s="153"/>
      <c r="E149" s="153"/>
      <c r="F149" s="153"/>
      <c r="G149" s="153"/>
      <c r="H149" s="153"/>
      <c r="I149" s="153"/>
      <c r="J149" s="153"/>
      <c r="K149" s="153"/>
      <c r="L149" s="153"/>
    </row>
    <row r="150" spans="1:12" x14ac:dyDescent="0.2">
      <c r="A150" s="396"/>
      <c r="B150" s="153"/>
      <c r="C150" s="153"/>
      <c r="D150" s="153"/>
      <c r="E150" s="153"/>
      <c r="F150" s="153"/>
      <c r="G150" s="153"/>
      <c r="H150" s="153"/>
      <c r="I150" s="153"/>
      <c r="J150" s="153"/>
      <c r="K150" s="153"/>
      <c r="L150" s="153"/>
    </row>
    <row r="151" spans="1:12" x14ac:dyDescent="0.2">
      <c r="A151" s="396"/>
      <c r="B151" s="153"/>
      <c r="C151" s="153"/>
      <c r="D151" s="153"/>
      <c r="E151" s="153"/>
      <c r="F151" s="153"/>
      <c r="G151" s="153"/>
      <c r="H151" s="153"/>
      <c r="I151" s="153"/>
      <c r="J151" s="153"/>
      <c r="K151" s="153"/>
      <c r="L151" s="153"/>
    </row>
    <row r="152" spans="1:12" x14ac:dyDescent="0.2">
      <c r="A152" s="396"/>
      <c r="B152" s="153"/>
      <c r="C152" s="153"/>
      <c r="D152" s="153"/>
      <c r="E152" s="153"/>
      <c r="F152" s="153"/>
      <c r="G152" s="153"/>
      <c r="H152" s="153"/>
      <c r="I152" s="153"/>
      <c r="J152" s="153"/>
      <c r="K152" s="153"/>
      <c r="L152" s="153"/>
    </row>
    <row r="153" spans="1:12" x14ac:dyDescent="0.2">
      <c r="A153" s="396"/>
      <c r="B153" s="153"/>
      <c r="C153" s="153"/>
      <c r="D153" s="153"/>
      <c r="E153" s="153"/>
      <c r="F153" s="153"/>
      <c r="G153" s="153"/>
      <c r="H153" s="153"/>
      <c r="I153" s="153"/>
      <c r="J153" s="153"/>
      <c r="K153" s="153"/>
      <c r="L153" s="153"/>
    </row>
    <row r="154" spans="1:12" x14ac:dyDescent="0.2">
      <c r="A154" s="396"/>
      <c r="B154" s="153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</row>
    <row r="155" spans="1:12" x14ac:dyDescent="0.2">
      <c r="A155" s="396"/>
      <c r="B155" s="153"/>
      <c r="C155" s="153"/>
      <c r="D155" s="153"/>
      <c r="E155" s="153"/>
      <c r="F155" s="153"/>
      <c r="G155" s="153"/>
      <c r="H155" s="153"/>
      <c r="I155" s="153"/>
      <c r="J155" s="153"/>
      <c r="K155" s="153"/>
      <c r="L155" s="153"/>
    </row>
    <row r="156" spans="1:12" x14ac:dyDescent="0.2">
      <c r="A156" s="396"/>
      <c r="B156" s="153"/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</row>
    <row r="157" spans="1:12" x14ac:dyDescent="0.2">
      <c r="A157" s="396"/>
      <c r="B157" s="153"/>
      <c r="C157" s="153"/>
      <c r="D157" s="153"/>
      <c r="E157" s="153"/>
      <c r="F157" s="153"/>
      <c r="G157" s="153"/>
      <c r="H157" s="153"/>
      <c r="I157" s="153"/>
      <c r="J157" s="153"/>
      <c r="K157" s="153"/>
      <c r="L157" s="153"/>
    </row>
    <row r="158" spans="1:12" x14ac:dyDescent="0.2">
      <c r="A158" s="396"/>
      <c r="B158" s="153"/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</row>
    <row r="159" spans="1:12" x14ac:dyDescent="0.2">
      <c r="A159" s="396"/>
      <c r="B159" s="153"/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</row>
    <row r="160" spans="1:12" x14ac:dyDescent="0.2">
      <c r="A160" s="396"/>
      <c r="B160" s="153"/>
      <c r="C160" s="153"/>
      <c r="D160" s="153"/>
      <c r="E160" s="153"/>
      <c r="F160" s="153"/>
      <c r="G160" s="153"/>
      <c r="H160" s="153"/>
      <c r="I160" s="153"/>
      <c r="J160" s="153"/>
      <c r="K160" s="153"/>
      <c r="L160" s="153"/>
    </row>
    <row r="161" spans="1:12" x14ac:dyDescent="0.2">
      <c r="A161" s="396"/>
      <c r="B161" s="153"/>
      <c r="C161" s="153"/>
      <c r="D161" s="153"/>
      <c r="E161" s="153"/>
      <c r="F161" s="153"/>
      <c r="G161" s="153"/>
      <c r="H161" s="153"/>
      <c r="I161" s="153"/>
      <c r="J161" s="153"/>
      <c r="K161" s="153"/>
      <c r="L161" s="153"/>
    </row>
    <row r="162" spans="1:12" x14ac:dyDescent="0.2">
      <c r="A162" s="396"/>
      <c r="B162" s="153"/>
      <c r="C162" s="153"/>
      <c r="D162" s="153"/>
      <c r="E162" s="153"/>
      <c r="F162" s="153"/>
      <c r="G162" s="153"/>
      <c r="H162" s="153"/>
      <c r="I162" s="153"/>
      <c r="J162" s="153"/>
      <c r="K162" s="153"/>
      <c r="L162" s="153"/>
    </row>
    <row r="163" spans="1:12" x14ac:dyDescent="0.2">
      <c r="A163" s="396"/>
      <c r="B163" s="153"/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</row>
    <row r="164" spans="1:12" x14ac:dyDescent="0.2">
      <c r="A164" s="396"/>
      <c r="B164" s="153"/>
      <c r="C164" s="153"/>
      <c r="D164" s="153"/>
      <c r="E164" s="153"/>
      <c r="F164" s="153"/>
      <c r="G164" s="153"/>
      <c r="H164" s="153"/>
      <c r="I164" s="153"/>
      <c r="J164" s="153"/>
      <c r="K164" s="153"/>
      <c r="L164" s="153"/>
    </row>
    <row r="165" spans="1:12" x14ac:dyDescent="0.2">
      <c r="A165" s="396"/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</row>
    <row r="166" spans="1:12" x14ac:dyDescent="0.2">
      <c r="A166" s="396"/>
      <c r="B166" s="153"/>
      <c r="C166" s="153"/>
      <c r="D166" s="153"/>
      <c r="E166" s="153"/>
      <c r="F166" s="153"/>
      <c r="G166" s="153"/>
      <c r="H166" s="153"/>
      <c r="I166" s="153"/>
      <c r="J166" s="153"/>
      <c r="K166" s="153"/>
      <c r="L166" s="153"/>
    </row>
    <row r="167" spans="1:12" x14ac:dyDescent="0.2">
      <c r="A167" s="396"/>
      <c r="B167" s="153"/>
      <c r="C167" s="153"/>
      <c r="D167" s="153"/>
      <c r="E167" s="153"/>
      <c r="F167" s="153"/>
      <c r="G167" s="153"/>
      <c r="H167" s="153"/>
      <c r="I167" s="153"/>
      <c r="J167" s="153"/>
      <c r="K167" s="153"/>
      <c r="L167" s="153"/>
    </row>
    <row r="168" spans="1:12" x14ac:dyDescent="0.2">
      <c r="A168" s="396"/>
      <c r="B168" s="153"/>
      <c r="C168" s="153"/>
      <c r="D168" s="153"/>
      <c r="E168" s="153"/>
      <c r="F168" s="153"/>
      <c r="G168" s="153"/>
      <c r="H168" s="153"/>
      <c r="I168" s="153"/>
      <c r="J168" s="153"/>
      <c r="K168" s="153"/>
      <c r="L168" s="153"/>
    </row>
    <row r="169" spans="1:12" x14ac:dyDescent="0.2">
      <c r="A169" s="396"/>
      <c r="B169" s="153"/>
      <c r="C169" s="153"/>
      <c r="D169" s="153"/>
      <c r="E169" s="153"/>
      <c r="F169" s="153"/>
      <c r="G169" s="153"/>
      <c r="H169" s="153"/>
      <c r="I169" s="153"/>
      <c r="J169" s="153"/>
      <c r="K169" s="153"/>
      <c r="L169" s="153"/>
    </row>
    <row r="170" spans="1:12" x14ac:dyDescent="0.2">
      <c r="A170" s="396"/>
      <c r="B170" s="153"/>
      <c r="C170" s="153"/>
      <c r="D170" s="153"/>
      <c r="E170" s="153"/>
      <c r="F170" s="153"/>
      <c r="G170" s="153"/>
      <c r="H170" s="153"/>
      <c r="I170" s="153"/>
      <c r="J170" s="153"/>
      <c r="K170" s="153"/>
      <c r="L170" s="153"/>
    </row>
    <row r="171" spans="1:12" x14ac:dyDescent="0.2">
      <c r="A171" s="396"/>
      <c r="B171" s="153"/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</row>
    <row r="172" spans="1:12" x14ac:dyDescent="0.2">
      <c r="A172" s="396"/>
      <c r="B172" s="153"/>
      <c r="C172" s="153"/>
      <c r="D172" s="153"/>
      <c r="E172" s="153"/>
      <c r="F172" s="153"/>
      <c r="G172" s="153"/>
      <c r="H172" s="153"/>
      <c r="I172" s="153"/>
      <c r="J172" s="153"/>
      <c r="K172" s="153"/>
      <c r="L172" s="153"/>
    </row>
    <row r="173" spans="1:12" x14ac:dyDescent="0.2">
      <c r="A173" s="396"/>
      <c r="B173" s="153"/>
      <c r="C173" s="153"/>
      <c r="D173" s="153"/>
      <c r="E173" s="153"/>
      <c r="F173" s="153"/>
      <c r="G173" s="153"/>
      <c r="H173" s="153"/>
      <c r="I173" s="153"/>
      <c r="J173" s="153"/>
      <c r="K173" s="153"/>
      <c r="L173" s="153"/>
    </row>
    <row r="174" spans="1:12" x14ac:dyDescent="0.2">
      <c r="A174" s="396"/>
      <c r="B174" s="153"/>
      <c r="C174" s="153"/>
      <c r="D174" s="153"/>
      <c r="E174" s="153"/>
      <c r="F174" s="153"/>
      <c r="G174" s="153"/>
      <c r="H174" s="153"/>
      <c r="I174" s="153"/>
      <c r="J174" s="153"/>
      <c r="K174" s="153"/>
      <c r="L174" s="153"/>
    </row>
    <row r="175" spans="1:12" x14ac:dyDescent="0.2">
      <c r="A175" s="396"/>
      <c r="B175" s="153"/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</row>
    <row r="176" spans="1:12" x14ac:dyDescent="0.2">
      <c r="A176" s="396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</row>
    <row r="177" spans="1:12" x14ac:dyDescent="0.2">
      <c r="A177" s="396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</row>
    <row r="178" spans="1:12" x14ac:dyDescent="0.2">
      <c r="A178" s="396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</row>
    <row r="179" spans="1:12" x14ac:dyDescent="0.2">
      <c r="A179" s="396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</row>
    <row r="180" spans="1:12" x14ac:dyDescent="0.2">
      <c r="A180" s="396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</row>
    <row r="181" spans="1:12" x14ac:dyDescent="0.2">
      <c r="A181" s="396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</row>
    <row r="182" spans="1:12" x14ac:dyDescent="0.2">
      <c r="A182" s="396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</row>
    <row r="183" spans="1:12" x14ac:dyDescent="0.2">
      <c r="A183" s="396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</row>
    <row r="184" spans="1:12" x14ac:dyDescent="0.2">
      <c r="A184" s="396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</row>
    <row r="185" spans="1:12" x14ac:dyDescent="0.2">
      <c r="A185" s="396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</row>
    <row r="186" spans="1:12" x14ac:dyDescent="0.2">
      <c r="A186" s="396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</row>
    <row r="187" spans="1:12" x14ac:dyDescent="0.2">
      <c r="A187" s="396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</row>
    <row r="188" spans="1:12" x14ac:dyDescent="0.2">
      <c r="A188" s="396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</row>
    <row r="189" spans="1:12" x14ac:dyDescent="0.2">
      <c r="A189" s="396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</row>
    <row r="190" spans="1:12" x14ac:dyDescent="0.2">
      <c r="A190" s="396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</row>
    <row r="191" spans="1:12" x14ac:dyDescent="0.2">
      <c r="A191" s="396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</row>
    <row r="192" spans="1:12" x14ac:dyDescent="0.2">
      <c r="A192" s="396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</row>
    <row r="193" spans="1:12" x14ac:dyDescent="0.2">
      <c r="A193" s="396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</row>
    <row r="194" spans="1:12" x14ac:dyDescent="0.2">
      <c r="A194" s="396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</row>
    <row r="195" spans="1:12" x14ac:dyDescent="0.2">
      <c r="A195" s="396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</row>
    <row r="196" spans="1:12" x14ac:dyDescent="0.2">
      <c r="A196" s="396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</row>
    <row r="197" spans="1:12" x14ac:dyDescent="0.2">
      <c r="A197" s="396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</row>
    <row r="198" spans="1:12" x14ac:dyDescent="0.2">
      <c r="A198" s="396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</row>
    <row r="199" spans="1:12" x14ac:dyDescent="0.2">
      <c r="A199" s="396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</row>
    <row r="200" spans="1:12" x14ac:dyDescent="0.2">
      <c r="A200" s="396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</row>
    <row r="201" spans="1:12" x14ac:dyDescent="0.2">
      <c r="A201" s="396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</row>
    <row r="202" spans="1:12" x14ac:dyDescent="0.2">
      <c r="A202" s="396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</row>
    <row r="203" spans="1:12" x14ac:dyDescent="0.2">
      <c r="A203" s="396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</row>
    <row r="204" spans="1:12" x14ac:dyDescent="0.2">
      <c r="A204" s="396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</row>
    <row r="205" spans="1:12" x14ac:dyDescent="0.2">
      <c r="A205" s="396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</row>
    <row r="206" spans="1:12" x14ac:dyDescent="0.2">
      <c r="A206" s="396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</row>
    <row r="207" spans="1:12" x14ac:dyDescent="0.2">
      <c r="A207" s="396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</row>
    <row r="208" spans="1:12" x14ac:dyDescent="0.2">
      <c r="A208" s="396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</row>
    <row r="209" spans="1:12" x14ac:dyDescent="0.2">
      <c r="A209" s="396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</row>
    <row r="210" spans="1:12" x14ac:dyDescent="0.2">
      <c r="A210" s="396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</row>
    <row r="211" spans="1:12" x14ac:dyDescent="0.2">
      <c r="A211" s="396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</row>
    <row r="212" spans="1:12" x14ac:dyDescent="0.2">
      <c r="A212" s="396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</row>
  </sheetData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0"/>
  <sheetViews>
    <sheetView topLeftCell="A172" workbookViewId="0">
      <selection activeCell="P22" sqref="P22"/>
    </sheetView>
  </sheetViews>
  <sheetFormatPr defaultColWidth="9.21875" defaultRowHeight="12" x14ac:dyDescent="0.2"/>
  <cols>
    <col min="1" max="2" width="10.77734375" style="397" customWidth="1"/>
    <col min="3" max="3" width="10.77734375" style="158" customWidth="1"/>
    <col min="4" max="4" width="10.77734375" style="638" customWidth="1"/>
    <col min="5" max="7" width="10.77734375" style="166" customWidth="1"/>
    <col min="8" max="8" width="25.77734375" style="397" customWidth="1"/>
    <col min="9" max="9" width="9.21875" style="397" customWidth="1"/>
    <col min="10" max="10" width="9.21875" style="397"/>
    <col min="11" max="11" width="20.77734375" style="397" customWidth="1"/>
    <col min="12" max="12" width="10.77734375" style="158" customWidth="1"/>
    <col min="13" max="16384" width="9.21875" style="153"/>
  </cols>
  <sheetData>
    <row r="1" spans="1:12" ht="24" x14ac:dyDescent="0.2">
      <c r="A1" s="217" t="s">
        <v>184</v>
      </c>
      <c r="B1" s="217" t="s">
        <v>185</v>
      </c>
      <c r="C1" s="217" t="s">
        <v>186</v>
      </c>
      <c r="D1" s="636" t="s">
        <v>187</v>
      </c>
      <c r="E1" s="218" t="s">
        <v>188</v>
      </c>
      <c r="F1" s="218" t="s">
        <v>189</v>
      </c>
      <c r="G1" s="218" t="s">
        <v>190</v>
      </c>
      <c r="H1" s="217" t="s">
        <v>191</v>
      </c>
      <c r="I1" s="217" t="s">
        <v>192</v>
      </c>
      <c r="J1" s="217" t="s">
        <v>193</v>
      </c>
      <c r="K1" s="217" t="s">
        <v>194</v>
      </c>
      <c r="L1" s="217" t="s">
        <v>195</v>
      </c>
    </row>
    <row r="2" spans="1:12" ht="12.6" x14ac:dyDescent="0.25">
      <c r="A2" s="154" t="s">
        <v>1054</v>
      </c>
      <c r="B2" s="396"/>
      <c r="C2" s="155"/>
      <c r="D2" s="637"/>
      <c r="E2" s="394"/>
      <c r="F2" s="394"/>
      <c r="G2" s="394"/>
      <c r="H2" s="396"/>
      <c r="I2" s="396"/>
      <c r="J2" s="396"/>
      <c r="K2" s="396"/>
      <c r="L2" s="155"/>
    </row>
    <row r="3" spans="1:12" x14ac:dyDescent="0.2">
      <c r="A3" s="399">
        <v>40597</v>
      </c>
      <c r="B3" s="397" t="s">
        <v>219</v>
      </c>
      <c r="C3" s="158" t="s">
        <v>197</v>
      </c>
      <c r="D3" s="638">
        <v>26</v>
      </c>
      <c r="E3" s="166">
        <v>134.4</v>
      </c>
      <c r="F3" s="166">
        <v>3494.4</v>
      </c>
      <c r="G3" s="166">
        <v>32.04</v>
      </c>
      <c r="H3" s="397" t="s">
        <v>220</v>
      </c>
      <c r="I3" s="397">
        <v>2011037</v>
      </c>
      <c r="J3" s="397" t="s">
        <v>199</v>
      </c>
      <c r="K3" s="397" t="s">
        <v>200</v>
      </c>
      <c r="L3" s="158" t="s">
        <v>201</v>
      </c>
    </row>
    <row r="4" spans="1:12" x14ac:dyDescent="0.2">
      <c r="A4" s="399">
        <v>40595</v>
      </c>
      <c r="B4" s="397" t="s">
        <v>219</v>
      </c>
      <c r="C4" s="158" t="s">
        <v>197</v>
      </c>
      <c r="D4" s="638">
        <v>24</v>
      </c>
      <c r="E4" s="166">
        <v>132.69999999999999</v>
      </c>
      <c r="F4" s="166">
        <v>3184.8</v>
      </c>
      <c r="G4" s="166">
        <v>31.99</v>
      </c>
      <c r="H4" s="397" t="s">
        <v>226</v>
      </c>
      <c r="I4" s="397">
        <v>2011035</v>
      </c>
      <c r="J4" s="397" t="s">
        <v>199</v>
      </c>
      <c r="K4" s="397" t="s">
        <v>200</v>
      </c>
      <c r="L4" s="158" t="s">
        <v>201</v>
      </c>
    </row>
    <row r="5" spans="1:12" x14ac:dyDescent="0.2">
      <c r="A5" s="399">
        <v>40590</v>
      </c>
      <c r="B5" s="397" t="s">
        <v>219</v>
      </c>
      <c r="C5" s="158" t="s">
        <v>197</v>
      </c>
      <c r="D5" s="638">
        <v>26</v>
      </c>
      <c r="E5" s="166">
        <v>136.9</v>
      </c>
      <c r="F5" s="166">
        <v>3559.4</v>
      </c>
      <c r="G5" s="166">
        <v>32.28</v>
      </c>
      <c r="H5" s="397" t="s">
        <v>230</v>
      </c>
      <c r="I5" s="397">
        <v>2011032</v>
      </c>
      <c r="J5" s="397" t="s">
        <v>199</v>
      </c>
      <c r="K5" s="397" t="s">
        <v>200</v>
      </c>
      <c r="L5" s="158" t="s">
        <v>201</v>
      </c>
    </row>
    <row r="6" spans="1:12" x14ac:dyDescent="0.2">
      <c r="A6" s="399">
        <v>40596</v>
      </c>
      <c r="B6" s="397" t="s">
        <v>222</v>
      </c>
      <c r="C6" s="158" t="s">
        <v>197</v>
      </c>
      <c r="D6" s="638">
        <v>30</v>
      </c>
      <c r="E6" s="166">
        <v>130.25</v>
      </c>
      <c r="F6" s="166">
        <v>3907.5</v>
      </c>
      <c r="G6" s="166">
        <v>32.520000000000003</v>
      </c>
      <c r="H6" s="397" t="s">
        <v>223</v>
      </c>
      <c r="I6" s="397">
        <v>201011230</v>
      </c>
      <c r="J6" s="397" t="s">
        <v>199</v>
      </c>
      <c r="K6" s="397" t="s">
        <v>200</v>
      </c>
      <c r="L6" s="158" t="s">
        <v>204</v>
      </c>
    </row>
    <row r="7" spans="1:12" x14ac:dyDescent="0.2">
      <c r="A7" s="399">
        <v>40591</v>
      </c>
      <c r="B7" s="397" t="s">
        <v>222</v>
      </c>
      <c r="C7" s="158" t="s">
        <v>197</v>
      </c>
      <c r="D7" s="638">
        <v>25</v>
      </c>
      <c r="E7" s="166">
        <v>128.05000000000001</v>
      </c>
      <c r="F7" s="166">
        <v>3201.25</v>
      </c>
      <c r="G7" s="166">
        <v>32.24</v>
      </c>
      <c r="H7" s="397" t="s">
        <v>228</v>
      </c>
      <c r="I7" s="397">
        <v>2011033</v>
      </c>
      <c r="J7" s="397" t="s">
        <v>199</v>
      </c>
      <c r="K7" s="397" t="s">
        <v>200</v>
      </c>
      <c r="L7" s="158" t="s">
        <v>201</v>
      </c>
    </row>
    <row r="8" spans="1:12" x14ac:dyDescent="0.2">
      <c r="A8" s="399">
        <v>40588</v>
      </c>
      <c r="B8" s="397" t="s">
        <v>222</v>
      </c>
      <c r="C8" s="158" t="s">
        <v>197</v>
      </c>
      <c r="D8" s="638">
        <v>30</v>
      </c>
      <c r="E8" s="166">
        <v>120.45</v>
      </c>
      <c r="F8" s="166">
        <v>3613.5</v>
      </c>
      <c r="G8" s="166">
        <v>32.58</v>
      </c>
      <c r="H8" s="397" t="s">
        <v>232</v>
      </c>
      <c r="I8" s="397">
        <v>2011030</v>
      </c>
      <c r="J8" s="397" t="s">
        <v>199</v>
      </c>
      <c r="K8" s="397" t="s">
        <v>200</v>
      </c>
      <c r="L8" s="158" t="s">
        <v>201</v>
      </c>
    </row>
    <row r="9" spans="1:12" x14ac:dyDescent="0.2">
      <c r="A9" s="399">
        <v>40596</v>
      </c>
      <c r="B9" s="397" t="s">
        <v>224</v>
      </c>
      <c r="C9" s="158" t="s">
        <v>197</v>
      </c>
      <c r="D9" s="638">
        <v>80</v>
      </c>
      <c r="E9" s="166">
        <v>45.25</v>
      </c>
      <c r="F9" s="166">
        <v>3620</v>
      </c>
      <c r="G9" s="166">
        <v>33.07</v>
      </c>
      <c r="H9" s="397" t="s">
        <v>225</v>
      </c>
      <c r="I9" s="397">
        <v>2011036</v>
      </c>
      <c r="J9" s="397" t="s">
        <v>199</v>
      </c>
      <c r="K9" s="397" t="s">
        <v>200</v>
      </c>
      <c r="L9" s="158" t="s">
        <v>201</v>
      </c>
    </row>
    <row r="10" spans="1:12" x14ac:dyDescent="0.2">
      <c r="A10" s="399">
        <v>40592</v>
      </c>
      <c r="B10" s="397" t="s">
        <v>224</v>
      </c>
      <c r="C10" s="158" t="s">
        <v>197</v>
      </c>
      <c r="D10" s="638">
        <v>70</v>
      </c>
      <c r="E10" s="166">
        <v>46.15</v>
      </c>
      <c r="F10" s="166">
        <v>3230.5</v>
      </c>
      <c r="G10" s="166">
        <v>32.049999999999997</v>
      </c>
      <c r="H10" s="397" t="s">
        <v>227</v>
      </c>
      <c r="I10" s="397">
        <v>2011034</v>
      </c>
      <c r="J10" s="397" t="s">
        <v>199</v>
      </c>
      <c r="K10" s="397" t="s">
        <v>200</v>
      </c>
      <c r="L10" s="158" t="s">
        <v>201</v>
      </c>
    </row>
    <row r="11" spans="1:12" x14ac:dyDescent="0.2">
      <c r="A11" s="399">
        <v>40588</v>
      </c>
      <c r="B11" s="397" t="s">
        <v>224</v>
      </c>
      <c r="C11" s="158" t="s">
        <v>197</v>
      </c>
      <c r="D11" s="638">
        <v>88</v>
      </c>
      <c r="E11" s="166">
        <v>43.15</v>
      </c>
      <c r="F11" s="166">
        <v>3797.2</v>
      </c>
      <c r="G11" s="166">
        <v>32.520000000000003</v>
      </c>
      <c r="H11" s="397" t="s">
        <v>231</v>
      </c>
      <c r="I11" s="397">
        <v>2011030</v>
      </c>
      <c r="J11" s="397" t="s">
        <v>199</v>
      </c>
      <c r="K11" s="397" t="s">
        <v>200</v>
      </c>
      <c r="L11" s="158" t="s">
        <v>201</v>
      </c>
    </row>
    <row r="12" spans="1:12" x14ac:dyDescent="0.2">
      <c r="A12" s="399">
        <v>40598</v>
      </c>
      <c r="B12" s="397" t="s">
        <v>217</v>
      </c>
      <c r="C12" s="158" t="s">
        <v>197</v>
      </c>
      <c r="D12" s="638">
        <v>75</v>
      </c>
      <c r="E12" s="166">
        <v>40.549999999999997</v>
      </c>
      <c r="F12" s="166">
        <v>3041.25</v>
      </c>
      <c r="G12" s="166">
        <v>31.78</v>
      </c>
      <c r="H12" s="397" t="s">
        <v>218</v>
      </c>
      <c r="I12" s="397">
        <v>2011038</v>
      </c>
      <c r="J12" s="397" t="s">
        <v>199</v>
      </c>
      <c r="K12" s="397" t="s">
        <v>200</v>
      </c>
      <c r="L12" s="158" t="s">
        <v>201</v>
      </c>
    </row>
    <row r="13" spans="1:12" x14ac:dyDescent="0.2">
      <c r="A13" s="399">
        <v>40596</v>
      </c>
      <c r="B13" s="397" t="s">
        <v>217</v>
      </c>
      <c r="C13" s="158" t="s">
        <v>197</v>
      </c>
      <c r="D13" s="638">
        <v>85</v>
      </c>
      <c r="E13" s="166">
        <v>43.1</v>
      </c>
      <c r="F13" s="166">
        <v>3663.5</v>
      </c>
      <c r="G13" s="166">
        <v>32.65</v>
      </c>
      <c r="H13" s="397" t="s">
        <v>221</v>
      </c>
      <c r="I13" s="397">
        <v>201011230</v>
      </c>
      <c r="J13" s="397" t="s">
        <v>199</v>
      </c>
      <c r="K13" s="397" t="s">
        <v>200</v>
      </c>
      <c r="L13" s="158" t="s">
        <v>204</v>
      </c>
    </row>
    <row r="14" spans="1:12" x14ac:dyDescent="0.2">
      <c r="A14" s="399">
        <v>40590</v>
      </c>
      <c r="B14" s="397" t="s">
        <v>217</v>
      </c>
      <c r="C14" s="158" t="s">
        <v>197</v>
      </c>
      <c r="D14" s="638">
        <v>90</v>
      </c>
      <c r="E14" s="166">
        <v>42.4</v>
      </c>
      <c r="F14" s="166">
        <v>3816</v>
      </c>
      <c r="G14" s="166">
        <v>32.869999999999997</v>
      </c>
      <c r="H14" s="397" t="s">
        <v>229</v>
      </c>
      <c r="I14" s="397">
        <v>2011032</v>
      </c>
      <c r="J14" s="397" t="s">
        <v>199</v>
      </c>
      <c r="K14" s="397" t="s">
        <v>200</v>
      </c>
      <c r="L14" s="158" t="s">
        <v>201</v>
      </c>
    </row>
    <row r="15" spans="1:12" x14ac:dyDescent="0.2">
      <c r="A15" s="399">
        <v>40582</v>
      </c>
      <c r="B15" s="397" t="s">
        <v>235</v>
      </c>
      <c r="C15" s="158" t="s">
        <v>197</v>
      </c>
      <c r="D15" s="638">
        <v>300</v>
      </c>
      <c r="E15" s="166">
        <v>24.25</v>
      </c>
      <c r="F15" s="166">
        <v>7275</v>
      </c>
      <c r="G15" s="166">
        <v>54.21</v>
      </c>
      <c r="H15" s="397" t="s">
        <v>236</v>
      </c>
      <c r="I15" s="397">
        <v>2011026</v>
      </c>
      <c r="J15" s="397" t="s">
        <v>199</v>
      </c>
      <c r="K15" s="397" t="s">
        <v>200</v>
      </c>
      <c r="L15" s="158" t="s">
        <v>201</v>
      </c>
    </row>
    <row r="16" spans="1:12" x14ac:dyDescent="0.2">
      <c r="A16" s="399">
        <v>40470</v>
      </c>
      <c r="B16" s="397" t="s">
        <v>282</v>
      </c>
      <c r="C16" s="158" t="s">
        <v>197</v>
      </c>
      <c r="D16" s="638">
        <v>740</v>
      </c>
      <c r="E16" s="166">
        <v>39.9</v>
      </c>
      <c r="F16" s="166">
        <v>29526</v>
      </c>
      <c r="G16" s="166">
        <v>220.06119999999999</v>
      </c>
      <c r="H16" s="397" t="s">
        <v>283</v>
      </c>
      <c r="I16" s="397">
        <v>2010200</v>
      </c>
      <c r="J16" s="397" t="s">
        <v>199</v>
      </c>
      <c r="K16" s="397" t="s">
        <v>200</v>
      </c>
      <c r="L16" s="158" t="s">
        <v>201</v>
      </c>
    </row>
    <row r="17" spans="1:12" x14ac:dyDescent="0.2">
      <c r="A17" s="399"/>
    </row>
    <row r="18" spans="1:12" ht="12.6" x14ac:dyDescent="0.25">
      <c r="A18" s="159" t="s">
        <v>2737</v>
      </c>
    </row>
    <row r="19" spans="1:12" x14ac:dyDescent="0.2">
      <c r="A19" s="399">
        <v>40967</v>
      </c>
      <c r="B19" s="397" t="s">
        <v>282</v>
      </c>
      <c r="C19" s="158" t="s">
        <v>197</v>
      </c>
      <c r="D19" s="638">
        <f>500/2</f>
        <v>250</v>
      </c>
      <c r="E19" s="166">
        <v>40.5</v>
      </c>
      <c r="F19" s="166">
        <f>D19*E19</f>
        <v>10125</v>
      </c>
      <c r="G19" s="166">
        <f>150.58/2</f>
        <v>75.290000000000006</v>
      </c>
      <c r="H19" s="397" t="s">
        <v>2524</v>
      </c>
      <c r="I19" s="397">
        <v>2012040</v>
      </c>
      <c r="J19" s="397" t="s">
        <v>199</v>
      </c>
      <c r="K19" s="397" t="s">
        <v>1051</v>
      </c>
      <c r="L19" s="158" t="s">
        <v>201</v>
      </c>
    </row>
    <row r="20" spans="1:12" x14ac:dyDescent="0.2">
      <c r="A20" s="399">
        <v>40955</v>
      </c>
      <c r="B20" s="397" t="s">
        <v>2525</v>
      </c>
      <c r="C20" s="158" t="s">
        <v>197</v>
      </c>
      <c r="D20" s="638">
        <v>1000</v>
      </c>
      <c r="E20" s="166">
        <v>56.55</v>
      </c>
      <c r="F20" s="166">
        <v>56554.9</v>
      </c>
      <c r="G20" s="166">
        <v>421.43</v>
      </c>
      <c r="H20" s="397" t="s">
        <v>2528</v>
      </c>
      <c r="I20" s="397">
        <v>2012033</v>
      </c>
      <c r="J20" s="397" t="s">
        <v>199</v>
      </c>
      <c r="K20" s="397" t="s">
        <v>1051</v>
      </c>
      <c r="L20" s="158" t="s">
        <v>201</v>
      </c>
    </row>
    <row r="21" spans="1:12" x14ac:dyDescent="0.2">
      <c r="A21" s="399">
        <v>40949</v>
      </c>
      <c r="B21" s="397" t="s">
        <v>1697</v>
      </c>
      <c r="C21" s="158" t="s">
        <v>197</v>
      </c>
      <c r="D21" s="638">
        <v>300</v>
      </c>
      <c r="E21" s="166">
        <v>352.94</v>
      </c>
      <c r="F21" s="166">
        <v>105882.4</v>
      </c>
      <c r="G21" s="166">
        <v>788.74</v>
      </c>
      <c r="H21" s="397" t="s">
        <v>2529</v>
      </c>
      <c r="I21" s="397">
        <v>201112217</v>
      </c>
      <c r="J21" s="397" t="s">
        <v>199</v>
      </c>
      <c r="K21" s="397" t="s">
        <v>1051</v>
      </c>
      <c r="L21" s="158" t="s">
        <v>204</v>
      </c>
    </row>
    <row r="22" spans="1:12" x14ac:dyDescent="0.2">
      <c r="A22" s="399">
        <v>40938</v>
      </c>
      <c r="B22" s="397" t="s">
        <v>2532</v>
      </c>
      <c r="C22" s="158" t="s">
        <v>197</v>
      </c>
      <c r="D22" s="638">
        <v>5000</v>
      </c>
      <c r="E22" s="166">
        <v>15.35</v>
      </c>
      <c r="F22" s="166">
        <v>76750</v>
      </c>
      <c r="G22" s="166">
        <v>571.87</v>
      </c>
      <c r="H22" s="397" t="s">
        <v>2536</v>
      </c>
      <c r="I22" s="397">
        <v>2012020</v>
      </c>
      <c r="J22" s="397" t="s">
        <v>199</v>
      </c>
      <c r="K22" s="397" t="s">
        <v>1051</v>
      </c>
      <c r="L22" s="158" t="s">
        <v>201</v>
      </c>
    </row>
    <row r="23" spans="1:12" x14ac:dyDescent="0.2">
      <c r="A23" s="399">
        <v>40938</v>
      </c>
      <c r="B23" s="397" t="s">
        <v>2532</v>
      </c>
      <c r="C23" s="158" t="s">
        <v>197</v>
      </c>
      <c r="D23" s="638">
        <v>500</v>
      </c>
      <c r="E23" s="166">
        <v>15.3</v>
      </c>
      <c r="F23" s="166">
        <v>7650</v>
      </c>
      <c r="G23" s="166">
        <v>57.03</v>
      </c>
      <c r="H23" s="397" t="s">
        <v>2537</v>
      </c>
      <c r="I23" s="397">
        <v>2012020</v>
      </c>
      <c r="J23" s="397" t="s">
        <v>199</v>
      </c>
      <c r="K23" s="397" t="s">
        <v>1051</v>
      </c>
      <c r="L23" s="158" t="s">
        <v>201</v>
      </c>
    </row>
    <row r="24" spans="1:12" x14ac:dyDescent="0.2">
      <c r="A24" s="399">
        <v>40932</v>
      </c>
      <c r="B24" s="397" t="s">
        <v>2534</v>
      </c>
      <c r="C24" s="158" t="s">
        <v>197</v>
      </c>
      <c r="D24" s="638">
        <v>450</v>
      </c>
      <c r="E24" s="166">
        <v>181.19</v>
      </c>
      <c r="F24" s="166">
        <v>81537.350000000006</v>
      </c>
      <c r="G24" s="166">
        <v>607.83000000000004</v>
      </c>
      <c r="H24" s="397" t="s">
        <v>2540</v>
      </c>
      <c r="I24" s="397">
        <v>2012017</v>
      </c>
      <c r="J24" s="397" t="s">
        <v>199</v>
      </c>
      <c r="K24" s="397" t="s">
        <v>1051</v>
      </c>
      <c r="L24" s="158" t="s">
        <v>201</v>
      </c>
    </row>
    <row r="25" spans="1:12" x14ac:dyDescent="0.2">
      <c r="A25" s="399">
        <v>40918</v>
      </c>
      <c r="B25" s="397" t="s">
        <v>2538</v>
      </c>
      <c r="C25" s="158" t="s">
        <v>197</v>
      </c>
      <c r="D25" s="638">
        <v>1000</v>
      </c>
      <c r="E25" s="166">
        <v>34.729999999999997</v>
      </c>
      <c r="F25" s="166">
        <v>34725</v>
      </c>
      <c r="G25" s="166">
        <v>258.73</v>
      </c>
      <c r="H25" s="397" t="s">
        <v>2541</v>
      </c>
      <c r="I25" s="397">
        <v>2012007</v>
      </c>
      <c r="J25" s="397" t="s">
        <v>199</v>
      </c>
      <c r="K25" s="397" t="s">
        <v>1051</v>
      </c>
      <c r="L25" s="158" t="s">
        <v>201</v>
      </c>
    </row>
    <row r="26" spans="1:12" x14ac:dyDescent="0.2">
      <c r="A26" s="399">
        <v>40918</v>
      </c>
      <c r="B26" s="397" t="s">
        <v>2538</v>
      </c>
      <c r="C26" s="158" t="s">
        <v>197</v>
      </c>
      <c r="D26" s="638">
        <v>1000</v>
      </c>
      <c r="E26" s="166">
        <v>34.700000000000003</v>
      </c>
      <c r="F26" s="166">
        <v>34700</v>
      </c>
      <c r="G26" s="166">
        <v>258.81</v>
      </c>
      <c r="H26" s="397" t="s">
        <v>2542</v>
      </c>
      <c r="I26" s="397">
        <v>2012007</v>
      </c>
      <c r="J26" s="397" t="s">
        <v>199</v>
      </c>
      <c r="K26" s="397" t="s">
        <v>1051</v>
      </c>
      <c r="L26" s="158" t="s">
        <v>201</v>
      </c>
    </row>
    <row r="27" spans="1:12" x14ac:dyDescent="0.2">
      <c r="A27" s="399">
        <v>40856</v>
      </c>
      <c r="B27" s="397" t="s">
        <v>242</v>
      </c>
      <c r="C27" s="158" t="s">
        <v>197</v>
      </c>
      <c r="D27" s="638">
        <v>1000</v>
      </c>
      <c r="E27" s="166">
        <v>27.25</v>
      </c>
      <c r="F27" s="166">
        <v>27250</v>
      </c>
      <c r="G27" s="166">
        <v>203.02</v>
      </c>
      <c r="H27" s="397" t="s">
        <v>2548</v>
      </c>
      <c r="I27" s="397">
        <v>201112152</v>
      </c>
      <c r="J27" s="397" t="s">
        <v>199</v>
      </c>
      <c r="K27" s="397" t="s">
        <v>1051</v>
      </c>
      <c r="L27" s="158" t="s">
        <v>204</v>
      </c>
    </row>
    <row r="28" spans="1:12" x14ac:dyDescent="0.2">
      <c r="A28" s="399">
        <v>40856</v>
      </c>
      <c r="B28" s="397" t="s">
        <v>2546</v>
      </c>
      <c r="C28" s="158" t="s">
        <v>197</v>
      </c>
      <c r="D28" s="638">
        <v>100</v>
      </c>
      <c r="E28" s="166">
        <v>155.22</v>
      </c>
      <c r="F28" s="166">
        <v>15521.9</v>
      </c>
      <c r="G28" s="166">
        <v>116.1</v>
      </c>
      <c r="H28" s="397" t="s">
        <v>2549</v>
      </c>
      <c r="I28" s="397">
        <v>2011212</v>
      </c>
      <c r="J28" s="397" t="s">
        <v>199</v>
      </c>
      <c r="K28" s="397" t="s">
        <v>1051</v>
      </c>
      <c r="L28" s="158" t="s">
        <v>201</v>
      </c>
    </row>
    <row r="29" spans="1:12" x14ac:dyDescent="0.2">
      <c r="A29" s="399">
        <v>40856</v>
      </c>
      <c r="B29" s="397" t="s">
        <v>1559</v>
      </c>
      <c r="C29" s="158" t="s">
        <v>197</v>
      </c>
      <c r="D29" s="638">
        <v>13</v>
      </c>
      <c r="E29" s="166">
        <v>1904.9</v>
      </c>
      <c r="F29" s="166">
        <v>24763.7</v>
      </c>
      <c r="G29" s="166">
        <v>151.59</v>
      </c>
      <c r="H29" s="397" t="s">
        <v>2550</v>
      </c>
      <c r="I29" s="397">
        <v>2011212</v>
      </c>
      <c r="J29" s="397" t="s">
        <v>199</v>
      </c>
      <c r="K29" s="397" t="s">
        <v>1051</v>
      </c>
      <c r="L29" s="158" t="s">
        <v>201</v>
      </c>
    </row>
    <row r="30" spans="1:12" x14ac:dyDescent="0.2">
      <c r="A30" s="399">
        <v>40849</v>
      </c>
      <c r="B30" s="397" t="s">
        <v>242</v>
      </c>
      <c r="C30" s="158" t="s">
        <v>197</v>
      </c>
      <c r="D30" s="638">
        <v>1000</v>
      </c>
      <c r="E30" s="166">
        <v>26.7</v>
      </c>
      <c r="F30" s="166">
        <v>26700</v>
      </c>
      <c r="G30" s="166">
        <v>199.3</v>
      </c>
      <c r="H30" s="397" t="s">
        <v>2558</v>
      </c>
      <c r="I30" s="397">
        <v>2011208</v>
      </c>
      <c r="J30" s="397" t="s">
        <v>199</v>
      </c>
      <c r="K30" s="397" t="s">
        <v>1051</v>
      </c>
      <c r="L30" s="158" t="s">
        <v>201</v>
      </c>
    </row>
    <row r="31" spans="1:12" x14ac:dyDescent="0.2">
      <c r="A31" s="399">
        <v>40847</v>
      </c>
      <c r="B31" s="397" t="s">
        <v>2556</v>
      </c>
      <c r="C31" s="158" t="s">
        <v>197</v>
      </c>
      <c r="D31" s="638">
        <v>50</v>
      </c>
      <c r="E31" s="166">
        <v>581.9</v>
      </c>
      <c r="F31" s="166">
        <v>29095</v>
      </c>
      <c r="G31" s="166">
        <v>216.43</v>
      </c>
      <c r="H31" s="397" t="s">
        <v>2559</v>
      </c>
      <c r="I31" s="397">
        <v>2011206</v>
      </c>
      <c r="J31" s="397" t="s">
        <v>199</v>
      </c>
      <c r="K31" s="397" t="s">
        <v>1051</v>
      </c>
      <c r="L31" s="158" t="s">
        <v>201</v>
      </c>
    </row>
    <row r="32" spans="1:12" x14ac:dyDescent="0.2">
      <c r="A32" s="399">
        <v>40841</v>
      </c>
      <c r="B32" s="397" t="s">
        <v>2543</v>
      </c>
      <c r="C32" s="158" t="s">
        <v>197</v>
      </c>
      <c r="D32" s="638">
        <v>10</v>
      </c>
      <c r="E32" s="166">
        <v>1335</v>
      </c>
      <c r="F32" s="166">
        <v>13350</v>
      </c>
      <c r="G32" s="166">
        <v>99.62</v>
      </c>
      <c r="H32" s="397" t="s">
        <v>2562</v>
      </c>
      <c r="I32" s="397">
        <v>2011203</v>
      </c>
      <c r="J32" s="397" t="s">
        <v>199</v>
      </c>
      <c r="K32" s="397" t="s">
        <v>1051</v>
      </c>
      <c r="L32" s="158" t="s">
        <v>201</v>
      </c>
    </row>
    <row r="33" spans="1:12" x14ac:dyDescent="0.2">
      <c r="A33" s="399">
        <v>40836</v>
      </c>
      <c r="B33" s="397" t="s">
        <v>2560</v>
      </c>
      <c r="C33" s="158" t="s">
        <v>197</v>
      </c>
      <c r="D33" s="638">
        <v>100</v>
      </c>
      <c r="E33" s="166">
        <v>141.5</v>
      </c>
      <c r="F33" s="166">
        <v>14150</v>
      </c>
      <c r="G33" s="166">
        <v>105.76</v>
      </c>
      <c r="H33" s="397" t="s">
        <v>2563</v>
      </c>
      <c r="I33" s="397">
        <v>201112140</v>
      </c>
      <c r="J33" s="397" t="s">
        <v>199</v>
      </c>
      <c r="K33" s="397" t="s">
        <v>1051</v>
      </c>
      <c r="L33" s="158" t="s">
        <v>204</v>
      </c>
    </row>
    <row r="34" spans="1:12" x14ac:dyDescent="0.2">
      <c r="A34" s="399">
        <v>40835</v>
      </c>
      <c r="B34" s="397" t="s">
        <v>2543</v>
      </c>
      <c r="C34" s="158" t="s">
        <v>197</v>
      </c>
      <c r="D34" s="638">
        <v>40</v>
      </c>
      <c r="E34" s="166">
        <v>1390</v>
      </c>
      <c r="F34" s="166">
        <v>55600</v>
      </c>
      <c r="G34" s="166">
        <v>414.43</v>
      </c>
      <c r="H34" s="397" t="s">
        <v>2566</v>
      </c>
      <c r="I34" s="397">
        <v>2011199</v>
      </c>
      <c r="J34" s="397" t="s">
        <v>199</v>
      </c>
      <c r="K34" s="397" t="s">
        <v>1051</v>
      </c>
      <c r="L34" s="158" t="s">
        <v>201</v>
      </c>
    </row>
    <row r="35" spans="1:12" x14ac:dyDescent="0.2">
      <c r="A35" s="399">
        <v>40821</v>
      </c>
      <c r="B35" s="397" t="s">
        <v>2564</v>
      </c>
      <c r="C35" s="158" t="s">
        <v>197</v>
      </c>
      <c r="D35" s="638">
        <v>300</v>
      </c>
      <c r="E35" s="166">
        <v>41.51</v>
      </c>
      <c r="F35" s="166">
        <v>12453.8</v>
      </c>
      <c r="G35" s="166">
        <v>93.24</v>
      </c>
      <c r="H35" s="397" t="s">
        <v>2567</v>
      </c>
      <c r="I35" s="397">
        <v>2011190</v>
      </c>
      <c r="J35" s="397" t="s">
        <v>199</v>
      </c>
      <c r="K35" s="397" t="s">
        <v>1051</v>
      </c>
      <c r="L35" s="158" t="s">
        <v>201</v>
      </c>
    </row>
    <row r="36" spans="1:12" x14ac:dyDescent="0.2">
      <c r="A36" s="399">
        <v>40799</v>
      </c>
      <c r="B36" s="397" t="s">
        <v>2569</v>
      </c>
      <c r="C36" s="158" t="s">
        <v>197</v>
      </c>
      <c r="D36" s="638">
        <v>1200</v>
      </c>
      <c r="E36" s="166">
        <v>30.05</v>
      </c>
      <c r="F36" s="166">
        <v>36060</v>
      </c>
      <c r="G36" s="166">
        <v>268.66000000000003</v>
      </c>
      <c r="H36" s="397" t="s">
        <v>2572</v>
      </c>
      <c r="I36" s="397">
        <v>201112114</v>
      </c>
      <c r="J36" s="397" t="s">
        <v>199</v>
      </c>
      <c r="K36" s="397" t="s">
        <v>1051</v>
      </c>
      <c r="L36" s="158" t="s">
        <v>204</v>
      </c>
    </row>
    <row r="37" spans="1:12" x14ac:dyDescent="0.2">
      <c r="A37" s="399">
        <v>40798</v>
      </c>
      <c r="B37" s="397" t="s">
        <v>2530</v>
      </c>
      <c r="C37" s="158" t="s">
        <v>197</v>
      </c>
      <c r="D37" s="638">
        <v>100</v>
      </c>
      <c r="E37" s="166">
        <v>187.46</v>
      </c>
      <c r="F37" s="166">
        <v>18745.650000000001</v>
      </c>
      <c r="G37" s="166">
        <v>139.28</v>
      </c>
      <c r="H37" s="397" t="s">
        <v>2573</v>
      </c>
      <c r="I37" s="397">
        <v>201112113</v>
      </c>
      <c r="J37" s="397" t="s">
        <v>199</v>
      </c>
      <c r="K37" s="397" t="s">
        <v>1051</v>
      </c>
      <c r="L37" s="158" t="s">
        <v>204</v>
      </c>
    </row>
    <row r="38" spans="1:12" x14ac:dyDescent="0.2">
      <c r="A38" s="399">
        <v>40795</v>
      </c>
      <c r="B38" s="397" t="s">
        <v>308</v>
      </c>
      <c r="C38" s="158" t="s">
        <v>197</v>
      </c>
      <c r="D38" s="638">
        <v>250</v>
      </c>
      <c r="E38" s="166">
        <v>89.7</v>
      </c>
      <c r="F38" s="166">
        <v>22424.95</v>
      </c>
      <c r="G38" s="166">
        <v>167.08</v>
      </c>
      <c r="H38" s="397" t="s">
        <v>2574</v>
      </c>
      <c r="I38" s="397">
        <v>2011172</v>
      </c>
      <c r="J38" s="397" t="s">
        <v>199</v>
      </c>
      <c r="K38" s="397" t="s">
        <v>1051</v>
      </c>
      <c r="L38" s="158" t="s">
        <v>201</v>
      </c>
    </row>
    <row r="39" spans="1:12" x14ac:dyDescent="0.2">
      <c r="A39" s="399">
        <v>40792</v>
      </c>
      <c r="B39" s="397" t="s">
        <v>2564</v>
      </c>
      <c r="C39" s="158" t="s">
        <v>197</v>
      </c>
      <c r="D39" s="638">
        <v>350</v>
      </c>
      <c r="E39" s="166">
        <v>50.25</v>
      </c>
      <c r="F39" s="166">
        <v>17587.5</v>
      </c>
      <c r="G39" s="166">
        <v>131.04</v>
      </c>
      <c r="H39" s="397" t="s">
        <v>2584</v>
      </c>
      <c r="I39" s="397">
        <v>2011169</v>
      </c>
      <c r="J39" s="397" t="s">
        <v>199</v>
      </c>
      <c r="K39" s="397" t="s">
        <v>1051</v>
      </c>
      <c r="L39" s="158" t="s">
        <v>201</v>
      </c>
    </row>
    <row r="40" spans="1:12" x14ac:dyDescent="0.2">
      <c r="A40" s="399">
        <v>40781</v>
      </c>
      <c r="B40" s="397" t="s">
        <v>2587</v>
      </c>
      <c r="C40" s="158" t="s">
        <v>197</v>
      </c>
      <c r="D40" s="638">
        <v>50</v>
      </c>
      <c r="E40" s="166">
        <v>723</v>
      </c>
      <c r="F40" s="166">
        <v>36150</v>
      </c>
      <c r="G40" s="166">
        <v>269.19</v>
      </c>
      <c r="H40" s="397" t="s">
        <v>2589</v>
      </c>
      <c r="I40" s="397">
        <v>2011164</v>
      </c>
      <c r="J40" s="397" t="s">
        <v>199</v>
      </c>
      <c r="K40" s="397" t="s">
        <v>1051</v>
      </c>
      <c r="L40" s="158" t="s">
        <v>201</v>
      </c>
    </row>
    <row r="41" spans="1:12" x14ac:dyDescent="0.2">
      <c r="A41" s="399">
        <v>40779</v>
      </c>
      <c r="B41" s="397" t="s">
        <v>2575</v>
      </c>
      <c r="C41" s="158" t="s">
        <v>197</v>
      </c>
      <c r="D41" s="638">
        <v>50</v>
      </c>
      <c r="E41" s="166">
        <v>111.94</v>
      </c>
      <c r="F41" s="166">
        <v>5597</v>
      </c>
      <c r="G41" s="166">
        <v>41.72</v>
      </c>
      <c r="H41" s="397" t="s">
        <v>2590</v>
      </c>
      <c r="I41" s="397">
        <v>201112102</v>
      </c>
      <c r="J41" s="397" t="s">
        <v>199</v>
      </c>
      <c r="K41" s="397" t="s">
        <v>1051</v>
      </c>
      <c r="L41" s="158" t="s">
        <v>204</v>
      </c>
    </row>
    <row r="42" spans="1:12" x14ac:dyDescent="0.2">
      <c r="A42" s="399">
        <v>40779</v>
      </c>
      <c r="B42" s="397" t="s">
        <v>2579</v>
      </c>
      <c r="C42" s="158" t="s">
        <v>197</v>
      </c>
      <c r="D42" s="638">
        <v>15</v>
      </c>
      <c r="E42" s="166">
        <v>413</v>
      </c>
      <c r="F42" s="166">
        <v>6195</v>
      </c>
      <c r="G42" s="166">
        <v>46.16</v>
      </c>
      <c r="H42" s="397" t="s">
        <v>2592</v>
      </c>
      <c r="I42" s="397">
        <v>2011162</v>
      </c>
      <c r="J42" s="397" t="s">
        <v>199</v>
      </c>
      <c r="K42" s="397" t="s">
        <v>1051</v>
      </c>
      <c r="L42" s="158" t="s">
        <v>201</v>
      </c>
    </row>
    <row r="43" spans="1:12" x14ac:dyDescent="0.2">
      <c r="A43" s="399">
        <v>40779</v>
      </c>
      <c r="B43" s="397" t="s">
        <v>2581</v>
      </c>
      <c r="C43" s="158" t="s">
        <v>197</v>
      </c>
      <c r="D43" s="638">
        <v>2</v>
      </c>
      <c r="E43" s="166">
        <v>692</v>
      </c>
      <c r="F43" s="166">
        <v>1384</v>
      </c>
      <c r="G43" s="166">
        <v>29.5</v>
      </c>
      <c r="H43" s="397" t="s">
        <v>2593</v>
      </c>
      <c r="I43" s="397">
        <v>2011162</v>
      </c>
      <c r="J43" s="397" t="s">
        <v>199</v>
      </c>
      <c r="K43" s="397" t="s">
        <v>1051</v>
      </c>
      <c r="L43" s="158" t="s">
        <v>201</v>
      </c>
    </row>
    <row r="44" spans="1:12" x14ac:dyDescent="0.2">
      <c r="A44" s="399">
        <v>40779</v>
      </c>
      <c r="B44" s="397" t="s">
        <v>2554</v>
      </c>
      <c r="C44" s="158" t="s">
        <v>197</v>
      </c>
      <c r="D44" s="638">
        <v>25</v>
      </c>
      <c r="E44" s="166">
        <v>63.85</v>
      </c>
      <c r="F44" s="166">
        <v>1596.25</v>
      </c>
      <c r="G44" s="166">
        <v>29.8</v>
      </c>
      <c r="H44" s="397" t="s">
        <v>2594</v>
      </c>
      <c r="I44" s="397">
        <v>2011162</v>
      </c>
      <c r="J44" s="397" t="s">
        <v>199</v>
      </c>
      <c r="K44" s="397" t="s">
        <v>1051</v>
      </c>
      <c r="L44" s="158" t="s">
        <v>201</v>
      </c>
    </row>
    <row r="45" spans="1:12" x14ac:dyDescent="0.2">
      <c r="A45" s="399">
        <v>40779</v>
      </c>
      <c r="B45" s="397" t="s">
        <v>361</v>
      </c>
      <c r="C45" s="158" t="s">
        <v>197</v>
      </c>
      <c r="D45" s="638">
        <v>50</v>
      </c>
      <c r="E45" s="166">
        <v>38.799999999999997</v>
      </c>
      <c r="F45" s="166">
        <v>1940</v>
      </c>
      <c r="G45" s="166">
        <v>30.38</v>
      </c>
      <c r="H45" s="397" t="s">
        <v>2595</v>
      </c>
      <c r="I45" s="397">
        <v>2011162</v>
      </c>
      <c r="J45" s="397" t="s">
        <v>199</v>
      </c>
      <c r="K45" s="397" t="s">
        <v>1051</v>
      </c>
      <c r="L45" s="158" t="s">
        <v>201</v>
      </c>
    </row>
    <row r="46" spans="1:12" x14ac:dyDescent="0.2">
      <c r="A46" s="399">
        <v>40779</v>
      </c>
      <c r="B46" s="397" t="s">
        <v>222</v>
      </c>
      <c r="C46" s="158" t="s">
        <v>197</v>
      </c>
      <c r="D46" s="638">
        <v>15</v>
      </c>
      <c r="E46" s="166">
        <v>165.9</v>
      </c>
      <c r="F46" s="166">
        <v>2488.5</v>
      </c>
      <c r="G46" s="166">
        <v>31.03</v>
      </c>
      <c r="H46" s="397" t="s">
        <v>2596</v>
      </c>
      <c r="I46" s="397">
        <v>2011162</v>
      </c>
      <c r="J46" s="397" t="s">
        <v>199</v>
      </c>
      <c r="K46" s="397" t="s">
        <v>1051</v>
      </c>
      <c r="L46" s="158" t="s">
        <v>201</v>
      </c>
    </row>
    <row r="47" spans="1:12" x14ac:dyDescent="0.2">
      <c r="A47" s="399">
        <v>40774</v>
      </c>
      <c r="B47" s="397" t="s">
        <v>1510</v>
      </c>
      <c r="C47" s="158" t="s">
        <v>197</v>
      </c>
      <c r="D47" s="638">
        <v>15</v>
      </c>
      <c r="E47" s="166">
        <v>708.7</v>
      </c>
      <c r="F47" s="166">
        <v>10630.5</v>
      </c>
      <c r="G47" s="166">
        <v>79.23</v>
      </c>
      <c r="H47" s="397" t="s">
        <v>2597</v>
      </c>
      <c r="I47" s="397">
        <v>201112099</v>
      </c>
      <c r="J47" s="397" t="s">
        <v>199</v>
      </c>
      <c r="K47" s="397" t="s">
        <v>1051</v>
      </c>
      <c r="L47" s="158" t="s">
        <v>204</v>
      </c>
    </row>
    <row r="48" spans="1:12" x14ac:dyDescent="0.2">
      <c r="A48" s="399">
        <v>40774</v>
      </c>
      <c r="B48" s="397" t="s">
        <v>2530</v>
      </c>
      <c r="C48" s="158" t="s">
        <v>197</v>
      </c>
      <c r="D48" s="638">
        <v>25</v>
      </c>
      <c r="E48" s="166">
        <v>192.73</v>
      </c>
      <c r="F48" s="166">
        <v>4818.25</v>
      </c>
      <c r="G48" s="166">
        <v>35.909999999999997</v>
      </c>
      <c r="H48" s="397" t="s">
        <v>2598</v>
      </c>
      <c r="I48" s="397">
        <v>201112099</v>
      </c>
      <c r="J48" s="397" t="s">
        <v>199</v>
      </c>
      <c r="K48" s="397" t="s">
        <v>1051</v>
      </c>
      <c r="L48" s="158" t="s">
        <v>204</v>
      </c>
    </row>
    <row r="49" spans="1:12" x14ac:dyDescent="0.2">
      <c r="A49" s="399">
        <v>40774</v>
      </c>
      <c r="B49" s="397" t="s">
        <v>2585</v>
      </c>
      <c r="C49" s="158" t="s">
        <v>197</v>
      </c>
      <c r="D49" s="638">
        <v>60</v>
      </c>
      <c r="E49" s="166">
        <v>189.1</v>
      </c>
      <c r="F49" s="166">
        <v>11346</v>
      </c>
      <c r="G49" s="166">
        <v>84.06</v>
      </c>
      <c r="H49" s="397" t="s">
        <v>2599</v>
      </c>
      <c r="I49" s="397">
        <v>201112099</v>
      </c>
      <c r="J49" s="397" t="s">
        <v>199</v>
      </c>
      <c r="K49" s="397" t="s">
        <v>1051</v>
      </c>
      <c r="L49" s="158" t="s">
        <v>204</v>
      </c>
    </row>
    <row r="50" spans="1:12" x14ac:dyDescent="0.2">
      <c r="A50" s="399">
        <v>40774</v>
      </c>
      <c r="B50" s="397" t="s">
        <v>361</v>
      </c>
      <c r="C50" s="158" t="s">
        <v>197</v>
      </c>
      <c r="D50" s="638">
        <v>75</v>
      </c>
      <c r="E50" s="166">
        <v>39.5</v>
      </c>
      <c r="F50" s="166">
        <v>2962.5</v>
      </c>
      <c r="G50" s="166">
        <v>31.68</v>
      </c>
      <c r="H50" s="397" t="s">
        <v>2600</v>
      </c>
      <c r="I50" s="397">
        <v>2011159</v>
      </c>
      <c r="J50" s="397" t="s">
        <v>199</v>
      </c>
      <c r="K50" s="397" t="s">
        <v>1051</v>
      </c>
      <c r="L50" s="158" t="s">
        <v>201</v>
      </c>
    </row>
    <row r="51" spans="1:12" x14ac:dyDescent="0.2">
      <c r="A51" s="399">
        <v>40774</v>
      </c>
      <c r="B51" s="397" t="s">
        <v>2585</v>
      </c>
      <c r="C51" s="158" t="s">
        <v>197</v>
      </c>
      <c r="D51" s="638">
        <v>15</v>
      </c>
      <c r="E51" s="166">
        <v>189.7</v>
      </c>
      <c r="F51" s="166">
        <v>2845.5</v>
      </c>
      <c r="G51" s="166">
        <v>31.85</v>
      </c>
      <c r="H51" s="397" t="s">
        <v>2601</v>
      </c>
      <c r="I51" s="397">
        <v>2011159</v>
      </c>
      <c r="J51" s="397" t="s">
        <v>199</v>
      </c>
      <c r="K51" s="397" t="s">
        <v>1051</v>
      </c>
      <c r="L51" s="158" t="s">
        <v>201</v>
      </c>
    </row>
    <row r="52" spans="1:12" x14ac:dyDescent="0.2">
      <c r="A52" s="399">
        <v>40774</v>
      </c>
      <c r="B52" s="397" t="s">
        <v>1510</v>
      </c>
      <c r="C52" s="158" t="s">
        <v>197</v>
      </c>
      <c r="D52" s="638">
        <v>5</v>
      </c>
      <c r="E52" s="166">
        <v>704.65</v>
      </c>
      <c r="F52" s="166">
        <v>3523.25</v>
      </c>
      <c r="G52" s="166">
        <v>32.46</v>
      </c>
      <c r="H52" s="397" t="s">
        <v>2602</v>
      </c>
      <c r="I52" s="397">
        <v>2011159</v>
      </c>
      <c r="J52" s="397" t="s">
        <v>199</v>
      </c>
      <c r="K52" s="397" t="s">
        <v>1051</v>
      </c>
      <c r="L52" s="158" t="s">
        <v>201</v>
      </c>
    </row>
    <row r="53" spans="1:12" x14ac:dyDescent="0.2">
      <c r="A53" s="399">
        <v>40773</v>
      </c>
      <c r="B53" s="397" t="s">
        <v>2530</v>
      </c>
      <c r="C53" s="158" t="s">
        <v>197</v>
      </c>
      <c r="D53" s="638">
        <v>25</v>
      </c>
      <c r="E53" s="166">
        <v>199.5</v>
      </c>
      <c r="F53" s="166">
        <v>4987.5</v>
      </c>
      <c r="G53" s="166">
        <v>37.17</v>
      </c>
      <c r="H53" s="397" t="s">
        <v>2603</v>
      </c>
      <c r="I53" s="397">
        <v>201112098</v>
      </c>
      <c r="J53" s="397" t="s">
        <v>199</v>
      </c>
      <c r="K53" s="397" t="s">
        <v>1051</v>
      </c>
      <c r="L53" s="158" t="s">
        <v>204</v>
      </c>
    </row>
    <row r="54" spans="1:12" x14ac:dyDescent="0.2">
      <c r="A54" s="399">
        <v>40773</v>
      </c>
      <c r="B54" s="397" t="s">
        <v>2575</v>
      </c>
      <c r="C54" s="158" t="s">
        <v>197</v>
      </c>
      <c r="D54" s="638">
        <v>25</v>
      </c>
      <c r="E54" s="166">
        <v>120.85</v>
      </c>
      <c r="F54" s="166">
        <v>3021.25</v>
      </c>
      <c r="G54" s="166">
        <v>31.77</v>
      </c>
      <c r="H54" s="397" t="s">
        <v>2604</v>
      </c>
      <c r="I54" s="397">
        <v>201112098</v>
      </c>
      <c r="J54" s="397" t="s">
        <v>199</v>
      </c>
      <c r="K54" s="397" t="s">
        <v>1051</v>
      </c>
      <c r="L54" s="158" t="s">
        <v>204</v>
      </c>
    </row>
    <row r="55" spans="1:12" x14ac:dyDescent="0.2">
      <c r="A55" s="399">
        <v>40773</v>
      </c>
      <c r="B55" s="397" t="s">
        <v>222</v>
      </c>
      <c r="C55" s="158" t="s">
        <v>197</v>
      </c>
      <c r="D55" s="638">
        <v>25</v>
      </c>
      <c r="E55" s="166">
        <v>162.27000000000001</v>
      </c>
      <c r="F55" s="166">
        <v>4056.75</v>
      </c>
      <c r="G55" s="166">
        <v>33.11</v>
      </c>
      <c r="H55" s="397" t="s">
        <v>2605</v>
      </c>
      <c r="I55" s="397">
        <v>201112098</v>
      </c>
      <c r="J55" s="397" t="s">
        <v>199</v>
      </c>
      <c r="K55" s="397" t="s">
        <v>1051</v>
      </c>
      <c r="L55" s="158" t="s">
        <v>204</v>
      </c>
    </row>
    <row r="56" spans="1:12" x14ac:dyDescent="0.2">
      <c r="A56" s="399">
        <v>40773</v>
      </c>
      <c r="B56" s="397" t="s">
        <v>2579</v>
      </c>
      <c r="C56" s="158" t="s">
        <v>197</v>
      </c>
      <c r="D56" s="638">
        <v>25</v>
      </c>
      <c r="E56" s="166">
        <v>464.37</v>
      </c>
      <c r="F56" s="166">
        <v>11609.25</v>
      </c>
      <c r="G56" s="166">
        <v>86.45</v>
      </c>
      <c r="H56" s="397" t="s">
        <v>2606</v>
      </c>
      <c r="I56" s="397">
        <v>2011158</v>
      </c>
      <c r="J56" s="397" t="s">
        <v>199</v>
      </c>
      <c r="K56" s="397" t="s">
        <v>1051</v>
      </c>
      <c r="L56" s="158" t="s">
        <v>201</v>
      </c>
    </row>
    <row r="57" spans="1:12" x14ac:dyDescent="0.2">
      <c r="A57" s="399">
        <v>40773</v>
      </c>
      <c r="B57" s="397" t="s">
        <v>2554</v>
      </c>
      <c r="C57" s="158" t="s">
        <v>197</v>
      </c>
      <c r="D57" s="638">
        <v>175</v>
      </c>
      <c r="E57" s="166">
        <v>69.8</v>
      </c>
      <c r="F57" s="166">
        <v>12215</v>
      </c>
      <c r="G57" s="166">
        <v>91.01</v>
      </c>
      <c r="H57" s="397" t="s">
        <v>2607</v>
      </c>
      <c r="I57" s="397">
        <v>2011158</v>
      </c>
      <c r="J57" s="397" t="s">
        <v>199</v>
      </c>
      <c r="K57" s="397" t="s">
        <v>1051</v>
      </c>
      <c r="L57" s="158" t="s">
        <v>201</v>
      </c>
    </row>
    <row r="58" spans="1:12" x14ac:dyDescent="0.2">
      <c r="A58" s="399">
        <v>40773</v>
      </c>
      <c r="B58" s="397" t="s">
        <v>2581</v>
      </c>
      <c r="C58" s="158" t="s">
        <v>197</v>
      </c>
      <c r="D58" s="638">
        <v>5</v>
      </c>
      <c r="E58" s="166">
        <v>670</v>
      </c>
      <c r="F58" s="166">
        <v>3350</v>
      </c>
      <c r="G58" s="166">
        <v>32.22</v>
      </c>
      <c r="H58" s="397" t="s">
        <v>2608</v>
      </c>
      <c r="I58" s="397">
        <v>2011158</v>
      </c>
      <c r="J58" s="397" t="s">
        <v>199</v>
      </c>
      <c r="K58" s="397" t="s">
        <v>1051</v>
      </c>
      <c r="L58" s="158" t="s">
        <v>201</v>
      </c>
    </row>
    <row r="59" spans="1:12" x14ac:dyDescent="0.2">
      <c r="A59" s="399">
        <v>40773</v>
      </c>
      <c r="B59" s="397" t="s">
        <v>2564</v>
      </c>
      <c r="C59" s="158" t="s">
        <v>197</v>
      </c>
      <c r="D59" s="638">
        <v>150</v>
      </c>
      <c r="E59" s="166">
        <v>49.45</v>
      </c>
      <c r="F59" s="166">
        <v>7417.5</v>
      </c>
      <c r="G59" s="166">
        <v>55.27</v>
      </c>
      <c r="H59" s="397" t="s">
        <v>2609</v>
      </c>
      <c r="I59" s="397">
        <v>2011158</v>
      </c>
      <c r="J59" s="397" t="s">
        <v>199</v>
      </c>
      <c r="K59" s="397" t="s">
        <v>1051</v>
      </c>
      <c r="L59" s="158" t="s">
        <v>201</v>
      </c>
    </row>
    <row r="60" spans="1:12" x14ac:dyDescent="0.2">
      <c r="A60" s="399">
        <v>40773</v>
      </c>
      <c r="B60" s="397" t="s">
        <v>2579</v>
      </c>
      <c r="C60" s="158" t="s">
        <v>197</v>
      </c>
      <c r="D60" s="638">
        <v>5</v>
      </c>
      <c r="E60" s="166">
        <v>451.94</v>
      </c>
      <c r="F60" s="166">
        <v>2259.6999999999998</v>
      </c>
      <c r="G60" s="166">
        <v>30.71</v>
      </c>
      <c r="H60" s="397" t="s">
        <v>2610</v>
      </c>
      <c r="I60" s="397">
        <v>2011158</v>
      </c>
      <c r="J60" s="397" t="s">
        <v>199</v>
      </c>
      <c r="K60" s="397" t="s">
        <v>1051</v>
      </c>
      <c r="L60" s="158" t="s">
        <v>201</v>
      </c>
    </row>
    <row r="61" spans="1:12" x14ac:dyDescent="0.2">
      <c r="A61" s="399">
        <v>40771</v>
      </c>
      <c r="B61" s="397" t="s">
        <v>2575</v>
      </c>
      <c r="C61" s="158" t="s">
        <v>197</v>
      </c>
      <c r="D61" s="638">
        <v>75</v>
      </c>
      <c r="E61" s="166">
        <v>117.62</v>
      </c>
      <c r="F61" s="166">
        <v>8821.5</v>
      </c>
      <c r="G61" s="166">
        <v>65.709999999999994</v>
      </c>
      <c r="H61" s="397" t="s">
        <v>2611</v>
      </c>
      <c r="I61" s="397">
        <v>201112096</v>
      </c>
      <c r="J61" s="397" t="s">
        <v>199</v>
      </c>
      <c r="K61" s="397" t="s">
        <v>1051</v>
      </c>
      <c r="L61" s="158" t="s">
        <v>204</v>
      </c>
    </row>
    <row r="62" spans="1:12" x14ac:dyDescent="0.2">
      <c r="A62" s="399">
        <v>40749</v>
      </c>
      <c r="B62" s="397" t="s">
        <v>2585</v>
      </c>
      <c r="C62" s="158" t="s">
        <v>197</v>
      </c>
      <c r="D62" s="638">
        <v>50</v>
      </c>
      <c r="E62" s="166">
        <v>225.2</v>
      </c>
      <c r="F62" s="166">
        <v>11260</v>
      </c>
      <c r="G62" s="166">
        <v>83.72</v>
      </c>
      <c r="H62" s="397" t="s">
        <v>2620</v>
      </c>
      <c r="I62" s="397">
        <v>201112081</v>
      </c>
      <c r="J62" s="397" t="s">
        <v>199</v>
      </c>
      <c r="K62" s="397" t="s">
        <v>1051</v>
      </c>
      <c r="L62" s="158" t="s">
        <v>204</v>
      </c>
    </row>
    <row r="63" spans="1:12" x14ac:dyDescent="0.2">
      <c r="A63" s="399">
        <v>40749</v>
      </c>
      <c r="B63" s="397" t="s">
        <v>2530</v>
      </c>
      <c r="C63" s="158" t="s">
        <v>197</v>
      </c>
      <c r="D63" s="638">
        <v>50</v>
      </c>
      <c r="E63" s="166">
        <v>210</v>
      </c>
      <c r="F63" s="166">
        <v>10500</v>
      </c>
      <c r="G63" s="166">
        <v>78.260000000000005</v>
      </c>
      <c r="H63" s="397" t="s">
        <v>2621</v>
      </c>
      <c r="I63" s="397">
        <v>201112081</v>
      </c>
      <c r="J63" s="397" t="s">
        <v>199</v>
      </c>
      <c r="K63" s="397" t="s">
        <v>1051</v>
      </c>
      <c r="L63" s="158" t="s">
        <v>204</v>
      </c>
    </row>
    <row r="64" spans="1:12" x14ac:dyDescent="0.2">
      <c r="A64" s="399">
        <v>40749</v>
      </c>
      <c r="B64" s="397" t="s">
        <v>222</v>
      </c>
      <c r="C64" s="158" t="s">
        <v>197</v>
      </c>
      <c r="D64" s="638">
        <v>50</v>
      </c>
      <c r="E64" s="166">
        <v>161</v>
      </c>
      <c r="F64" s="166">
        <v>8050</v>
      </c>
      <c r="G64" s="166">
        <v>59.71</v>
      </c>
      <c r="H64" s="397" t="s">
        <v>2625</v>
      </c>
      <c r="I64" s="397">
        <v>2011141</v>
      </c>
      <c r="J64" s="397" t="s">
        <v>199</v>
      </c>
      <c r="K64" s="397" t="s">
        <v>1051</v>
      </c>
      <c r="L64" s="158" t="s">
        <v>201</v>
      </c>
    </row>
    <row r="65" spans="1:12" x14ac:dyDescent="0.2">
      <c r="A65" s="399">
        <v>40749</v>
      </c>
      <c r="B65" s="397" t="s">
        <v>233</v>
      </c>
      <c r="C65" s="158" t="s">
        <v>197</v>
      </c>
      <c r="D65" s="638">
        <v>75</v>
      </c>
      <c r="E65" s="166">
        <v>138.9</v>
      </c>
      <c r="F65" s="166">
        <v>10417.5</v>
      </c>
      <c r="G65" s="166">
        <v>77.62</v>
      </c>
      <c r="H65" s="397" t="s">
        <v>2626</v>
      </c>
      <c r="I65" s="397">
        <v>2011141</v>
      </c>
      <c r="J65" s="397" t="s">
        <v>199</v>
      </c>
      <c r="K65" s="397" t="s">
        <v>1051</v>
      </c>
      <c r="L65" s="158" t="s">
        <v>201</v>
      </c>
    </row>
    <row r="66" spans="1:12" x14ac:dyDescent="0.2">
      <c r="A66" s="399">
        <v>40749</v>
      </c>
      <c r="B66" s="397" t="s">
        <v>361</v>
      </c>
      <c r="C66" s="158" t="s">
        <v>197</v>
      </c>
      <c r="D66" s="638">
        <v>225</v>
      </c>
      <c r="E66" s="166">
        <v>44.1</v>
      </c>
      <c r="F66" s="166">
        <v>9922.5</v>
      </c>
      <c r="G66" s="166">
        <v>73.930000000000007</v>
      </c>
      <c r="H66" s="397" t="s">
        <v>2627</v>
      </c>
      <c r="I66" s="397">
        <v>2011141</v>
      </c>
      <c r="J66" s="397" t="s">
        <v>199</v>
      </c>
      <c r="K66" s="397" t="s">
        <v>1051</v>
      </c>
      <c r="L66" s="158" t="s">
        <v>201</v>
      </c>
    </row>
    <row r="67" spans="1:12" x14ac:dyDescent="0.2">
      <c r="A67" s="399">
        <v>40749</v>
      </c>
      <c r="B67" s="397" t="s">
        <v>2612</v>
      </c>
      <c r="C67" s="158" t="s">
        <v>197</v>
      </c>
      <c r="D67" s="638">
        <v>75</v>
      </c>
      <c r="E67" s="166">
        <v>159.9</v>
      </c>
      <c r="F67" s="166">
        <v>11992.5</v>
      </c>
      <c r="G67" s="166">
        <v>89.36</v>
      </c>
      <c r="H67" s="397" t="s">
        <v>2628</v>
      </c>
      <c r="I67" s="397">
        <v>2011141</v>
      </c>
      <c r="J67" s="397" t="s">
        <v>199</v>
      </c>
      <c r="K67" s="397" t="s">
        <v>1051</v>
      </c>
      <c r="L67" s="158" t="s">
        <v>201</v>
      </c>
    </row>
    <row r="68" spans="1:12" x14ac:dyDescent="0.2">
      <c r="A68" s="399">
        <v>40749</v>
      </c>
      <c r="B68" s="397" t="s">
        <v>238</v>
      </c>
      <c r="C68" s="158" t="s">
        <v>197</v>
      </c>
      <c r="D68" s="638">
        <v>75</v>
      </c>
      <c r="E68" s="166">
        <v>131.34</v>
      </c>
      <c r="F68" s="166">
        <v>9850.7000000000007</v>
      </c>
      <c r="G68" s="166">
        <v>73.400000000000006</v>
      </c>
      <c r="H68" s="397" t="s">
        <v>2629</v>
      </c>
      <c r="I68" s="397">
        <v>2011141</v>
      </c>
      <c r="J68" s="397" t="s">
        <v>199</v>
      </c>
      <c r="K68" s="397" t="s">
        <v>1051</v>
      </c>
      <c r="L68" s="158" t="s">
        <v>201</v>
      </c>
    </row>
    <row r="69" spans="1:12" x14ac:dyDescent="0.2">
      <c r="A69" s="399">
        <v>40749</v>
      </c>
      <c r="B69" s="397" t="s">
        <v>2614</v>
      </c>
      <c r="C69" s="158" t="s">
        <v>197</v>
      </c>
      <c r="D69" s="638">
        <v>50</v>
      </c>
      <c r="E69" s="166">
        <v>215</v>
      </c>
      <c r="F69" s="166">
        <v>10750</v>
      </c>
      <c r="G69" s="166">
        <v>80.099999999999994</v>
      </c>
      <c r="H69" s="397" t="s">
        <v>2630</v>
      </c>
      <c r="I69" s="397">
        <v>2011141</v>
      </c>
      <c r="J69" s="397" t="s">
        <v>199</v>
      </c>
      <c r="K69" s="397" t="s">
        <v>1051</v>
      </c>
      <c r="L69" s="158" t="s">
        <v>201</v>
      </c>
    </row>
    <row r="70" spans="1:12" x14ac:dyDescent="0.2">
      <c r="A70" s="399">
        <v>40716</v>
      </c>
      <c r="B70" s="397" t="s">
        <v>2622</v>
      </c>
      <c r="C70" s="158" t="s">
        <v>197</v>
      </c>
      <c r="D70" s="638">
        <v>75</v>
      </c>
      <c r="E70" s="166">
        <v>80.2</v>
      </c>
      <c r="F70" s="166">
        <v>6015</v>
      </c>
      <c r="G70" s="166">
        <v>45.3</v>
      </c>
      <c r="H70" s="397" t="s">
        <v>2644</v>
      </c>
      <c r="I70" s="397">
        <v>2011118</v>
      </c>
      <c r="J70" s="397" t="s">
        <v>199</v>
      </c>
      <c r="K70" s="397" t="s">
        <v>1051</v>
      </c>
      <c r="L70" s="158" t="s">
        <v>201</v>
      </c>
    </row>
    <row r="71" spans="1:12" x14ac:dyDescent="0.2">
      <c r="A71" s="399">
        <v>40715</v>
      </c>
      <c r="B71" s="397" t="s">
        <v>2564</v>
      </c>
      <c r="C71" s="158" t="s">
        <v>197</v>
      </c>
      <c r="D71" s="638">
        <v>100</v>
      </c>
      <c r="E71" s="166">
        <v>64</v>
      </c>
      <c r="F71" s="166">
        <v>6400</v>
      </c>
      <c r="G71" s="166">
        <v>47.69</v>
      </c>
      <c r="H71" s="397" t="s">
        <v>2646</v>
      </c>
      <c r="I71" s="397">
        <v>2011117</v>
      </c>
      <c r="J71" s="397" t="s">
        <v>199</v>
      </c>
      <c r="K71" s="397" t="s">
        <v>1051</v>
      </c>
      <c r="L71" s="158" t="s">
        <v>201</v>
      </c>
    </row>
    <row r="72" spans="1:12" x14ac:dyDescent="0.2">
      <c r="A72" s="399">
        <v>40710</v>
      </c>
      <c r="B72" s="397" t="s">
        <v>2581</v>
      </c>
      <c r="C72" s="158" t="s">
        <v>197</v>
      </c>
      <c r="D72" s="638">
        <v>15</v>
      </c>
      <c r="E72" s="166">
        <v>663.14</v>
      </c>
      <c r="F72" s="166">
        <v>9947.1</v>
      </c>
      <c r="G72" s="166">
        <v>73.680000000000007</v>
      </c>
      <c r="H72" s="397" t="s">
        <v>2647</v>
      </c>
      <c r="I72" s="397">
        <v>2011114</v>
      </c>
      <c r="J72" s="397" t="s">
        <v>199</v>
      </c>
      <c r="K72" s="397" t="s">
        <v>1051</v>
      </c>
      <c r="L72" s="158" t="s">
        <v>201</v>
      </c>
    </row>
    <row r="73" spans="1:12" x14ac:dyDescent="0.2">
      <c r="A73" s="399">
        <v>40703</v>
      </c>
      <c r="B73" s="397" t="s">
        <v>2622</v>
      </c>
      <c r="C73" s="158" t="s">
        <v>197</v>
      </c>
      <c r="D73" s="638">
        <v>150</v>
      </c>
      <c r="E73" s="166">
        <v>98.35</v>
      </c>
      <c r="F73" s="166">
        <v>14752.5</v>
      </c>
      <c r="G73" s="166">
        <v>109.48</v>
      </c>
      <c r="H73" s="397" t="s">
        <v>2651</v>
      </c>
      <c r="I73" s="397">
        <v>2011109</v>
      </c>
      <c r="J73" s="397" t="s">
        <v>199</v>
      </c>
      <c r="K73" s="397" t="s">
        <v>1051</v>
      </c>
      <c r="L73" s="158" t="s">
        <v>201</v>
      </c>
    </row>
    <row r="74" spans="1:12" x14ac:dyDescent="0.2">
      <c r="A74" s="399">
        <v>40697</v>
      </c>
      <c r="B74" s="397" t="s">
        <v>2622</v>
      </c>
      <c r="C74" s="158" t="s">
        <v>197</v>
      </c>
      <c r="D74" s="638">
        <v>150</v>
      </c>
      <c r="E74" s="166">
        <v>89.26</v>
      </c>
      <c r="F74" s="166">
        <v>13389.6</v>
      </c>
      <c r="G74" s="166">
        <v>100.05</v>
      </c>
      <c r="H74" s="397" t="s">
        <v>2652</v>
      </c>
      <c r="I74" s="397">
        <v>201112045</v>
      </c>
      <c r="J74" s="397" t="s">
        <v>199</v>
      </c>
      <c r="K74" s="397" t="s">
        <v>1051</v>
      </c>
      <c r="L74" s="158" t="s">
        <v>204</v>
      </c>
    </row>
    <row r="75" spans="1:12" x14ac:dyDescent="0.2">
      <c r="A75" s="399">
        <v>40690</v>
      </c>
      <c r="B75" s="397" t="s">
        <v>2622</v>
      </c>
      <c r="C75" s="158" t="s">
        <v>197</v>
      </c>
      <c r="D75" s="638">
        <v>200</v>
      </c>
      <c r="E75" s="166">
        <v>87.75</v>
      </c>
      <c r="F75" s="166">
        <v>17550</v>
      </c>
      <c r="G75" s="166">
        <v>130.30000000000001</v>
      </c>
      <c r="H75" s="397" t="s">
        <v>2659</v>
      </c>
      <c r="I75" s="397">
        <v>2011100</v>
      </c>
      <c r="J75" s="397" t="s">
        <v>199</v>
      </c>
      <c r="K75" s="397" t="s">
        <v>1051</v>
      </c>
      <c r="L75" s="158" t="s">
        <v>201</v>
      </c>
    </row>
    <row r="76" spans="1:12" x14ac:dyDescent="0.2">
      <c r="A76" s="399">
        <v>40690</v>
      </c>
      <c r="B76" s="397" t="s">
        <v>2564</v>
      </c>
      <c r="C76" s="158" t="s">
        <v>197</v>
      </c>
      <c r="D76" s="638">
        <v>100</v>
      </c>
      <c r="E76" s="166">
        <v>62.35</v>
      </c>
      <c r="F76" s="166">
        <v>6235</v>
      </c>
      <c r="G76" s="166">
        <v>46.45</v>
      </c>
      <c r="H76" s="397" t="s">
        <v>2660</v>
      </c>
      <c r="I76" s="397">
        <v>2011100</v>
      </c>
      <c r="J76" s="397" t="s">
        <v>199</v>
      </c>
      <c r="K76" s="397" t="s">
        <v>1051</v>
      </c>
      <c r="L76" s="158" t="s">
        <v>201</v>
      </c>
    </row>
    <row r="77" spans="1:12" x14ac:dyDescent="0.2">
      <c r="A77" s="399">
        <v>40690</v>
      </c>
      <c r="B77" s="397" t="s">
        <v>219</v>
      </c>
      <c r="C77" s="158" t="s">
        <v>197</v>
      </c>
      <c r="D77" s="638">
        <v>70</v>
      </c>
      <c r="E77" s="166">
        <v>129.55000000000001</v>
      </c>
      <c r="F77" s="166">
        <v>9068.5</v>
      </c>
      <c r="G77" s="166">
        <v>67.569999999999993</v>
      </c>
      <c r="H77" s="397" t="s">
        <v>2661</v>
      </c>
      <c r="I77" s="397">
        <v>2011100</v>
      </c>
      <c r="J77" s="397" t="s">
        <v>199</v>
      </c>
      <c r="K77" s="397" t="s">
        <v>1051</v>
      </c>
      <c r="L77" s="158" t="s">
        <v>201</v>
      </c>
    </row>
    <row r="78" spans="1:12" x14ac:dyDescent="0.2">
      <c r="A78" s="399">
        <v>40687</v>
      </c>
      <c r="B78" s="397" t="s">
        <v>217</v>
      </c>
      <c r="C78" s="158" t="s">
        <v>197</v>
      </c>
      <c r="D78" s="638">
        <v>250</v>
      </c>
      <c r="E78" s="166">
        <v>36.200000000000003</v>
      </c>
      <c r="F78" s="166">
        <v>9050</v>
      </c>
      <c r="G78" s="166">
        <v>67.12</v>
      </c>
      <c r="H78" s="397" t="s">
        <v>2664</v>
      </c>
      <c r="I78" s="397">
        <v>2011097</v>
      </c>
      <c r="J78" s="397" t="s">
        <v>199</v>
      </c>
      <c r="K78" s="397" t="s">
        <v>1051</v>
      </c>
      <c r="L78" s="158" t="s">
        <v>201</v>
      </c>
    </row>
    <row r="79" spans="1:12" x14ac:dyDescent="0.2">
      <c r="A79" s="399">
        <v>40686</v>
      </c>
      <c r="B79" s="397" t="s">
        <v>2564</v>
      </c>
      <c r="C79" s="158" t="s">
        <v>197</v>
      </c>
      <c r="D79" s="638">
        <v>150</v>
      </c>
      <c r="E79" s="166">
        <v>61.75</v>
      </c>
      <c r="F79" s="166">
        <v>9262.5</v>
      </c>
      <c r="G79" s="166">
        <v>69.02</v>
      </c>
      <c r="H79" s="397" t="s">
        <v>2669</v>
      </c>
      <c r="I79" s="397">
        <v>2011096</v>
      </c>
      <c r="J79" s="397" t="s">
        <v>199</v>
      </c>
      <c r="K79" s="397" t="s">
        <v>1051</v>
      </c>
      <c r="L79" s="158" t="s">
        <v>201</v>
      </c>
    </row>
    <row r="80" spans="1:12" x14ac:dyDescent="0.2">
      <c r="A80" s="399">
        <v>40681</v>
      </c>
      <c r="B80" s="397" t="s">
        <v>2047</v>
      </c>
      <c r="C80" s="158" t="s">
        <v>197</v>
      </c>
      <c r="D80" s="638">
        <v>25</v>
      </c>
      <c r="E80" s="166">
        <v>347.5</v>
      </c>
      <c r="F80" s="166">
        <v>8687.5</v>
      </c>
      <c r="G80" s="166">
        <v>64.89</v>
      </c>
      <c r="H80" s="397" t="s">
        <v>2670</v>
      </c>
      <c r="I80" s="397">
        <v>201112033</v>
      </c>
      <c r="J80" s="397" t="s">
        <v>199</v>
      </c>
      <c r="K80" s="397" t="s">
        <v>1051</v>
      </c>
      <c r="L80" s="158" t="s">
        <v>204</v>
      </c>
    </row>
    <row r="81" spans="1:12" x14ac:dyDescent="0.2">
      <c r="A81" s="399">
        <v>40681</v>
      </c>
      <c r="B81" s="397" t="s">
        <v>207</v>
      </c>
      <c r="C81" s="158" t="s">
        <v>197</v>
      </c>
      <c r="D81" s="638">
        <v>210</v>
      </c>
      <c r="E81" s="166">
        <v>46.65</v>
      </c>
      <c r="F81" s="166">
        <v>9796.5</v>
      </c>
      <c r="G81" s="166">
        <v>73</v>
      </c>
      <c r="H81" s="397" t="s">
        <v>2671</v>
      </c>
      <c r="I81" s="397">
        <v>2011093</v>
      </c>
      <c r="J81" s="397" t="s">
        <v>199</v>
      </c>
      <c r="K81" s="397" t="s">
        <v>1051</v>
      </c>
      <c r="L81" s="158" t="s">
        <v>201</v>
      </c>
    </row>
    <row r="82" spans="1:12" x14ac:dyDescent="0.2">
      <c r="A82" s="399">
        <v>40681</v>
      </c>
      <c r="B82" s="397" t="s">
        <v>2665</v>
      </c>
      <c r="C82" s="158" t="s">
        <v>197</v>
      </c>
      <c r="D82" s="638">
        <v>12</v>
      </c>
      <c r="E82" s="166">
        <v>239.5</v>
      </c>
      <c r="F82" s="166">
        <v>2874</v>
      </c>
      <c r="G82" s="166">
        <v>31.27</v>
      </c>
      <c r="H82" s="397" t="s">
        <v>2672</v>
      </c>
      <c r="I82" s="397">
        <v>2011093</v>
      </c>
      <c r="J82" s="397" t="s">
        <v>199</v>
      </c>
      <c r="K82" s="397" t="s">
        <v>1051</v>
      </c>
      <c r="L82" s="158" t="s">
        <v>201</v>
      </c>
    </row>
    <row r="83" spans="1:12" x14ac:dyDescent="0.2">
      <c r="A83" s="399">
        <v>40681</v>
      </c>
      <c r="B83" s="397" t="s">
        <v>2648</v>
      </c>
      <c r="C83" s="158" t="s">
        <v>197</v>
      </c>
      <c r="D83" s="638">
        <v>10</v>
      </c>
      <c r="E83" s="166">
        <v>478.9</v>
      </c>
      <c r="F83" s="166">
        <v>4789</v>
      </c>
      <c r="G83" s="166">
        <v>35.69</v>
      </c>
      <c r="H83" s="397" t="s">
        <v>2673</v>
      </c>
      <c r="I83" s="397">
        <v>2011093</v>
      </c>
      <c r="J83" s="397" t="s">
        <v>199</v>
      </c>
      <c r="K83" s="397" t="s">
        <v>1051</v>
      </c>
      <c r="L83" s="158" t="s">
        <v>201</v>
      </c>
    </row>
    <row r="84" spans="1:12" x14ac:dyDescent="0.2">
      <c r="A84" s="399">
        <v>40681</v>
      </c>
      <c r="B84" s="397" t="s">
        <v>196</v>
      </c>
      <c r="C84" s="158" t="s">
        <v>197</v>
      </c>
      <c r="D84" s="638">
        <v>9</v>
      </c>
      <c r="E84" s="166">
        <v>645.4</v>
      </c>
      <c r="F84" s="166">
        <v>5808.6</v>
      </c>
      <c r="G84" s="166">
        <v>43.28</v>
      </c>
      <c r="H84" s="397" t="s">
        <v>2674</v>
      </c>
      <c r="I84" s="397">
        <v>2011093</v>
      </c>
      <c r="J84" s="397" t="s">
        <v>199</v>
      </c>
      <c r="K84" s="397" t="s">
        <v>1051</v>
      </c>
      <c r="L84" s="158" t="s">
        <v>201</v>
      </c>
    </row>
    <row r="85" spans="1:12" x14ac:dyDescent="0.2">
      <c r="A85" s="399">
        <v>40681</v>
      </c>
      <c r="B85" s="397" t="s">
        <v>202</v>
      </c>
      <c r="C85" s="158" t="s">
        <v>197</v>
      </c>
      <c r="D85" s="638">
        <v>17</v>
      </c>
      <c r="E85" s="166">
        <v>338.75</v>
      </c>
      <c r="F85" s="166">
        <v>5758.75</v>
      </c>
      <c r="G85" s="166">
        <v>42.92</v>
      </c>
      <c r="H85" s="397" t="s">
        <v>2675</v>
      </c>
      <c r="I85" s="397">
        <v>2011093</v>
      </c>
      <c r="J85" s="397" t="s">
        <v>199</v>
      </c>
      <c r="K85" s="397" t="s">
        <v>1051</v>
      </c>
      <c r="L85" s="158" t="s">
        <v>201</v>
      </c>
    </row>
    <row r="86" spans="1:12" x14ac:dyDescent="0.2">
      <c r="A86" s="399">
        <v>40672</v>
      </c>
      <c r="B86" s="397" t="s">
        <v>217</v>
      </c>
      <c r="C86" s="158" t="s">
        <v>197</v>
      </c>
      <c r="D86" s="638">
        <v>125</v>
      </c>
      <c r="E86" s="166">
        <v>39.25</v>
      </c>
      <c r="F86" s="166">
        <v>4906.25</v>
      </c>
      <c r="G86" s="166">
        <v>36.24</v>
      </c>
      <c r="H86" s="397" t="s">
        <v>2681</v>
      </c>
      <c r="I86" s="397">
        <v>2011086</v>
      </c>
      <c r="J86" s="397" t="s">
        <v>199</v>
      </c>
      <c r="K86" s="397" t="s">
        <v>1051</v>
      </c>
      <c r="L86" s="158" t="s">
        <v>201</v>
      </c>
    </row>
    <row r="87" spans="1:12" x14ac:dyDescent="0.2">
      <c r="A87" s="399">
        <v>40672</v>
      </c>
      <c r="B87" s="397" t="s">
        <v>219</v>
      </c>
      <c r="C87" s="158" t="s">
        <v>197</v>
      </c>
      <c r="D87" s="638">
        <v>40</v>
      </c>
      <c r="E87" s="166">
        <v>135.05000000000001</v>
      </c>
      <c r="F87" s="166">
        <v>5402</v>
      </c>
      <c r="G87" s="166">
        <v>40.25</v>
      </c>
      <c r="H87" s="397" t="s">
        <v>2682</v>
      </c>
      <c r="I87" s="397">
        <v>2011086</v>
      </c>
      <c r="J87" s="397" t="s">
        <v>199</v>
      </c>
      <c r="K87" s="397" t="s">
        <v>1051</v>
      </c>
      <c r="L87" s="158" t="s">
        <v>201</v>
      </c>
    </row>
    <row r="88" spans="1:12" x14ac:dyDescent="0.2">
      <c r="A88" s="399">
        <v>40672</v>
      </c>
      <c r="B88" s="397" t="s">
        <v>211</v>
      </c>
      <c r="C88" s="158" t="s">
        <v>197</v>
      </c>
      <c r="D88" s="638">
        <v>10</v>
      </c>
      <c r="E88" s="166">
        <v>434.45</v>
      </c>
      <c r="F88" s="166">
        <v>4344.5</v>
      </c>
      <c r="G88" s="166">
        <v>33.6</v>
      </c>
      <c r="H88" s="397" t="s">
        <v>2683</v>
      </c>
      <c r="I88" s="397">
        <v>2011086</v>
      </c>
      <c r="J88" s="397" t="s">
        <v>199</v>
      </c>
      <c r="K88" s="397" t="s">
        <v>1051</v>
      </c>
      <c r="L88" s="158" t="s">
        <v>201</v>
      </c>
    </row>
    <row r="89" spans="1:12" x14ac:dyDescent="0.2">
      <c r="A89" s="399">
        <v>40669</v>
      </c>
      <c r="B89" s="397" t="s">
        <v>205</v>
      </c>
      <c r="C89" s="158" t="s">
        <v>197</v>
      </c>
      <c r="D89" s="638">
        <v>7</v>
      </c>
      <c r="E89" s="166">
        <v>954.2</v>
      </c>
      <c r="F89" s="166">
        <v>6679.4</v>
      </c>
      <c r="G89" s="166">
        <v>49.42</v>
      </c>
      <c r="H89" s="397" t="s">
        <v>2684</v>
      </c>
      <c r="I89" s="397">
        <v>2011085</v>
      </c>
      <c r="J89" s="397" t="s">
        <v>199</v>
      </c>
      <c r="K89" s="397" t="s">
        <v>1051</v>
      </c>
      <c r="L89" s="158" t="s">
        <v>201</v>
      </c>
    </row>
    <row r="90" spans="1:12" x14ac:dyDescent="0.2">
      <c r="A90" s="399">
        <v>40668</v>
      </c>
      <c r="B90" s="397" t="s">
        <v>2662</v>
      </c>
      <c r="C90" s="158" t="s">
        <v>197</v>
      </c>
      <c r="D90" s="638">
        <v>75</v>
      </c>
      <c r="E90" s="166">
        <v>145.27000000000001</v>
      </c>
      <c r="F90" s="166">
        <v>10895.35</v>
      </c>
      <c r="G90" s="166">
        <v>81.58</v>
      </c>
      <c r="H90" s="397" t="s">
        <v>2685</v>
      </c>
      <c r="I90" s="397">
        <v>201112024</v>
      </c>
      <c r="J90" s="397" t="s">
        <v>199</v>
      </c>
      <c r="K90" s="397" t="s">
        <v>1051</v>
      </c>
      <c r="L90" s="158" t="s">
        <v>204</v>
      </c>
    </row>
    <row r="91" spans="1:12" x14ac:dyDescent="0.2">
      <c r="A91" s="399">
        <v>40668</v>
      </c>
      <c r="B91" s="397" t="s">
        <v>211</v>
      </c>
      <c r="C91" s="158" t="s">
        <v>197</v>
      </c>
      <c r="D91" s="638">
        <v>12</v>
      </c>
      <c r="E91" s="166">
        <v>428.9</v>
      </c>
      <c r="F91" s="166">
        <v>5146.8</v>
      </c>
      <c r="G91" s="166">
        <v>37.909999999999997</v>
      </c>
      <c r="H91" s="397" t="s">
        <v>2686</v>
      </c>
      <c r="I91" s="397">
        <v>2011084</v>
      </c>
      <c r="J91" s="397" t="s">
        <v>199</v>
      </c>
      <c r="K91" s="397" t="s">
        <v>1051</v>
      </c>
      <c r="L91" s="158" t="s">
        <v>201</v>
      </c>
    </row>
    <row r="92" spans="1:12" x14ac:dyDescent="0.2">
      <c r="A92" s="399">
        <v>40667</v>
      </c>
      <c r="B92" s="397" t="s">
        <v>207</v>
      </c>
      <c r="C92" s="158" t="s">
        <v>197</v>
      </c>
      <c r="D92" s="638">
        <v>105</v>
      </c>
      <c r="E92" s="166">
        <v>48</v>
      </c>
      <c r="F92" s="166">
        <v>5040</v>
      </c>
      <c r="G92" s="166">
        <v>37.57</v>
      </c>
      <c r="H92" s="397" t="s">
        <v>2691</v>
      </c>
      <c r="I92" s="397">
        <v>201112023</v>
      </c>
      <c r="J92" s="397" t="s">
        <v>199</v>
      </c>
      <c r="K92" s="397" t="s">
        <v>1051</v>
      </c>
      <c r="L92" s="158" t="s">
        <v>204</v>
      </c>
    </row>
    <row r="93" spans="1:12" x14ac:dyDescent="0.2">
      <c r="A93" s="399">
        <v>40667</v>
      </c>
      <c r="B93" s="397" t="s">
        <v>2665</v>
      </c>
      <c r="C93" s="158" t="s">
        <v>197</v>
      </c>
      <c r="D93" s="638">
        <v>30</v>
      </c>
      <c r="E93" s="166">
        <v>252.5</v>
      </c>
      <c r="F93" s="166">
        <v>7575</v>
      </c>
      <c r="G93" s="166">
        <v>56.45</v>
      </c>
      <c r="H93" s="397" t="s">
        <v>2692</v>
      </c>
      <c r="I93" s="397">
        <v>201112023</v>
      </c>
      <c r="J93" s="397" t="s">
        <v>199</v>
      </c>
      <c r="K93" s="397" t="s">
        <v>1051</v>
      </c>
      <c r="L93" s="158" t="s">
        <v>204</v>
      </c>
    </row>
    <row r="94" spans="1:12" x14ac:dyDescent="0.2">
      <c r="A94" s="399">
        <v>40667</v>
      </c>
      <c r="B94" s="397" t="s">
        <v>2648</v>
      </c>
      <c r="C94" s="158" t="s">
        <v>197</v>
      </c>
      <c r="D94" s="638">
        <v>10</v>
      </c>
      <c r="E94" s="166">
        <v>505.95</v>
      </c>
      <c r="F94" s="166">
        <v>5059.5</v>
      </c>
      <c r="G94" s="166">
        <v>37.700000000000003</v>
      </c>
      <c r="H94" s="397" t="s">
        <v>2693</v>
      </c>
      <c r="I94" s="397">
        <v>201112023</v>
      </c>
      <c r="J94" s="397" t="s">
        <v>199</v>
      </c>
      <c r="K94" s="397" t="s">
        <v>1051</v>
      </c>
      <c r="L94" s="158" t="s">
        <v>204</v>
      </c>
    </row>
    <row r="95" spans="1:12" x14ac:dyDescent="0.2">
      <c r="A95" s="399">
        <v>40667</v>
      </c>
      <c r="B95" s="397" t="s">
        <v>196</v>
      </c>
      <c r="C95" s="158" t="s">
        <v>197</v>
      </c>
      <c r="D95" s="638">
        <v>10</v>
      </c>
      <c r="E95" s="166">
        <v>670.95</v>
      </c>
      <c r="F95" s="166">
        <v>6709.5</v>
      </c>
      <c r="G95" s="166">
        <v>50.3</v>
      </c>
      <c r="H95" s="397" t="s">
        <v>2694</v>
      </c>
      <c r="I95" s="397">
        <v>201112023</v>
      </c>
      <c r="J95" s="397" t="s">
        <v>199</v>
      </c>
      <c r="K95" s="397" t="s">
        <v>1051</v>
      </c>
      <c r="L95" s="158" t="s">
        <v>204</v>
      </c>
    </row>
    <row r="96" spans="1:12" x14ac:dyDescent="0.2">
      <c r="A96" s="399">
        <v>40667</v>
      </c>
      <c r="B96" s="397" t="s">
        <v>202</v>
      </c>
      <c r="C96" s="158" t="s">
        <v>197</v>
      </c>
      <c r="D96" s="638">
        <v>17</v>
      </c>
      <c r="E96" s="166">
        <v>321</v>
      </c>
      <c r="F96" s="166">
        <v>5457</v>
      </c>
      <c r="G96" s="166">
        <v>40.659999999999997</v>
      </c>
      <c r="H96" s="397" t="s">
        <v>2695</v>
      </c>
      <c r="I96" s="397">
        <v>201112023</v>
      </c>
      <c r="J96" s="397" t="s">
        <v>199</v>
      </c>
      <c r="K96" s="397" t="s">
        <v>1051</v>
      </c>
      <c r="L96" s="158" t="s">
        <v>204</v>
      </c>
    </row>
    <row r="97" spans="1:12" x14ac:dyDescent="0.2">
      <c r="A97" s="399">
        <v>40667</v>
      </c>
      <c r="B97" s="397" t="s">
        <v>2679</v>
      </c>
      <c r="C97" s="158" t="s">
        <v>197</v>
      </c>
      <c r="D97" s="638">
        <v>10</v>
      </c>
      <c r="E97" s="166">
        <v>703.29</v>
      </c>
      <c r="F97" s="166">
        <v>7032.9</v>
      </c>
      <c r="G97" s="166">
        <v>52.41</v>
      </c>
      <c r="H97" s="397" t="s">
        <v>2696</v>
      </c>
      <c r="I97" s="397">
        <v>201112023</v>
      </c>
      <c r="J97" s="397" t="s">
        <v>199</v>
      </c>
      <c r="K97" s="397" t="s">
        <v>1051</v>
      </c>
      <c r="L97" s="158" t="s">
        <v>204</v>
      </c>
    </row>
    <row r="98" spans="1:12" x14ac:dyDescent="0.2">
      <c r="A98" s="399">
        <v>40667</v>
      </c>
      <c r="B98" s="397" t="s">
        <v>217</v>
      </c>
      <c r="C98" s="158" t="s">
        <v>197</v>
      </c>
      <c r="D98" s="638">
        <v>125</v>
      </c>
      <c r="E98" s="166">
        <v>40.1</v>
      </c>
      <c r="F98" s="166">
        <v>5012.5</v>
      </c>
      <c r="G98" s="166">
        <v>37.369999999999997</v>
      </c>
      <c r="H98" s="397" t="s">
        <v>2697</v>
      </c>
      <c r="I98" s="397">
        <v>201112023</v>
      </c>
      <c r="J98" s="397" t="s">
        <v>199</v>
      </c>
      <c r="K98" s="397" t="s">
        <v>1051</v>
      </c>
      <c r="L98" s="158" t="s">
        <v>204</v>
      </c>
    </row>
    <row r="99" spans="1:12" x14ac:dyDescent="0.2">
      <c r="A99" s="399">
        <v>40667</v>
      </c>
      <c r="B99" s="397" t="s">
        <v>205</v>
      </c>
      <c r="C99" s="158" t="s">
        <v>197</v>
      </c>
      <c r="D99" s="638">
        <v>8</v>
      </c>
      <c r="E99" s="166">
        <v>946.75</v>
      </c>
      <c r="F99" s="166">
        <v>7574</v>
      </c>
      <c r="G99" s="166">
        <v>56.45</v>
      </c>
      <c r="H99" s="397" t="s">
        <v>2711</v>
      </c>
      <c r="I99" s="397">
        <v>201112023</v>
      </c>
      <c r="J99" s="397" t="s">
        <v>199</v>
      </c>
      <c r="K99" s="397" t="s">
        <v>1051</v>
      </c>
      <c r="L99" s="158" t="s">
        <v>204</v>
      </c>
    </row>
    <row r="100" spans="1:12" x14ac:dyDescent="0.2">
      <c r="A100" s="399">
        <v>40667</v>
      </c>
      <c r="B100" s="397" t="s">
        <v>219</v>
      </c>
      <c r="C100" s="158" t="s">
        <v>197</v>
      </c>
      <c r="D100" s="638">
        <v>40</v>
      </c>
      <c r="E100" s="166">
        <v>135.15</v>
      </c>
      <c r="F100" s="166">
        <v>5406</v>
      </c>
      <c r="G100" s="166">
        <v>40.53</v>
      </c>
      <c r="H100" s="397" t="s">
        <v>2712</v>
      </c>
      <c r="I100" s="397">
        <v>2011083</v>
      </c>
      <c r="J100" s="397" t="s">
        <v>199</v>
      </c>
      <c r="K100" s="397" t="s">
        <v>1051</v>
      </c>
      <c r="L100" s="158" t="s">
        <v>201</v>
      </c>
    </row>
    <row r="101" spans="1:12" x14ac:dyDescent="0.2">
      <c r="A101" s="399">
        <v>40665</v>
      </c>
      <c r="B101" s="397" t="s">
        <v>2662</v>
      </c>
      <c r="C101" s="158" t="s">
        <v>197</v>
      </c>
      <c r="D101" s="638">
        <v>25</v>
      </c>
      <c r="E101" s="166">
        <v>166</v>
      </c>
      <c r="F101" s="166">
        <v>4150</v>
      </c>
      <c r="G101" s="166">
        <v>33.14</v>
      </c>
      <c r="H101" s="397" t="s">
        <v>2713</v>
      </c>
      <c r="I101" s="397">
        <v>201112021</v>
      </c>
      <c r="J101" s="397" t="s">
        <v>199</v>
      </c>
      <c r="K101" s="397" t="s">
        <v>1051</v>
      </c>
      <c r="L101" s="158" t="s">
        <v>204</v>
      </c>
    </row>
    <row r="102" spans="1:12" x14ac:dyDescent="0.2">
      <c r="A102" s="399">
        <v>40662</v>
      </c>
      <c r="B102" s="397" t="s">
        <v>2662</v>
      </c>
      <c r="C102" s="158" t="s">
        <v>197</v>
      </c>
      <c r="D102" s="638">
        <v>75</v>
      </c>
      <c r="E102" s="166">
        <v>175.05</v>
      </c>
      <c r="F102" s="166">
        <v>13128.75</v>
      </c>
      <c r="G102" s="166">
        <v>97.44</v>
      </c>
      <c r="H102" s="397" t="s">
        <v>2714</v>
      </c>
      <c r="I102" s="397">
        <v>201112020</v>
      </c>
      <c r="J102" s="397" t="s">
        <v>199</v>
      </c>
      <c r="K102" s="397" t="s">
        <v>1051</v>
      </c>
      <c r="L102" s="158" t="s">
        <v>204</v>
      </c>
    </row>
    <row r="103" spans="1:12" x14ac:dyDescent="0.2">
      <c r="A103" s="399">
        <v>40661</v>
      </c>
      <c r="B103" s="397" t="s">
        <v>1115</v>
      </c>
      <c r="C103" s="158" t="s">
        <v>197</v>
      </c>
      <c r="D103" s="638">
        <v>200</v>
      </c>
      <c r="E103" s="166">
        <v>85.95</v>
      </c>
      <c r="F103" s="166">
        <v>17190</v>
      </c>
      <c r="G103" s="166">
        <v>127.62</v>
      </c>
      <c r="H103" s="397" t="s">
        <v>2715</v>
      </c>
      <c r="I103" s="397">
        <v>201112019</v>
      </c>
      <c r="J103" s="397" t="s">
        <v>199</v>
      </c>
      <c r="K103" s="397" t="s">
        <v>1051</v>
      </c>
      <c r="L103" s="158" t="s">
        <v>204</v>
      </c>
    </row>
    <row r="104" spans="1:12" x14ac:dyDescent="0.2">
      <c r="A104" s="399">
        <v>40661</v>
      </c>
      <c r="B104" s="397" t="s">
        <v>2687</v>
      </c>
      <c r="C104" s="158" t="s">
        <v>197</v>
      </c>
      <c r="D104" s="638">
        <v>25</v>
      </c>
      <c r="E104" s="166">
        <v>624.5</v>
      </c>
      <c r="F104" s="166">
        <v>15612.5</v>
      </c>
      <c r="G104" s="166">
        <v>116.83</v>
      </c>
      <c r="H104" s="397" t="s">
        <v>2716</v>
      </c>
      <c r="I104" s="397">
        <v>2011079</v>
      </c>
      <c r="J104" s="397" t="s">
        <v>199</v>
      </c>
      <c r="K104" s="397" t="s">
        <v>1051</v>
      </c>
      <c r="L104" s="158" t="s">
        <v>201</v>
      </c>
    </row>
    <row r="105" spans="1:12" x14ac:dyDescent="0.2">
      <c r="A105" s="399">
        <v>40648</v>
      </c>
      <c r="B105" s="397" t="s">
        <v>2538</v>
      </c>
      <c r="C105" s="158" t="s">
        <v>197</v>
      </c>
      <c r="D105" s="638">
        <v>175</v>
      </c>
      <c r="E105" s="166">
        <v>66.5</v>
      </c>
      <c r="F105" s="166">
        <v>11637.5</v>
      </c>
      <c r="G105" s="166">
        <v>87.19</v>
      </c>
      <c r="H105" s="397" t="s">
        <v>2719</v>
      </c>
      <c r="I105" s="397">
        <v>201112011</v>
      </c>
      <c r="J105" s="397" t="s">
        <v>199</v>
      </c>
      <c r="K105" s="397" t="s">
        <v>1051</v>
      </c>
      <c r="L105" s="158" t="s">
        <v>204</v>
      </c>
    </row>
    <row r="106" spans="1:12" x14ac:dyDescent="0.2">
      <c r="A106" s="399">
        <v>40644</v>
      </c>
      <c r="B106" s="397" t="s">
        <v>2642</v>
      </c>
      <c r="C106" s="158" t="s">
        <v>197</v>
      </c>
      <c r="D106" s="638">
        <v>100</v>
      </c>
      <c r="E106" s="166">
        <v>117.4</v>
      </c>
      <c r="F106" s="166">
        <v>11740</v>
      </c>
      <c r="G106" s="166">
        <v>87.8</v>
      </c>
      <c r="H106" s="397" t="s">
        <v>2721</v>
      </c>
      <c r="I106" s="397">
        <v>2011069</v>
      </c>
      <c r="J106" s="397" t="s">
        <v>199</v>
      </c>
      <c r="K106" s="397" t="s">
        <v>1051</v>
      </c>
      <c r="L106" s="158" t="s">
        <v>201</v>
      </c>
    </row>
    <row r="107" spans="1:12" x14ac:dyDescent="0.2">
      <c r="A107" s="399">
        <v>40641</v>
      </c>
      <c r="B107" s="397" t="s">
        <v>2642</v>
      </c>
      <c r="C107" s="158" t="s">
        <v>197</v>
      </c>
      <c r="D107" s="638">
        <v>150</v>
      </c>
      <c r="E107" s="166">
        <v>119.47</v>
      </c>
      <c r="F107" s="166">
        <v>17920</v>
      </c>
      <c r="G107" s="166">
        <v>133.85</v>
      </c>
      <c r="H107" s="397" t="s">
        <v>2727</v>
      </c>
      <c r="I107" s="397">
        <v>2011068</v>
      </c>
      <c r="J107" s="397" t="s">
        <v>199</v>
      </c>
      <c r="K107" s="397" t="s">
        <v>1051</v>
      </c>
      <c r="L107" s="158" t="s">
        <v>201</v>
      </c>
    </row>
    <row r="108" spans="1:12" x14ac:dyDescent="0.2">
      <c r="A108" s="399">
        <v>40640</v>
      </c>
      <c r="B108" s="397" t="s">
        <v>2724</v>
      </c>
      <c r="C108" s="158" t="s">
        <v>197</v>
      </c>
      <c r="D108" s="638">
        <v>150</v>
      </c>
      <c r="E108" s="166">
        <v>175</v>
      </c>
      <c r="F108" s="166">
        <v>26250</v>
      </c>
      <c r="G108" s="166">
        <v>195.59</v>
      </c>
      <c r="H108" s="397" t="s">
        <v>2730</v>
      </c>
      <c r="I108" s="397">
        <v>2011067</v>
      </c>
      <c r="J108" s="397" t="s">
        <v>199</v>
      </c>
      <c r="K108" s="397" t="s">
        <v>1051</v>
      </c>
      <c r="L108" s="158" t="s">
        <v>201</v>
      </c>
    </row>
    <row r="109" spans="1:12" x14ac:dyDescent="0.2">
      <c r="A109" s="399">
        <v>40639</v>
      </c>
      <c r="B109" s="397" t="s">
        <v>2722</v>
      </c>
      <c r="C109" s="158" t="s">
        <v>197</v>
      </c>
      <c r="D109" s="638">
        <v>150</v>
      </c>
      <c r="E109" s="166">
        <v>170</v>
      </c>
      <c r="F109" s="166">
        <v>25500</v>
      </c>
      <c r="G109" s="166">
        <v>189.88</v>
      </c>
      <c r="H109" s="397" t="s">
        <v>2733</v>
      </c>
      <c r="I109" s="397">
        <v>2011066</v>
      </c>
      <c r="J109" s="397" t="s">
        <v>199</v>
      </c>
      <c r="K109" s="397" t="s">
        <v>1051</v>
      </c>
      <c r="L109" s="158" t="s">
        <v>201</v>
      </c>
    </row>
    <row r="110" spans="1:12" x14ac:dyDescent="0.2">
      <c r="A110" s="399">
        <v>40638</v>
      </c>
      <c r="B110" s="397" t="s">
        <v>1105</v>
      </c>
      <c r="C110" s="158" t="s">
        <v>197</v>
      </c>
      <c r="D110" s="638">
        <v>1000</v>
      </c>
      <c r="E110" s="166">
        <v>28.6</v>
      </c>
      <c r="F110" s="166">
        <v>28600</v>
      </c>
      <c r="G110" s="166">
        <v>213.3</v>
      </c>
      <c r="H110" s="397" t="s">
        <v>2734</v>
      </c>
      <c r="I110" s="397">
        <v>2011065</v>
      </c>
      <c r="J110" s="397" t="s">
        <v>199</v>
      </c>
      <c r="K110" s="397" t="s">
        <v>1051</v>
      </c>
      <c r="L110" s="158" t="s">
        <v>201</v>
      </c>
    </row>
    <row r="111" spans="1:12" x14ac:dyDescent="0.2">
      <c r="A111" s="399">
        <v>40638</v>
      </c>
      <c r="B111" s="397" t="s">
        <v>2731</v>
      </c>
      <c r="C111" s="158" t="s">
        <v>197</v>
      </c>
      <c r="D111" s="638">
        <v>100</v>
      </c>
      <c r="E111" s="166">
        <v>288.5</v>
      </c>
      <c r="F111" s="166">
        <v>28850</v>
      </c>
      <c r="G111" s="166">
        <v>214.98</v>
      </c>
      <c r="H111" s="397" t="s">
        <v>2735</v>
      </c>
      <c r="I111" s="397">
        <v>2011065</v>
      </c>
      <c r="J111" s="397" t="s">
        <v>199</v>
      </c>
      <c r="K111" s="397" t="s">
        <v>1051</v>
      </c>
      <c r="L111" s="158" t="s">
        <v>201</v>
      </c>
    </row>
    <row r="112" spans="1:12" x14ac:dyDescent="0.2">
      <c r="A112" s="399"/>
      <c r="F112" s="166">
        <f>SUM(F3:F111)</f>
        <v>1464719.85</v>
      </c>
      <c r="G112" s="166">
        <f>SUM(G3:G111)</f>
        <v>11094.401200000004</v>
      </c>
    </row>
    <row r="113" spans="1:12" x14ac:dyDescent="0.2">
      <c r="A113" s="399"/>
    </row>
    <row r="114" spans="1:12" x14ac:dyDescent="0.2">
      <c r="A114" s="399"/>
      <c r="F114" s="166" t="s">
        <v>624</v>
      </c>
      <c r="G114" s="401">
        <f>F112+G112</f>
        <v>1475814.2512000001</v>
      </c>
    </row>
    <row r="115" spans="1:12" x14ac:dyDescent="0.2">
      <c r="A115" s="399"/>
      <c r="G115" s="401"/>
    </row>
    <row r="116" spans="1:12" ht="12.6" x14ac:dyDescent="0.25">
      <c r="A116" s="159" t="s">
        <v>2738</v>
      </c>
    </row>
    <row r="117" spans="1:12" x14ac:dyDescent="0.2">
      <c r="A117" s="399">
        <v>40990</v>
      </c>
      <c r="B117" s="397" t="s">
        <v>282</v>
      </c>
      <c r="C117" s="158" t="s">
        <v>369</v>
      </c>
      <c r="D117" s="638">
        <v>250</v>
      </c>
      <c r="E117" s="166">
        <v>40.549999999999997</v>
      </c>
      <c r="F117" s="166">
        <v>10137.5</v>
      </c>
      <c r="G117" s="406">
        <v>75.459999999999994</v>
      </c>
      <c r="H117" s="397" t="s">
        <v>2523</v>
      </c>
      <c r="I117" s="397">
        <v>2012056</v>
      </c>
      <c r="J117" s="397" t="s">
        <v>199</v>
      </c>
      <c r="K117" s="397" t="s">
        <v>1051</v>
      </c>
      <c r="L117" s="158" t="s">
        <v>201</v>
      </c>
    </row>
    <row r="118" spans="1:12" x14ac:dyDescent="0.2">
      <c r="A118" s="399">
        <v>40962</v>
      </c>
      <c r="B118" s="397" t="s">
        <v>2525</v>
      </c>
      <c r="C118" s="158" t="s">
        <v>369</v>
      </c>
      <c r="D118" s="638">
        <v>1000</v>
      </c>
      <c r="E118" s="166">
        <v>50.56</v>
      </c>
      <c r="F118" s="166">
        <v>50564.45</v>
      </c>
      <c r="G118" s="166">
        <v>376.59</v>
      </c>
      <c r="H118" s="397" t="s">
        <v>2526</v>
      </c>
      <c r="I118" s="397">
        <v>2012037</v>
      </c>
      <c r="J118" s="397" t="s">
        <v>199</v>
      </c>
      <c r="K118" s="397" t="s">
        <v>1051</v>
      </c>
      <c r="L118" s="158" t="s">
        <v>201</v>
      </c>
    </row>
    <row r="119" spans="1:12" x14ac:dyDescent="0.2">
      <c r="A119" s="399">
        <v>40955</v>
      </c>
      <c r="B119" s="397" t="s">
        <v>1697</v>
      </c>
      <c r="C119" s="158" t="s">
        <v>369</v>
      </c>
      <c r="D119" s="638">
        <v>300</v>
      </c>
      <c r="E119" s="166">
        <v>349</v>
      </c>
      <c r="F119" s="166">
        <v>104700</v>
      </c>
      <c r="G119" s="166">
        <v>780.6</v>
      </c>
      <c r="H119" s="397" t="s">
        <v>2527</v>
      </c>
      <c r="I119" s="397">
        <v>2012033</v>
      </c>
      <c r="J119" s="397" t="s">
        <v>199</v>
      </c>
      <c r="K119" s="397" t="s">
        <v>1051</v>
      </c>
      <c r="L119" s="158" t="s">
        <v>201</v>
      </c>
    </row>
    <row r="120" spans="1:12" x14ac:dyDescent="0.2">
      <c r="A120" s="399">
        <v>40941</v>
      </c>
      <c r="B120" s="397" t="s">
        <v>2530</v>
      </c>
      <c r="C120" s="158" t="s">
        <v>369</v>
      </c>
      <c r="D120" s="638">
        <v>175</v>
      </c>
      <c r="E120" s="166">
        <v>199.95</v>
      </c>
      <c r="F120" s="166">
        <v>34991.25</v>
      </c>
      <c r="G120" s="166">
        <v>261.02999999999997</v>
      </c>
      <c r="H120" s="397" t="s">
        <v>2531</v>
      </c>
      <c r="I120" s="397">
        <v>201112211</v>
      </c>
      <c r="J120" s="397" t="s">
        <v>199</v>
      </c>
      <c r="K120" s="397" t="s">
        <v>1051</v>
      </c>
      <c r="L120" s="158" t="s">
        <v>204</v>
      </c>
    </row>
    <row r="121" spans="1:12" x14ac:dyDescent="0.2">
      <c r="A121" s="399">
        <v>40941</v>
      </c>
      <c r="B121" s="397" t="s">
        <v>2532</v>
      </c>
      <c r="C121" s="158" t="s">
        <v>369</v>
      </c>
      <c r="D121" s="638">
        <v>5500</v>
      </c>
      <c r="E121" s="166">
        <v>15.95</v>
      </c>
      <c r="F121" s="166">
        <v>87725</v>
      </c>
      <c r="G121" s="166">
        <v>654.03</v>
      </c>
      <c r="H121" s="397" t="s">
        <v>2533</v>
      </c>
      <c r="I121" s="397">
        <v>2012023</v>
      </c>
      <c r="J121" s="397" t="s">
        <v>199</v>
      </c>
      <c r="K121" s="397" t="s">
        <v>1051</v>
      </c>
      <c r="L121" s="158" t="s">
        <v>201</v>
      </c>
    </row>
    <row r="122" spans="1:12" x14ac:dyDescent="0.2">
      <c r="A122" s="399">
        <v>40938</v>
      </c>
      <c r="B122" s="397" t="s">
        <v>2534</v>
      </c>
      <c r="C122" s="158" t="s">
        <v>369</v>
      </c>
      <c r="D122" s="638">
        <v>450</v>
      </c>
      <c r="E122" s="166">
        <v>183.5</v>
      </c>
      <c r="F122" s="166">
        <v>82575.05</v>
      </c>
      <c r="G122" s="166">
        <v>615.59</v>
      </c>
      <c r="H122" s="397" t="s">
        <v>2535</v>
      </c>
      <c r="I122" s="397">
        <v>2012020</v>
      </c>
      <c r="J122" s="397" t="s">
        <v>199</v>
      </c>
      <c r="K122" s="397" t="s">
        <v>1051</v>
      </c>
      <c r="L122" s="158" t="s">
        <v>201</v>
      </c>
    </row>
    <row r="123" spans="1:12" x14ac:dyDescent="0.2">
      <c r="A123" s="399">
        <v>40932</v>
      </c>
      <c r="B123" s="397" t="s">
        <v>2538</v>
      </c>
      <c r="C123" s="158" t="s">
        <v>369</v>
      </c>
      <c r="D123" s="638">
        <v>2000</v>
      </c>
      <c r="E123" s="166">
        <v>42.73</v>
      </c>
      <c r="F123" s="166">
        <v>85464.6</v>
      </c>
      <c r="G123" s="166">
        <v>636.85</v>
      </c>
      <c r="H123" s="397" t="s">
        <v>2539</v>
      </c>
      <c r="I123" s="397">
        <v>2012017</v>
      </c>
      <c r="J123" s="397" t="s">
        <v>199</v>
      </c>
      <c r="K123" s="397" t="s">
        <v>1051</v>
      </c>
      <c r="L123" s="158" t="s">
        <v>201</v>
      </c>
    </row>
    <row r="124" spans="1:12" x14ac:dyDescent="0.2">
      <c r="A124" s="399">
        <v>40868</v>
      </c>
      <c r="B124" s="397" t="s">
        <v>2543</v>
      </c>
      <c r="C124" s="158" t="s">
        <v>369</v>
      </c>
      <c r="D124" s="638">
        <v>50</v>
      </c>
      <c r="E124" s="166">
        <v>1243.1300000000001</v>
      </c>
      <c r="F124" s="166">
        <v>62156.25</v>
      </c>
      <c r="G124" s="166">
        <v>463.45</v>
      </c>
      <c r="H124" s="397" t="s">
        <v>2544</v>
      </c>
      <c r="I124" s="397">
        <v>2011219</v>
      </c>
      <c r="J124" s="397" t="s">
        <v>199</v>
      </c>
      <c r="K124" s="397" t="s">
        <v>1051</v>
      </c>
      <c r="L124" s="158" t="s">
        <v>201</v>
      </c>
    </row>
    <row r="125" spans="1:12" x14ac:dyDescent="0.2">
      <c r="A125" s="399">
        <v>40861</v>
      </c>
      <c r="B125" s="397" t="s">
        <v>242</v>
      </c>
      <c r="C125" s="158" t="s">
        <v>369</v>
      </c>
      <c r="D125" s="638">
        <v>1000</v>
      </c>
      <c r="E125" s="166">
        <v>26.55</v>
      </c>
      <c r="F125" s="166">
        <v>26550</v>
      </c>
      <c r="G125" s="166">
        <v>197.68</v>
      </c>
      <c r="H125" s="397" t="s">
        <v>2545</v>
      </c>
      <c r="I125" s="397">
        <v>201112154</v>
      </c>
      <c r="J125" s="397" t="s">
        <v>199</v>
      </c>
      <c r="K125" s="397" t="s">
        <v>1185</v>
      </c>
      <c r="L125" s="158" t="s">
        <v>204</v>
      </c>
    </row>
    <row r="126" spans="1:12" x14ac:dyDescent="0.2">
      <c r="A126" s="399">
        <v>40861</v>
      </c>
      <c r="B126" s="397" t="s">
        <v>2546</v>
      </c>
      <c r="C126" s="158" t="s">
        <v>369</v>
      </c>
      <c r="D126" s="638">
        <v>100</v>
      </c>
      <c r="E126" s="166">
        <v>132.4</v>
      </c>
      <c r="F126" s="166">
        <v>13240</v>
      </c>
      <c r="G126" s="166">
        <v>99.11</v>
      </c>
      <c r="H126" s="397" t="s">
        <v>2547</v>
      </c>
      <c r="I126" s="397">
        <v>2011214</v>
      </c>
      <c r="J126" s="397" t="s">
        <v>199</v>
      </c>
      <c r="K126" s="397" t="s">
        <v>1185</v>
      </c>
      <c r="L126" s="158" t="s">
        <v>201</v>
      </c>
    </row>
    <row r="127" spans="1:12" x14ac:dyDescent="0.2">
      <c r="A127" s="399">
        <v>40856</v>
      </c>
      <c r="B127" s="397" t="s">
        <v>1559</v>
      </c>
      <c r="C127" s="158" t="s">
        <v>369</v>
      </c>
      <c r="D127" s="638">
        <v>13</v>
      </c>
      <c r="E127" s="166">
        <v>1884</v>
      </c>
      <c r="F127" s="166">
        <v>24492</v>
      </c>
      <c r="G127" s="166">
        <v>7.51</v>
      </c>
      <c r="H127" s="397" t="s">
        <v>2551</v>
      </c>
      <c r="I127" s="397">
        <v>2011212</v>
      </c>
      <c r="J127" s="397" t="s">
        <v>199</v>
      </c>
      <c r="K127" s="397" t="s">
        <v>1051</v>
      </c>
      <c r="L127" s="158" t="s">
        <v>201</v>
      </c>
    </row>
    <row r="128" spans="1:12" x14ac:dyDescent="0.2">
      <c r="A128" s="399">
        <v>40855</v>
      </c>
      <c r="B128" s="397" t="s">
        <v>242</v>
      </c>
      <c r="C128" s="158" t="s">
        <v>369</v>
      </c>
      <c r="D128" s="638">
        <v>1000</v>
      </c>
      <c r="E128" s="166">
        <v>27.45</v>
      </c>
      <c r="F128" s="166">
        <v>27450</v>
      </c>
      <c r="G128" s="166">
        <v>204.26</v>
      </c>
      <c r="H128" s="397" t="s">
        <v>2552</v>
      </c>
      <c r="I128" s="397">
        <v>201112151</v>
      </c>
      <c r="J128" s="397" t="s">
        <v>199</v>
      </c>
      <c r="K128" s="397" t="s">
        <v>1051</v>
      </c>
      <c r="L128" s="158" t="s">
        <v>204</v>
      </c>
    </row>
    <row r="129" spans="1:12" x14ac:dyDescent="0.2">
      <c r="A129" s="399">
        <v>40849</v>
      </c>
      <c r="B129" s="397" t="s">
        <v>2530</v>
      </c>
      <c r="C129" s="158" t="s">
        <v>369</v>
      </c>
      <c r="D129" s="638">
        <v>25</v>
      </c>
      <c r="E129" s="166">
        <v>180.2</v>
      </c>
      <c r="F129" s="166">
        <v>4505</v>
      </c>
      <c r="G129" s="166">
        <v>45.21</v>
      </c>
      <c r="H129" s="397" t="s">
        <v>2553</v>
      </c>
      <c r="I129" s="397">
        <v>201112148</v>
      </c>
      <c r="J129" s="397" t="s">
        <v>199</v>
      </c>
      <c r="K129" s="397" t="s">
        <v>1051</v>
      </c>
      <c r="L129" s="158" t="s">
        <v>204</v>
      </c>
    </row>
    <row r="130" spans="1:12" x14ac:dyDescent="0.2">
      <c r="A130" s="399">
        <v>40849</v>
      </c>
      <c r="B130" s="397" t="s">
        <v>2554</v>
      </c>
      <c r="C130" s="158" t="s">
        <v>369</v>
      </c>
      <c r="D130" s="638">
        <v>200</v>
      </c>
      <c r="E130" s="166">
        <v>63.55</v>
      </c>
      <c r="F130" s="166">
        <v>12710</v>
      </c>
      <c r="G130" s="166">
        <v>94.72</v>
      </c>
      <c r="H130" s="397" t="s">
        <v>2555</v>
      </c>
      <c r="I130" s="397">
        <v>2011208</v>
      </c>
      <c r="J130" s="397" t="s">
        <v>199</v>
      </c>
      <c r="K130" s="397" t="s">
        <v>1051</v>
      </c>
      <c r="L130" s="158" t="s">
        <v>201</v>
      </c>
    </row>
    <row r="131" spans="1:12" x14ac:dyDescent="0.2">
      <c r="A131" s="399">
        <v>40849</v>
      </c>
      <c r="B131" s="397" t="s">
        <v>2556</v>
      </c>
      <c r="C131" s="158" t="s">
        <v>369</v>
      </c>
      <c r="D131" s="638">
        <v>50</v>
      </c>
      <c r="E131" s="166">
        <v>614.28</v>
      </c>
      <c r="F131" s="166">
        <v>30713.75</v>
      </c>
      <c r="G131" s="166">
        <v>228.86</v>
      </c>
      <c r="H131" s="397" t="s">
        <v>2557</v>
      </c>
      <c r="I131" s="397">
        <v>2011208</v>
      </c>
      <c r="J131" s="397" t="s">
        <v>199</v>
      </c>
      <c r="K131" s="397" t="s">
        <v>1185</v>
      </c>
      <c r="L131" s="158" t="s">
        <v>201</v>
      </c>
    </row>
    <row r="132" spans="1:12" x14ac:dyDescent="0.2">
      <c r="A132" s="399">
        <v>40841</v>
      </c>
      <c r="B132" s="397" t="s">
        <v>2560</v>
      </c>
      <c r="C132" s="158" t="s">
        <v>369</v>
      </c>
      <c r="D132" s="638">
        <v>100</v>
      </c>
      <c r="E132" s="166">
        <v>137.35</v>
      </c>
      <c r="F132" s="166">
        <v>13735</v>
      </c>
      <c r="G132" s="166">
        <v>102.34</v>
      </c>
      <c r="H132" s="397" t="s">
        <v>2561</v>
      </c>
      <c r="I132" s="397">
        <v>2011203</v>
      </c>
      <c r="J132" s="397" t="s">
        <v>199</v>
      </c>
      <c r="K132" s="397" t="s">
        <v>1051</v>
      </c>
      <c r="L132" s="158" t="s">
        <v>201</v>
      </c>
    </row>
    <row r="133" spans="1:12" x14ac:dyDescent="0.2">
      <c r="A133" s="399">
        <v>40835</v>
      </c>
      <c r="B133" s="397" t="s">
        <v>2564</v>
      </c>
      <c r="C133" s="158" t="s">
        <v>369</v>
      </c>
      <c r="D133" s="638">
        <v>1000</v>
      </c>
      <c r="E133" s="166">
        <v>39.5</v>
      </c>
      <c r="F133" s="166">
        <v>39500</v>
      </c>
      <c r="G133" s="166">
        <v>294.33</v>
      </c>
      <c r="H133" s="397" t="s">
        <v>2565</v>
      </c>
      <c r="I133" s="397">
        <v>2011199</v>
      </c>
      <c r="J133" s="397" t="s">
        <v>199</v>
      </c>
      <c r="K133" s="397" t="s">
        <v>1051</v>
      </c>
      <c r="L133" s="158" t="s">
        <v>201</v>
      </c>
    </row>
    <row r="134" spans="1:12" x14ac:dyDescent="0.2">
      <c r="A134" s="399">
        <v>40814</v>
      </c>
      <c r="B134" s="397" t="s">
        <v>308</v>
      </c>
      <c r="C134" s="158" t="s">
        <v>369</v>
      </c>
      <c r="D134" s="638">
        <v>250</v>
      </c>
      <c r="E134" s="166">
        <v>87</v>
      </c>
      <c r="F134" s="166">
        <v>21750</v>
      </c>
      <c r="G134" s="166">
        <v>161.88999999999999</v>
      </c>
      <c r="H134" s="397" t="s">
        <v>2568</v>
      </c>
      <c r="I134" s="397">
        <v>2011185</v>
      </c>
      <c r="J134" s="397" t="s">
        <v>199</v>
      </c>
      <c r="K134" s="397" t="s">
        <v>1051</v>
      </c>
      <c r="L134" s="158" t="s">
        <v>201</v>
      </c>
    </row>
    <row r="135" spans="1:12" x14ac:dyDescent="0.2">
      <c r="A135" s="399">
        <v>40805</v>
      </c>
      <c r="B135" s="397" t="s">
        <v>2569</v>
      </c>
      <c r="C135" s="158" t="s">
        <v>369</v>
      </c>
      <c r="D135" s="638">
        <v>1200</v>
      </c>
      <c r="E135" s="166">
        <v>29.4</v>
      </c>
      <c r="F135" s="166">
        <v>35280</v>
      </c>
      <c r="G135" s="166">
        <v>262.79000000000002</v>
      </c>
      <c r="H135" s="397" t="s">
        <v>2570</v>
      </c>
      <c r="I135" s="397">
        <v>2011178</v>
      </c>
      <c r="J135" s="397" t="s">
        <v>199</v>
      </c>
      <c r="K135" s="397" t="s">
        <v>1051</v>
      </c>
      <c r="L135" s="158" t="s">
        <v>201</v>
      </c>
    </row>
    <row r="136" spans="1:12" x14ac:dyDescent="0.2">
      <c r="A136" s="399">
        <v>40793</v>
      </c>
      <c r="B136" s="397" t="s">
        <v>2575</v>
      </c>
      <c r="C136" s="158" t="s">
        <v>369</v>
      </c>
      <c r="D136" s="638">
        <v>86</v>
      </c>
      <c r="E136" s="166">
        <v>119.55</v>
      </c>
      <c r="F136" s="166">
        <v>10281.299999999999</v>
      </c>
      <c r="G136" s="166">
        <v>76.77</v>
      </c>
      <c r="H136" s="397" t="s">
        <v>2576</v>
      </c>
      <c r="I136" s="397">
        <v>201112110</v>
      </c>
      <c r="J136" s="397" t="s">
        <v>199</v>
      </c>
      <c r="K136" s="397" t="s">
        <v>1051</v>
      </c>
      <c r="L136" s="158" t="s">
        <v>204</v>
      </c>
    </row>
    <row r="137" spans="1:12" x14ac:dyDescent="0.2">
      <c r="A137" s="399">
        <v>40793</v>
      </c>
      <c r="B137" s="397" t="s">
        <v>361</v>
      </c>
      <c r="C137" s="158" t="s">
        <v>369</v>
      </c>
      <c r="D137" s="638">
        <v>350</v>
      </c>
      <c r="E137" s="166">
        <v>42.25</v>
      </c>
      <c r="F137" s="166">
        <v>14787.5</v>
      </c>
      <c r="G137" s="166">
        <v>109.71</v>
      </c>
      <c r="H137" s="397" t="s">
        <v>2577</v>
      </c>
      <c r="I137" s="397">
        <v>2011170</v>
      </c>
      <c r="J137" s="397" t="s">
        <v>199</v>
      </c>
      <c r="K137" s="397" t="s">
        <v>1051</v>
      </c>
      <c r="L137" s="158" t="s">
        <v>201</v>
      </c>
    </row>
    <row r="138" spans="1:12" x14ac:dyDescent="0.2">
      <c r="A138" s="399">
        <v>40792</v>
      </c>
      <c r="B138" s="397" t="s">
        <v>2575</v>
      </c>
      <c r="C138" s="158" t="s">
        <v>369</v>
      </c>
      <c r="D138" s="638">
        <v>64</v>
      </c>
      <c r="E138" s="166">
        <v>119.5</v>
      </c>
      <c r="F138" s="166">
        <v>7648</v>
      </c>
      <c r="G138" s="166">
        <v>57.44</v>
      </c>
      <c r="H138" s="397" t="s">
        <v>2578</v>
      </c>
      <c r="I138" s="397">
        <v>201112109</v>
      </c>
      <c r="J138" s="397" t="s">
        <v>199</v>
      </c>
      <c r="K138" s="397" t="s">
        <v>1051</v>
      </c>
      <c r="L138" s="158" t="s">
        <v>204</v>
      </c>
    </row>
    <row r="139" spans="1:12" x14ac:dyDescent="0.2">
      <c r="A139" s="399">
        <v>40792</v>
      </c>
      <c r="B139" s="397" t="s">
        <v>2579</v>
      </c>
      <c r="C139" s="158" t="s">
        <v>369</v>
      </c>
      <c r="D139" s="638">
        <v>45</v>
      </c>
      <c r="E139" s="166">
        <v>460</v>
      </c>
      <c r="F139" s="166">
        <v>20700</v>
      </c>
      <c r="G139" s="166">
        <v>154.25</v>
      </c>
      <c r="H139" s="397" t="s">
        <v>2580</v>
      </c>
      <c r="I139" s="397">
        <v>2011169</v>
      </c>
      <c r="J139" s="397" t="s">
        <v>199</v>
      </c>
      <c r="K139" s="397" t="s">
        <v>1051</v>
      </c>
      <c r="L139" s="158" t="s">
        <v>201</v>
      </c>
    </row>
    <row r="140" spans="1:12" x14ac:dyDescent="0.2">
      <c r="A140" s="399">
        <v>40792</v>
      </c>
      <c r="B140" s="397" t="s">
        <v>2581</v>
      </c>
      <c r="C140" s="158" t="s">
        <v>369</v>
      </c>
      <c r="D140" s="638">
        <v>22</v>
      </c>
      <c r="E140" s="166">
        <v>688.6</v>
      </c>
      <c r="F140" s="166">
        <v>15149.2</v>
      </c>
      <c r="G140" s="166">
        <v>112.97</v>
      </c>
      <c r="H140" s="397" t="s">
        <v>2582</v>
      </c>
      <c r="I140" s="397">
        <v>2011169</v>
      </c>
      <c r="J140" s="397" t="s">
        <v>199</v>
      </c>
      <c r="K140" s="397" t="s">
        <v>1051</v>
      </c>
      <c r="L140" s="158" t="s">
        <v>201</v>
      </c>
    </row>
    <row r="141" spans="1:12" x14ac:dyDescent="0.2">
      <c r="A141" s="399">
        <v>40792</v>
      </c>
      <c r="B141" s="397" t="s">
        <v>222</v>
      </c>
      <c r="C141" s="158" t="s">
        <v>369</v>
      </c>
      <c r="D141" s="638">
        <v>90</v>
      </c>
      <c r="E141" s="166">
        <v>170</v>
      </c>
      <c r="F141" s="166">
        <v>15300</v>
      </c>
      <c r="G141" s="166">
        <v>114.02</v>
      </c>
      <c r="H141" s="397" t="s">
        <v>2583</v>
      </c>
      <c r="I141" s="397">
        <v>2011169</v>
      </c>
      <c r="J141" s="397" t="s">
        <v>199</v>
      </c>
      <c r="K141" s="397" t="s">
        <v>1051</v>
      </c>
      <c r="L141" s="158" t="s">
        <v>201</v>
      </c>
    </row>
    <row r="142" spans="1:12" x14ac:dyDescent="0.2">
      <c r="A142" s="399">
        <v>40791</v>
      </c>
      <c r="B142" s="397" t="s">
        <v>2585</v>
      </c>
      <c r="C142" s="158" t="s">
        <v>369</v>
      </c>
      <c r="D142" s="638">
        <v>75</v>
      </c>
      <c r="E142" s="166">
        <v>197.75</v>
      </c>
      <c r="F142" s="166">
        <v>14831.25</v>
      </c>
      <c r="G142" s="166">
        <v>110.15</v>
      </c>
      <c r="H142" s="397" t="s">
        <v>2586</v>
      </c>
      <c r="I142" s="397">
        <v>2011168</v>
      </c>
      <c r="J142" s="397" t="s">
        <v>199</v>
      </c>
      <c r="K142" s="397" t="s">
        <v>1051</v>
      </c>
      <c r="L142" s="158" t="s">
        <v>201</v>
      </c>
    </row>
    <row r="143" spans="1:12" x14ac:dyDescent="0.2">
      <c r="A143" s="399">
        <v>40791</v>
      </c>
      <c r="B143" s="397" t="s">
        <v>2587</v>
      </c>
      <c r="C143" s="158" t="s">
        <v>369</v>
      </c>
      <c r="D143" s="638">
        <v>50</v>
      </c>
      <c r="E143" s="166">
        <v>749.1</v>
      </c>
      <c r="F143" s="166">
        <v>37455</v>
      </c>
      <c r="G143" s="166">
        <v>279.10000000000002</v>
      </c>
      <c r="H143" s="397" t="s">
        <v>2588</v>
      </c>
      <c r="I143" s="397">
        <v>2011168</v>
      </c>
      <c r="J143" s="397" t="s">
        <v>199</v>
      </c>
      <c r="K143" s="397" t="s">
        <v>1051</v>
      </c>
      <c r="L143" s="158" t="s">
        <v>201</v>
      </c>
    </row>
    <row r="144" spans="1:12" x14ac:dyDescent="0.2">
      <c r="A144" s="399">
        <v>40779</v>
      </c>
      <c r="B144" s="397" t="s">
        <v>1510</v>
      </c>
      <c r="C144" s="158" t="s">
        <v>369</v>
      </c>
      <c r="D144" s="638">
        <v>20</v>
      </c>
      <c r="E144" s="166">
        <v>715.22</v>
      </c>
      <c r="F144" s="166">
        <v>14304.3</v>
      </c>
      <c r="G144" s="166">
        <v>106.59</v>
      </c>
      <c r="H144" s="397" t="s">
        <v>2591</v>
      </c>
      <c r="I144" s="397">
        <v>2011162</v>
      </c>
      <c r="J144" s="397" t="s">
        <v>199</v>
      </c>
      <c r="K144" s="397" t="s">
        <v>1051</v>
      </c>
      <c r="L144" s="158" t="s">
        <v>201</v>
      </c>
    </row>
    <row r="145" spans="1:12" x14ac:dyDescent="0.2">
      <c r="A145" s="399">
        <v>40771</v>
      </c>
      <c r="B145" s="397" t="s">
        <v>2612</v>
      </c>
      <c r="C145" s="158" t="s">
        <v>369</v>
      </c>
      <c r="D145" s="638">
        <v>75</v>
      </c>
      <c r="E145" s="166">
        <v>133.1</v>
      </c>
      <c r="F145" s="166">
        <v>9982.5</v>
      </c>
      <c r="G145" s="166">
        <v>73.91</v>
      </c>
      <c r="H145" s="397" t="s">
        <v>2613</v>
      </c>
      <c r="I145" s="397">
        <v>2011156</v>
      </c>
      <c r="J145" s="397" t="s">
        <v>199</v>
      </c>
      <c r="K145" s="397" t="s">
        <v>1051</v>
      </c>
      <c r="L145" s="158" t="s">
        <v>201</v>
      </c>
    </row>
    <row r="146" spans="1:12" x14ac:dyDescent="0.2">
      <c r="A146" s="399">
        <v>40766</v>
      </c>
      <c r="B146" s="397" t="s">
        <v>2614</v>
      </c>
      <c r="C146" s="158" t="s">
        <v>369</v>
      </c>
      <c r="D146" s="638">
        <v>40</v>
      </c>
      <c r="E146" s="166">
        <v>184</v>
      </c>
      <c r="F146" s="166">
        <v>7360</v>
      </c>
      <c r="G146" s="166">
        <v>54.65</v>
      </c>
      <c r="H146" s="397" t="s">
        <v>2615</v>
      </c>
      <c r="I146" s="397">
        <v>201112094</v>
      </c>
      <c r="J146" s="397" t="s">
        <v>199</v>
      </c>
      <c r="K146" s="397" t="s">
        <v>1051</v>
      </c>
      <c r="L146" s="158" t="s">
        <v>204</v>
      </c>
    </row>
    <row r="147" spans="1:12" x14ac:dyDescent="0.2">
      <c r="A147" s="399">
        <v>40766</v>
      </c>
      <c r="B147" s="397" t="s">
        <v>238</v>
      </c>
      <c r="C147" s="158" t="s">
        <v>369</v>
      </c>
      <c r="D147" s="638">
        <v>75</v>
      </c>
      <c r="E147" s="166">
        <v>116.4</v>
      </c>
      <c r="F147" s="166">
        <v>8730</v>
      </c>
      <c r="G147" s="166">
        <v>64.849999999999994</v>
      </c>
      <c r="H147" s="397" t="s">
        <v>2616</v>
      </c>
      <c r="I147" s="397">
        <v>2011154</v>
      </c>
      <c r="J147" s="397" t="s">
        <v>199</v>
      </c>
      <c r="K147" s="397" t="s">
        <v>1051</v>
      </c>
      <c r="L147" s="158" t="s">
        <v>201</v>
      </c>
    </row>
    <row r="148" spans="1:12" x14ac:dyDescent="0.2">
      <c r="A148" s="399">
        <v>40766</v>
      </c>
      <c r="B148" s="397" t="s">
        <v>2614</v>
      </c>
      <c r="C148" s="158" t="s">
        <v>369</v>
      </c>
      <c r="D148" s="638">
        <v>10</v>
      </c>
      <c r="E148" s="166">
        <v>184</v>
      </c>
      <c r="F148" s="166">
        <v>1840</v>
      </c>
      <c r="G148" s="166">
        <v>30.13</v>
      </c>
      <c r="H148" s="397" t="s">
        <v>2617</v>
      </c>
      <c r="I148" s="397">
        <v>2011154</v>
      </c>
      <c r="J148" s="397" t="s">
        <v>199</v>
      </c>
      <c r="K148" s="397" t="s">
        <v>1051</v>
      </c>
      <c r="L148" s="158" t="s">
        <v>201</v>
      </c>
    </row>
    <row r="149" spans="1:12" x14ac:dyDescent="0.2">
      <c r="A149" s="399">
        <v>40765</v>
      </c>
      <c r="B149" s="397" t="s">
        <v>233</v>
      </c>
      <c r="C149" s="158" t="s">
        <v>369</v>
      </c>
      <c r="D149" s="638">
        <v>75</v>
      </c>
      <c r="E149" s="166">
        <v>117</v>
      </c>
      <c r="F149" s="166">
        <v>8775</v>
      </c>
      <c r="G149" s="166">
        <v>65.42</v>
      </c>
      <c r="H149" s="397" t="s">
        <v>2618</v>
      </c>
      <c r="I149" s="397">
        <v>201112093</v>
      </c>
      <c r="J149" s="397" t="s">
        <v>199</v>
      </c>
      <c r="K149" s="397" t="s">
        <v>1051</v>
      </c>
      <c r="L149" s="158" t="s">
        <v>204</v>
      </c>
    </row>
    <row r="150" spans="1:12" x14ac:dyDescent="0.2">
      <c r="A150" s="399">
        <v>40750</v>
      </c>
      <c r="B150" s="397" t="s">
        <v>2585</v>
      </c>
      <c r="C150" s="158" t="s">
        <v>369</v>
      </c>
      <c r="D150" s="638">
        <v>50</v>
      </c>
      <c r="E150" s="166">
        <v>224.55</v>
      </c>
      <c r="F150" s="166">
        <v>11227.5</v>
      </c>
      <c r="G150" s="166">
        <v>83.64</v>
      </c>
      <c r="H150" s="397" t="s">
        <v>2619</v>
      </c>
      <c r="I150" s="397">
        <v>201112082</v>
      </c>
      <c r="J150" s="397" t="s">
        <v>199</v>
      </c>
      <c r="K150" s="397" t="s">
        <v>1185</v>
      </c>
      <c r="L150" s="158" t="s">
        <v>204</v>
      </c>
    </row>
    <row r="151" spans="1:12" x14ac:dyDescent="0.2">
      <c r="A151" s="399">
        <v>40749</v>
      </c>
      <c r="B151" s="397" t="s">
        <v>2622</v>
      </c>
      <c r="C151" s="158" t="s">
        <v>369</v>
      </c>
      <c r="D151" s="638">
        <v>350</v>
      </c>
      <c r="E151" s="166">
        <v>92.05</v>
      </c>
      <c r="F151" s="166">
        <v>32217.55</v>
      </c>
      <c r="G151" s="166">
        <v>240.07</v>
      </c>
      <c r="H151" s="397" t="s">
        <v>2623</v>
      </c>
      <c r="I151" s="397">
        <v>2011141</v>
      </c>
      <c r="J151" s="397" t="s">
        <v>199</v>
      </c>
      <c r="K151" s="397" t="s">
        <v>1051</v>
      </c>
      <c r="L151" s="158" t="s">
        <v>201</v>
      </c>
    </row>
    <row r="152" spans="1:12" x14ac:dyDescent="0.2">
      <c r="A152" s="399">
        <v>40749</v>
      </c>
      <c r="B152" s="397" t="s">
        <v>2564</v>
      </c>
      <c r="C152" s="158" t="s">
        <v>369</v>
      </c>
      <c r="D152" s="638">
        <v>150</v>
      </c>
      <c r="E152" s="166">
        <v>62.82</v>
      </c>
      <c r="F152" s="166">
        <v>9422.5499999999993</v>
      </c>
      <c r="G152" s="166">
        <v>70.22</v>
      </c>
      <c r="H152" s="397" t="s">
        <v>2624</v>
      </c>
      <c r="I152" s="397">
        <v>2011141</v>
      </c>
      <c r="J152" s="397" t="s">
        <v>199</v>
      </c>
      <c r="K152" s="397" t="s">
        <v>1051</v>
      </c>
      <c r="L152" s="158" t="s">
        <v>201</v>
      </c>
    </row>
    <row r="153" spans="1:12" x14ac:dyDescent="0.2">
      <c r="A153" s="399">
        <v>40745</v>
      </c>
      <c r="B153" s="397" t="s">
        <v>2622</v>
      </c>
      <c r="C153" s="158" t="s">
        <v>369</v>
      </c>
      <c r="D153" s="638">
        <v>150</v>
      </c>
      <c r="E153" s="166">
        <v>91.5</v>
      </c>
      <c r="F153" s="166">
        <v>13724.6</v>
      </c>
      <c r="G153" s="166">
        <v>102.11</v>
      </c>
      <c r="H153" s="397" t="s">
        <v>2631</v>
      </c>
      <c r="I153" s="397">
        <v>2011139</v>
      </c>
      <c r="J153" s="397" t="s">
        <v>199</v>
      </c>
      <c r="K153" s="397" t="s">
        <v>1051</v>
      </c>
      <c r="L153" s="158" t="s">
        <v>201</v>
      </c>
    </row>
    <row r="154" spans="1:12" x14ac:dyDescent="0.2">
      <c r="A154" s="399">
        <v>40732</v>
      </c>
      <c r="B154" s="397" t="s">
        <v>217</v>
      </c>
      <c r="C154" s="158" t="s">
        <v>369</v>
      </c>
      <c r="D154" s="638">
        <v>500</v>
      </c>
      <c r="E154" s="166">
        <v>37.26</v>
      </c>
      <c r="F154" s="166">
        <v>18627.5</v>
      </c>
      <c r="G154" s="166">
        <v>138.53</v>
      </c>
      <c r="H154" s="397" t="s">
        <v>2632</v>
      </c>
      <c r="I154" s="397">
        <v>201112070</v>
      </c>
      <c r="J154" s="397" t="s">
        <v>199</v>
      </c>
      <c r="K154" s="397" t="s">
        <v>1051</v>
      </c>
      <c r="L154" s="158" t="s">
        <v>204</v>
      </c>
    </row>
    <row r="155" spans="1:12" x14ac:dyDescent="0.2">
      <c r="A155" s="399">
        <v>40732</v>
      </c>
      <c r="B155" s="397" t="s">
        <v>282</v>
      </c>
      <c r="C155" s="158" t="s">
        <v>369</v>
      </c>
      <c r="D155" s="638">
        <v>250</v>
      </c>
      <c r="E155" s="166">
        <v>31.75</v>
      </c>
      <c r="F155" s="166">
        <v>7937.5</v>
      </c>
      <c r="G155" s="166">
        <v>59.22</v>
      </c>
      <c r="H155" s="397" t="s">
        <v>2633</v>
      </c>
      <c r="I155" s="397">
        <v>2011130</v>
      </c>
      <c r="J155" s="397" t="s">
        <v>199</v>
      </c>
      <c r="K155" s="397" t="s">
        <v>1051</v>
      </c>
      <c r="L155" s="158" t="s">
        <v>201</v>
      </c>
    </row>
    <row r="156" spans="1:12" x14ac:dyDescent="0.2">
      <c r="A156" s="399">
        <v>40728</v>
      </c>
      <c r="B156" s="397" t="s">
        <v>2622</v>
      </c>
      <c r="C156" s="158" t="s">
        <v>369</v>
      </c>
      <c r="D156" s="638">
        <v>75</v>
      </c>
      <c r="E156" s="166">
        <v>96.5</v>
      </c>
      <c r="F156" s="166">
        <v>7237.5</v>
      </c>
      <c r="G156" s="166">
        <v>53.89</v>
      </c>
      <c r="H156" s="397" t="s">
        <v>2634</v>
      </c>
      <c r="I156" s="397">
        <v>201112066</v>
      </c>
      <c r="J156" s="397" t="s">
        <v>199</v>
      </c>
      <c r="K156" s="397" t="s">
        <v>1051</v>
      </c>
      <c r="L156" s="158" t="s">
        <v>204</v>
      </c>
    </row>
    <row r="157" spans="1:12" x14ac:dyDescent="0.2">
      <c r="A157" s="399">
        <v>40722</v>
      </c>
      <c r="B157" s="397" t="s">
        <v>219</v>
      </c>
      <c r="C157" s="158" t="s">
        <v>369</v>
      </c>
      <c r="D157" s="638">
        <v>75</v>
      </c>
      <c r="E157" s="166">
        <v>130.75</v>
      </c>
      <c r="F157" s="166">
        <v>9806.25</v>
      </c>
      <c r="G157" s="166">
        <v>72.819999999999993</v>
      </c>
      <c r="H157" s="397" t="s">
        <v>2641</v>
      </c>
      <c r="I157" s="397">
        <v>201112062</v>
      </c>
      <c r="J157" s="397" t="s">
        <v>199</v>
      </c>
      <c r="K157" s="397" t="s">
        <v>1051</v>
      </c>
      <c r="L157" s="158" t="s">
        <v>204</v>
      </c>
    </row>
    <row r="158" spans="1:12" x14ac:dyDescent="0.2">
      <c r="A158" s="399">
        <v>40718</v>
      </c>
      <c r="B158" s="397" t="s">
        <v>2642</v>
      </c>
      <c r="C158" s="158" t="s">
        <v>369</v>
      </c>
      <c r="D158" s="638">
        <v>150</v>
      </c>
      <c r="E158" s="166">
        <v>94.88</v>
      </c>
      <c r="F158" s="166">
        <v>14232.5</v>
      </c>
      <c r="G158" s="166">
        <v>106.27</v>
      </c>
      <c r="H158" s="397" t="s">
        <v>2643</v>
      </c>
      <c r="I158" s="397">
        <v>2011120</v>
      </c>
      <c r="J158" s="397" t="s">
        <v>199</v>
      </c>
      <c r="K158" s="397" t="s">
        <v>1051</v>
      </c>
      <c r="L158" s="158" t="s">
        <v>201</v>
      </c>
    </row>
    <row r="159" spans="1:12" x14ac:dyDescent="0.2">
      <c r="A159" s="399">
        <v>40715</v>
      </c>
      <c r="B159" s="397" t="s">
        <v>207</v>
      </c>
      <c r="C159" s="158" t="s">
        <v>369</v>
      </c>
      <c r="D159" s="638">
        <v>210</v>
      </c>
      <c r="E159" s="166">
        <v>47.75</v>
      </c>
      <c r="F159" s="166">
        <v>10027.5</v>
      </c>
      <c r="G159" s="166">
        <v>75.19</v>
      </c>
      <c r="H159" s="397" t="s">
        <v>2645</v>
      </c>
      <c r="I159" s="397">
        <v>2011117</v>
      </c>
      <c r="J159" s="397" t="s">
        <v>199</v>
      </c>
      <c r="K159" s="397" t="s">
        <v>1051</v>
      </c>
      <c r="L159" s="158" t="s">
        <v>201</v>
      </c>
    </row>
    <row r="160" spans="1:12" x14ac:dyDescent="0.2">
      <c r="A160" s="399">
        <v>40709</v>
      </c>
      <c r="B160" s="397" t="s">
        <v>2648</v>
      </c>
      <c r="C160" s="158" t="s">
        <v>369</v>
      </c>
      <c r="D160" s="638">
        <v>20</v>
      </c>
      <c r="E160" s="166">
        <v>502.55</v>
      </c>
      <c r="F160" s="166">
        <v>10051</v>
      </c>
      <c r="G160" s="166">
        <v>74.75</v>
      </c>
      <c r="H160" s="397" t="s">
        <v>2649</v>
      </c>
      <c r="I160" s="397">
        <v>2011113</v>
      </c>
      <c r="J160" s="397" t="s">
        <v>199</v>
      </c>
      <c r="K160" s="397" t="s">
        <v>1051</v>
      </c>
      <c r="L160" s="158" t="s">
        <v>201</v>
      </c>
    </row>
    <row r="161" spans="1:12" x14ac:dyDescent="0.2">
      <c r="A161" s="399">
        <v>40709</v>
      </c>
      <c r="B161" s="397" t="s">
        <v>282</v>
      </c>
      <c r="C161" s="158" t="s">
        <v>369</v>
      </c>
      <c r="D161" s="638">
        <v>315</v>
      </c>
      <c r="E161" s="166">
        <v>31.95</v>
      </c>
      <c r="F161" s="166">
        <v>10064.25</v>
      </c>
      <c r="G161" s="166">
        <v>74.989999999999995</v>
      </c>
      <c r="H161" s="397" t="s">
        <v>2650</v>
      </c>
      <c r="I161" s="397">
        <v>2011113</v>
      </c>
      <c r="J161" s="397" t="s">
        <v>199</v>
      </c>
      <c r="K161" s="397" t="s">
        <v>1051</v>
      </c>
      <c r="L161" s="158" t="s">
        <v>201</v>
      </c>
    </row>
    <row r="162" spans="1:12" x14ac:dyDescent="0.2">
      <c r="A162" s="399">
        <v>40697</v>
      </c>
      <c r="B162" s="397" t="s">
        <v>219</v>
      </c>
      <c r="C162" s="158" t="s">
        <v>369</v>
      </c>
      <c r="D162" s="638">
        <v>75</v>
      </c>
      <c r="E162" s="166">
        <v>132.80000000000001</v>
      </c>
      <c r="F162" s="166">
        <v>9960</v>
      </c>
      <c r="G162" s="166">
        <v>73.760000000000005</v>
      </c>
      <c r="H162" s="397" t="s">
        <v>2653</v>
      </c>
      <c r="I162" s="397">
        <v>2011105</v>
      </c>
      <c r="J162" s="397" t="s">
        <v>199</v>
      </c>
      <c r="K162" s="397" t="s">
        <v>1051</v>
      </c>
      <c r="L162" s="158" t="s">
        <v>201</v>
      </c>
    </row>
    <row r="163" spans="1:12" x14ac:dyDescent="0.2">
      <c r="A163" s="399">
        <v>40694</v>
      </c>
      <c r="B163" s="397" t="s">
        <v>196</v>
      </c>
      <c r="C163" s="158" t="s">
        <v>369</v>
      </c>
      <c r="D163" s="638">
        <v>19</v>
      </c>
      <c r="E163" s="166">
        <v>677.45</v>
      </c>
      <c r="F163" s="166">
        <v>12871.55</v>
      </c>
      <c r="G163" s="166">
        <v>96.14</v>
      </c>
      <c r="H163" s="397" t="s">
        <v>2654</v>
      </c>
      <c r="I163" s="397">
        <v>2011102</v>
      </c>
      <c r="J163" s="397" t="s">
        <v>199</v>
      </c>
      <c r="K163" s="397" t="s">
        <v>1051</v>
      </c>
      <c r="L163" s="158" t="s">
        <v>201</v>
      </c>
    </row>
    <row r="164" spans="1:12" x14ac:dyDescent="0.2">
      <c r="A164" s="399">
        <v>40694</v>
      </c>
      <c r="B164" s="397" t="s">
        <v>205</v>
      </c>
      <c r="C164" s="158" t="s">
        <v>369</v>
      </c>
      <c r="D164" s="638">
        <v>15</v>
      </c>
      <c r="E164" s="166">
        <v>943.25</v>
      </c>
      <c r="F164" s="166">
        <v>14148.75</v>
      </c>
      <c r="G164" s="166">
        <v>105.43</v>
      </c>
      <c r="H164" s="397" t="s">
        <v>2655</v>
      </c>
      <c r="I164" s="397">
        <v>2011102</v>
      </c>
      <c r="J164" s="397" t="s">
        <v>199</v>
      </c>
      <c r="K164" s="397" t="s">
        <v>1051</v>
      </c>
      <c r="L164" s="158" t="s">
        <v>201</v>
      </c>
    </row>
    <row r="165" spans="1:12" x14ac:dyDescent="0.2">
      <c r="A165" s="399">
        <v>40690</v>
      </c>
      <c r="B165" s="397" t="s">
        <v>2047</v>
      </c>
      <c r="C165" s="158" t="s">
        <v>369</v>
      </c>
      <c r="D165" s="638">
        <v>25</v>
      </c>
      <c r="E165" s="166">
        <v>350</v>
      </c>
      <c r="F165" s="166">
        <v>8750</v>
      </c>
      <c r="G165" s="166">
        <v>65.209999999999994</v>
      </c>
      <c r="H165" s="397" t="s">
        <v>2656</v>
      </c>
      <c r="I165" s="397">
        <v>201112040</v>
      </c>
      <c r="J165" s="397" t="s">
        <v>199</v>
      </c>
      <c r="K165" s="397" t="s">
        <v>1051</v>
      </c>
      <c r="L165" s="158" t="s">
        <v>204</v>
      </c>
    </row>
    <row r="166" spans="1:12" x14ac:dyDescent="0.2">
      <c r="A166" s="399">
        <v>40690</v>
      </c>
      <c r="B166" s="397" t="s">
        <v>2538</v>
      </c>
      <c r="C166" s="158" t="s">
        <v>369</v>
      </c>
      <c r="D166" s="638">
        <v>175</v>
      </c>
      <c r="E166" s="166">
        <v>51</v>
      </c>
      <c r="F166" s="166">
        <v>8925</v>
      </c>
      <c r="G166" s="166">
        <v>66.430000000000007</v>
      </c>
      <c r="H166" s="397" t="s">
        <v>2657</v>
      </c>
      <c r="I166" s="397">
        <v>201112040</v>
      </c>
      <c r="J166" s="397" t="s">
        <v>199</v>
      </c>
      <c r="K166" s="397" t="s">
        <v>1051</v>
      </c>
      <c r="L166" s="158" t="s">
        <v>204</v>
      </c>
    </row>
    <row r="167" spans="1:12" x14ac:dyDescent="0.2">
      <c r="A167" s="399">
        <v>40690</v>
      </c>
      <c r="B167" s="397" t="s">
        <v>2642</v>
      </c>
      <c r="C167" s="158" t="s">
        <v>369</v>
      </c>
      <c r="D167" s="638">
        <v>100</v>
      </c>
      <c r="E167" s="166">
        <v>99.2</v>
      </c>
      <c r="F167" s="166">
        <v>9920</v>
      </c>
      <c r="G167" s="166">
        <v>73.92</v>
      </c>
      <c r="H167" s="397" t="s">
        <v>2658</v>
      </c>
      <c r="I167" s="397">
        <v>2011100</v>
      </c>
      <c r="J167" s="397" t="s">
        <v>199</v>
      </c>
      <c r="K167" s="397" t="s">
        <v>1051</v>
      </c>
      <c r="L167" s="158" t="s">
        <v>201</v>
      </c>
    </row>
    <row r="168" spans="1:12" x14ac:dyDescent="0.2">
      <c r="A168" s="399">
        <v>40687</v>
      </c>
      <c r="B168" s="397" t="s">
        <v>2662</v>
      </c>
      <c r="C168" s="158" t="s">
        <v>369</v>
      </c>
      <c r="D168" s="638">
        <v>175</v>
      </c>
      <c r="E168" s="166">
        <v>145</v>
      </c>
      <c r="F168" s="166">
        <v>25375</v>
      </c>
      <c r="G168" s="166">
        <v>189.38</v>
      </c>
      <c r="H168" s="397" t="s">
        <v>2663</v>
      </c>
      <c r="I168" s="397">
        <v>201112037</v>
      </c>
      <c r="J168" s="397" t="s">
        <v>199</v>
      </c>
      <c r="K168" s="397" t="s">
        <v>1051</v>
      </c>
      <c r="L168" s="158" t="s">
        <v>204</v>
      </c>
    </row>
    <row r="169" spans="1:12" x14ac:dyDescent="0.2">
      <c r="A169" s="399">
        <v>40686</v>
      </c>
      <c r="B169" s="397" t="s">
        <v>2665</v>
      </c>
      <c r="C169" s="158" t="s">
        <v>369</v>
      </c>
      <c r="D169" s="638">
        <v>42</v>
      </c>
      <c r="E169" s="166">
        <v>234.8</v>
      </c>
      <c r="F169" s="166">
        <v>9861.6</v>
      </c>
      <c r="G169" s="166">
        <v>73.75</v>
      </c>
      <c r="H169" s="397" t="s">
        <v>2666</v>
      </c>
      <c r="I169" s="397">
        <v>201112036</v>
      </c>
      <c r="J169" s="397" t="s">
        <v>199</v>
      </c>
      <c r="K169" s="397" t="s">
        <v>1051</v>
      </c>
      <c r="L169" s="158" t="s">
        <v>204</v>
      </c>
    </row>
    <row r="170" spans="1:12" x14ac:dyDescent="0.2">
      <c r="A170" s="399">
        <v>40686</v>
      </c>
      <c r="B170" s="397" t="s">
        <v>202</v>
      </c>
      <c r="C170" s="158" t="s">
        <v>369</v>
      </c>
      <c r="D170" s="638">
        <v>1</v>
      </c>
      <c r="E170" s="166">
        <v>329.3</v>
      </c>
      <c r="F170" s="166">
        <v>329.3</v>
      </c>
      <c r="G170" s="166">
        <v>9.5299999999999994</v>
      </c>
      <c r="H170" s="397" t="s">
        <v>2667</v>
      </c>
      <c r="I170" s="397">
        <v>201112036</v>
      </c>
      <c r="J170" s="397" t="s">
        <v>199</v>
      </c>
      <c r="K170" s="397" t="s">
        <v>1051</v>
      </c>
      <c r="L170" s="158" t="s">
        <v>204</v>
      </c>
    </row>
    <row r="171" spans="1:12" x14ac:dyDescent="0.2">
      <c r="A171" s="399">
        <v>40686</v>
      </c>
      <c r="B171" s="397" t="s">
        <v>202</v>
      </c>
      <c r="C171" s="158" t="s">
        <v>369</v>
      </c>
      <c r="D171" s="638">
        <v>33</v>
      </c>
      <c r="E171" s="166">
        <v>328.6</v>
      </c>
      <c r="F171" s="166">
        <v>10843.8</v>
      </c>
      <c r="G171" s="166">
        <v>80.67</v>
      </c>
      <c r="H171" s="397" t="s">
        <v>2668</v>
      </c>
      <c r="I171" s="397">
        <v>2011096</v>
      </c>
      <c r="J171" s="397" t="s">
        <v>199</v>
      </c>
      <c r="K171" s="397" t="s">
        <v>1051</v>
      </c>
      <c r="L171" s="158" t="s">
        <v>201</v>
      </c>
    </row>
    <row r="172" spans="1:12" x14ac:dyDescent="0.2">
      <c r="A172" s="399">
        <v>40674</v>
      </c>
      <c r="B172" s="397" t="s">
        <v>211</v>
      </c>
      <c r="C172" s="158" t="s">
        <v>369</v>
      </c>
      <c r="D172" s="638">
        <v>10</v>
      </c>
      <c r="E172" s="166">
        <v>469.65</v>
      </c>
      <c r="F172" s="166">
        <v>4696.5</v>
      </c>
      <c r="G172" s="166">
        <v>34.99</v>
      </c>
      <c r="H172" s="397" t="s">
        <v>2676</v>
      </c>
      <c r="I172" s="397">
        <v>2011088</v>
      </c>
      <c r="J172" s="397" t="s">
        <v>199</v>
      </c>
      <c r="K172" s="397" t="s">
        <v>1185</v>
      </c>
      <c r="L172" s="158" t="s">
        <v>201</v>
      </c>
    </row>
    <row r="173" spans="1:12" x14ac:dyDescent="0.2">
      <c r="A173" s="399">
        <v>40674</v>
      </c>
      <c r="B173" s="397" t="s">
        <v>211</v>
      </c>
      <c r="C173" s="158" t="s">
        <v>369</v>
      </c>
      <c r="D173" s="638">
        <v>12</v>
      </c>
      <c r="E173" s="166">
        <v>470.2</v>
      </c>
      <c r="F173" s="166">
        <v>5642.4</v>
      </c>
      <c r="G173" s="166">
        <v>42.12</v>
      </c>
      <c r="H173" s="397" t="s">
        <v>2677</v>
      </c>
      <c r="I173" s="397">
        <v>2011088</v>
      </c>
      <c r="J173" s="397" t="s">
        <v>199</v>
      </c>
      <c r="K173" s="397" t="s">
        <v>1051</v>
      </c>
      <c r="L173" s="158" t="s">
        <v>201</v>
      </c>
    </row>
    <row r="174" spans="1:12" x14ac:dyDescent="0.2">
      <c r="A174" s="399">
        <v>40673</v>
      </c>
      <c r="B174" s="397" t="s">
        <v>207</v>
      </c>
      <c r="C174" s="158" t="s">
        <v>369</v>
      </c>
      <c r="D174" s="638">
        <v>105</v>
      </c>
      <c r="E174" s="166">
        <v>49.1</v>
      </c>
      <c r="F174" s="166">
        <v>5155.5</v>
      </c>
      <c r="G174" s="166">
        <v>38.06</v>
      </c>
      <c r="H174" s="397" t="s">
        <v>2678</v>
      </c>
      <c r="I174" s="397">
        <v>2011087</v>
      </c>
      <c r="J174" s="397" t="s">
        <v>199</v>
      </c>
      <c r="K174" s="397" t="s">
        <v>1051</v>
      </c>
      <c r="L174" s="158" t="s">
        <v>201</v>
      </c>
    </row>
    <row r="175" spans="1:12" x14ac:dyDescent="0.2">
      <c r="A175" s="399">
        <v>40673</v>
      </c>
      <c r="B175" s="397" t="s">
        <v>2679</v>
      </c>
      <c r="C175" s="158" t="s">
        <v>369</v>
      </c>
      <c r="D175" s="638">
        <v>10</v>
      </c>
      <c r="E175" s="166">
        <v>714</v>
      </c>
      <c r="F175" s="166">
        <v>7140</v>
      </c>
      <c r="G175" s="166">
        <v>53.21</v>
      </c>
      <c r="H175" s="397" t="s">
        <v>2680</v>
      </c>
      <c r="I175" s="397">
        <v>2011087</v>
      </c>
      <c r="J175" s="397" t="s">
        <v>199</v>
      </c>
      <c r="K175" s="397" t="s">
        <v>1051</v>
      </c>
      <c r="L175" s="158" t="s">
        <v>201</v>
      </c>
    </row>
    <row r="176" spans="1:12" x14ac:dyDescent="0.2">
      <c r="A176" s="399">
        <v>40667</v>
      </c>
      <c r="B176" s="397" t="s">
        <v>2687</v>
      </c>
      <c r="C176" s="158" t="s">
        <v>369</v>
      </c>
      <c r="D176" s="638">
        <v>25</v>
      </c>
      <c r="E176" s="166">
        <v>577.04999999999995</v>
      </c>
      <c r="F176" s="166">
        <v>14426.25</v>
      </c>
      <c r="G176" s="166">
        <v>107.51</v>
      </c>
      <c r="H176" s="397" t="s">
        <v>2688</v>
      </c>
      <c r="I176" s="397">
        <v>201112023</v>
      </c>
      <c r="J176" s="397" t="s">
        <v>199</v>
      </c>
      <c r="K176" s="397" t="s">
        <v>1051</v>
      </c>
      <c r="L176" s="158" t="s">
        <v>204</v>
      </c>
    </row>
    <row r="177" spans="1:12" x14ac:dyDescent="0.2">
      <c r="A177" s="399">
        <v>40667</v>
      </c>
      <c r="B177" s="397" t="s">
        <v>1115</v>
      </c>
      <c r="C177" s="158" t="s">
        <v>369</v>
      </c>
      <c r="D177" s="638">
        <v>200</v>
      </c>
      <c r="E177" s="166">
        <v>82.25</v>
      </c>
      <c r="F177" s="166">
        <v>16450</v>
      </c>
      <c r="G177" s="166">
        <v>122.61</v>
      </c>
      <c r="H177" s="397" t="s">
        <v>2689</v>
      </c>
      <c r="I177" s="397">
        <v>201112023</v>
      </c>
      <c r="J177" s="397" t="s">
        <v>199</v>
      </c>
      <c r="K177" s="397" t="s">
        <v>1051</v>
      </c>
      <c r="L177" s="158" t="s">
        <v>204</v>
      </c>
    </row>
    <row r="178" spans="1:12" x14ac:dyDescent="0.2">
      <c r="A178" s="399">
        <v>40667</v>
      </c>
      <c r="B178" s="397" t="s">
        <v>222</v>
      </c>
      <c r="C178" s="158" t="s">
        <v>369</v>
      </c>
      <c r="D178" s="638">
        <v>85</v>
      </c>
      <c r="E178" s="166">
        <v>143.80000000000001</v>
      </c>
      <c r="F178" s="166">
        <v>12223</v>
      </c>
      <c r="G178" s="166">
        <v>91.1</v>
      </c>
      <c r="H178" s="397" t="s">
        <v>2690</v>
      </c>
      <c r="I178" s="397">
        <v>201112023</v>
      </c>
      <c r="J178" s="397" t="s">
        <v>199</v>
      </c>
      <c r="K178" s="397" t="s">
        <v>1051</v>
      </c>
      <c r="L178" s="158" t="s">
        <v>204</v>
      </c>
    </row>
    <row r="179" spans="1:12" x14ac:dyDescent="0.2">
      <c r="A179" s="399">
        <v>40652</v>
      </c>
      <c r="B179" s="397" t="s">
        <v>217</v>
      </c>
      <c r="C179" s="158" t="s">
        <v>369</v>
      </c>
      <c r="D179" s="638">
        <v>250</v>
      </c>
      <c r="E179" s="166">
        <v>44.25</v>
      </c>
      <c r="F179" s="166">
        <v>11062.5</v>
      </c>
      <c r="G179" s="166">
        <v>82.61</v>
      </c>
      <c r="H179" s="397" t="s">
        <v>2717</v>
      </c>
      <c r="I179" s="397">
        <v>2011073</v>
      </c>
      <c r="J179" s="397" t="s">
        <v>199</v>
      </c>
      <c r="K179" s="397" t="s">
        <v>1051</v>
      </c>
      <c r="L179" s="158" t="s">
        <v>201</v>
      </c>
    </row>
    <row r="180" spans="1:12" x14ac:dyDescent="0.2">
      <c r="A180" s="399">
        <v>40651</v>
      </c>
      <c r="B180" s="397" t="s">
        <v>224</v>
      </c>
      <c r="C180" s="158" t="s">
        <v>369</v>
      </c>
      <c r="D180" s="638">
        <v>118</v>
      </c>
      <c r="E180" s="166">
        <v>58.7</v>
      </c>
      <c r="F180" s="166">
        <v>6926.6</v>
      </c>
      <c r="G180" s="166">
        <v>51.97</v>
      </c>
      <c r="H180" s="397" t="s">
        <v>2718</v>
      </c>
      <c r="I180" s="397">
        <v>2011072</v>
      </c>
      <c r="J180" s="397" t="s">
        <v>199</v>
      </c>
      <c r="K180" s="397" t="s">
        <v>1051</v>
      </c>
      <c r="L180" s="158" t="s">
        <v>201</v>
      </c>
    </row>
    <row r="181" spans="1:12" x14ac:dyDescent="0.2">
      <c r="A181" s="399">
        <v>40648</v>
      </c>
      <c r="B181" s="397" t="s">
        <v>224</v>
      </c>
      <c r="C181" s="158" t="s">
        <v>369</v>
      </c>
      <c r="D181" s="638">
        <v>120</v>
      </c>
      <c r="E181" s="166">
        <v>58.95</v>
      </c>
      <c r="F181" s="166">
        <v>7074</v>
      </c>
      <c r="G181" s="166">
        <v>52.87</v>
      </c>
      <c r="H181" s="397" t="s">
        <v>2720</v>
      </c>
      <c r="I181" s="397">
        <v>2011071</v>
      </c>
      <c r="J181" s="397" t="s">
        <v>199</v>
      </c>
      <c r="K181" s="397" t="s">
        <v>1051</v>
      </c>
      <c r="L181" s="158" t="s">
        <v>201</v>
      </c>
    </row>
    <row r="182" spans="1:12" x14ac:dyDescent="0.2">
      <c r="A182" s="399">
        <v>40641</v>
      </c>
      <c r="B182" s="397" t="s">
        <v>2722</v>
      </c>
      <c r="C182" s="158" t="s">
        <v>369</v>
      </c>
      <c r="D182" s="638">
        <v>150</v>
      </c>
      <c r="E182" s="166">
        <v>175.6</v>
      </c>
      <c r="F182" s="166">
        <v>26340</v>
      </c>
      <c r="G182" s="166">
        <v>196.29</v>
      </c>
      <c r="H182" s="397" t="s">
        <v>2723</v>
      </c>
      <c r="I182" s="397">
        <v>2011068</v>
      </c>
      <c r="J182" s="397" t="s">
        <v>199</v>
      </c>
      <c r="K182" s="397" t="s">
        <v>1185</v>
      </c>
      <c r="L182" s="158" t="s">
        <v>201</v>
      </c>
    </row>
    <row r="183" spans="1:12" x14ac:dyDescent="0.2">
      <c r="A183" s="399">
        <v>40641</v>
      </c>
      <c r="B183" s="397" t="s">
        <v>2724</v>
      </c>
      <c r="C183" s="158" t="s">
        <v>369</v>
      </c>
      <c r="D183" s="638">
        <v>150</v>
      </c>
      <c r="E183" s="166">
        <v>173.85</v>
      </c>
      <c r="F183" s="166">
        <v>26077.5</v>
      </c>
      <c r="G183" s="166">
        <v>194.33</v>
      </c>
      <c r="H183" s="397" t="s">
        <v>2725</v>
      </c>
      <c r="I183" s="397">
        <v>2011068</v>
      </c>
      <c r="J183" s="397" t="s">
        <v>199</v>
      </c>
      <c r="K183" s="397" t="s">
        <v>1185</v>
      </c>
      <c r="L183" s="158" t="s">
        <v>201</v>
      </c>
    </row>
    <row r="184" spans="1:12" x14ac:dyDescent="0.2">
      <c r="A184" s="399">
        <v>40641</v>
      </c>
      <c r="B184" s="397" t="s">
        <v>219</v>
      </c>
      <c r="C184" s="158" t="s">
        <v>369</v>
      </c>
      <c r="D184" s="638">
        <v>76</v>
      </c>
      <c r="E184" s="166">
        <v>145.05000000000001</v>
      </c>
      <c r="F184" s="166">
        <v>11023.8</v>
      </c>
      <c r="G184" s="166">
        <v>82.15</v>
      </c>
      <c r="H184" s="397" t="s">
        <v>2726</v>
      </c>
      <c r="I184" s="397">
        <v>2011068</v>
      </c>
      <c r="J184" s="397" t="s">
        <v>199</v>
      </c>
      <c r="K184" s="397" t="s">
        <v>1051</v>
      </c>
      <c r="L184" s="158" t="s">
        <v>201</v>
      </c>
    </row>
    <row r="185" spans="1:12" x14ac:dyDescent="0.2">
      <c r="A185" s="399">
        <v>40640</v>
      </c>
      <c r="B185" s="397" t="s">
        <v>282</v>
      </c>
      <c r="C185" s="158" t="s">
        <v>369</v>
      </c>
      <c r="D185" s="638">
        <v>175</v>
      </c>
      <c r="E185" s="166">
        <v>34.9</v>
      </c>
      <c r="F185" s="166">
        <v>6107.5</v>
      </c>
      <c r="G185" s="166">
        <v>45.9</v>
      </c>
      <c r="H185" s="397" t="s">
        <v>2728</v>
      </c>
      <c r="I185" s="397">
        <v>201112007</v>
      </c>
      <c r="J185" s="397" t="s">
        <v>199</v>
      </c>
      <c r="K185" s="397" t="s">
        <v>1051</v>
      </c>
      <c r="L185" s="158" t="s">
        <v>204</v>
      </c>
    </row>
    <row r="186" spans="1:12" x14ac:dyDescent="0.2">
      <c r="A186" s="399">
        <v>40640</v>
      </c>
      <c r="B186" s="397" t="s">
        <v>1105</v>
      </c>
      <c r="C186" s="158" t="s">
        <v>369</v>
      </c>
      <c r="D186" s="638">
        <v>1000</v>
      </c>
      <c r="E186" s="166">
        <v>30.35</v>
      </c>
      <c r="F186" s="166">
        <v>30350</v>
      </c>
      <c r="G186" s="166">
        <v>226.39</v>
      </c>
      <c r="H186" s="397" t="s">
        <v>2729</v>
      </c>
      <c r="I186" s="397">
        <v>2011067</v>
      </c>
      <c r="J186" s="397" t="s">
        <v>199</v>
      </c>
      <c r="K186" s="397" t="s">
        <v>1185</v>
      </c>
      <c r="L186" s="158" t="s">
        <v>201</v>
      </c>
    </row>
    <row r="187" spans="1:12" x14ac:dyDescent="0.2">
      <c r="A187" s="399">
        <v>40639</v>
      </c>
      <c r="B187" s="397" t="s">
        <v>2731</v>
      </c>
      <c r="C187" s="158" t="s">
        <v>369</v>
      </c>
      <c r="D187" s="638">
        <v>100</v>
      </c>
      <c r="E187" s="166">
        <v>298.10000000000002</v>
      </c>
      <c r="F187" s="166">
        <v>29810</v>
      </c>
      <c r="G187" s="166">
        <v>222.13</v>
      </c>
      <c r="H187" s="397" t="s">
        <v>2732</v>
      </c>
      <c r="I187" s="397">
        <v>2011066</v>
      </c>
      <c r="J187" s="397" t="s">
        <v>199</v>
      </c>
      <c r="K187" s="397" t="s">
        <v>1185</v>
      </c>
      <c r="L187" s="158" t="s">
        <v>201</v>
      </c>
    </row>
    <row r="188" spans="1:12" x14ac:dyDescent="0.2">
      <c r="A188" s="399">
        <v>40637</v>
      </c>
      <c r="B188" s="397" t="s">
        <v>235</v>
      </c>
      <c r="C188" s="158" t="s">
        <v>369</v>
      </c>
      <c r="D188" s="638">
        <v>300</v>
      </c>
      <c r="E188" s="166">
        <v>23.3</v>
      </c>
      <c r="F188" s="166">
        <v>6990</v>
      </c>
      <c r="G188" s="166">
        <v>52.36</v>
      </c>
      <c r="H188" s="397" t="s">
        <v>2736</v>
      </c>
      <c r="I188" s="397">
        <v>2011064</v>
      </c>
      <c r="J188" s="397" t="s">
        <v>199</v>
      </c>
      <c r="K188" s="397" t="s">
        <v>1051</v>
      </c>
      <c r="L188" s="158" t="s">
        <v>201</v>
      </c>
    </row>
    <row r="189" spans="1:12" x14ac:dyDescent="0.2">
      <c r="F189" s="166">
        <f>SUM(F117:F188)</f>
        <v>1448440.6500000004</v>
      </c>
      <c r="G189" s="166">
        <f>SUM(G117:G188)</f>
        <v>10654.78</v>
      </c>
    </row>
    <row r="191" spans="1:12" x14ac:dyDescent="0.2">
      <c r="F191" s="166" t="s">
        <v>659</v>
      </c>
      <c r="G191" s="166">
        <f>F189-G189</f>
        <v>1437785.8700000003</v>
      </c>
    </row>
    <row r="193" spans="1:12" ht="12.6" x14ac:dyDescent="0.2">
      <c r="E193" s="153"/>
      <c r="F193" s="153"/>
      <c r="G193" s="153"/>
      <c r="I193" s="168"/>
      <c r="J193" s="398"/>
    </row>
    <row r="194" spans="1:12" ht="12.6" x14ac:dyDescent="0.25">
      <c r="F194" s="167" t="s">
        <v>660</v>
      </c>
      <c r="G194" s="395">
        <f>G191-G114</f>
        <v>-38028.381199999712</v>
      </c>
    </row>
    <row r="195" spans="1:12" ht="13.2" x14ac:dyDescent="0.25">
      <c r="A195" s="54" t="s">
        <v>1281</v>
      </c>
    </row>
    <row r="196" spans="1:12" x14ac:dyDescent="0.2">
      <c r="A196" s="399">
        <v>40967</v>
      </c>
      <c r="B196" s="397" t="s">
        <v>282</v>
      </c>
      <c r="C196" s="158" t="s">
        <v>197</v>
      </c>
      <c r="D196" s="638">
        <f>500/2</f>
        <v>250</v>
      </c>
      <c r="E196" s="166">
        <v>40.5</v>
      </c>
      <c r="F196" s="166">
        <f>D196*E196</f>
        <v>10125</v>
      </c>
      <c r="G196" s="166">
        <f>150.58/2</f>
        <v>75.290000000000006</v>
      </c>
      <c r="H196" s="397" t="s">
        <v>2524</v>
      </c>
      <c r="I196" s="397">
        <v>2012040</v>
      </c>
      <c r="J196" s="397" t="s">
        <v>199</v>
      </c>
      <c r="K196" s="397" t="s">
        <v>1051</v>
      </c>
      <c r="L196" s="158" t="s">
        <v>201</v>
      </c>
    </row>
    <row r="197" spans="1:12" x14ac:dyDescent="0.2">
      <c r="A197" s="399">
        <v>40996</v>
      </c>
      <c r="B197" s="397" t="s">
        <v>282</v>
      </c>
      <c r="C197" s="158" t="s">
        <v>197</v>
      </c>
      <c r="D197" s="638">
        <v>250</v>
      </c>
      <c r="E197" s="166">
        <v>39.5</v>
      </c>
      <c r="F197" s="166">
        <v>9875</v>
      </c>
      <c r="G197" s="166">
        <v>72.86</v>
      </c>
      <c r="H197" s="397" t="s">
        <v>1644</v>
      </c>
      <c r="I197" s="397">
        <v>201112249</v>
      </c>
      <c r="J197" s="397" t="s">
        <v>199</v>
      </c>
      <c r="K197" s="397" t="s">
        <v>1051</v>
      </c>
      <c r="L197" s="158" t="s">
        <v>204</v>
      </c>
    </row>
    <row r="198" spans="1:12" x14ac:dyDescent="0.2">
      <c r="A198" s="399"/>
      <c r="F198" s="166">
        <f>SUM(F196:F197)</f>
        <v>20000</v>
      </c>
      <c r="G198" s="166">
        <f>SUM(G196:G197)</f>
        <v>148.15</v>
      </c>
    </row>
    <row r="199" spans="1:12" x14ac:dyDescent="0.2">
      <c r="A199" s="399"/>
      <c r="F199" s="166" t="s">
        <v>1645</v>
      </c>
      <c r="G199" s="166">
        <f>F198+G198</f>
        <v>20148.150000000001</v>
      </c>
    </row>
    <row r="200" spans="1:12" x14ac:dyDescent="0.2">
      <c r="A200" s="399"/>
    </row>
    <row r="201" spans="1:12" x14ac:dyDescent="0.2">
      <c r="A201" s="399"/>
    </row>
    <row r="202" spans="1:12" x14ac:dyDescent="0.2">
      <c r="A202" s="399"/>
      <c r="H202" s="153"/>
    </row>
    <row r="299" spans="1:12" x14ac:dyDescent="0.2">
      <c r="A299" s="396"/>
      <c r="B299" s="153"/>
      <c r="C299" s="153"/>
      <c r="D299" s="639"/>
      <c r="E299" s="153"/>
      <c r="F299" s="153"/>
      <c r="G299" s="153"/>
      <c r="H299" s="153"/>
      <c r="I299" s="153"/>
      <c r="J299" s="153"/>
      <c r="K299" s="153"/>
      <c r="L299" s="153"/>
    </row>
    <row r="300" spans="1:12" x14ac:dyDescent="0.2">
      <c r="A300" s="396"/>
      <c r="B300" s="153"/>
      <c r="C300" s="153"/>
      <c r="D300" s="639"/>
      <c r="E300" s="153"/>
      <c r="F300" s="153"/>
      <c r="G300" s="153"/>
      <c r="H300" s="153"/>
      <c r="I300" s="153"/>
      <c r="J300" s="153"/>
      <c r="K300" s="153"/>
      <c r="L300" s="153"/>
    </row>
    <row r="301" spans="1:12" x14ac:dyDescent="0.2">
      <c r="A301" s="396"/>
      <c r="B301" s="153"/>
      <c r="C301" s="153"/>
      <c r="D301" s="639"/>
      <c r="E301" s="153"/>
      <c r="F301" s="153"/>
      <c r="G301" s="153"/>
      <c r="H301" s="153"/>
      <c r="I301" s="153"/>
      <c r="J301" s="153"/>
      <c r="K301" s="153"/>
      <c r="L301" s="153"/>
    </row>
    <row r="302" spans="1:12" x14ac:dyDescent="0.2">
      <c r="A302" s="396"/>
      <c r="B302" s="153"/>
      <c r="C302" s="153"/>
      <c r="D302" s="639"/>
      <c r="E302" s="153"/>
      <c r="F302" s="153"/>
      <c r="G302" s="153"/>
      <c r="H302" s="153"/>
      <c r="I302" s="153"/>
      <c r="J302" s="153"/>
      <c r="K302" s="153"/>
      <c r="L302" s="153"/>
    </row>
    <row r="303" spans="1:12" x14ac:dyDescent="0.2">
      <c r="A303" s="396"/>
      <c r="B303" s="153"/>
      <c r="C303" s="153"/>
      <c r="D303" s="639"/>
      <c r="E303" s="153"/>
      <c r="F303" s="153"/>
      <c r="G303" s="153"/>
      <c r="H303" s="153"/>
      <c r="I303" s="153"/>
      <c r="J303" s="153"/>
      <c r="K303" s="153"/>
      <c r="L303" s="153"/>
    </row>
    <row r="304" spans="1:12" x14ac:dyDescent="0.2">
      <c r="A304" s="396"/>
      <c r="B304" s="153"/>
      <c r="C304" s="153"/>
      <c r="D304" s="639"/>
      <c r="E304" s="153"/>
      <c r="F304" s="153"/>
      <c r="G304" s="153"/>
      <c r="H304" s="153"/>
      <c r="I304" s="153"/>
      <c r="J304" s="153"/>
      <c r="K304" s="153"/>
      <c r="L304" s="153"/>
    </row>
    <row r="305" spans="1:12" x14ac:dyDescent="0.2">
      <c r="A305" s="396"/>
      <c r="B305" s="153"/>
      <c r="C305" s="153"/>
      <c r="D305" s="639"/>
      <c r="E305" s="153"/>
      <c r="F305" s="153"/>
      <c r="G305" s="153"/>
      <c r="H305" s="153"/>
      <c r="I305" s="153"/>
      <c r="J305" s="153"/>
      <c r="K305" s="153"/>
      <c r="L305" s="153"/>
    </row>
    <row r="306" spans="1:12" x14ac:dyDescent="0.2">
      <c r="A306" s="396"/>
      <c r="B306" s="153"/>
      <c r="C306" s="153"/>
      <c r="D306" s="639"/>
      <c r="E306" s="153"/>
      <c r="F306" s="153"/>
      <c r="G306" s="153"/>
      <c r="H306" s="153"/>
      <c r="I306" s="153"/>
      <c r="J306" s="153"/>
      <c r="K306" s="153"/>
      <c r="L306" s="153"/>
    </row>
    <row r="307" spans="1:12" x14ac:dyDescent="0.2">
      <c r="A307" s="396"/>
      <c r="B307" s="153"/>
      <c r="C307" s="153"/>
      <c r="D307" s="639"/>
      <c r="E307" s="153"/>
      <c r="F307" s="153"/>
      <c r="G307" s="153"/>
      <c r="H307" s="153"/>
      <c r="I307" s="153"/>
      <c r="J307" s="153"/>
      <c r="K307" s="153"/>
      <c r="L307" s="153"/>
    </row>
    <row r="308" spans="1:12" x14ac:dyDescent="0.2">
      <c r="A308" s="396"/>
      <c r="B308" s="153"/>
      <c r="C308" s="153"/>
      <c r="D308" s="639"/>
      <c r="E308" s="153"/>
      <c r="F308" s="153"/>
      <c r="G308" s="153"/>
      <c r="H308" s="153"/>
      <c r="I308" s="153"/>
      <c r="J308" s="153"/>
      <c r="K308" s="153"/>
      <c r="L308" s="153"/>
    </row>
    <row r="309" spans="1:12" x14ac:dyDescent="0.2">
      <c r="A309" s="396"/>
      <c r="B309" s="153"/>
      <c r="C309" s="153"/>
      <c r="D309" s="639"/>
      <c r="E309" s="153"/>
      <c r="F309" s="153"/>
      <c r="G309" s="153"/>
      <c r="H309" s="153"/>
      <c r="I309" s="153"/>
      <c r="J309" s="153"/>
      <c r="K309" s="153"/>
      <c r="L309" s="153"/>
    </row>
    <row r="310" spans="1:12" x14ac:dyDescent="0.2">
      <c r="A310" s="396"/>
      <c r="B310" s="153"/>
      <c r="C310" s="153"/>
      <c r="D310" s="639"/>
      <c r="E310" s="153"/>
      <c r="F310" s="153"/>
      <c r="G310" s="153"/>
      <c r="H310" s="153"/>
      <c r="I310" s="153"/>
      <c r="J310" s="153"/>
      <c r="K310" s="153"/>
      <c r="L310" s="153"/>
    </row>
    <row r="311" spans="1:12" x14ac:dyDescent="0.2">
      <c r="A311" s="396"/>
      <c r="B311" s="153"/>
      <c r="C311" s="153"/>
      <c r="D311" s="639"/>
      <c r="E311" s="153"/>
      <c r="F311" s="153"/>
      <c r="G311" s="153"/>
      <c r="H311" s="153"/>
      <c r="I311" s="153"/>
      <c r="J311" s="153"/>
      <c r="K311" s="153"/>
      <c r="L311" s="153"/>
    </row>
    <row r="312" spans="1:12" x14ac:dyDescent="0.2">
      <c r="A312" s="396"/>
      <c r="B312" s="153"/>
      <c r="C312" s="153"/>
      <c r="D312" s="639"/>
      <c r="E312" s="153"/>
      <c r="F312" s="153"/>
      <c r="G312" s="153"/>
      <c r="H312" s="153"/>
      <c r="I312" s="153"/>
      <c r="J312" s="153"/>
      <c r="K312" s="153"/>
      <c r="L312" s="153"/>
    </row>
    <row r="313" spans="1:12" x14ac:dyDescent="0.2">
      <c r="A313" s="396"/>
      <c r="B313" s="153"/>
      <c r="C313" s="153"/>
      <c r="D313" s="639"/>
      <c r="E313" s="153"/>
      <c r="F313" s="153"/>
      <c r="G313" s="153"/>
      <c r="H313" s="153"/>
      <c r="I313" s="153"/>
      <c r="J313" s="153"/>
      <c r="K313" s="153"/>
      <c r="L313" s="153"/>
    </row>
    <row r="314" spans="1:12" x14ac:dyDescent="0.2">
      <c r="A314" s="396"/>
      <c r="B314" s="153"/>
      <c r="C314" s="153"/>
      <c r="D314" s="639"/>
      <c r="E314" s="153"/>
      <c r="F314" s="153"/>
      <c r="G314" s="153"/>
      <c r="H314" s="153"/>
      <c r="I314" s="153"/>
      <c r="J314" s="153"/>
      <c r="K314" s="153"/>
      <c r="L314" s="153"/>
    </row>
    <row r="315" spans="1:12" x14ac:dyDescent="0.2">
      <c r="A315" s="396"/>
      <c r="B315" s="153"/>
      <c r="C315" s="153"/>
      <c r="D315" s="639"/>
      <c r="E315" s="153"/>
      <c r="F315" s="153"/>
      <c r="G315" s="153"/>
      <c r="H315" s="153"/>
      <c r="I315" s="153"/>
      <c r="J315" s="153"/>
      <c r="K315" s="153"/>
      <c r="L315" s="153"/>
    </row>
    <row r="316" spans="1:12" x14ac:dyDescent="0.2">
      <c r="A316" s="396"/>
      <c r="B316" s="153"/>
      <c r="C316" s="153"/>
      <c r="D316" s="639"/>
      <c r="E316" s="153"/>
      <c r="F316" s="153"/>
      <c r="G316" s="153"/>
      <c r="H316" s="153"/>
      <c r="I316" s="153"/>
      <c r="J316" s="153"/>
      <c r="K316" s="153"/>
      <c r="L316" s="153"/>
    </row>
    <row r="317" spans="1:12" x14ac:dyDescent="0.2">
      <c r="A317" s="396"/>
      <c r="B317" s="153"/>
      <c r="C317" s="153"/>
      <c r="D317" s="639"/>
      <c r="E317" s="153"/>
      <c r="F317" s="153"/>
      <c r="G317" s="153"/>
      <c r="H317" s="153"/>
      <c r="I317" s="153"/>
      <c r="J317" s="153"/>
      <c r="K317" s="153"/>
      <c r="L317" s="153"/>
    </row>
    <row r="318" spans="1:12" x14ac:dyDescent="0.2">
      <c r="A318" s="396"/>
      <c r="B318" s="153"/>
      <c r="C318" s="153"/>
      <c r="D318" s="639"/>
      <c r="E318" s="153"/>
      <c r="F318" s="153"/>
      <c r="G318" s="153"/>
      <c r="H318" s="153"/>
      <c r="I318" s="153"/>
      <c r="J318" s="153"/>
      <c r="K318" s="153"/>
      <c r="L318" s="153"/>
    </row>
    <row r="319" spans="1:12" x14ac:dyDescent="0.2">
      <c r="A319" s="396"/>
      <c r="B319" s="153"/>
      <c r="C319" s="153"/>
      <c r="D319" s="639"/>
      <c r="E319" s="153"/>
      <c r="F319" s="153"/>
      <c r="G319" s="153"/>
      <c r="H319" s="153"/>
      <c r="I319" s="153"/>
      <c r="J319" s="153"/>
      <c r="K319" s="153"/>
      <c r="L319" s="153"/>
    </row>
    <row r="320" spans="1:12" x14ac:dyDescent="0.2">
      <c r="A320" s="396"/>
      <c r="B320" s="153"/>
      <c r="C320" s="153"/>
      <c r="D320" s="639"/>
      <c r="E320" s="153"/>
      <c r="F320" s="153"/>
      <c r="G320" s="153"/>
      <c r="H320" s="153"/>
      <c r="I320" s="153"/>
      <c r="J320" s="153"/>
      <c r="K320" s="153"/>
      <c r="L320" s="153"/>
    </row>
    <row r="321" spans="1:12" x14ac:dyDescent="0.2">
      <c r="A321" s="396"/>
      <c r="B321" s="153"/>
      <c r="C321" s="153"/>
      <c r="D321" s="639"/>
      <c r="E321" s="153"/>
      <c r="F321" s="153"/>
      <c r="G321" s="153"/>
      <c r="H321" s="153"/>
      <c r="I321" s="153"/>
      <c r="J321" s="153"/>
      <c r="K321" s="153"/>
      <c r="L321" s="153"/>
    </row>
    <row r="322" spans="1:12" x14ac:dyDescent="0.2">
      <c r="A322" s="396"/>
      <c r="B322" s="153"/>
      <c r="C322" s="153"/>
      <c r="D322" s="639"/>
      <c r="E322" s="153"/>
      <c r="F322" s="153"/>
      <c r="G322" s="153"/>
      <c r="H322" s="153"/>
      <c r="I322" s="153"/>
      <c r="J322" s="153"/>
      <c r="K322" s="153"/>
      <c r="L322" s="153"/>
    </row>
    <row r="323" spans="1:12" x14ac:dyDescent="0.2">
      <c r="A323" s="396"/>
      <c r="B323" s="153"/>
      <c r="C323" s="153"/>
      <c r="D323" s="639"/>
      <c r="E323" s="153"/>
      <c r="F323" s="153"/>
      <c r="G323" s="153"/>
      <c r="H323" s="153"/>
      <c r="I323" s="153"/>
      <c r="J323" s="153"/>
      <c r="K323" s="153"/>
      <c r="L323" s="153"/>
    </row>
    <row r="324" spans="1:12" x14ac:dyDescent="0.2">
      <c r="A324" s="396"/>
      <c r="B324" s="153"/>
      <c r="C324" s="153"/>
      <c r="D324" s="639"/>
      <c r="E324" s="153"/>
      <c r="F324" s="153"/>
      <c r="G324" s="153"/>
      <c r="H324" s="153"/>
      <c r="I324" s="153"/>
      <c r="J324" s="153"/>
      <c r="K324" s="153"/>
      <c r="L324" s="153"/>
    </row>
    <row r="325" spans="1:12" x14ac:dyDescent="0.2">
      <c r="A325" s="396"/>
      <c r="B325" s="153"/>
      <c r="C325" s="153"/>
      <c r="D325" s="639"/>
      <c r="E325" s="153"/>
      <c r="F325" s="153"/>
      <c r="G325" s="153"/>
      <c r="H325" s="153"/>
      <c r="I325" s="153"/>
      <c r="J325" s="153"/>
      <c r="K325" s="153"/>
      <c r="L325" s="153"/>
    </row>
    <row r="326" spans="1:12" x14ac:dyDescent="0.2">
      <c r="A326" s="396"/>
      <c r="B326" s="153"/>
      <c r="C326" s="153"/>
      <c r="D326" s="639"/>
      <c r="E326" s="153"/>
      <c r="F326" s="153"/>
      <c r="G326" s="153"/>
      <c r="H326" s="153"/>
      <c r="I326" s="153"/>
      <c r="J326" s="153"/>
      <c r="K326" s="153"/>
      <c r="L326" s="153"/>
    </row>
    <row r="327" spans="1:12" x14ac:dyDescent="0.2">
      <c r="A327" s="396"/>
      <c r="B327" s="153"/>
      <c r="C327" s="153"/>
      <c r="D327" s="639"/>
      <c r="E327" s="153"/>
      <c r="F327" s="153"/>
      <c r="G327" s="153"/>
      <c r="H327" s="153"/>
      <c r="I327" s="153"/>
      <c r="J327" s="153"/>
      <c r="K327" s="153"/>
      <c r="L327" s="153"/>
    </row>
    <row r="328" spans="1:12" x14ac:dyDescent="0.2">
      <c r="A328" s="396"/>
      <c r="B328" s="153"/>
      <c r="C328" s="153"/>
      <c r="D328" s="639"/>
      <c r="E328" s="153"/>
      <c r="F328" s="153"/>
      <c r="G328" s="153"/>
      <c r="H328" s="153"/>
      <c r="I328" s="153"/>
      <c r="J328" s="153"/>
      <c r="K328" s="153"/>
      <c r="L328" s="153"/>
    </row>
    <row r="329" spans="1:12" x14ac:dyDescent="0.2">
      <c r="A329" s="396"/>
      <c r="B329" s="153"/>
      <c r="C329" s="153"/>
      <c r="D329" s="639"/>
      <c r="E329" s="153"/>
      <c r="F329" s="153"/>
      <c r="G329" s="153"/>
      <c r="H329" s="153"/>
      <c r="I329" s="153"/>
      <c r="J329" s="153"/>
      <c r="K329" s="153"/>
      <c r="L329" s="153"/>
    </row>
    <row r="330" spans="1:12" x14ac:dyDescent="0.2">
      <c r="A330" s="396"/>
      <c r="B330" s="153"/>
      <c r="C330" s="153"/>
      <c r="D330" s="639"/>
      <c r="E330" s="153"/>
      <c r="F330" s="153"/>
      <c r="G330" s="153"/>
      <c r="H330" s="153"/>
      <c r="I330" s="153"/>
      <c r="J330" s="153"/>
      <c r="K330" s="153"/>
      <c r="L330" s="153"/>
    </row>
    <row r="331" spans="1:12" x14ac:dyDescent="0.2">
      <c r="A331" s="396"/>
      <c r="B331" s="153"/>
      <c r="C331" s="153"/>
      <c r="D331" s="639"/>
      <c r="E331" s="153"/>
      <c r="F331" s="153"/>
      <c r="G331" s="153"/>
      <c r="H331" s="153"/>
      <c r="I331" s="153"/>
      <c r="J331" s="153"/>
      <c r="K331" s="153"/>
      <c r="L331" s="153"/>
    </row>
    <row r="332" spans="1:12" x14ac:dyDescent="0.2">
      <c r="A332" s="396"/>
      <c r="B332" s="153"/>
      <c r="C332" s="153"/>
      <c r="D332" s="639"/>
      <c r="E332" s="153"/>
      <c r="F332" s="153"/>
      <c r="G332" s="153"/>
      <c r="H332" s="153"/>
      <c r="I332" s="153"/>
      <c r="J332" s="153"/>
      <c r="K332" s="153"/>
      <c r="L332" s="153"/>
    </row>
    <row r="333" spans="1:12" x14ac:dyDescent="0.2">
      <c r="A333" s="396"/>
      <c r="B333" s="153"/>
      <c r="C333" s="153"/>
      <c r="D333" s="639"/>
      <c r="E333" s="153"/>
      <c r="F333" s="153"/>
      <c r="G333" s="153"/>
      <c r="H333" s="153"/>
      <c r="I333" s="153"/>
      <c r="J333" s="153"/>
      <c r="K333" s="153"/>
      <c r="L333" s="153"/>
    </row>
    <row r="334" spans="1:12" x14ac:dyDescent="0.2">
      <c r="A334" s="396"/>
      <c r="B334" s="153"/>
      <c r="C334" s="153"/>
      <c r="D334" s="639"/>
      <c r="E334" s="153"/>
      <c r="F334" s="153"/>
      <c r="G334" s="153"/>
      <c r="H334" s="153"/>
      <c r="I334" s="153"/>
      <c r="J334" s="153"/>
      <c r="K334" s="153"/>
      <c r="L334" s="153"/>
    </row>
    <row r="335" spans="1:12" x14ac:dyDescent="0.2">
      <c r="A335" s="396"/>
      <c r="B335" s="153"/>
      <c r="C335" s="153"/>
      <c r="D335" s="639"/>
      <c r="E335" s="153"/>
      <c r="F335" s="153"/>
      <c r="G335" s="153"/>
      <c r="H335" s="153"/>
      <c r="I335" s="153"/>
      <c r="J335" s="153"/>
      <c r="K335" s="153"/>
      <c r="L335" s="153"/>
    </row>
    <row r="336" spans="1:12" x14ac:dyDescent="0.2">
      <c r="A336" s="396"/>
      <c r="B336" s="153"/>
      <c r="C336" s="153"/>
      <c r="D336" s="639"/>
      <c r="E336" s="153"/>
      <c r="F336" s="153"/>
      <c r="G336" s="153"/>
      <c r="H336" s="153"/>
      <c r="I336" s="153"/>
      <c r="J336" s="153"/>
      <c r="K336" s="153"/>
      <c r="L336" s="153"/>
    </row>
    <row r="337" spans="1:12" x14ac:dyDescent="0.2">
      <c r="A337" s="396"/>
      <c r="B337" s="153"/>
      <c r="C337" s="153"/>
      <c r="D337" s="639"/>
      <c r="E337" s="153"/>
      <c r="F337" s="153"/>
      <c r="G337" s="153"/>
      <c r="H337" s="153"/>
      <c r="I337" s="153"/>
      <c r="J337" s="153"/>
      <c r="K337" s="153"/>
      <c r="L337" s="153"/>
    </row>
    <row r="338" spans="1:12" x14ac:dyDescent="0.2">
      <c r="A338" s="396"/>
      <c r="B338" s="153"/>
      <c r="C338" s="153"/>
      <c r="D338" s="639"/>
      <c r="E338" s="153"/>
      <c r="F338" s="153"/>
      <c r="G338" s="153"/>
      <c r="H338" s="153"/>
      <c r="I338" s="153"/>
      <c r="J338" s="153"/>
      <c r="K338" s="153"/>
      <c r="L338" s="153"/>
    </row>
    <row r="339" spans="1:12" x14ac:dyDescent="0.2">
      <c r="A339" s="396"/>
      <c r="B339" s="153"/>
      <c r="C339" s="153"/>
      <c r="D339" s="639"/>
      <c r="E339" s="153"/>
      <c r="F339" s="153"/>
      <c r="G339" s="153"/>
      <c r="H339" s="153"/>
      <c r="I339" s="153"/>
      <c r="J339" s="153"/>
      <c r="K339" s="153"/>
      <c r="L339" s="153"/>
    </row>
    <row r="340" spans="1:12" x14ac:dyDescent="0.2">
      <c r="A340" s="396"/>
      <c r="B340" s="153"/>
      <c r="C340" s="153"/>
      <c r="D340" s="639"/>
      <c r="E340" s="153"/>
      <c r="F340" s="153"/>
      <c r="G340" s="153"/>
      <c r="H340" s="153"/>
      <c r="I340" s="153"/>
      <c r="J340" s="153"/>
      <c r="K340" s="153"/>
      <c r="L340" s="153"/>
    </row>
    <row r="341" spans="1:12" x14ac:dyDescent="0.2">
      <c r="A341" s="396"/>
      <c r="B341" s="153"/>
      <c r="C341" s="153"/>
      <c r="D341" s="639"/>
      <c r="E341" s="153"/>
      <c r="F341" s="153"/>
      <c r="G341" s="153"/>
      <c r="H341" s="153"/>
      <c r="I341" s="153"/>
      <c r="J341" s="153"/>
      <c r="K341" s="153"/>
      <c r="L341" s="153"/>
    </row>
    <row r="342" spans="1:12" x14ac:dyDescent="0.2">
      <c r="A342" s="396"/>
      <c r="B342" s="153"/>
      <c r="C342" s="153"/>
      <c r="D342" s="639"/>
      <c r="E342" s="153"/>
      <c r="F342" s="153"/>
      <c r="G342" s="153"/>
      <c r="H342" s="153"/>
      <c r="I342" s="153"/>
      <c r="J342" s="153"/>
      <c r="K342" s="153"/>
      <c r="L342" s="153"/>
    </row>
    <row r="343" spans="1:12" x14ac:dyDescent="0.2">
      <c r="A343" s="396"/>
      <c r="B343" s="153"/>
      <c r="C343" s="153"/>
      <c r="D343" s="639"/>
      <c r="E343" s="153"/>
      <c r="F343" s="153"/>
      <c r="G343" s="153"/>
      <c r="H343" s="153"/>
      <c r="I343" s="153"/>
      <c r="J343" s="153"/>
      <c r="K343" s="153"/>
      <c r="L343" s="153"/>
    </row>
    <row r="344" spans="1:12" x14ac:dyDescent="0.2">
      <c r="A344" s="396"/>
      <c r="B344" s="153"/>
      <c r="C344" s="153"/>
      <c r="D344" s="639"/>
      <c r="E344" s="153"/>
      <c r="F344" s="153"/>
      <c r="G344" s="153"/>
      <c r="H344" s="153"/>
      <c r="I344" s="153"/>
      <c r="J344" s="153"/>
      <c r="K344" s="153"/>
      <c r="L344" s="153"/>
    </row>
    <row r="345" spans="1:12" x14ac:dyDescent="0.2">
      <c r="A345" s="396"/>
      <c r="B345" s="153"/>
      <c r="C345" s="153"/>
      <c r="D345" s="639"/>
      <c r="E345" s="153"/>
      <c r="F345" s="153"/>
      <c r="G345" s="153"/>
      <c r="H345" s="153"/>
      <c r="I345" s="153"/>
      <c r="J345" s="153"/>
      <c r="K345" s="153"/>
      <c r="L345" s="153"/>
    </row>
    <row r="346" spans="1:12" x14ac:dyDescent="0.2">
      <c r="A346" s="396"/>
      <c r="B346" s="153"/>
      <c r="C346" s="153"/>
      <c r="D346" s="639"/>
      <c r="E346" s="153"/>
      <c r="F346" s="153"/>
      <c r="G346" s="153"/>
      <c r="H346" s="153"/>
      <c r="I346" s="153"/>
      <c r="J346" s="153"/>
      <c r="K346" s="153"/>
      <c r="L346" s="153"/>
    </row>
    <row r="347" spans="1:12" x14ac:dyDescent="0.2">
      <c r="A347" s="396"/>
      <c r="B347" s="153"/>
      <c r="C347" s="153"/>
      <c r="D347" s="639"/>
      <c r="E347" s="153"/>
      <c r="F347" s="153"/>
      <c r="G347" s="153"/>
      <c r="H347" s="153"/>
      <c r="I347" s="153"/>
      <c r="J347" s="153"/>
      <c r="K347" s="153"/>
      <c r="L347" s="153"/>
    </row>
    <row r="348" spans="1:12" x14ac:dyDescent="0.2">
      <c r="A348" s="396"/>
      <c r="B348" s="153"/>
      <c r="C348" s="153"/>
      <c r="D348" s="639"/>
      <c r="E348" s="153"/>
      <c r="F348" s="153"/>
      <c r="G348" s="153"/>
      <c r="H348" s="153"/>
      <c r="I348" s="153"/>
      <c r="J348" s="153"/>
      <c r="K348" s="153"/>
      <c r="L348" s="153"/>
    </row>
    <row r="349" spans="1:12" x14ac:dyDescent="0.2">
      <c r="A349" s="396"/>
      <c r="B349" s="153"/>
      <c r="C349" s="153"/>
      <c r="D349" s="639"/>
      <c r="E349" s="153"/>
      <c r="F349" s="153"/>
      <c r="G349" s="153"/>
      <c r="H349" s="153"/>
      <c r="I349" s="153"/>
      <c r="J349" s="153"/>
      <c r="K349" s="153"/>
      <c r="L349" s="153"/>
    </row>
    <row r="350" spans="1:12" x14ac:dyDescent="0.2">
      <c r="A350" s="396"/>
      <c r="B350" s="153"/>
      <c r="C350" s="153"/>
      <c r="D350" s="639"/>
      <c r="E350" s="153"/>
      <c r="F350" s="153"/>
      <c r="G350" s="153"/>
      <c r="H350" s="153"/>
      <c r="I350" s="153"/>
      <c r="J350" s="153"/>
      <c r="K350" s="153"/>
      <c r="L350" s="153"/>
    </row>
    <row r="351" spans="1:12" x14ac:dyDescent="0.2">
      <c r="A351" s="396"/>
      <c r="B351" s="153"/>
      <c r="C351" s="153"/>
      <c r="D351" s="639"/>
      <c r="E351" s="153"/>
      <c r="F351" s="153"/>
      <c r="G351" s="153"/>
      <c r="H351" s="153"/>
      <c r="I351" s="153"/>
      <c r="J351" s="153"/>
      <c r="K351" s="153"/>
      <c r="L351" s="153"/>
    </row>
    <row r="352" spans="1:12" x14ac:dyDescent="0.2">
      <c r="A352" s="396"/>
      <c r="B352" s="153"/>
      <c r="C352" s="153"/>
      <c r="D352" s="639"/>
      <c r="E352" s="153"/>
      <c r="F352" s="153"/>
      <c r="G352" s="153"/>
      <c r="H352" s="153"/>
      <c r="I352" s="153"/>
      <c r="J352" s="153"/>
      <c r="K352" s="153"/>
      <c r="L352" s="153"/>
    </row>
    <row r="353" spans="1:12" x14ac:dyDescent="0.2">
      <c r="A353" s="396"/>
      <c r="B353" s="153"/>
      <c r="C353" s="153"/>
      <c r="D353" s="639"/>
      <c r="E353" s="153"/>
      <c r="F353" s="153"/>
      <c r="G353" s="153"/>
      <c r="H353" s="153"/>
      <c r="I353" s="153"/>
      <c r="J353" s="153"/>
      <c r="K353" s="153"/>
      <c r="L353" s="153"/>
    </row>
    <row r="354" spans="1:12" x14ac:dyDescent="0.2">
      <c r="A354" s="396"/>
      <c r="B354" s="153"/>
      <c r="C354" s="153"/>
      <c r="D354" s="639"/>
      <c r="E354" s="153"/>
      <c r="F354" s="153"/>
      <c r="G354" s="153"/>
      <c r="H354" s="153"/>
      <c r="I354" s="153"/>
      <c r="J354" s="153"/>
      <c r="K354" s="153"/>
      <c r="L354" s="153"/>
    </row>
    <row r="355" spans="1:12" x14ac:dyDescent="0.2">
      <c r="A355" s="396"/>
      <c r="B355" s="153"/>
      <c r="C355" s="153"/>
      <c r="D355" s="639"/>
      <c r="E355" s="153"/>
      <c r="F355" s="153"/>
      <c r="G355" s="153"/>
      <c r="H355" s="153"/>
      <c r="I355" s="153"/>
      <c r="J355" s="153"/>
      <c r="K355" s="153"/>
      <c r="L355" s="153"/>
    </row>
    <row r="356" spans="1:12" x14ac:dyDescent="0.2">
      <c r="A356" s="396"/>
      <c r="B356" s="153"/>
      <c r="C356" s="153"/>
      <c r="D356" s="639"/>
      <c r="E356" s="153"/>
      <c r="F356" s="153"/>
      <c r="G356" s="153"/>
      <c r="H356" s="153"/>
      <c r="I356" s="153"/>
      <c r="J356" s="153"/>
      <c r="K356" s="153"/>
      <c r="L356" s="153"/>
    </row>
    <row r="357" spans="1:12" x14ac:dyDescent="0.2">
      <c r="A357" s="396"/>
      <c r="B357" s="153"/>
      <c r="C357" s="153"/>
      <c r="D357" s="639"/>
      <c r="E357" s="153"/>
      <c r="F357" s="153"/>
      <c r="G357" s="153"/>
      <c r="H357" s="153"/>
      <c r="I357" s="153"/>
      <c r="J357" s="153"/>
      <c r="K357" s="153"/>
      <c r="L357" s="153"/>
    </row>
    <row r="358" spans="1:12" x14ac:dyDescent="0.2">
      <c r="A358" s="396"/>
      <c r="B358" s="153"/>
      <c r="C358" s="153"/>
      <c r="D358" s="639"/>
      <c r="E358" s="153"/>
      <c r="F358" s="153"/>
      <c r="G358" s="153"/>
      <c r="H358" s="153"/>
      <c r="I358" s="153"/>
      <c r="J358" s="153"/>
      <c r="K358" s="153"/>
      <c r="L358" s="153"/>
    </row>
    <row r="359" spans="1:12" x14ac:dyDescent="0.2">
      <c r="A359" s="396"/>
      <c r="B359" s="153"/>
      <c r="C359" s="153"/>
      <c r="D359" s="639"/>
      <c r="E359" s="153"/>
      <c r="F359" s="153"/>
      <c r="G359" s="153"/>
      <c r="H359" s="153"/>
      <c r="I359" s="153"/>
      <c r="J359" s="153"/>
      <c r="K359" s="153"/>
      <c r="L359" s="153"/>
    </row>
    <row r="360" spans="1:12" x14ac:dyDescent="0.2">
      <c r="A360" s="396"/>
      <c r="B360" s="153"/>
      <c r="C360" s="153"/>
      <c r="D360" s="639"/>
      <c r="E360" s="153"/>
      <c r="F360" s="153"/>
      <c r="G360" s="153"/>
      <c r="H360" s="153"/>
      <c r="I360" s="153"/>
      <c r="J360" s="153"/>
      <c r="K360" s="153"/>
      <c r="L360" s="153"/>
    </row>
    <row r="361" spans="1:12" x14ac:dyDescent="0.2">
      <c r="A361" s="396"/>
      <c r="B361" s="153"/>
      <c r="C361" s="153"/>
      <c r="D361" s="639"/>
      <c r="E361" s="153"/>
      <c r="F361" s="153"/>
      <c r="G361" s="153"/>
      <c r="H361" s="153"/>
      <c r="I361" s="153"/>
      <c r="J361" s="153"/>
      <c r="K361" s="153"/>
      <c r="L361" s="153"/>
    </row>
    <row r="362" spans="1:12" x14ac:dyDescent="0.2">
      <c r="A362" s="396"/>
      <c r="B362" s="153"/>
      <c r="C362" s="153"/>
      <c r="D362" s="639"/>
      <c r="E362" s="153"/>
      <c r="F362" s="153"/>
      <c r="G362" s="153"/>
      <c r="H362" s="153"/>
      <c r="I362" s="153"/>
      <c r="J362" s="153"/>
      <c r="K362" s="153"/>
      <c r="L362" s="153"/>
    </row>
    <row r="363" spans="1:12" x14ac:dyDescent="0.2">
      <c r="A363" s="396"/>
      <c r="B363" s="153"/>
      <c r="C363" s="153"/>
      <c r="D363" s="639"/>
      <c r="E363" s="153"/>
      <c r="F363" s="153"/>
      <c r="G363" s="153"/>
      <c r="H363" s="153"/>
      <c r="I363" s="153"/>
      <c r="J363" s="153"/>
      <c r="K363" s="153"/>
      <c r="L363" s="153"/>
    </row>
    <row r="364" spans="1:12" x14ac:dyDescent="0.2">
      <c r="A364" s="396"/>
      <c r="B364" s="153"/>
      <c r="C364" s="153"/>
      <c r="D364" s="639"/>
      <c r="E364" s="153"/>
      <c r="F364" s="153"/>
      <c r="G364" s="153"/>
      <c r="H364" s="153"/>
      <c r="I364" s="153"/>
      <c r="J364" s="153"/>
      <c r="K364" s="153"/>
      <c r="L364" s="153"/>
    </row>
    <row r="365" spans="1:12" x14ac:dyDescent="0.2">
      <c r="A365" s="396"/>
      <c r="B365" s="153"/>
      <c r="C365" s="153"/>
      <c r="D365" s="639"/>
      <c r="E365" s="153"/>
      <c r="F365" s="153"/>
      <c r="G365" s="153"/>
      <c r="H365" s="153"/>
      <c r="I365" s="153"/>
      <c r="J365" s="153"/>
      <c r="K365" s="153"/>
      <c r="L365" s="153"/>
    </row>
    <row r="366" spans="1:12" x14ac:dyDescent="0.2">
      <c r="A366" s="396"/>
      <c r="B366" s="153"/>
      <c r="C366" s="153"/>
      <c r="D366" s="639"/>
      <c r="E366" s="153"/>
      <c r="F366" s="153"/>
      <c r="G366" s="153"/>
      <c r="H366" s="153"/>
      <c r="I366" s="153"/>
      <c r="J366" s="153"/>
      <c r="K366" s="153"/>
      <c r="L366" s="153"/>
    </row>
    <row r="367" spans="1:12" x14ac:dyDescent="0.2">
      <c r="A367" s="396"/>
      <c r="B367" s="153"/>
      <c r="C367" s="153"/>
      <c r="D367" s="639"/>
      <c r="E367" s="153"/>
      <c r="F367" s="153"/>
      <c r="G367" s="153"/>
      <c r="H367" s="153"/>
      <c r="I367" s="153"/>
      <c r="J367" s="153"/>
      <c r="K367" s="153"/>
      <c r="L367" s="153"/>
    </row>
    <row r="368" spans="1:12" x14ac:dyDescent="0.2">
      <c r="A368" s="396"/>
      <c r="B368" s="153"/>
      <c r="C368" s="153"/>
      <c r="D368" s="639"/>
      <c r="E368" s="153"/>
      <c r="F368" s="153"/>
      <c r="G368" s="153"/>
      <c r="H368" s="153"/>
      <c r="I368" s="153"/>
      <c r="J368" s="153"/>
      <c r="K368" s="153"/>
      <c r="L368" s="153"/>
    </row>
    <row r="369" spans="1:12" x14ac:dyDescent="0.2">
      <c r="A369" s="396"/>
      <c r="B369" s="153"/>
      <c r="C369" s="153"/>
      <c r="D369" s="639"/>
      <c r="E369" s="153"/>
      <c r="F369" s="153"/>
      <c r="G369" s="153"/>
      <c r="H369" s="153"/>
      <c r="I369" s="153"/>
      <c r="J369" s="153"/>
      <c r="K369" s="153"/>
      <c r="L369" s="153"/>
    </row>
    <row r="370" spans="1:12" x14ac:dyDescent="0.2">
      <c r="A370" s="396"/>
      <c r="B370" s="153"/>
      <c r="C370" s="153"/>
      <c r="D370" s="639"/>
      <c r="E370" s="153"/>
      <c r="F370" s="153"/>
      <c r="G370" s="153"/>
      <c r="H370" s="153"/>
      <c r="I370" s="153"/>
      <c r="J370" s="153"/>
      <c r="K370" s="153"/>
      <c r="L370" s="153"/>
    </row>
  </sheetData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P22" sqref="P22"/>
    </sheetView>
  </sheetViews>
  <sheetFormatPr defaultColWidth="9.21875" defaultRowHeight="13.2" x14ac:dyDescent="0.25"/>
  <cols>
    <col min="1" max="1" width="13.21875" style="91" customWidth="1"/>
    <col min="2" max="2" width="38.5546875" style="1" customWidth="1"/>
    <col min="3" max="5" width="9.21875" style="1"/>
    <col min="6" max="7" width="10.21875" style="12" bestFit="1" customWidth="1"/>
    <col min="8" max="8" width="22.77734375" style="10" customWidth="1"/>
    <col min="9" max="16384" width="9.21875" style="1"/>
  </cols>
  <sheetData>
    <row r="1" spans="1:8" x14ac:dyDescent="0.25">
      <c r="A1" s="107" t="s">
        <v>467</v>
      </c>
      <c r="B1" s="107" t="s">
        <v>468</v>
      </c>
      <c r="C1" s="107" t="s">
        <v>186</v>
      </c>
      <c r="D1" s="107" t="s">
        <v>469</v>
      </c>
      <c r="E1" s="108" t="s">
        <v>188</v>
      </c>
      <c r="F1" s="107" t="s">
        <v>470</v>
      </c>
      <c r="G1" s="109" t="s">
        <v>471</v>
      </c>
      <c r="H1" s="216" t="s">
        <v>191</v>
      </c>
    </row>
    <row r="2" spans="1:8" x14ac:dyDescent="0.25">
      <c r="A2" s="404">
        <v>40977</v>
      </c>
      <c r="B2" s="30" t="s">
        <v>2739</v>
      </c>
      <c r="C2" s="30" t="s">
        <v>197</v>
      </c>
      <c r="D2" s="30">
        <v>200</v>
      </c>
      <c r="E2" s="30">
        <v>141.49</v>
      </c>
      <c r="F2" s="402">
        <v>28297.5</v>
      </c>
      <c r="G2" s="37">
        <v>436.46</v>
      </c>
      <c r="H2" s="403" t="s">
        <v>2749</v>
      </c>
    </row>
    <row r="3" spans="1:8" x14ac:dyDescent="0.25">
      <c r="A3" s="404">
        <v>40975</v>
      </c>
      <c r="B3" s="30" t="s">
        <v>2741</v>
      </c>
      <c r="C3" s="30" t="s">
        <v>197</v>
      </c>
      <c r="D3" s="30">
        <v>250</v>
      </c>
      <c r="E3" s="30">
        <v>77</v>
      </c>
      <c r="F3" s="402">
        <v>19250</v>
      </c>
      <c r="G3" s="37">
        <v>221.36</v>
      </c>
      <c r="H3" s="403" t="s">
        <v>2751</v>
      </c>
    </row>
    <row r="4" spans="1:8" x14ac:dyDescent="0.25">
      <c r="A4" s="404">
        <v>40974</v>
      </c>
      <c r="B4" s="30" t="s">
        <v>2740</v>
      </c>
      <c r="C4" s="30" t="s">
        <v>197</v>
      </c>
      <c r="D4" s="30">
        <v>1000</v>
      </c>
      <c r="E4" s="30">
        <v>12</v>
      </c>
      <c r="F4" s="402">
        <v>12000</v>
      </c>
      <c r="G4" s="37">
        <v>112.13</v>
      </c>
      <c r="H4" s="403" t="s">
        <v>2752</v>
      </c>
    </row>
    <row r="5" spans="1:8" x14ac:dyDescent="0.25">
      <c r="A5" s="404">
        <v>40966</v>
      </c>
      <c r="B5" s="30" t="s">
        <v>2742</v>
      </c>
      <c r="C5" s="30" t="s">
        <v>197</v>
      </c>
      <c r="D5" s="30">
        <v>4000</v>
      </c>
      <c r="E5" s="30">
        <v>6</v>
      </c>
      <c r="F5" s="402">
        <v>24000</v>
      </c>
      <c r="G5" s="37">
        <v>224.26</v>
      </c>
      <c r="H5" s="403" t="s">
        <v>2754</v>
      </c>
    </row>
    <row r="6" spans="1:8" x14ac:dyDescent="0.25">
      <c r="A6" s="404">
        <v>40962</v>
      </c>
      <c r="B6" s="30" t="s">
        <v>2739</v>
      </c>
      <c r="C6" s="30" t="s">
        <v>197</v>
      </c>
      <c r="D6" s="30">
        <v>300</v>
      </c>
      <c r="E6" s="30">
        <v>110</v>
      </c>
      <c r="F6" s="402">
        <v>33000</v>
      </c>
      <c r="G6" s="37">
        <v>648.91999999999996</v>
      </c>
      <c r="H6" s="403" t="s">
        <v>2756</v>
      </c>
    </row>
    <row r="7" spans="1:8" x14ac:dyDescent="0.25">
      <c r="A7" s="404">
        <v>40961</v>
      </c>
      <c r="B7" s="30" t="s">
        <v>2744</v>
      </c>
      <c r="C7" s="30" t="s">
        <v>197</v>
      </c>
      <c r="D7" s="30">
        <v>4000</v>
      </c>
      <c r="E7" s="30">
        <v>6</v>
      </c>
      <c r="F7" s="402">
        <v>24000</v>
      </c>
      <c r="G7" s="37">
        <v>119.47</v>
      </c>
      <c r="H7" s="403" t="s">
        <v>2759</v>
      </c>
    </row>
    <row r="8" spans="1:8" x14ac:dyDescent="0.25">
      <c r="A8" s="404">
        <v>40960</v>
      </c>
      <c r="B8" s="30" t="s">
        <v>2745</v>
      </c>
      <c r="C8" s="30" t="s">
        <v>197</v>
      </c>
      <c r="D8" s="30">
        <v>4000</v>
      </c>
      <c r="E8" s="30">
        <v>4.25</v>
      </c>
      <c r="F8" s="402">
        <v>17000</v>
      </c>
      <c r="G8" s="37">
        <v>115.2</v>
      </c>
      <c r="H8" s="403" t="s">
        <v>2761</v>
      </c>
    </row>
    <row r="9" spans="1:8" x14ac:dyDescent="0.25">
      <c r="A9" s="404">
        <v>40955</v>
      </c>
      <c r="B9" s="30" t="s">
        <v>2743</v>
      </c>
      <c r="C9" s="30" t="s">
        <v>197</v>
      </c>
      <c r="D9" s="30">
        <v>2000</v>
      </c>
      <c r="E9" s="30">
        <v>11.7</v>
      </c>
      <c r="F9" s="402">
        <v>23400</v>
      </c>
      <c r="G9" s="37">
        <v>433.45</v>
      </c>
      <c r="H9" s="403" t="s">
        <v>2762</v>
      </c>
    </row>
    <row r="10" spans="1:8" x14ac:dyDescent="0.25">
      <c r="A10" s="404">
        <v>40953</v>
      </c>
      <c r="B10" s="30" t="s">
        <v>2746</v>
      </c>
      <c r="C10" s="30" t="s">
        <v>197</v>
      </c>
      <c r="D10" s="30">
        <v>4000</v>
      </c>
      <c r="E10" s="30">
        <v>6.2</v>
      </c>
      <c r="F10" s="402">
        <v>24800</v>
      </c>
      <c r="G10" s="37">
        <v>119.96</v>
      </c>
      <c r="H10" s="403" t="s">
        <v>2764</v>
      </c>
    </row>
    <row r="11" spans="1:8" x14ac:dyDescent="0.25">
      <c r="F11" s="402">
        <f>SUM(F2:F10)</f>
        <v>205747.5</v>
      </c>
      <c r="G11" s="37">
        <f>SUM(G2:G10)</f>
        <v>2431.21</v>
      </c>
    </row>
    <row r="12" spans="1:8" x14ac:dyDescent="0.25">
      <c r="F12" s="402"/>
      <c r="G12" s="37"/>
    </row>
    <row r="13" spans="1:8" x14ac:dyDescent="0.25">
      <c r="F13" s="402" t="s">
        <v>624</v>
      </c>
      <c r="G13" s="402">
        <f>F11+G11</f>
        <v>208178.71</v>
      </c>
    </row>
    <row r="14" spans="1:8" x14ac:dyDescent="0.25">
      <c r="F14" s="402"/>
      <c r="G14" s="37"/>
    </row>
    <row r="15" spans="1:8" x14ac:dyDescent="0.25">
      <c r="F15" s="402"/>
      <c r="G15" s="37"/>
    </row>
    <row r="16" spans="1:8" x14ac:dyDescent="0.25">
      <c r="A16" s="404">
        <v>40989</v>
      </c>
      <c r="B16" s="30" t="s">
        <v>2739</v>
      </c>
      <c r="C16" s="30" t="s">
        <v>369</v>
      </c>
      <c r="D16" s="30">
        <v>200</v>
      </c>
      <c r="E16" s="30">
        <v>75.06</v>
      </c>
      <c r="F16" s="402">
        <v>15012.5</v>
      </c>
      <c r="G16" s="37">
        <v>431.33</v>
      </c>
      <c r="H16" s="403" t="s">
        <v>2747</v>
      </c>
    </row>
    <row r="17" spans="1:8" x14ac:dyDescent="0.25">
      <c r="A17" s="404">
        <v>40984</v>
      </c>
      <c r="B17" s="30" t="s">
        <v>2740</v>
      </c>
      <c r="C17" s="30" t="s">
        <v>369</v>
      </c>
      <c r="D17" s="30">
        <v>1000</v>
      </c>
      <c r="E17" s="30">
        <v>14.45</v>
      </c>
      <c r="F17" s="402">
        <v>14450</v>
      </c>
      <c r="G17" s="37">
        <v>115.63</v>
      </c>
      <c r="H17" s="403" t="s">
        <v>2748</v>
      </c>
    </row>
    <row r="18" spans="1:8" x14ac:dyDescent="0.25">
      <c r="A18" s="404">
        <v>40977</v>
      </c>
      <c r="B18" s="30" t="s">
        <v>2741</v>
      </c>
      <c r="C18" s="30" t="s">
        <v>369</v>
      </c>
      <c r="D18" s="30">
        <v>250</v>
      </c>
      <c r="E18" s="30">
        <v>71.25</v>
      </c>
      <c r="F18" s="402">
        <v>17812.5</v>
      </c>
      <c r="G18" s="37">
        <v>223.47</v>
      </c>
      <c r="H18" s="403" t="s">
        <v>2750</v>
      </c>
    </row>
    <row r="19" spans="1:8" x14ac:dyDescent="0.25">
      <c r="A19" s="404">
        <v>40967</v>
      </c>
      <c r="B19" s="30" t="s">
        <v>2742</v>
      </c>
      <c r="C19" s="30" t="s">
        <v>369</v>
      </c>
      <c r="D19" s="30">
        <v>4000</v>
      </c>
      <c r="E19" s="30">
        <v>7.2</v>
      </c>
      <c r="F19" s="402">
        <v>28800</v>
      </c>
      <c r="G19" s="37">
        <v>232.17</v>
      </c>
      <c r="H19" s="403" t="s">
        <v>2753</v>
      </c>
    </row>
    <row r="20" spans="1:8" x14ac:dyDescent="0.25">
      <c r="A20" s="404">
        <v>40963</v>
      </c>
      <c r="B20" s="30" t="s">
        <v>2739</v>
      </c>
      <c r="C20" s="30" t="s">
        <v>369</v>
      </c>
      <c r="D20" s="30">
        <v>300</v>
      </c>
      <c r="E20" s="30">
        <v>116</v>
      </c>
      <c r="F20" s="402">
        <v>34800</v>
      </c>
      <c r="G20" s="37">
        <v>656</v>
      </c>
      <c r="H20" s="403" t="s">
        <v>2755</v>
      </c>
    </row>
    <row r="21" spans="1:8" x14ac:dyDescent="0.25">
      <c r="A21" s="404">
        <v>40962</v>
      </c>
      <c r="B21" s="30" t="s">
        <v>2743</v>
      </c>
      <c r="C21" s="30" t="s">
        <v>369</v>
      </c>
      <c r="D21" s="30">
        <v>2000</v>
      </c>
      <c r="E21" s="30">
        <v>11.2</v>
      </c>
      <c r="F21" s="402">
        <v>22400</v>
      </c>
      <c r="G21" s="37">
        <v>436.64</v>
      </c>
      <c r="H21" s="403" t="s">
        <v>2757</v>
      </c>
    </row>
    <row r="22" spans="1:8" x14ac:dyDescent="0.25">
      <c r="A22" s="404">
        <v>40962</v>
      </c>
      <c r="B22" s="30" t="s">
        <v>2744</v>
      </c>
      <c r="C22" s="30" t="s">
        <v>369</v>
      </c>
      <c r="D22" s="30">
        <v>4000</v>
      </c>
      <c r="E22" s="30">
        <v>4.4000000000000004</v>
      </c>
      <c r="F22" s="402">
        <v>17600</v>
      </c>
      <c r="G22" s="37">
        <v>118.76</v>
      </c>
      <c r="H22" s="403" t="s">
        <v>2758</v>
      </c>
    </row>
    <row r="23" spans="1:8" x14ac:dyDescent="0.25">
      <c r="A23" s="404">
        <v>40961</v>
      </c>
      <c r="B23" s="30" t="s">
        <v>2745</v>
      </c>
      <c r="C23" s="30" t="s">
        <v>369</v>
      </c>
      <c r="D23" s="30">
        <v>4000</v>
      </c>
      <c r="E23" s="30">
        <v>4.3</v>
      </c>
      <c r="F23" s="402">
        <v>17200</v>
      </c>
      <c r="G23" s="37">
        <v>118.32</v>
      </c>
      <c r="H23" s="403" t="s">
        <v>2760</v>
      </c>
    </row>
    <row r="24" spans="1:8" x14ac:dyDescent="0.25">
      <c r="A24" s="404">
        <v>40955</v>
      </c>
      <c r="B24" s="30" t="s">
        <v>2746</v>
      </c>
      <c r="C24" s="30" t="s">
        <v>369</v>
      </c>
      <c r="D24" s="30">
        <v>4000</v>
      </c>
      <c r="E24" s="30">
        <v>11</v>
      </c>
      <c r="F24" s="402">
        <v>44000</v>
      </c>
      <c r="G24" s="37">
        <v>138.71</v>
      </c>
      <c r="H24" s="403" t="s">
        <v>2763</v>
      </c>
    </row>
    <row r="25" spans="1:8" x14ac:dyDescent="0.25">
      <c r="F25" s="402">
        <f>SUM(F16:F24)</f>
        <v>212075</v>
      </c>
      <c r="G25" s="37">
        <f>SUM(G16:G24)</f>
        <v>2471.0300000000002</v>
      </c>
      <c r="H25" s="402"/>
    </row>
    <row r="26" spans="1:8" x14ac:dyDescent="0.25">
      <c r="F26" s="402"/>
      <c r="G26" s="37"/>
      <c r="H26" s="402"/>
    </row>
    <row r="27" spans="1:8" x14ac:dyDescent="0.25">
      <c r="F27" s="402" t="s">
        <v>659</v>
      </c>
      <c r="G27" s="402">
        <f>F25-G25</f>
        <v>209603.97</v>
      </c>
      <c r="H27" s="402"/>
    </row>
    <row r="28" spans="1:8" x14ac:dyDescent="0.25">
      <c r="F28" s="402"/>
      <c r="G28" s="37"/>
      <c r="H28" s="402"/>
    </row>
    <row r="29" spans="1:8" x14ac:dyDescent="0.25">
      <c r="F29" s="402"/>
      <c r="G29" s="37"/>
      <c r="H29" s="402"/>
    </row>
    <row r="30" spans="1:8" x14ac:dyDescent="0.25">
      <c r="F30" s="400" t="s">
        <v>660</v>
      </c>
      <c r="G30" s="402">
        <f>G27-G13</f>
        <v>1425.2600000000093</v>
      </c>
      <c r="H30" s="402"/>
    </row>
    <row r="31" spans="1:8" x14ac:dyDescent="0.25">
      <c r="F31" s="402"/>
      <c r="G31" s="37"/>
      <c r="H31" s="402"/>
    </row>
    <row r="32" spans="1:8" x14ac:dyDescent="0.25">
      <c r="F32" s="402"/>
      <c r="G32" s="37"/>
      <c r="H32" s="402"/>
    </row>
    <row r="33" spans="6:8" x14ac:dyDescent="0.25">
      <c r="F33" s="402"/>
      <c r="G33" s="37"/>
      <c r="H33" s="402"/>
    </row>
    <row r="34" spans="6:8" x14ac:dyDescent="0.25">
      <c r="F34" s="402"/>
      <c r="G34" s="37"/>
      <c r="H34" s="402"/>
    </row>
    <row r="35" spans="6:8" x14ac:dyDescent="0.25">
      <c r="F35" s="402"/>
      <c r="G35" s="37"/>
      <c r="H35" s="402"/>
    </row>
    <row r="36" spans="6:8" x14ac:dyDescent="0.25">
      <c r="F36" s="402"/>
      <c r="G36" s="37"/>
      <c r="H36" s="402"/>
    </row>
    <row r="37" spans="6:8" x14ac:dyDescent="0.25">
      <c r="F37" s="402"/>
      <c r="G37" s="37"/>
      <c r="H37" s="402"/>
    </row>
  </sheetData>
  <autoFilter ref="A1:H1"/>
  <phoneticPr fontId="10" type="noConversion"/>
  <pageMargins left="0.75" right="0.75" top="1" bottom="1" header="0.5" footer="0.5"/>
  <pageSetup paperSize="9" orientation="portrait" r:id="rId1"/>
  <headerFooter alignWithMargins="0"/>
  <ignoredErrors>
    <ignoredError sqref="H2:H11 H15:H17 H18 H20 H19 H21:H22 H23 H24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7"/>
  <sheetViews>
    <sheetView zoomScaleNormal="100" workbookViewId="0">
      <selection activeCell="P22" sqref="P22"/>
    </sheetView>
  </sheetViews>
  <sheetFormatPr defaultColWidth="9.21875" defaultRowHeight="12.75" customHeight="1" x14ac:dyDescent="0.25"/>
  <cols>
    <col min="1" max="1" width="10.21875" style="295" bestFit="1" customWidth="1"/>
    <col min="2" max="2" width="41.21875" style="250" customWidth="1"/>
    <col min="3" max="3" width="13.21875" style="231" customWidth="1"/>
    <col min="4" max="4" width="13.5546875" style="231" customWidth="1"/>
    <col min="5" max="5" width="9.5546875" style="235" bestFit="1" customWidth="1"/>
    <col min="6" max="6" width="13.21875" style="235" customWidth="1"/>
    <col min="7" max="7" width="10.21875" style="235" bestFit="1" customWidth="1"/>
    <col min="8" max="8" width="10.21875" style="247" bestFit="1" customWidth="1"/>
    <col min="9" max="9" width="9.21875" style="247" customWidth="1"/>
    <col min="10" max="10" width="12.21875" style="247" customWidth="1"/>
    <col min="11" max="11" width="16.21875" style="247" bestFit="1" customWidth="1"/>
    <col min="12" max="12" width="11.77734375" style="247" customWidth="1"/>
    <col min="13" max="13" width="13.21875" style="224" bestFit="1" customWidth="1"/>
    <col min="14" max="14" width="19.21875" style="249" bestFit="1" customWidth="1"/>
    <col min="15" max="15" width="11" style="249" customWidth="1"/>
    <col min="16" max="16" width="8.5546875" style="224" bestFit="1" customWidth="1"/>
    <col min="17" max="17" width="9" style="224" bestFit="1" customWidth="1"/>
    <col min="18" max="16384" width="9.21875" style="224"/>
  </cols>
  <sheetData>
    <row r="1" spans="1:17" ht="13.2" x14ac:dyDescent="0.25">
      <c r="A1" s="347" t="s">
        <v>2174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</row>
    <row r="2" spans="1:17" ht="13.2" x14ac:dyDescent="0.25">
      <c r="A2" s="347" t="s">
        <v>1227</v>
      </c>
      <c r="B2" s="225"/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</row>
    <row r="3" spans="1:17" ht="13.2" x14ac:dyDescent="0.25">
      <c r="A3" s="348" t="s">
        <v>2078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</row>
    <row r="4" spans="1:17" ht="13.8" thickBot="1" x14ac:dyDescent="0.3">
      <c r="A4" s="348"/>
      <c r="B4" s="226"/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</row>
    <row r="5" spans="1:17" ht="13.8" thickBot="1" x14ac:dyDescent="0.3">
      <c r="A5" s="349" t="s">
        <v>1255</v>
      </c>
      <c r="B5" s="227"/>
      <c r="C5" s="227"/>
      <c r="D5" s="227"/>
      <c r="E5" s="227"/>
      <c r="F5" s="227"/>
      <c r="G5" s="227"/>
      <c r="H5" s="227"/>
      <c r="I5" s="227"/>
      <c r="J5" s="227"/>
      <c r="K5" s="227"/>
      <c r="L5" s="227"/>
      <c r="M5" s="228"/>
    </row>
    <row r="6" spans="1:17" s="231" customFormat="1" ht="13.2" x14ac:dyDescent="0.25">
      <c r="A6" s="296" t="s">
        <v>184</v>
      </c>
      <c r="B6" s="171" t="s">
        <v>2079</v>
      </c>
      <c r="C6" s="171" t="s">
        <v>186</v>
      </c>
      <c r="D6" s="171" t="s">
        <v>469</v>
      </c>
      <c r="E6" s="221" t="s">
        <v>188</v>
      </c>
      <c r="F6" s="221" t="s">
        <v>470</v>
      </c>
      <c r="G6" s="221" t="s">
        <v>1839</v>
      </c>
      <c r="H6" s="221" t="s">
        <v>1840</v>
      </c>
      <c r="I6" s="221" t="s">
        <v>1841</v>
      </c>
      <c r="J6" s="221" t="s">
        <v>1842</v>
      </c>
      <c r="K6" s="221" t="s">
        <v>1216</v>
      </c>
      <c r="L6" s="221" t="s">
        <v>668</v>
      </c>
      <c r="M6" s="171" t="s">
        <v>1212</v>
      </c>
      <c r="N6" s="249"/>
      <c r="O6" s="249"/>
    </row>
    <row r="7" spans="1:17" s="231" customFormat="1" ht="13.2" x14ac:dyDescent="0.25">
      <c r="A7" s="16">
        <v>40660</v>
      </c>
      <c r="B7" s="233" t="s">
        <v>1215</v>
      </c>
      <c r="C7" s="91" t="s">
        <v>197</v>
      </c>
      <c r="D7" s="91">
        <v>125</v>
      </c>
      <c r="E7" s="234">
        <f>F7/D7</f>
        <v>189</v>
      </c>
      <c r="F7" s="234">
        <v>23625</v>
      </c>
      <c r="G7" s="234">
        <v>9</v>
      </c>
      <c r="H7" s="234">
        <v>1.01</v>
      </c>
      <c r="I7" s="234">
        <v>0.77</v>
      </c>
      <c r="J7" s="234">
        <v>32.19</v>
      </c>
      <c r="K7" s="234">
        <f t="shared" ref="K7:K12" si="0">SUM(G7:J7)</f>
        <v>42.97</v>
      </c>
      <c r="L7" s="235">
        <f t="shared" ref="L7:L12" si="1">F7+K7</f>
        <v>23667.97</v>
      </c>
      <c r="M7" s="1" t="s">
        <v>1225</v>
      </c>
      <c r="N7" s="249"/>
      <c r="O7" s="2"/>
      <c r="P7" s="91"/>
      <c r="Q7" s="91"/>
    </row>
    <row r="8" spans="1:17" s="231" customFormat="1" ht="13.2" x14ac:dyDescent="0.25">
      <c r="A8" s="16">
        <v>40660</v>
      </c>
      <c r="B8" s="233" t="s">
        <v>1213</v>
      </c>
      <c r="C8" s="91" t="s">
        <v>197</v>
      </c>
      <c r="D8" s="91">
        <v>350</v>
      </c>
      <c r="E8" s="234">
        <f>F8/D8</f>
        <v>69.05</v>
      </c>
      <c r="F8" s="234">
        <v>24167.5</v>
      </c>
      <c r="G8" s="234">
        <v>9</v>
      </c>
      <c r="H8" s="234">
        <v>1.01</v>
      </c>
      <c r="I8" s="234">
        <v>0.79</v>
      </c>
      <c r="J8" s="234">
        <v>32.93</v>
      </c>
      <c r="K8" s="234">
        <f t="shared" si="0"/>
        <v>43.730000000000004</v>
      </c>
      <c r="L8" s="235">
        <f t="shared" si="1"/>
        <v>24211.23</v>
      </c>
      <c r="M8" s="1" t="s">
        <v>1225</v>
      </c>
      <c r="N8" s="249"/>
      <c r="O8" s="2"/>
      <c r="P8" s="91"/>
      <c r="Q8" s="91"/>
    </row>
    <row r="9" spans="1:17" s="231" customFormat="1" ht="13.2" x14ac:dyDescent="0.25">
      <c r="A9" s="16">
        <v>40662</v>
      </c>
      <c r="B9" s="233" t="s">
        <v>1228</v>
      </c>
      <c r="C9" s="91" t="s">
        <v>197</v>
      </c>
      <c r="D9" s="91">
        <v>100</v>
      </c>
      <c r="E9" s="234">
        <v>208.25</v>
      </c>
      <c r="F9" s="234">
        <v>20825</v>
      </c>
      <c r="G9" s="234">
        <v>18</v>
      </c>
      <c r="H9" s="234">
        <v>1.99</v>
      </c>
      <c r="I9" s="234">
        <v>1.33</v>
      </c>
      <c r="J9" s="234">
        <v>6.05</v>
      </c>
      <c r="K9" s="234">
        <f t="shared" si="0"/>
        <v>27.37</v>
      </c>
      <c r="L9" s="235">
        <f t="shared" si="1"/>
        <v>20852.37</v>
      </c>
      <c r="M9" s="1" t="s">
        <v>1224</v>
      </c>
      <c r="N9" s="2"/>
      <c r="O9" s="2"/>
    </row>
    <row r="10" spans="1:17" s="231" customFormat="1" ht="13.2" x14ac:dyDescent="0.25">
      <c r="A10" s="16">
        <v>40694</v>
      </c>
      <c r="B10" s="233" t="s">
        <v>1113</v>
      </c>
      <c r="C10" s="91" t="s">
        <v>197</v>
      </c>
      <c r="D10" s="91">
        <v>230</v>
      </c>
      <c r="E10" s="234">
        <f>F10/D10</f>
        <v>167.4</v>
      </c>
      <c r="F10" s="234">
        <v>38502</v>
      </c>
      <c r="G10" s="234">
        <v>9</v>
      </c>
      <c r="H10" s="234">
        <v>1.06</v>
      </c>
      <c r="I10" s="234">
        <v>1.25</v>
      </c>
      <c r="J10" s="234">
        <v>52.46</v>
      </c>
      <c r="K10" s="234">
        <f t="shared" si="0"/>
        <v>63.77</v>
      </c>
      <c r="L10" s="235">
        <f t="shared" si="1"/>
        <v>38565.769999999997</v>
      </c>
      <c r="M10" s="1" t="s">
        <v>1219</v>
      </c>
      <c r="N10" s="249"/>
      <c r="O10" s="2"/>
      <c r="P10" s="91"/>
      <c r="Q10" s="91"/>
    </row>
    <row r="11" spans="1:17" s="231" customFormat="1" ht="13.2" x14ac:dyDescent="0.25">
      <c r="A11" s="16">
        <v>40696</v>
      </c>
      <c r="B11" s="233" t="s">
        <v>1214</v>
      </c>
      <c r="C11" s="91" t="s">
        <v>197</v>
      </c>
      <c r="D11" s="91">
        <v>300</v>
      </c>
      <c r="E11" s="234">
        <f>F11/D11</f>
        <v>164.7</v>
      </c>
      <c r="F11" s="234">
        <v>49410</v>
      </c>
      <c r="G11" s="234">
        <v>9</v>
      </c>
      <c r="H11" s="234">
        <v>1.0900000000000001</v>
      </c>
      <c r="I11" s="234">
        <v>1.61</v>
      </c>
      <c r="J11" s="234">
        <v>67.319999999999993</v>
      </c>
      <c r="K11" s="234">
        <f t="shared" si="0"/>
        <v>79.02</v>
      </c>
      <c r="L11" s="235">
        <f t="shared" si="1"/>
        <v>49489.02</v>
      </c>
      <c r="M11" s="1" t="s">
        <v>1222</v>
      </c>
      <c r="N11" s="299"/>
      <c r="O11" s="2"/>
      <c r="P11" s="91"/>
      <c r="Q11" s="91"/>
    </row>
    <row r="12" spans="1:17" s="231" customFormat="1" ht="13.2" x14ac:dyDescent="0.25">
      <c r="A12" s="16">
        <v>40700</v>
      </c>
      <c r="B12" s="233" t="s">
        <v>1229</v>
      </c>
      <c r="C12" s="91" t="s">
        <v>197</v>
      </c>
      <c r="D12" s="91">
        <v>1800</v>
      </c>
      <c r="E12" s="234">
        <f>F12/D12</f>
        <v>26.95</v>
      </c>
      <c r="F12" s="234">
        <v>48510</v>
      </c>
      <c r="G12" s="234">
        <v>9</v>
      </c>
      <c r="H12" s="234">
        <v>1.0900000000000001</v>
      </c>
      <c r="I12" s="234">
        <v>1.58</v>
      </c>
      <c r="J12" s="234">
        <v>66.099999999999994</v>
      </c>
      <c r="K12" s="234">
        <f t="shared" si="0"/>
        <v>77.77</v>
      </c>
      <c r="L12" s="235">
        <f t="shared" si="1"/>
        <v>48587.77</v>
      </c>
      <c r="M12" s="1" t="s">
        <v>1221</v>
      </c>
      <c r="N12" s="249"/>
      <c r="O12" s="249"/>
    </row>
    <row r="13" spans="1:17" s="231" customFormat="1" ht="13.2" x14ac:dyDescent="0.25">
      <c r="A13" s="350"/>
      <c r="B13" s="236"/>
      <c r="C13" s="237"/>
      <c r="D13" s="238"/>
      <c r="E13" s="239"/>
      <c r="F13" s="239"/>
      <c r="G13" s="239"/>
      <c r="H13" s="239"/>
      <c r="I13" s="230"/>
      <c r="J13" s="230"/>
      <c r="K13" s="230"/>
      <c r="L13" s="230"/>
      <c r="M13" s="240"/>
      <c r="N13" s="249"/>
      <c r="O13" s="249"/>
    </row>
    <row r="14" spans="1:17" s="231" customFormat="1" ht="13.2" x14ac:dyDescent="0.25">
      <c r="A14" s="350"/>
      <c r="B14" s="236"/>
      <c r="C14" s="237"/>
      <c r="D14" s="238"/>
      <c r="E14" s="239"/>
      <c r="F14" s="239"/>
      <c r="G14" s="239"/>
      <c r="H14" s="239"/>
      <c r="I14" s="230"/>
      <c r="J14" s="230"/>
      <c r="K14" s="230"/>
      <c r="L14" s="230"/>
      <c r="M14" s="240"/>
      <c r="N14" s="249"/>
      <c r="O14" s="249"/>
    </row>
    <row r="15" spans="1:17" s="231" customFormat="1" ht="13.2" x14ac:dyDescent="0.25">
      <c r="A15" s="350"/>
      <c r="B15" s="236"/>
      <c r="C15" s="237"/>
      <c r="D15" s="238"/>
      <c r="E15" s="239"/>
      <c r="F15" s="239"/>
      <c r="G15" s="239"/>
      <c r="H15" s="239"/>
      <c r="I15" s="230"/>
      <c r="J15" s="230"/>
      <c r="K15" s="230"/>
      <c r="L15" s="230"/>
      <c r="M15" s="240"/>
      <c r="N15" s="249"/>
      <c r="O15" s="249"/>
    </row>
    <row r="16" spans="1:17" s="231" customFormat="1" ht="13.2" x14ac:dyDescent="0.25">
      <c r="A16" s="350"/>
      <c r="B16" s="236"/>
      <c r="C16" s="237"/>
      <c r="D16" s="238"/>
      <c r="E16" s="239"/>
      <c r="F16" s="239"/>
      <c r="G16" s="239"/>
      <c r="H16" s="239"/>
      <c r="I16" s="230"/>
      <c r="J16" s="230"/>
      <c r="K16" s="230"/>
      <c r="L16" s="230"/>
      <c r="M16" s="240"/>
      <c r="N16" s="249"/>
      <c r="O16" s="249"/>
    </row>
    <row r="17" spans="1:20" s="231" customFormat="1" ht="13.2" x14ac:dyDescent="0.25">
      <c r="A17" s="350"/>
      <c r="B17" s="236"/>
      <c r="C17" s="237"/>
      <c r="D17" s="238"/>
      <c r="E17" s="239"/>
      <c r="F17" s="239"/>
      <c r="G17" s="239"/>
      <c r="H17" s="239"/>
      <c r="I17" s="230"/>
      <c r="J17" s="230"/>
      <c r="K17" s="230"/>
      <c r="L17" s="230"/>
      <c r="M17" s="240"/>
      <c r="N17" s="249"/>
      <c r="O17" s="249"/>
    </row>
    <row r="18" spans="1:20" ht="12.75" customHeight="1" x14ac:dyDescent="0.25">
      <c r="A18" s="350"/>
      <c r="B18" s="241"/>
      <c r="C18" s="229"/>
      <c r="D18" s="229"/>
      <c r="E18" s="230"/>
      <c r="F18" s="230"/>
      <c r="G18" s="230"/>
      <c r="H18" s="242"/>
      <c r="I18" s="243"/>
      <c r="J18" s="244"/>
      <c r="K18" s="257" t="s">
        <v>2121</v>
      </c>
      <c r="L18" s="258">
        <f>SUM(L7:L17)</f>
        <v>205374.12999999998</v>
      </c>
      <c r="M18" s="245"/>
    </row>
    <row r="19" spans="1:20" ht="12.75" customHeight="1" x14ac:dyDescent="0.25">
      <c r="A19" s="350"/>
      <c r="B19" s="241"/>
      <c r="C19" s="229"/>
      <c r="D19" s="229"/>
      <c r="E19" s="230"/>
      <c r="F19" s="230"/>
      <c r="G19" s="230"/>
      <c r="H19" s="242"/>
      <c r="I19" s="242"/>
      <c r="J19" s="242"/>
      <c r="K19" s="242"/>
      <c r="L19" s="242"/>
      <c r="M19" s="245"/>
    </row>
    <row r="20" spans="1:20" ht="12.75" customHeight="1" x14ac:dyDescent="0.25">
      <c r="A20" s="350"/>
      <c r="B20" s="241"/>
      <c r="C20" s="229"/>
      <c r="D20" s="229"/>
      <c r="E20" s="230"/>
      <c r="F20" s="230"/>
      <c r="G20" s="230"/>
      <c r="H20" s="242"/>
      <c r="I20" s="242"/>
      <c r="J20" s="242"/>
      <c r="K20" s="242"/>
      <c r="L20" s="242"/>
      <c r="M20" s="245"/>
    </row>
    <row r="21" spans="1:20" ht="12.75" customHeight="1" x14ac:dyDescent="0.25">
      <c r="A21" s="296" t="s">
        <v>184</v>
      </c>
      <c r="B21" s="171" t="s">
        <v>2079</v>
      </c>
      <c r="C21" s="171" t="s">
        <v>186</v>
      </c>
      <c r="D21" s="171" t="s">
        <v>469</v>
      </c>
      <c r="E21" s="221" t="s">
        <v>188</v>
      </c>
      <c r="F21" s="221" t="s">
        <v>470</v>
      </c>
      <c r="G21" s="221" t="s">
        <v>1839</v>
      </c>
      <c r="H21" s="221" t="s">
        <v>1840</v>
      </c>
      <c r="I21" s="221" t="s">
        <v>1841</v>
      </c>
      <c r="J21" s="221" t="s">
        <v>1842</v>
      </c>
      <c r="K21" s="221" t="s">
        <v>1216</v>
      </c>
      <c r="L21" s="221" t="s">
        <v>667</v>
      </c>
      <c r="M21" s="171" t="s">
        <v>1212</v>
      </c>
    </row>
    <row r="22" spans="1:20" s="231" customFormat="1" ht="13.2" x14ac:dyDescent="0.25">
      <c r="A22" s="16">
        <v>40662</v>
      </c>
      <c r="B22" s="1" t="s">
        <v>1228</v>
      </c>
      <c r="C22" s="91" t="s">
        <v>369</v>
      </c>
      <c r="D22" s="91">
        <v>100</v>
      </c>
      <c r="E22" s="59">
        <f t="shared" ref="E22:E27" si="2">F22/D22</f>
        <v>202.05</v>
      </c>
      <c r="F22" s="234">
        <v>20205</v>
      </c>
      <c r="G22" s="182"/>
      <c r="H22" s="182"/>
      <c r="I22" s="182"/>
      <c r="J22" s="222"/>
      <c r="K22" s="222"/>
      <c r="L22" s="59">
        <f t="shared" ref="L22:L27" si="3">F22-K22</f>
        <v>20205</v>
      </c>
      <c r="M22" s="1" t="s">
        <v>1224</v>
      </c>
      <c r="N22" s="60"/>
      <c r="O22" s="2"/>
    </row>
    <row r="23" spans="1:20" ht="12.75" customHeight="1" x14ac:dyDescent="0.25">
      <c r="A23" s="16">
        <v>40667</v>
      </c>
      <c r="B23" s="233" t="s">
        <v>1213</v>
      </c>
      <c r="C23" s="91" t="s">
        <v>369</v>
      </c>
      <c r="D23" s="91">
        <v>350</v>
      </c>
      <c r="E23" s="59">
        <f t="shared" si="2"/>
        <v>67.3</v>
      </c>
      <c r="F23" s="234">
        <v>23555</v>
      </c>
      <c r="G23" s="234">
        <v>9</v>
      </c>
      <c r="H23" s="234">
        <v>1.01</v>
      </c>
      <c r="I23" s="234">
        <v>0.77</v>
      </c>
      <c r="J23" s="234">
        <v>32.090000000000003</v>
      </c>
      <c r="K23" s="234">
        <f>SUM(G23:J23)</f>
        <v>42.870000000000005</v>
      </c>
      <c r="L23" s="59">
        <f t="shared" si="3"/>
        <v>23512.13</v>
      </c>
      <c r="M23" s="1" t="s">
        <v>1223</v>
      </c>
    </row>
    <row r="24" spans="1:20" ht="12.75" customHeight="1" x14ac:dyDescent="0.25">
      <c r="A24" s="16">
        <v>40674</v>
      </c>
      <c r="B24" s="233" t="s">
        <v>1215</v>
      </c>
      <c r="C24" s="91" t="s">
        <v>369</v>
      </c>
      <c r="D24" s="91">
        <v>125</v>
      </c>
      <c r="E24" s="59">
        <f t="shared" si="2"/>
        <v>188.5</v>
      </c>
      <c r="F24" s="234">
        <v>23562.5</v>
      </c>
      <c r="G24" s="234">
        <v>9</v>
      </c>
      <c r="H24" s="234">
        <v>1.01</v>
      </c>
      <c r="I24" s="234">
        <v>0.77</v>
      </c>
      <c r="J24" s="234">
        <v>32.1</v>
      </c>
      <c r="K24" s="234">
        <f>SUM(G24:J24)</f>
        <v>42.88</v>
      </c>
      <c r="L24" s="59">
        <f t="shared" si="3"/>
        <v>23519.62</v>
      </c>
      <c r="M24" s="1" t="s">
        <v>1217</v>
      </c>
    </row>
    <row r="25" spans="1:20" ht="12.75" customHeight="1" x14ac:dyDescent="0.25">
      <c r="A25" s="16">
        <v>40696</v>
      </c>
      <c r="B25" s="233" t="s">
        <v>1113</v>
      </c>
      <c r="C25" s="91" t="s">
        <v>369</v>
      </c>
      <c r="D25" s="91">
        <v>230</v>
      </c>
      <c r="E25" s="59">
        <f t="shared" si="2"/>
        <v>177.2</v>
      </c>
      <c r="F25" s="234">
        <v>40756</v>
      </c>
      <c r="G25" s="234">
        <v>9</v>
      </c>
      <c r="H25" s="234">
        <v>1.06</v>
      </c>
      <c r="I25" s="234">
        <v>1.32</v>
      </c>
      <c r="J25" s="234">
        <v>55.54</v>
      </c>
      <c r="K25" s="234">
        <f>SUM(G25:J25)</f>
        <v>66.92</v>
      </c>
      <c r="L25" s="59">
        <f t="shared" si="3"/>
        <v>40689.08</v>
      </c>
      <c r="M25" s="1" t="s">
        <v>1222</v>
      </c>
    </row>
    <row r="26" spans="1:20" ht="12.75" customHeight="1" x14ac:dyDescent="0.25">
      <c r="A26" s="16">
        <v>40700</v>
      </c>
      <c r="B26" s="233" t="s">
        <v>1214</v>
      </c>
      <c r="C26" s="91" t="s">
        <v>369</v>
      </c>
      <c r="D26" s="91">
        <v>300</v>
      </c>
      <c r="E26" s="59">
        <f t="shared" si="2"/>
        <v>161.61666666666667</v>
      </c>
      <c r="F26" s="234">
        <v>48485</v>
      </c>
      <c r="G26" s="234">
        <v>9</v>
      </c>
      <c r="H26" s="234">
        <v>1.0900000000000001</v>
      </c>
      <c r="I26" s="234">
        <v>1.58</v>
      </c>
      <c r="J26" s="234">
        <v>66.06</v>
      </c>
      <c r="K26" s="234">
        <f>SUM(G26:J26)</f>
        <v>77.73</v>
      </c>
      <c r="L26" s="59">
        <f t="shared" si="3"/>
        <v>48407.27</v>
      </c>
      <c r="M26" s="1" t="s">
        <v>1221</v>
      </c>
    </row>
    <row r="27" spans="1:20" ht="12.75" customHeight="1" x14ac:dyDescent="0.25">
      <c r="A27" s="16">
        <v>40714</v>
      </c>
      <c r="B27" s="233" t="s">
        <v>1229</v>
      </c>
      <c r="C27" s="91" t="s">
        <v>369</v>
      </c>
      <c r="D27" s="91">
        <v>1800</v>
      </c>
      <c r="E27" s="59">
        <f t="shared" si="2"/>
        <v>25.1</v>
      </c>
      <c r="F27" s="234">
        <v>45180</v>
      </c>
      <c r="G27" s="234">
        <v>9</v>
      </c>
      <c r="H27" s="234">
        <v>1.08</v>
      </c>
      <c r="I27" s="234">
        <v>1.47</v>
      </c>
      <c r="J27" s="234">
        <v>61.56</v>
      </c>
      <c r="K27" s="234">
        <f>SUM(G27:J27)</f>
        <v>73.11</v>
      </c>
      <c r="L27" s="59">
        <f t="shared" si="3"/>
        <v>45106.89</v>
      </c>
      <c r="M27" s="1" t="s">
        <v>1230</v>
      </c>
      <c r="N27" s="2"/>
      <c r="O27" s="2"/>
      <c r="Q27" s="1"/>
      <c r="R27" s="1"/>
      <c r="S27" s="1"/>
      <c r="T27" s="1"/>
    </row>
    <row r="28" spans="1:20" ht="13.2" x14ac:dyDescent="0.25">
      <c r="A28" s="16"/>
      <c r="B28" s="1"/>
      <c r="C28" s="91"/>
      <c r="D28" s="1"/>
      <c r="E28" s="59"/>
      <c r="F28" s="59"/>
      <c r="G28" s="59"/>
      <c r="H28" s="59"/>
      <c r="I28" s="230"/>
    </row>
    <row r="29" spans="1:20" ht="13.2" x14ac:dyDescent="0.25">
      <c r="A29" s="16"/>
      <c r="B29" s="1"/>
      <c r="C29" s="91"/>
      <c r="D29" s="1"/>
      <c r="E29" s="59"/>
      <c r="F29" s="59"/>
      <c r="G29" s="59"/>
      <c r="H29" s="59"/>
      <c r="I29" s="230"/>
      <c r="J29" s="246"/>
      <c r="K29" s="246"/>
      <c r="L29" s="246"/>
      <c r="M29" s="248"/>
    </row>
    <row r="30" spans="1:20" ht="13.2" x14ac:dyDescent="0.25">
      <c r="A30" s="16"/>
      <c r="B30" s="57"/>
      <c r="C30" s="91"/>
      <c r="D30" s="1"/>
      <c r="E30" s="59"/>
      <c r="F30" s="59"/>
      <c r="G30" s="59"/>
      <c r="H30" s="59">
        <v>-72.680000000000007</v>
      </c>
      <c r="I30" s="230"/>
      <c r="J30" s="255"/>
      <c r="K30" s="255"/>
      <c r="L30" s="255"/>
      <c r="M30" s="256"/>
    </row>
    <row r="31" spans="1:20" ht="12.75" customHeight="1" x14ac:dyDescent="0.25">
      <c r="A31" s="16"/>
      <c r="B31" s="57"/>
      <c r="C31" s="91"/>
      <c r="D31" s="1"/>
      <c r="E31" s="59"/>
      <c r="F31" s="59"/>
      <c r="G31" s="59"/>
      <c r="H31" s="59"/>
      <c r="J31" s="257"/>
      <c r="K31" s="257" t="s">
        <v>2127</v>
      </c>
      <c r="L31" s="258">
        <f>SUM(L22:L30)</f>
        <v>201439.99</v>
      </c>
      <c r="M31" s="259"/>
    </row>
    <row r="32" spans="1:20" ht="12.75" customHeight="1" x14ac:dyDescent="0.25">
      <c r="A32" s="16"/>
      <c r="B32" s="57"/>
      <c r="C32" s="91"/>
      <c r="D32" s="1"/>
      <c r="E32" s="59"/>
      <c r="F32" s="59"/>
      <c r="G32" s="59"/>
      <c r="H32" s="59"/>
      <c r="J32" s="260"/>
      <c r="K32" s="260"/>
      <c r="L32" s="260"/>
      <c r="M32" s="261"/>
    </row>
    <row r="33" spans="1:17" ht="12.75" customHeight="1" x14ac:dyDescent="0.25">
      <c r="A33" s="16"/>
      <c r="B33" s="1"/>
      <c r="C33" s="91"/>
      <c r="D33" s="1"/>
      <c r="E33" s="59"/>
      <c r="F33" s="59"/>
      <c r="G33" s="59"/>
      <c r="H33" s="59"/>
      <c r="J33" s="257"/>
      <c r="K33" s="257" t="s">
        <v>2128</v>
      </c>
      <c r="L33" s="258">
        <f>L31-L18</f>
        <v>-3934.1399999999849</v>
      </c>
      <c r="M33" s="259"/>
    </row>
    <row r="34" spans="1:17" ht="12.75" customHeight="1" x14ac:dyDescent="0.25">
      <c r="A34" s="16"/>
      <c r="B34" s="57"/>
      <c r="C34" s="91"/>
      <c r="D34" s="1"/>
      <c r="E34" s="59"/>
      <c r="F34" s="59"/>
      <c r="G34" s="59"/>
      <c r="H34" s="59"/>
    </row>
    <row r="36" spans="1:17" ht="12.75" customHeight="1" thickBot="1" x14ac:dyDescent="0.3">
      <c r="J36" s="243"/>
      <c r="K36" s="243"/>
    </row>
    <row r="37" spans="1:17" ht="12.75" customHeight="1" thickBot="1" x14ac:dyDescent="0.3">
      <c r="A37" s="351" t="s">
        <v>1256</v>
      </c>
      <c r="B37" s="251"/>
      <c r="C37" s="251"/>
      <c r="D37" s="251"/>
      <c r="E37" s="251"/>
      <c r="F37" s="251"/>
      <c r="G37" s="251"/>
      <c r="H37" s="251"/>
      <c r="I37" s="251"/>
      <c r="J37" s="251"/>
      <c r="K37" s="251"/>
      <c r="L37" s="251"/>
      <c r="M37" s="251"/>
      <c r="N37" s="340"/>
    </row>
    <row r="38" spans="1:17" ht="12.75" customHeight="1" x14ac:dyDescent="0.25">
      <c r="A38" s="296" t="s">
        <v>184</v>
      </c>
      <c r="B38" s="171" t="s">
        <v>2079</v>
      </c>
      <c r="C38" s="171" t="s">
        <v>1258</v>
      </c>
      <c r="D38" s="221" t="s">
        <v>1257</v>
      </c>
      <c r="E38" s="171" t="s">
        <v>469</v>
      </c>
      <c r="F38" s="221" t="s">
        <v>188</v>
      </c>
      <c r="G38" s="221" t="s">
        <v>470</v>
      </c>
      <c r="H38" s="221" t="s">
        <v>1839</v>
      </c>
      <c r="I38" s="221" t="s">
        <v>1840</v>
      </c>
      <c r="J38" s="221" t="s">
        <v>1251</v>
      </c>
      <c r="K38" s="221" t="s">
        <v>1842</v>
      </c>
      <c r="L38" s="221" t="s">
        <v>1216</v>
      </c>
      <c r="M38" s="221" t="s">
        <v>668</v>
      </c>
      <c r="N38" s="204" t="s">
        <v>1212</v>
      </c>
      <c r="O38" s="204" t="s">
        <v>186</v>
      </c>
    </row>
    <row r="39" spans="1:17" ht="12.75" customHeight="1" x14ac:dyDescent="0.25">
      <c r="A39" s="16" t="s">
        <v>1250</v>
      </c>
      <c r="B39" s="232" t="s">
        <v>1241</v>
      </c>
      <c r="C39" s="2" t="s">
        <v>1245</v>
      </c>
      <c r="D39" s="2">
        <v>5500</v>
      </c>
      <c r="E39" s="2">
        <v>50</v>
      </c>
      <c r="F39" s="60">
        <v>58</v>
      </c>
      <c r="G39" s="299">
        <f t="shared" ref="G39:G68" si="4">E39*F39</f>
        <v>2900</v>
      </c>
      <c r="H39" s="60">
        <v>9</v>
      </c>
      <c r="I39" s="60">
        <v>1.1399999999999999</v>
      </c>
      <c r="J39" s="60">
        <v>2.06</v>
      </c>
      <c r="K39" s="60">
        <v>1</v>
      </c>
      <c r="L39" s="60">
        <f>SUM(H39:K39)</f>
        <v>13.200000000000001</v>
      </c>
      <c r="M39" s="299">
        <f t="shared" ref="M39:M45" si="5">G39+L39</f>
        <v>2913.2</v>
      </c>
      <c r="N39" s="263" t="s">
        <v>1253</v>
      </c>
      <c r="O39" s="263" t="s">
        <v>197</v>
      </c>
    </row>
    <row r="40" spans="1:17" ht="12.75" customHeight="1" x14ac:dyDescent="0.25">
      <c r="A40" s="16" t="s">
        <v>1243</v>
      </c>
      <c r="B40" s="2" t="s">
        <v>1244</v>
      </c>
      <c r="C40" s="2" t="s">
        <v>1245</v>
      </c>
      <c r="D40" s="2">
        <v>560</v>
      </c>
      <c r="E40" s="2">
        <v>500</v>
      </c>
      <c r="F40" s="60">
        <v>4.9000000000000004</v>
      </c>
      <c r="G40" s="299">
        <f t="shared" si="4"/>
        <v>2450</v>
      </c>
      <c r="H40" s="60">
        <v>9</v>
      </c>
      <c r="I40" s="60">
        <v>1.1399999999999999</v>
      </c>
      <c r="J40" s="60">
        <v>2.12</v>
      </c>
      <c r="K40" s="60">
        <v>1</v>
      </c>
      <c r="L40" s="60">
        <f>SUM(H40:K40)</f>
        <v>13.260000000000002</v>
      </c>
      <c r="M40" s="299">
        <f t="shared" si="5"/>
        <v>2463.2600000000002</v>
      </c>
      <c r="N40" s="263" t="s">
        <v>1252</v>
      </c>
      <c r="O40" s="263" t="s">
        <v>197</v>
      </c>
    </row>
    <row r="41" spans="1:17" ht="12.75" customHeight="1" x14ac:dyDescent="0.25">
      <c r="A41" s="16" t="s">
        <v>1246</v>
      </c>
      <c r="B41" s="2" t="s">
        <v>1248</v>
      </c>
      <c r="C41" s="2" t="s">
        <v>1249</v>
      </c>
      <c r="D41" s="2">
        <v>230</v>
      </c>
      <c r="E41" s="2">
        <v>1000</v>
      </c>
      <c r="F41" s="60">
        <v>5</v>
      </c>
      <c r="G41" s="299">
        <f t="shared" si="4"/>
        <v>5000</v>
      </c>
      <c r="H41" s="60">
        <v>9</v>
      </c>
      <c r="I41" s="60">
        <v>1.24</v>
      </c>
      <c r="J41" s="60">
        <v>3.03</v>
      </c>
      <c r="K41" s="60">
        <v>1</v>
      </c>
      <c r="L41" s="60">
        <f>SUM(H41:K41)</f>
        <v>14.27</v>
      </c>
      <c r="M41" s="299">
        <f t="shared" si="5"/>
        <v>5014.2700000000004</v>
      </c>
      <c r="N41" s="263" t="s">
        <v>1254</v>
      </c>
      <c r="O41" s="263" t="s">
        <v>197</v>
      </c>
    </row>
    <row r="42" spans="1:17" ht="12.75" customHeight="1" x14ac:dyDescent="0.25">
      <c r="A42" s="16" t="s">
        <v>2392</v>
      </c>
      <c r="B42" s="2" t="s">
        <v>2428</v>
      </c>
      <c r="C42" s="2" t="s">
        <v>1245</v>
      </c>
      <c r="D42" s="2">
        <v>5300</v>
      </c>
      <c r="E42" s="2">
        <v>50</v>
      </c>
      <c r="F42" s="60">
        <v>51.6</v>
      </c>
      <c r="G42" s="299">
        <f t="shared" si="4"/>
        <v>2580</v>
      </c>
      <c r="H42" s="302"/>
      <c r="I42" s="302"/>
      <c r="J42" s="302"/>
      <c r="K42" s="302"/>
      <c r="L42" s="302"/>
      <c r="M42" s="299">
        <f>G42+L42</f>
        <v>2580</v>
      </c>
      <c r="N42" s="263" t="s">
        <v>2393</v>
      </c>
      <c r="O42" s="263" t="s">
        <v>197</v>
      </c>
    </row>
    <row r="43" spans="1:17" ht="12.75" customHeight="1" x14ac:dyDescent="0.25">
      <c r="A43" s="16" t="s">
        <v>2392</v>
      </c>
      <c r="B43" s="2" t="s">
        <v>2428</v>
      </c>
      <c r="C43" s="2" t="s">
        <v>1245</v>
      </c>
      <c r="D43" s="2">
        <v>5300</v>
      </c>
      <c r="E43" s="2">
        <v>50</v>
      </c>
      <c r="F43" s="60">
        <v>50.8</v>
      </c>
      <c r="G43" s="299">
        <f t="shared" si="4"/>
        <v>2540</v>
      </c>
      <c r="H43" s="60">
        <v>18</v>
      </c>
      <c r="I43" s="60">
        <v>2.2200000000000002</v>
      </c>
      <c r="J43" s="60">
        <v>3.64</v>
      </c>
      <c r="K43" s="60">
        <v>1</v>
      </c>
      <c r="L43" s="60">
        <f>SUM(H43:K43)</f>
        <v>24.86</v>
      </c>
      <c r="M43" s="299">
        <f>G43+L43</f>
        <v>2564.86</v>
      </c>
      <c r="N43" s="263" t="s">
        <v>2393</v>
      </c>
      <c r="O43" s="263" t="s">
        <v>197</v>
      </c>
    </row>
    <row r="44" spans="1:17" ht="12.75" customHeight="1" x14ac:dyDescent="0.25">
      <c r="A44" s="16" t="s">
        <v>2434</v>
      </c>
      <c r="B44" s="2" t="s">
        <v>2431</v>
      </c>
      <c r="C44" s="2" t="s">
        <v>1245</v>
      </c>
      <c r="D44" s="2">
        <v>5300</v>
      </c>
      <c r="E44" s="2">
        <v>100</v>
      </c>
      <c r="F44" s="60">
        <v>56</v>
      </c>
      <c r="G44" s="299">
        <f t="shared" si="4"/>
        <v>5600</v>
      </c>
      <c r="H44" s="60">
        <v>18</v>
      </c>
      <c r="I44" s="60">
        <v>2.2599999999999998</v>
      </c>
      <c r="J44" s="60">
        <v>3.98</v>
      </c>
      <c r="K44" s="60">
        <v>1</v>
      </c>
      <c r="L44" s="60">
        <f>SUM(H44:K44)</f>
        <v>25.24</v>
      </c>
      <c r="M44" s="299">
        <f t="shared" si="5"/>
        <v>5625.24</v>
      </c>
      <c r="N44" s="263" t="s">
        <v>2396</v>
      </c>
      <c r="O44" s="263" t="s">
        <v>197</v>
      </c>
    </row>
    <row r="45" spans="1:17" ht="12.75" customHeight="1" x14ac:dyDescent="0.25">
      <c r="A45" s="16" t="s">
        <v>2433</v>
      </c>
      <c r="B45" s="2" t="s">
        <v>2430</v>
      </c>
      <c r="C45" s="2" t="s">
        <v>1245</v>
      </c>
      <c r="D45" s="2">
        <v>5200</v>
      </c>
      <c r="E45" s="2">
        <v>50</v>
      </c>
      <c r="F45" s="60">
        <v>62</v>
      </c>
      <c r="G45" s="299">
        <f t="shared" si="4"/>
        <v>3100</v>
      </c>
      <c r="H45" s="302"/>
      <c r="I45" s="302"/>
      <c r="J45" s="302"/>
      <c r="K45" s="302"/>
      <c r="L45" s="302"/>
      <c r="M45" s="299">
        <f t="shared" si="5"/>
        <v>3100</v>
      </c>
      <c r="N45" s="263" t="s">
        <v>2426</v>
      </c>
      <c r="O45" s="263" t="s">
        <v>197</v>
      </c>
    </row>
    <row r="46" spans="1:17" ht="13.2" x14ac:dyDescent="0.25">
      <c r="A46" s="16" t="s">
        <v>2433</v>
      </c>
      <c r="B46" s="2" t="s">
        <v>2430</v>
      </c>
      <c r="C46" s="2" t="s">
        <v>1245</v>
      </c>
      <c r="D46" s="2">
        <v>5200</v>
      </c>
      <c r="E46" s="2">
        <v>50</v>
      </c>
      <c r="F46" s="60">
        <v>62</v>
      </c>
      <c r="G46" s="299">
        <f t="shared" si="4"/>
        <v>3100</v>
      </c>
      <c r="H46" s="60">
        <v>18</v>
      </c>
      <c r="I46" s="60">
        <v>2.2999999999999998</v>
      </c>
      <c r="J46" s="60">
        <v>4.4000000000000004</v>
      </c>
      <c r="K46" s="60">
        <v>1</v>
      </c>
      <c r="L46" s="60">
        <f t="shared" ref="L46:L56" si="6">SUM(H46:K46)</f>
        <v>25.700000000000003</v>
      </c>
      <c r="M46" s="299">
        <f t="shared" ref="M46:M71" si="7">G46+L46</f>
        <v>3125.7</v>
      </c>
      <c r="N46" s="263" t="s">
        <v>2426</v>
      </c>
      <c r="O46" s="263" t="s">
        <v>197</v>
      </c>
    </row>
    <row r="47" spans="1:17" ht="13.2" x14ac:dyDescent="0.25">
      <c r="A47" s="16" t="s">
        <v>457</v>
      </c>
      <c r="B47" s="2" t="s">
        <v>2431</v>
      </c>
      <c r="C47" s="2" t="s">
        <v>1245</v>
      </c>
      <c r="D47" s="2">
        <v>5400</v>
      </c>
      <c r="E47" s="2">
        <v>100</v>
      </c>
      <c r="F47" s="60">
        <v>57.5</v>
      </c>
      <c r="G47" s="299">
        <f t="shared" si="4"/>
        <v>5750</v>
      </c>
      <c r="H47" s="60">
        <v>18</v>
      </c>
      <c r="I47" s="60">
        <v>2.27</v>
      </c>
      <c r="J47" s="60">
        <v>4.08</v>
      </c>
      <c r="K47" s="60">
        <v>1</v>
      </c>
      <c r="L47" s="60">
        <f t="shared" si="6"/>
        <v>25.35</v>
      </c>
      <c r="M47" s="299">
        <f t="shared" si="7"/>
        <v>5775.35</v>
      </c>
      <c r="N47" s="263" t="s">
        <v>456</v>
      </c>
      <c r="O47" s="263" t="s">
        <v>197</v>
      </c>
    </row>
    <row r="48" spans="1:17" ht="13.2" x14ac:dyDescent="0.25">
      <c r="A48" s="16" t="s">
        <v>1723</v>
      </c>
      <c r="B48" s="2" t="s">
        <v>2428</v>
      </c>
      <c r="C48" s="2" t="s">
        <v>1249</v>
      </c>
      <c r="D48" s="2">
        <v>5600</v>
      </c>
      <c r="E48" s="2">
        <v>100</v>
      </c>
      <c r="F48" s="60">
        <v>57.5</v>
      </c>
      <c r="G48" s="299">
        <f t="shared" si="4"/>
        <v>5750</v>
      </c>
      <c r="H48" s="60">
        <v>18</v>
      </c>
      <c r="I48" s="302"/>
      <c r="J48" s="302"/>
      <c r="K48" s="302"/>
      <c r="L48" s="60">
        <f t="shared" si="6"/>
        <v>18</v>
      </c>
      <c r="M48" s="299">
        <f t="shared" si="7"/>
        <v>5768</v>
      </c>
      <c r="N48" s="263" t="s">
        <v>1720</v>
      </c>
      <c r="O48" s="263" t="s">
        <v>197</v>
      </c>
      <c r="Q48" s="247"/>
    </row>
    <row r="49" spans="1:17" ht="13.2" x14ac:dyDescent="0.25">
      <c r="A49" s="16" t="s">
        <v>278</v>
      </c>
      <c r="B49" s="2" t="s">
        <v>2430</v>
      </c>
      <c r="C49" s="2" t="s">
        <v>1245</v>
      </c>
      <c r="D49" s="2">
        <v>5600</v>
      </c>
      <c r="E49" s="2">
        <v>50</v>
      </c>
      <c r="F49" s="60">
        <v>153.5</v>
      </c>
      <c r="G49" s="299">
        <f t="shared" si="4"/>
        <v>7675</v>
      </c>
      <c r="H49" s="60">
        <v>9</v>
      </c>
      <c r="I49" s="302"/>
      <c r="J49" s="302"/>
      <c r="K49" s="302"/>
      <c r="L49" s="60">
        <f t="shared" si="6"/>
        <v>9</v>
      </c>
      <c r="M49" s="299">
        <f t="shared" si="7"/>
        <v>7684</v>
      </c>
      <c r="N49" s="263" t="s">
        <v>279</v>
      </c>
      <c r="O49" s="263" t="s">
        <v>197</v>
      </c>
      <c r="Q49" s="247"/>
    </row>
    <row r="50" spans="1:17" ht="13.2" x14ac:dyDescent="0.25">
      <c r="A50" s="16" t="s">
        <v>278</v>
      </c>
      <c r="B50" s="2" t="s">
        <v>2430</v>
      </c>
      <c r="C50" s="2" t="s">
        <v>1245</v>
      </c>
      <c r="D50" s="2">
        <v>5600</v>
      </c>
      <c r="E50" s="2">
        <v>50</v>
      </c>
      <c r="F50" s="60">
        <v>153.75</v>
      </c>
      <c r="G50" s="299">
        <f t="shared" si="4"/>
        <v>7687.5</v>
      </c>
      <c r="H50" s="60">
        <v>9</v>
      </c>
      <c r="I50" s="60">
        <v>2.97</v>
      </c>
      <c r="J50" s="60">
        <v>10.91</v>
      </c>
      <c r="K50" s="60">
        <v>1</v>
      </c>
      <c r="L50" s="60">
        <f t="shared" si="6"/>
        <v>23.880000000000003</v>
      </c>
      <c r="M50" s="299">
        <f t="shared" si="7"/>
        <v>7711.38</v>
      </c>
      <c r="N50" s="263" t="s">
        <v>279</v>
      </c>
      <c r="O50" s="263" t="s">
        <v>197</v>
      </c>
      <c r="Q50" s="247"/>
    </row>
    <row r="51" spans="1:17" ht="12.75" customHeight="1" x14ac:dyDescent="0.25">
      <c r="A51" s="298" t="s">
        <v>38</v>
      </c>
      <c r="B51" s="2" t="s">
        <v>2431</v>
      </c>
      <c r="C51" s="2" t="s">
        <v>1249</v>
      </c>
      <c r="D51" s="2">
        <v>5300</v>
      </c>
      <c r="E51" s="2">
        <v>50</v>
      </c>
      <c r="F51" s="60">
        <v>51</v>
      </c>
      <c r="G51" s="299">
        <f t="shared" si="4"/>
        <v>2550</v>
      </c>
      <c r="H51" s="60">
        <v>9</v>
      </c>
      <c r="I51" s="302"/>
      <c r="J51" s="302"/>
      <c r="K51" s="302"/>
      <c r="L51" s="60">
        <f t="shared" si="6"/>
        <v>9</v>
      </c>
      <c r="M51" s="299">
        <f t="shared" si="7"/>
        <v>2559</v>
      </c>
      <c r="N51" s="263" t="s">
        <v>33</v>
      </c>
      <c r="O51" s="263" t="s">
        <v>197</v>
      </c>
    </row>
    <row r="52" spans="1:17" ht="12.75" customHeight="1" x14ac:dyDescent="0.25">
      <c r="A52" s="298" t="s">
        <v>38</v>
      </c>
      <c r="B52" s="2" t="s">
        <v>2431</v>
      </c>
      <c r="C52" s="2" t="s">
        <v>1249</v>
      </c>
      <c r="D52" s="2">
        <v>5300</v>
      </c>
      <c r="E52" s="2">
        <v>50</v>
      </c>
      <c r="F52" s="60">
        <v>51.1</v>
      </c>
      <c r="G52" s="299">
        <f t="shared" si="4"/>
        <v>2555</v>
      </c>
      <c r="H52" s="60">
        <v>9</v>
      </c>
      <c r="I52" s="302"/>
      <c r="J52" s="302"/>
      <c r="K52" s="302"/>
      <c r="L52" s="60">
        <f t="shared" si="6"/>
        <v>9</v>
      </c>
      <c r="M52" s="299">
        <f t="shared" si="7"/>
        <v>2564</v>
      </c>
      <c r="N52" s="263" t="s">
        <v>33</v>
      </c>
      <c r="O52" s="263" t="s">
        <v>197</v>
      </c>
    </row>
    <row r="53" spans="1:17" ht="12.75" customHeight="1" x14ac:dyDescent="0.25">
      <c r="A53" s="298" t="s">
        <v>38</v>
      </c>
      <c r="B53" s="2" t="s">
        <v>2431</v>
      </c>
      <c r="C53" s="2" t="s">
        <v>1249</v>
      </c>
      <c r="D53" s="2">
        <v>5300</v>
      </c>
      <c r="E53" s="2">
        <v>50</v>
      </c>
      <c r="F53" s="60">
        <v>51.9</v>
      </c>
      <c r="G53" s="299">
        <f t="shared" si="4"/>
        <v>2595</v>
      </c>
      <c r="H53" s="60">
        <v>9</v>
      </c>
      <c r="I53" s="60">
        <v>3.34</v>
      </c>
      <c r="J53" s="60">
        <v>5.47</v>
      </c>
      <c r="K53" s="60">
        <v>1</v>
      </c>
      <c r="L53" s="60">
        <f t="shared" si="6"/>
        <v>18.809999999999999</v>
      </c>
      <c r="M53" s="299">
        <f t="shared" si="7"/>
        <v>2613.81</v>
      </c>
      <c r="N53" s="263" t="s">
        <v>33</v>
      </c>
      <c r="O53" s="263" t="s">
        <v>197</v>
      </c>
    </row>
    <row r="54" spans="1:17" ht="13.2" x14ac:dyDescent="0.25">
      <c r="A54" s="298" t="s">
        <v>36</v>
      </c>
      <c r="B54" s="2" t="s">
        <v>2431</v>
      </c>
      <c r="C54" s="2" t="s">
        <v>1249</v>
      </c>
      <c r="D54" s="2">
        <v>5300</v>
      </c>
      <c r="E54" s="2">
        <v>100</v>
      </c>
      <c r="F54" s="60">
        <v>51.95</v>
      </c>
      <c r="G54" s="299">
        <f t="shared" si="4"/>
        <v>5195</v>
      </c>
      <c r="H54" s="60">
        <v>18</v>
      </c>
      <c r="I54" s="60"/>
      <c r="J54" s="60"/>
      <c r="K54" s="60"/>
      <c r="L54" s="60">
        <f t="shared" si="6"/>
        <v>18</v>
      </c>
      <c r="M54" s="299">
        <f t="shared" si="7"/>
        <v>5213</v>
      </c>
      <c r="N54" s="263" t="s">
        <v>34</v>
      </c>
      <c r="O54" s="263" t="s">
        <v>197</v>
      </c>
      <c r="Q54" s="247"/>
    </row>
    <row r="55" spans="1:17" ht="13.2" x14ac:dyDescent="0.25">
      <c r="A55" s="298" t="s">
        <v>36</v>
      </c>
      <c r="B55" s="2" t="s">
        <v>2431</v>
      </c>
      <c r="C55" s="2" t="s">
        <v>1249</v>
      </c>
      <c r="D55" s="2">
        <v>5300</v>
      </c>
      <c r="E55" s="2">
        <v>50</v>
      </c>
      <c r="F55" s="60">
        <v>52</v>
      </c>
      <c r="G55" s="299">
        <f t="shared" si="4"/>
        <v>2600</v>
      </c>
      <c r="H55" s="60">
        <v>9</v>
      </c>
      <c r="I55" s="60">
        <v>6.69</v>
      </c>
      <c r="J55" s="60">
        <v>10.97</v>
      </c>
      <c r="K55" s="60">
        <v>2</v>
      </c>
      <c r="L55" s="60">
        <f t="shared" si="6"/>
        <v>28.660000000000004</v>
      </c>
      <c r="M55" s="299">
        <f t="shared" si="7"/>
        <v>2628.66</v>
      </c>
      <c r="N55" s="263" t="s">
        <v>34</v>
      </c>
      <c r="O55" s="263" t="s">
        <v>197</v>
      </c>
      <c r="Q55" s="247"/>
    </row>
    <row r="56" spans="1:17" ht="13.2" x14ac:dyDescent="0.25">
      <c r="A56" s="298" t="s">
        <v>1438</v>
      </c>
      <c r="B56" s="2" t="s">
        <v>2431</v>
      </c>
      <c r="C56" s="2" t="s">
        <v>1249</v>
      </c>
      <c r="D56" s="2">
        <v>5300</v>
      </c>
      <c r="E56" s="2">
        <v>50</v>
      </c>
      <c r="F56" s="60">
        <v>35.35</v>
      </c>
      <c r="G56" s="299">
        <f t="shared" si="4"/>
        <v>1767.5</v>
      </c>
      <c r="H56" s="60">
        <v>9</v>
      </c>
      <c r="I56" s="302"/>
      <c r="J56" s="302"/>
      <c r="K56" s="302"/>
      <c r="L56" s="60">
        <f t="shared" si="6"/>
        <v>9</v>
      </c>
      <c r="M56" s="299">
        <f t="shared" si="7"/>
        <v>1776.5</v>
      </c>
      <c r="N56" s="249" t="s">
        <v>1437</v>
      </c>
      <c r="O56" s="263" t="s">
        <v>197</v>
      </c>
      <c r="Q56" s="247"/>
    </row>
    <row r="57" spans="1:17" ht="13.2" x14ac:dyDescent="0.25">
      <c r="A57" s="298" t="s">
        <v>688</v>
      </c>
      <c r="B57" s="2" t="s">
        <v>2431</v>
      </c>
      <c r="C57" s="2" t="s">
        <v>1249</v>
      </c>
      <c r="D57" s="2">
        <v>5100</v>
      </c>
      <c r="E57" s="2">
        <v>100</v>
      </c>
      <c r="F57" s="60">
        <v>52</v>
      </c>
      <c r="G57" s="299">
        <f t="shared" si="4"/>
        <v>5200</v>
      </c>
      <c r="H57" s="60">
        <v>18</v>
      </c>
      <c r="I57" s="60">
        <v>2.23</v>
      </c>
      <c r="J57" s="60">
        <v>3.69</v>
      </c>
      <c r="K57" s="60">
        <v>1</v>
      </c>
      <c r="L57" s="60">
        <f t="shared" ref="L57:L71" si="8">SUM(H57:K57)</f>
        <v>24.92</v>
      </c>
      <c r="M57" s="299">
        <f t="shared" si="7"/>
        <v>5224.92</v>
      </c>
      <c r="N57" s="263" t="s">
        <v>689</v>
      </c>
      <c r="O57" s="263" t="s">
        <v>197</v>
      </c>
      <c r="Q57" s="247"/>
    </row>
    <row r="58" spans="1:17" ht="13.2" x14ac:dyDescent="0.25">
      <c r="A58" s="298" t="s">
        <v>692</v>
      </c>
      <c r="B58" s="2" t="s">
        <v>2431</v>
      </c>
      <c r="C58" s="2" t="s">
        <v>1249</v>
      </c>
      <c r="D58" s="2">
        <v>5000</v>
      </c>
      <c r="E58" s="2">
        <v>200</v>
      </c>
      <c r="F58" s="60">
        <v>48.15</v>
      </c>
      <c r="G58" s="299">
        <f t="shared" si="4"/>
        <v>9630</v>
      </c>
      <c r="H58" s="60">
        <v>36</v>
      </c>
      <c r="I58" s="302"/>
      <c r="J58" s="302"/>
      <c r="K58" s="302"/>
      <c r="L58" s="60">
        <f t="shared" si="8"/>
        <v>36</v>
      </c>
      <c r="M58" s="299">
        <f t="shared" si="7"/>
        <v>9666</v>
      </c>
      <c r="N58" s="263" t="s">
        <v>693</v>
      </c>
      <c r="O58" s="263" t="s">
        <v>197</v>
      </c>
      <c r="Q58" s="247"/>
    </row>
    <row r="59" spans="1:17" ht="13.2" x14ac:dyDescent="0.25">
      <c r="A59" s="298" t="s">
        <v>692</v>
      </c>
      <c r="B59" s="2" t="s">
        <v>2431</v>
      </c>
      <c r="C59" s="2" t="s">
        <v>1249</v>
      </c>
      <c r="D59" s="2">
        <v>5000</v>
      </c>
      <c r="E59" s="2">
        <v>50</v>
      </c>
      <c r="F59" s="60">
        <v>45.7</v>
      </c>
      <c r="G59" s="299">
        <f t="shared" si="4"/>
        <v>2285</v>
      </c>
      <c r="H59" s="60">
        <v>9</v>
      </c>
      <c r="I59" s="60">
        <v>5.51</v>
      </c>
      <c r="J59" s="60">
        <v>8.4600000000000009</v>
      </c>
      <c r="K59" s="60">
        <v>1</v>
      </c>
      <c r="L59" s="60">
        <f t="shared" si="8"/>
        <v>23.97</v>
      </c>
      <c r="M59" s="299">
        <f t="shared" si="7"/>
        <v>2308.9699999999998</v>
      </c>
      <c r="N59" s="263" t="s">
        <v>693</v>
      </c>
      <c r="O59" s="263" t="s">
        <v>197</v>
      </c>
      <c r="Q59" s="247"/>
    </row>
    <row r="60" spans="1:17" ht="13.2" x14ac:dyDescent="0.25">
      <c r="A60" s="298" t="s">
        <v>695</v>
      </c>
      <c r="B60" s="2" t="s">
        <v>2431</v>
      </c>
      <c r="C60" s="2" t="s">
        <v>1249</v>
      </c>
      <c r="D60" s="2">
        <v>4900</v>
      </c>
      <c r="E60" s="2">
        <v>100</v>
      </c>
      <c r="F60" s="60">
        <v>60</v>
      </c>
      <c r="G60" s="299">
        <f t="shared" si="4"/>
        <v>6000</v>
      </c>
      <c r="H60" s="60">
        <v>18</v>
      </c>
      <c r="I60" s="302"/>
      <c r="J60" s="302"/>
      <c r="K60" s="302"/>
      <c r="L60" s="60">
        <f t="shared" si="8"/>
        <v>18</v>
      </c>
      <c r="M60" s="299">
        <f t="shared" si="7"/>
        <v>6018</v>
      </c>
      <c r="N60" s="263" t="s">
        <v>696</v>
      </c>
      <c r="O60" s="263" t="s">
        <v>197</v>
      </c>
      <c r="Q60" s="247"/>
    </row>
    <row r="61" spans="1:17" ht="13.2" x14ac:dyDescent="0.25">
      <c r="A61" s="298" t="s">
        <v>695</v>
      </c>
      <c r="B61" s="2" t="s">
        <v>2431</v>
      </c>
      <c r="C61" s="2" t="s">
        <v>1249</v>
      </c>
      <c r="D61" s="2">
        <v>4900</v>
      </c>
      <c r="E61" s="2">
        <v>100</v>
      </c>
      <c r="F61" s="60">
        <v>52</v>
      </c>
      <c r="G61" s="299">
        <f t="shared" si="4"/>
        <v>5200</v>
      </c>
      <c r="H61" s="60">
        <v>18</v>
      </c>
      <c r="I61" s="302"/>
      <c r="J61" s="302"/>
      <c r="K61" s="302"/>
      <c r="L61" s="60">
        <f t="shared" si="8"/>
        <v>18</v>
      </c>
      <c r="M61" s="299">
        <f t="shared" si="7"/>
        <v>5218</v>
      </c>
      <c r="N61" s="263" t="s">
        <v>696</v>
      </c>
      <c r="O61" s="263" t="s">
        <v>197</v>
      </c>
      <c r="Q61" s="247"/>
    </row>
    <row r="62" spans="1:17" ht="13.2" x14ac:dyDescent="0.25">
      <c r="A62" s="298" t="s">
        <v>695</v>
      </c>
      <c r="B62" s="2" t="s">
        <v>2431</v>
      </c>
      <c r="C62" s="2" t="s">
        <v>1249</v>
      </c>
      <c r="D62" s="2">
        <v>4900</v>
      </c>
      <c r="E62" s="2">
        <v>50</v>
      </c>
      <c r="F62" s="60">
        <v>46</v>
      </c>
      <c r="G62" s="299">
        <f t="shared" si="4"/>
        <v>2300</v>
      </c>
      <c r="H62" s="60">
        <v>9</v>
      </c>
      <c r="I62" s="302"/>
      <c r="J62" s="302"/>
      <c r="K62" s="302"/>
      <c r="L62" s="60">
        <f t="shared" si="8"/>
        <v>9</v>
      </c>
      <c r="M62" s="299">
        <f t="shared" si="7"/>
        <v>2309</v>
      </c>
      <c r="N62" s="263" t="s">
        <v>696</v>
      </c>
      <c r="O62" s="263" t="s">
        <v>197</v>
      </c>
      <c r="Q62" s="247"/>
    </row>
    <row r="63" spans="1:17" ht="13.2" x14ac:dyDescent="0.25">
      <c r="A63" s="298" t="s">
        <v>695</v>
      </c>
      <c r="B63" s="2" t="s">
        <v>2431</v>
      </c>
      <c r="C63" s="2" t="s">
        <v>1249</v>
      </c>
      <c r="D63" s="2">
        <v>4900</v>
      </c>
      <c r="E63" s="2">
        <v>50</v>
      </c>
      <c r="F63" s="60">
        <v>46</v>
      </c>
      <c r="G63" s="299">
        <f t="shared" si="4"/>
        <v>2300</v>
      </c>
      <c r="H63" s="60">
        <v>9</v>
      </c>
      <c r="I63" s="60">
        <v>10.84</v>
      </c>
      <c r="J63" s="60">
        <v>15.22</v>
      </c>
      <c r="K63" s="60">
        <v>2</v>
      </c>
      <c r="L63" s="60">
        <f t="shared" si="8"/>
        <v>37.06</v>
      </c>
      <c r="M63" s="299">
        <f t="shared" si="7"/>
        <v>2337.06</v>
      </c>
      <c r="N63" s="263" t="s">
        <v>696</v>
      </c>
      <c r="O63" s="263" t="s">
        <v>197</v>
      </c>
      <c r="Q63" s="247"/>
    </row>
    <row r="64" spans="1:17" ht="13.2" x14ac:dyDescent="0.25">
      <c r="A64" s="16" t="s">
        <v>697</v>
      </c>
      <c r="B64" s="2" t="s">
        <v>2431</v>
      </c>
      <c r="C64" s="2" t="s">
        <v>1249</v>
      </c>
      <c r="D64" s="2">
        <v>4900</v>
      </c>
      <c r="E64" s="2">
        <v>50</v>
      </c>
      <c r="F64" s="60">
        <v>32</v>
      </c>
      <c r="G64" s="299">
        <f t="shared" si="4"/>
        <v>1600</v>
      </c>
      <c r="H64" s="60">
        <v>9</v>
      </c>
      <c r="I64" s="297"/>
      <c r="J64" s="297"/>
      <c r="K64" s="297"/>
      <c r="L64" s="60">
        <f t="shared" si="8"/>
        <v>9</v>
      </c>
      <c r="M64" s="299">
        <f t="shared" si="7"/>
        <v>1609</v>
      </c>
      <c r="N64" s="263" t="s">
        <v>699</v>
      </c>
      <c r="O64" s="263" t="s">
        <v>197</v>
      </c>
      <c r="Q64" s="247"/>
    </row>
    <row r="65" spans="1:15" ht="13.2" x14ac:dyDescent="0.25">
      <c r="A65" s="16" t="s">
        <v>697</v>
      </c>
      <c r="B65" s="2" t="s">
        <v>2431</v>
      </c>
      <c r="C65" s="2" t="s">
        <v>1249</v>
      </c>
      <c r="D65" s="2">
        <v>4900</v>
      </c>
      <c r="E65" s="2">
        <v>100</v>
      </c>
      <c r="F65" s="60">
        <v>32</v>
      </c>
      <c r="G65" s="299">
        <f t="shared" si="4"/>
        <v>3200</v>
      </c>
      <c r="H65" s="60">
        <v>18</v>
      </c>
      <c r="I65" s="60">
        <v>3.13</v>
      </c>
      <c r="J65" s="60">
        <v>3.41</v>
      </c>
      <c r="K65" s="60">
        <v>1</v>
      </c>
      <c r="L65" s="60">
        <f t="shared" si="8"/>
        <v>25.54</v>
      </c>
      <c r="M65" s="299">
        <f t="shared" si="7"/>
        <v>3225.54</v>
      </c>
      <c r="N65" s="263" t="s">
        <v>699</v>
      </c>
      <c r="O65" s="263" t="s">
        <v>197</v>
      </c>
    </row>
    <row r="66" spans="1:15" ht="13.2" x14ac:dyDescent="0.25">
      <c r="A66" s="16" t="s">
        <v>2469</v>
      </c>
      <c r="B66" s="2" t="s">
        <v>2430</v>
      </c>
      <c r="C66" s="2" t="s">
        <v>1249</v>
      </c>
      <c r="D66" s="2">
        <v>5200</v>
      </c>
      <c r="E66" s="2">
        <v>350</v>
      </c>
      <c r="F66" s="60">
        <v>32.1</v>
      </c>
      <c r="G66" s="299">
        <f t="shared" si="4"/>
        <v>11235</v>
      </c>
      <c r="H66" s="60">
        <v>63</v>
      </c>
      <c r="I66" s="60">
        <v>7.31</v>
      </c>
      <c r="J66" s="60">
        <v>7.98</v>
      </c>
      <c r="K66" s="60">
        <v>1</v>
      </c>
      <c r="L66" s="60">
        <f t="shared" si="8"/>
        <v>79.290000000000006</v>
      </c>
      <c r="M66" s="299">
        <f t="shared" si="7"/>
        <v>11314.29</v>
      </c>
      <c r="N66" s="263" t="s">
        <v>2470</v>
      </c>
      <c r="O66" s="263" t="s">
        <v>197</v>
      </c>
    </row>
    <row r="67" spans="1:15" ht="13.2" x14ac:dyDescent="0.25">
      <c r="A67" s="16" t="s">
        <v>2472</v>
      </c>
      <c r="B67" s="2" t="s">
        <v>2430</v>
      </c>
      <c r="C67" s="2" t="s">
        <v>1249</v>
      </c>
      <c r="D67" s="2">
        <v>5200</v>
      </c>
      <c r="E67" s="2">
        <v>100</v>
      </c>
      <c r="F67" s="60">
        <v>24.1</v>
      </c>
      <c r="G67" s="299">
        <f t="shared" si="4"/>
        <v>2410</v>
      </c>
      <c r="H67" s="60">
        <v>18</v>
      </c>
      <c r="I67" s="297"/>
      <c r="J67" s="297"/>
      <c r="K67" s="297"/>
      <c r="L67" s="60">
        <f t="shared" si="8"/>
        <v>18</v>
      </c>
      <c r="M67" s="299">
        <f t="shared" si="7"/>
        <v>2428</v>
      </c>
      <c r="N67" s="263" t="s">
        <v>2473</v>
      </c>
      <c r="O67" s="263" t="s">
        <v>197</v>
      </c>
    </row>
    <row r="68" spans="1:15" ht="13.2" x14ac:dyDescent="0.25">
      <c r="A68" s="16" t="s">
        <v>2472</v>
      </c>
      <c r="B68" s="2" t="s">
        <v>2430</v>
      </c>
      <c r="C68" s="2" t="s">
        <v>1249</v>
      </c>
      <c r="D68" s="2">
        <v>5200</v>
      </c>
      <c r="E68" s="2">
        <v>100</v>
      </c>
      <c r="F68" s="60">
        <v>24.1</v>
      </c>
      <c r="G68" s="299">
        <f t="shared" si="4"/>
        <v>2410</v>
      </c>
      <c r="H68" s="60">
        <v>18</v>
      </c>
      <c r="I68" s="297"/>
      <c r="J68" s="297"/>
      <c r="K68" s="297"/>
      <c r="L68" s="60">
        <f t="shared" si="8"/>
        <v>18</v>
      </c>
      <c r="M68" s="299">
        <f t="shared" si="7"/>
        <v>2428</v>
      </c>
      <c r="N68" s="263" t="s">
        <v>2473</v>
      </c>
      <c r="O68" s="263" t="s">
        <v>197</v>
      </c>
    </row>
    <row r="69" spans="1:15" ht="13.2" x14ac:dyDescent="0.25">
      <c r="A69" s="16" t="s">
        <v>2472</v>
      </c>
      <c r="B69" s="2" t="s">
        <v>2430</v>
      </c>
      <c r="C69" s="2" t="s">
        <v>1249</v>
      </c>
      <c r="D69" s="2">
        <v>5100</v>
      </c>
      <c r="E69" s="2">
        <v>250</v>
      </c>
      <c r="F69" s="60">
        <v>34.25</v>
      </c>
      <c r="G69" s="299">
        <f t="shared" ref="G69:G79" si="9">E69*F69</f>
        <v>8562.5</v>
      </c>
      <c r="H69" s="60">
        <v>45</v>
      </c>
      <c r="I69" s="297"/>
      <c r="J69" s="297"/>
      <c r="K69" s="297"/>
      <c r="L69" s="60">
        <f t="shared" si="8"/>
        <v>45</v>
      </c>
      <c r="M69" s="299">
        <f t="shared" si="7"/>
        <v>8607.5</v>
      </c>
      <c r="N69" s="263" t="s">
        <v>2473</v>
      </c>
      <c r="O69" s="263" t="s">
        <v>197</v>
      </c>
    </row>
    <row r="70" spans="1:15" ht="13.2" x14ac:dyDescent="0.25">
      <c r="A70" s="16" t="s">
        <v>2472</v>
      </c>
      <c r="B70" s="2" t="s">
        <v>2430</v>
      </c>
      <c r="C70" s="2" t="s">
        <v>1249</v>
      </c>
      <c r="D70" s="2">
        <v>5100</v>
      </c>
      <c r="E70" s="2">
        <v>50</v>
      </c>
      <c r="F70" s="60">
        <v>34.25</v>
      </c>
      <c r="G70" s="299">
        <f t="shared" si="9"/>
        <v>1712.5</v>
      </c>
      <c r="H70" s="60">
        <v>9</v>
      </c>
      <c r="I70" s="297"/>
      <c r="J70" s="297"/>
      <c r="K70" s="297"/>
      <c r="L70" s="60">
        <f t="shared" si="8"/>
        <v>9</v>
      </c>
      <c r="M70" s="299">
        <f t="shared" si="7"/>
        <v>1721.5</v>
      </c>
      <c r="N70" s="263" t="s">
        <v>2473</v>
      </c>
      <c r="O70" s="263" t="s">
        <v>197</v>
      </c>
    </row>
    <row r="71" spans="1:15" ht="13.2" x14ac:dyDescent="0.25">
      <c r="A71" s="16" t="s">
        <v>2767</v>
      </c>
      <c r="B71" s="2" t="s">
        <v>2430</v>
      </c>
      <c r="C71" s="2" t="s">
        <v>1245</v>
      </c>
      <c r="D71" s="2">
        <v>4800</v>
      </c>
      <c r="E71" s="2">
        <v>100</v>
      </c>
      <c r="F71" s="60">
        <v>66.75</v>
      </c>
      <c r="G71" s="299">
        <f t="shared" si="9"/>
        <v>6675</v>
      </c>
      <c r="H71" s="60">
        <v>18</v>
      </c>
      <c r="I71" s="60">
        <v>2.34</v>
      </c>
      <c r="J71" s="60">
        <v>4.74</v>
      </c>
      <c r="K71" s="60">
        <v>1</v>
      </c>
      <c r="L71" s="60">
        <f t="shared" si="8"/>
        <v>26.08</v>
      </c>
      <c r="M71" s="299">
        <f t="shared" si="7"/>
        <v>6701.08</v>
      </c>
      <c r="N71" s="263" t="s">
        <v>2765</v>
      </c>
      <c r="O71" s="263" t="s">
        <v>197</v>
      </c>
    </row>
    <row r="72" spans="1:15" ht="13.2" x14ac:dyDescent="0.25">
      <c r="A72" s="16" t="s">
        <v>1845</v>
      </c>
      <c r="B72" s="2" t="s">
        <v>2430</v>
      </c>
      <c r="C72" s="2" t="s">
        <v>1249</v>
      </c>
      <c r="D72" s="2">
        <v>5200</v>
      </c>
      <c r="E72" s="2">
        <v>50</v>
      </c>
      <c r="F72" s="60">
        <v>61.9</v>
      </c>
      <c r="G72" s="299">
        <f t="shared" si="9"/>
        <v>3095</v>
      </c>
      <c r="H72" s="60">
        <v>9</v>
      </c>
      <c r="I72" s="302"/>
      <c r="J72" s="302"/>
      <c r="K72" s="302"/>
      <c r="L72" s="60">
        <f t="shared" ref="L72:L81" si="10">SUM(H72:K72)</f>
        <v>9</v>
      </c>
      <c r="M72" s="299">
        <f t="shared" ref="M72:M81" si="11">G72+L72</f>
        <v>3104</v>
      </c>
      <c r="N72" s="263" t="s">
        <v>1846</v>
      </c>
      <c r="O72" s="263" t="s">
        <v>197</v>
      </c>
    </row>
    <row r="73" spans="1:15" ht="13.2" x14ac:dyDescent="0.25">
      <c r="A73" s="16" t="s">
        <v>1845</v>
      </c>
      <c r="B73" s="2" t="s">
        <v>2430</v>
      </c>
      <c r="C73" s="2" t="s">
        <v>1249</v>
      </c>
      <c r="D73" s="2">
        <v>5200</v>
      </c>
      <c r="E73" s="2">
        <v>50</v>
      </c>
      <c r="F73" s="60">
        <v>61.9</v>
      </c>
      <c r="G73" s="299">
        <f t="shared" si="9"/>
        <v>3095</v>
      </c>
      <c r="H73" s="60">
        <v>9</v>
      </c>
      <c r="I73" s="302"/>
      <c r="J73" s="302"/>
      <c r="K73" s="302"/>
      <c r="L73" s="60">
        <f t="shared" si="10"/>
        <v>9</v>
      </c>
      <c r="M73" s="299">
        <f t="shared" si="11"/>
        <v>3104</v>
      </c>
      <c r="N73" s="263" t="s">
        <v>1846</v>
      </c>
      <c r="O73" s="263" t="s">
        <v>197</v>
      </c>
    </row>
    <row r="74" spans="1:15" ht="13.2" x14ac:dyDescent="0.25">
      <c r="A74" s="16" t="s">
        <v>1845</v>
      </c>
      <c r="B74" s="2" t="s">
        <v>2430</v>
      </c>
      <c r="C74" s="2" t="s">
        <v>1249</v>
      </c>
      <c r="D74" s="2">
        <v>5200</v>
      </c>
      <c r="E74" s="2">
        <v>50</v>
      </c>
      <c r="F74" s="60">
        <v>62</v>
      </c>
      <c r="G74" s="299">
        <f t="shared" si="9"/>
        <v>3100</v>
      </c>
      <c r="H74" s="60">
        <v>9</v>
      </c>
      <c r="I74" s="302"/>
      <c r="J74" s="302"/>
      <c r="K74" s="302"/>
      <c r="L74" s="60">
        <f t="shared" si="10"/>
        <v>9</v>
      </c>
      <c r="M74" s="299">
        <f t="shared" si="11"/>
        <v>3109</v>
      </c>
      <c r="N74" s="263" t="s">
        <v>1846</v>
      </c>
      <c r="O74" s="263" t="s">
        <v>197</v>
      </c>
    </row>
    <row r="75" spans="1:15" ht="13.2" x14ac:dyDescent="0.25">
      <c r="A75" s="16" t="s">
        <v>1847</v>
      </c>
      <c r="B75" s="2" t="s">
        <v>2430</v>
      </c>
      <c r="C75" s="2" t="s">
        <v>1245</v>
      </c>
      <c r="D75" s="2">
        <v>5100</v>
      </c>
      <c r="E75" s="2">
        <v>50</v>
      </c>
      <c r="F75" s="60">
        <v>99</v>
      </c>
      <c r="G75" s="299">
        <f t="shared" si="9"/>
        <v>4950</v>
      </c>
      <c r="H75" s="60">
        <v>9</v>
      </c>
      <c r="I75" s="306"/>
      <c r="J75" s="302"/>
      <c r="K75" s="302"/>
      <c r="L75" s="60">
        <f t="shared" si="10"/>
        <v>9</v>
      </c>
      <c r="M75" s="299">
        <f t="shared" si="11"/>
        <v>4959</v>
      </c>
      <c r="N75" s="263" t="s">
        <v>1848</v>
      </c>
      <c r="O75" s="263" t="s">
        <v>197</v>
      </c>
    </row>
    <row r="76" spans="1:15" ht="13.2" x14ac:dyDescent="0.25">
      <c r="A76" s="16" t="s">
        <v>1847</v>
      </c>
      <c r="B76" s="2" t="s">
        <v>2430</v>
      </c>
      <c r="C76" s="2" t="s">
        <v>1245</v>
      </c>
      <c r="D76" s="2">
        <v>5100</v>
      </c>
      <c r="E76" s="2">
        <v>50</v>
      </c>
      <c r="F76" s="60">
        <v>99.3</v>
      </c>
      <c r="G76" s="299">
        <f t="shared" si="9"/>
        <v>4965</v>
      </c>
      <c r="H76" s="60">
        <v>9</v>
      </c>
      <c r="I76" s="60">
        <v>9.1</v>
      </c>
      <c r="J76" s="60">
        <v>25.38</v>
      </c>
      <c r="K76" s="60">
        <v>5</v>
      </c>
      <c r="L76" s="60">
        <f t="shared" si="10"/>
        <v>48.480000000000004</v>
      </c>
      <c r="M76" s="299">
        <f t="shared" si="11"/>
        <v>5013.4799999999996</v>
      </c>
      <c r="N76" s="263" t="s">
        <v>1848</v>
      </c>
      <c r="O76" s="263" t="s">
        <v>197</v>
      </c>
    </row>
    <row r="77" spans="1:15" ht="12.75" customHeight="1" x14ac:dyDescent="0.25">
      <c r="A77" s="16" t="s">
        <v>1133</v>
      </c>
      <c r="B77" s="2" t="s">
        <v>2430</v>
      </c>
      <c r="C77" s="2" t="s">
        <v>1249</v>
      </c>
      <c r="D77" s="2">
        <v>5100</v>
      </c>
      <c r="E77" s="2">
        <v>50</v>
      </c>
      <c r="F77" s="60">
        <v>49.25</v>
      </c>
      <c r="G77" s="299">
        <f t="shared" si="9"/>
        <v>2462.5</v>
      </c>
      <c r="H77" s="60">
        <v>9</v>
      </c>
      <c r="I77" s="302"/>
      <c r="J77" s="302"/>
      <c r="K77" s="302"/>
      <c r="L77" s="60">
        <f t="shared" si="10"/>
        <v>9</v>
      </c>
      <c r="M77" s="299">
        <f t="shared" si="11"/>
        <v>2471.5</v>
      </c>
      <c r="N77" s="263" t="s">
        <v>1122</v>
      </c>
      <c r="O77" s="263" t="s">
        <v>197</v>
      </c>
    </row>
    <row r="78" spans="1:15" ht="12.75" customHeight="1" x14ac:dyDescent="0.25">
      <c r="A78" s="16" t="s">
        <v>1133</v>
      </c>
      <c r="B78" s="2" t="s">
        <v>2430</v>
      </c>
      <c r="C78" s="2" t="s">
        <v>1249</v>
      </c>
      <c r="D78" s="2">
        <v>5100</v>
      </c>
      <c r="E78" s="2">
        <v>100</v>
      </c>
      <c r="F78" s="60">
        <v>49.35</v>
      </c>
      <c r="G78" s="299">
        <f t="shared" si="9"/>
        <v>4935</v>
      </c>
      <c r="H78" s="60">
        <v>18</v>
      </c>
      <c r="I78" s="302"/>
      <c r="J78" s="302"/>
      <c r="K78" s="302"/>
      <c r="L78" s="60">
        <f t="shared" si="10"/>
        <v>18</v>
      </c>
      <c r="M78" s="299">
        <f t="shared" si="11"/>
        <v>4953</v>
      </c>
      <c r="N78" s="263" t="s">
        <v>1122</v>
      </c>
      <c r="O78" s="263" t="s">
        <v>197</v>
      </c>
    </row>
    <row r="79" spans="1:15" ht="12.75" customHeight="1" x14ac:dyDescent="0.25">
      <c r="A79" s="16" t="s">
        <v>1133</v>
      </c>
      <c r="B79" s="2" t="s">
        <v>2430</v>
      </c>
      <c r="C79" s="2" t="s">
        <v>1249</v>
      </c>
      <c r="D79" s="2">
        <v>5100</v>
      </c>
      <c r="E79" s="2">
        <v>50</v>
      </c>
      <c r="F79" s="60">
        <v>49.35</v>
      </c>
      <c r="G79" s="299">
        <f t="shared" si="9"/>
        <v>2467.5</v>
      </c>
      <c r="H79" s="60">
        <v>9</v>
      </c>
      <c r="I79" s="302"/>
      <c r="J79" s="302"/>
      <c r="K79" s="302"/>
      <c r="L79" s="60">
        <f t="shared" si="10"/>
        <v>9</v>
      </c>
      <c r="M79" s="299">
        <f t="shared" si="11"/>
        <v>2476.5</v>
      </c>
      <c r="N79" s="263" t="s">
        <v>1122</v>
      </c>
      <c r="O79" s="263" t="s">
        <v>197</v>
      </c>
    </row>
    <row r="80" spans="1:15" ht="12.75" customHeight="1" x14ac:dyDescent="0.25">
      <c r="A80" s="16" t="s">
        <v>1133</v>
      </c>
      <c r="B80" s="2" t="s">
        <v>2430</v>
      </c>
      <c r="C80" s="2" t="s">
        <v>1249</v>
      </c>
      <c r="D80" s="2">
        <v>5100</v>
      </c>
      <c r="E80" s="2">
        <v>50</v>
      </c>
      <c r="F80" s="60">
        <v>54.5</v>
      </c>
      <c r="G80" s="299">
        <f t="shared" ref="G80:G145" si="12">E80*F80</f>
        <v>2725</v>
      </c>
      <c r="H80" s="60">
        <v>9</v>
      </c>
      <c r="I80" s="302"/>
      <c r="J80" s="302"/>
      <c r="K80" s="302"/>
      <c r="L80" s="60">
        <f t="shared" si="10"/>
        <v>9</v>
      </c>
      <c r="M80" s="299">
        <f t="shared" si="11"/>
        <v>2734</v>
      </c>
      <c r="N80" s="263" t="s">
        <v>1122</v>
      </c>
      <c r="O80" s="263" t="s">
        <v>197</v>
      </c>
    </row>
    <row r="81" spans="1:15" ht="12.75" customHeight="1" x14ac:dyDescent="0.25">
      <c r="A81" s="16" t="s">
        <v>1133</v>
      </c>
      <c r="B81" s="2" t="s">
        <v>2430</v>
      </c>
      <c r="C81" s="2" t="s">
        <v>1249</v>
      </c>
      <c r="D81" s="2">
        <v>5100</v>
      </c>
      <c r="E81" s="2">
        <v>50</v>
      </c>
      <c r="F81" s="60">
        <v>54.5</v>
      </c>
      <c r="G81" s="299">
        <f t="shared" si="12"/>
        <v>2725</v>
      </c>
      <c r="H81" s="60">
        <v>9</v>
      </c>
      <c r="I81" s="60">
        <v>6.68</v>
      </c>
      <c r="J81" s="60">
        <v>10.87</v>
      </c>
      <c r="K81" s="60">
        <v>1</v>
      </c>
      <c r="L81" s="60">
        <f t="shared" si="10"/>
        <v>27.549999999999997</v>
      </c>
      <c r="M81" s="299">
        <f t="shared" si="11"/>
        <v>2752.55</v>
      </c>
      <c r="N81" s="263" t="s">
        <v>1122</v>
      </c>
      <c r="O81" s="263" t="s">
        <v>197</v>
      </c>
    </row>
    <row r="82" spans="1:15" ht="12.75" customHeight="1" x14ac:dyDescent="0.25">
      <c r="A82" s="16" t="s">
        <v>1121</v>
      </c>
      <c r="B82" s="2" t="s">
        <v>2430</v>
      </c>
      <c r="C82" s="2" t="s">
        <v>1249</v>
      </c>
      <c r="D82" s="2">
        <v>5100</v>
      </c>
      <c r="E82" s="2">
        <v>50</v>
      </c>
      <c r="F82" s="60">
        <v>50.8</v>
      </c>
      <c r="G82" s="299">
        <f t="shared" si="12"/>
        <v>2540</v>
      </c>
      <c r="H82" s="60">
        <v>9</v>
      </c>
      <c r="I82" s="302"/>
      <c r="J82" s="302"/>
      <c r="K82" s="302"/>
      <c r="L82" s="60">
        <f t="shared" ref="L82:L92" si="13">SUM(H82:K82)</f>
        <v>9</v>
      </c>
      <c r="M82" s="299">
        <f t="shared" ref="M82:M92" si="14">G82+L82</f>
        <v>2549</v>
      </c>
      <c r="N82" s="304" t="s">
        <v>1126</v>
      </c>
      <c r="O82" s="263" t="s">
        <v>197</v>
      </c>
    </row>
    <row r="83" spans="1:15" ht="12.75" customHeight="1" x14ac:dyDescent="0.25">
      <c r="A83" s="16" t="s">
        <v>1121</v>
      </c>
      <c r="B83" s="2" t="s">
        <v>2430</v>
      </c>
      <c r="C83" s="2" t="s">
        <v>1249</v>
      </c>
      <c r="D83" s="2">
        <v>5100</v>
      </c>
      <c r="E83" s="2">
        <v>50</v>
      </c>
      <c r="F83" s="60">
        <v>50.8</v>
      </c>
      <c r="G83" s="299">
        <f t="shared" si="12"/>
        <v>2540</v>
      </c>
      <c r="H83" s="60">
        <v>9</v>
      </c>
      <c r="I83" s="302"/>
      <c r="J83" s="302"/>
      <c r="K83" s="302"/>
      <c r="L83" s="60">
        <f t="shared" si="13"/>
        <v>9</v>
      </c>
      <c r="M83" s="299">
        <f t="shared" si="14"/>
        <v>2549</v>
      </c>
      <c r="N83" s="304" t="s">
        <v>1126</v>
      </c>
      <c r="O83" s="263" t="s">
        <v>197</v>
      </c>
    </row>
    <row r="84" spans="1:15" ht="12.75" customHeight="1" x14ac:dyDescent="0.25">
      <c r="A84" s="16" t="s">
        <v>1121</v>
      </c>
      <c r="B84" s="2" t="s">
        <v>2430</v>
      </c>
      <c r="C84" s="2" t="s">
        <v>1249</v>
      </c>
      <c r="D84" s="2">
        <v>5100</v>
      </c>
      <c r="E84" s="2">
        <v>100</v>
      </c>
      <c r="F84" s="60">
        <v>50.8</v>
      </c>
      <c r="G84" s="299">
        <f t="shared" si="12"/>
        <v>5080</v>
      </c>
      <c r="H84" s="60">
        <v>18</v>
      </c>
      <c r="I84" s="302"/>
      <c r="J84" s="302"/>
      <c r="K84" s="302"/>
      <c r="L84" s="60">
        <f t="shared" si="13"/>
        <v>18</v>
      </c>
      <c r="M84" s="299">
        <f t="shared" si="14"/>
        <v>5098</v>
      </c>
      <c r="N84" s="304" t="s">
        <v>1126</v>
      </c>
      <c r="O84" s="263" t="s">
        <v>197</v>
      </c>
    </row>
    <row r="85" spans="1:15" ht="12.75" customHeight="1" x14ac:dyDescent="0.25">
      <c r="A85" s="16" t="s">
        <v>1125</v>
      </c>
      <c r="B85" s="2" t="s">
        <v>2430</v>
      </c>
      <c r="C85" s="2" t="s">
        <v>1249</v>
      </c>
      <c r="D85" s="2">
        <v>5100</v>
      </c>
      <c r="E85" s="2">
        <v>100</v>
      </c>
      <c r="F85" s="60">
        <v>75</v>
      </c>
      <c r="G85" s="299">
        <f t="shared" si="12"/>
        <v>7500</v>
      </c>
      <c r="H85" s="60">
        <v>18</v>
      </c>
      <c r="I85" s="302"/>
      <c r="J85" s="302"/>
      <c r="K85" s="302"/>
      <c r="L85" s="60">
        <f t="shared" si="13"/>
        <v>18</v>
      </c>
      <c r="M85" s="299">
        <f t="shared" si="14"/>
        <v>7518</v>
      </c>
      <c r="N85" s="304" t="s">
        <v>1130</v>
      </c>
      <c r="O85" s="263" t="s">
        <v>197</v>
      </c>
    </row>
    <row r="86" spans="1:15" ht="12.75" customHeight="1" x14ac:dyDescent="0.25">
      <c r="A86" s="16" t="s">
        <v>1129</v>
      </c>
      <c r="B86" s="2" t="s">
        <v>2430</v>
      </c>
      <c r="C86" s="2" t="s">
        <v>1249</v>
      </c>
      <c r="D86" s="2">
        <v>5200</v>
      </c>
      <c r="E86" s="2">
        <v>50</v>
      </c>
      <c r="F86" s="60">
        <v>41.2</v>
      </c>
      <c r="G86" s="299">
        <f t="shared" si="12"/>
        <v>2060</v>
      </c>
      <c r="H86" s="60">
        <v>9</v>
      </c>
      <c r="I86" s="302"/>
      <c r="J86" s="302"/>
      <c r="K86" s="302"/>
      <c r="L86" s="60">
        <f t="shared" si="13"/>
        <v>9</v>
      </c>
      <c r="M86" s="299">
        <f t="shared" si="14"/>
        <v>2069</v>
      </c>
      <c r="N86" s="263" t="s">
        <v>1132</v>
      </c>
      <c r="O86" s="263" t="s">
        <v>197</v>
      </c>
    </row>
    <row r="87" spans="1:15" ht="12.75" customHeight="1" x14ac:dyDescent="0.25">
      <c r="A87" s="16" t="s">
        <v>1129</v>
      </c>
      <c r="B87" s="2" t="s">
        <v>2430</v>
      </c>
      <c r="C87" s="2" t="s">
        <v>1249</v>
      </c>
      <c r="D87" s="2">
        <v>5200</v>
      </c>
      <c r="E87" s="2">
        <v>150</v>
      </c>
      <c r="F87" s="60">
        <v>41.25</v>
      </c>
      <c r="G87" s="299">
        <f t="shared" si="12"/>
        <v>6187.5</v>
      </c>
      <c r="H87" s="60">
        <v>27</v>
      </c>
      <c r="I87" s="302"/>
      <c r="J87" s="302"/>
      <c r="K87" s="302"/>
      <c r="L87" s="60">
        <f t="shared" si="13"/>
        <v>27</v>
      </c>
      <c r="M87" s="299">
        <f t="shared" si="14"/>
        <v>6214.5</v>
      </c>
      <c r="N87" s="263" t="s">
        <v>1132</v>
      </c>
      <c r="O87" s="263" t="s">
        <v>197</v>
      </c>
    </row>
    <row r="88" spans="1:15" ht="12.75" customHeight="1" x14ac:dyDescent="0.25">
      <c r="A88" s="16" t="s">
        <v>1129</v>
      </c>
      <c r="B88" s="2" t="s">
        <v>2430</v>
      </c>
      <c r="C88" s="2" t="s">
        <v>1249</v>
      </c>
      <c r="D88" s="2">
        <v>5200</v>
      </c>
      <c r="E88" s="2">
        <v>100</v>
      </c>
      <c r="F88" s="60">
        <v>40.200000000000003</v>
      </c>
      <c r="G88" s="299">
        <f t="shared" si="12"/>
        <v>4020.0000000000005</v>
      </c>
      <c r="H88" s="60">
        <v>18</v>
      </c>
      <c r="I88" s="60">
        <v>6.46</v>
      </c>
      <c r="J88" s="263">
        <v>8.7100000000000009</v>
      </c>
      <c r="K88" s="60">
        <v>1</v>
      </c>
      <c r="L88" s="60">
        <f t="shared" si="13"/>
        <v>34.17</v>
      </c>
      <c r="M88" s="299">
        <f t="shared" si="14"/>
        <v>4054.1700000000005</v>
      </c>
      <c r="N88" s="263" t="s">
        <v>1132</v>
      </c>
      <c r="O88" s="263" t="s">
        <v>197</v>
      </c>
    </row>
    <row r="89" spans="1:15" ht="12.75" customHeight="1" x14ac:dyDescent="0.25">
      <c r="A89" s="16" t="s">
        <v>1131</v>
      </c>
      <c r="B89" s="2" t="s">
        <v>2430</v>
      </c>
      <c r="C89" s="2" t="s">
        <v>1249</v>
      </c>
      <c r="D89" s="2">
        <v>5200</v>
      </c>
      <c r="E89" s="2">
        <v>200</v>
      </c>
      <c r="F89" s="60">
        <v>42.5</v>
      </c>
      <c r="G89" s="299">
        <f t="shared" si="12"/>
        <v>8500</v>
      </c>
      <c r="H89" s="60">
        <v>36</v>
      </c>
      <c r="I89" s="302"/>
      <c r="J89" s="310"/>
      <c r="K89" s="302"/>
      <c r="L89" s="60">
        <f t="shared" si="13"/>
        <v>36</v>
      </c>
      <c r="M89" s="299">
        <f t="shared" si="14"/>
        <v>8536</v>
      </c>
      <c r="N89" s="304" t="s">
        <v>343</v>
      </c>
      <c r="O89" s="263" t="s">
        <v>197</v>
      </c>
    </row>
    <row r="90" spans="1:15" ht="12.75" customHeight="1" x14ac:dyDescent="0.25">
      <c r="A90" s="16" t="s">
        <v>1131</v>
      </c>
      <c r="B90" s="2" t="s">
        <v>2430</v>
      </c>
      <c r="C90" s="2" t="s">
        <v>1245</v>
      </c>
      <c r="D90" s="2">
        <v>5000</v>
      </c>
      <c r="E90" s="2">
        <v>50</v>
      </c>
      <c r="F90" s="60">
        <v>66.349999999999994</v>
      </c>
      <c r="G90" s="299">
        <f t="shared" si="12"/>
        <v>3317.4999999999995</v>
      </c>
      <c r="H90" s="60">
        <v>9</v>
      </c>
      <c r="I90" s="302"/>
      <c r="J90" s="310"/>
      <c r="K90" s="302"/>
      <c r="L90" s="60">
        <f t="shared" si="13"/>
        <v>9</v>
      </c>
      <c r="M90" s="299">
        <f t="shared" si="14"/>
        <v>3326.4999999999995</v>
      </c>
      <c r="N90" s="304" t="s">
        <v>343</v>
      </c>
      <c r="O90" s="263" t="s">
        <v>197</v>
      </c>
    </row>
    <row r="91" spans="1:15" ht="12.75" customHeight="1" x14ac:dyDescent="0.25">
      <c r="A91" s="16" t="s">
        <v>1131</v>
      </c>
      <c r="B91" s="2" t="s">
        <v>2430</v>
      </c>
      <c r="C91" s="2" t="s">
        <v>1245</v>
      </c>
      <c r="D91" s="2">
        <v>5000</v>
      </c>
      <c r="E91" s="2">
        <v>50</v>
      </c>
      <c r="F91" s="60">
        <v>66.5</v>
      </c>
      <c r="G91" s="299">
        <f t="shared" si="12"/>
        <v>3325</v>
      </c>
      <c r="H91" s="60">
        <v>9</v>
      </c>
      <c r="I91" s="302"/>
      <c r="J91" s="310"/>
      <c r="K91" s="302"/>
      <c r="L91" s="60">
        <f t="shared" si="13"/>
        <v>9</v>
      </c>
      <c r="M91" s="299">
        <f t="shared" si="14"/>
        <v>3334</v>
      </c>
      <c r="N91" s="304" t="s">
        <v>343</v>
      </c>
      <c r="O91" s="263" t="s">
        <v>197</v>
      </c>
    </row>
    <row r="92" spans="1:15" ht="13.2" x14ac:dyDescent="0.25">
      <c r="A92" s="16" t="s">
        <v>1131</v>
      </c>
      <c r="B92" s="2" t="s">
        <v>2430</v>
      </c>
      <c r="C92" s="2" t="s">
        <v>1245</v>
      </c>
      <c r="D92" s="2">
        <v>5000</v>
      </c>
      <c r="E92" s="2">
        <v>100</v>
      </c>
      <c r="F92" s="60">
        <v>57.7</v>
      </c>
      <c r="G92" s="299">
        <f t="shared" si="12"/>
        <v>5770</v>
      </c>
      <c r="H92" s="60">
        <v>18</v>
      </c>
      <c r="I92" s="250">
        <v>18.18</v>
      </c>
      <c r="J92" s="235">
        <v>32.5</v>
      </c>
      <c r="K92" s="60">
        <v>6</v>
      </c>
      <c r="L92" s="60">
        <f t="shared" si="13"/>
        <v>74.680000000000007</v>
      </c>
      <c r="M92" s="299">
        <f t="shared" si="14"/>
        <v>5844.68</v>
      </c>
      <c r="N92" s="304" t="s">
        <v>343</v>
      </c>
      <c r="O92" s="263" t="s">
        <v>197</v>
      </c>
    </row>
    <row r="93" spans="1:15" ht="13.2" x14ac:dyDescent="0.25">
      <c r="A93" s="16" t="s">
        <v>2054</v>
      </c>
      <c r="B93" s="2" t="s">
        <v>2430</v>
      </c>
      <c r="C93" s="2" t="s">
        <v>1245</v>
      </c>
      <c r="D93" s="2">
        <v>5000</v>
      </c>
      <c r="E93" s="2">
        <v>100</v>
      </c>
      <c r="F93" s="60">
        <v>72.349999999999994</v>
      </c>
      <c r="G93" s="299">
        <f t="shared" si="12"/>
        <v>7234.9999999999991</v>
      </c>
      <c r="H93" s="60">
        <v>18</v>
      </c>
      <c r="I93" s="313"/>
      <c r="J93" s="314"/>
      <c r="K93" s="302"/>
      <c r="L93" s="60">
        <f t="shared" ref="L93:L114" si="15">SUM(H93:K93)</f>
        <v>18</v>
      </c>
      <c r="M93" s="299">
        <f t="shared" ref="M93:M114" si="16">G93+L93</f>
        <v>7252.9999999999991</v>
      </c>
      <c r="N93" s="304" t="s">
        <v>2057</v>
      </c>
      <c r="O93" s="263" t="s">
        <v>197</v>
      </c>
    </row>
    <row r="94" spans="1:15" ht="12.75" customHeight="1" x14ac:dyDescent="0.25">
      <c r="A94" s="16" t="s">
        <v>2054</v>
      </c>
      <c r="B94" s="2" t="s">
        <v>2430</v>
      </c>
      <c r="C94" s="2" t="s">
        <v>1249</v>
      </c>
      <c r="D94" s="2">
        <v>5100</v>
      </c>
      <c r="E94" s="2">
        <v>100</v>
      </c>
      <c r="F94" s="60">
        <v>62.7</v>
      </c>
      <c r="G94" s="299">
        <f t="shared" si="12"/>
        <v>6270</v>
      </c>
      <c r="H94" s="60">
        <v>18</v>
      </c>
      <c r="I94" s="307"/>
      <c r="J94" s="311"/>
      <c r="K94" s="302"/>
      <c r="L94" s="60">
        <f t="shared" si="15"/>
        <v>18</v>
      </c>
      <c r="M94" s="299">
        <f t="shared" si="16"/>
        <v>6288</v>
      </c>
      <c r="N94" s="304" t="s">
        <v>2057</v>
      </c>
      <c r="O94" s="304" t="s">
        <v>197</v>
      </c>
    </row>
    <row r="95" spans="1:15" ht="12.75" customHeight="1" x14ac:dyDescent="0.25">
      <c r="A95" s="16" t="s">
        <v>2054</v>
      </c>
      <c r="B95" s="2" t="s">
        <v>2430</v>
      </c>
      <c r="C95" s="2" t="s">
        <v>1249</v>
      </c>
      <c r="D95" s="2">
        <v>5100</v>
      </c>
      <c r="E95" s="2">
        <v>150</v>
      </c>
      <c r="F95" s="60">
        <v>62.7</v>
      </c>
      <c r="G95" s="299">
        <f t="shared" si="12"/>
        <v>9405</v>
      </c>
      <c r="H95" s="60">
        <v>27</v>
      </c>
      <c r="I95" s="312"/>
      <c r="J95" s="312"/>
      <c r="K95" s="302"/>
      <c r="L95" s="60">
        <f t="shared" si="15"/>
        <v>27</v>
      </c>
      <c r="M95" s="299">
        <f t="shared" si="16"/>
        <v>9432</v>
      </c>
      <c r="N95" s="304" t="s">
        <v>2057</v>
      </c>
      <c r="O95" s="304" t="s">
        <v>197</v>
      </c>
    </row>
    <row r="96" spans="1:15" ht="12.75" customHeight="1" x14ac:dyDescent="0.25">
      <c r="A96" s="16" t="s">
        <v>2054</v>
      </c>
      <c r="B96" s="2" t="s">
        <v>2430</v>
      </c>
      <c r="C96" s="2" t="s">
        <v>1249</v>
      </c>
      <c r="D96" s="2">
        <v>5100</v>
      </c>
      <c r="E96" s="2">
        <v>50</v>
      </c>
      <c r="F96" s="60">
        <v>57</v>
      </c>
      <c r="G96" s="299">
        <f t="shared" si="12"/>
        <v>2850</v>
      </c>
      <c r="H96" s="60">
        <v>9</v>
      </c>
      <c r="I96" s="312"/>
      <c r="J96" s="312"/>
      <c r="K96" s="302"/>
      <c r="L96" s="60">
        <f t="shared" si="15"/>
        <v>9</v>
      </c>
      <c r="M96" s="299">
        <f t="shared" si="16"/>
        <v>2859</v>
      </c>
      <c r="N96" s="304" t="s">
        <v>2057</v>
      </c>
      <c r="O96" s="304" t="s">
        <v>197</v>
      </c>
    </row>
    <row r="97" spans="1:15" ht="12.75" customHeight="1" x14ac:dyDescent="0.25">
      <c r="A97" s="16" t="s">
        <v>2054</v>
      </c>
      <c r="B97" s="2" t="s">
        <v>2430</v>
      </c>
      <c r="C97" s="2" t="s">
        <v>1249</v>
      </c>
      <c r="D97" s="2">
        <v>5200</v>
      </c>
      <c r="E97" s="2">
        <v>200</v>
      </c>
      <c r="F97" s="60">
        <v>24.7</v>
      </c>
      <c r="G97" s="299">
        <f t="shared" si="12"/>
        <v>4940</v>
      </c>
      <c r="H97" s="60">
        <v>36</v>
      </c>
      <c r="I97" s="60">
        <v>21.96</v>
      </c>
      <c r="J97" s="304">
        <v>33.21</v>
      </c>
      <c r="K97" s="60">
        <v>5</v>
      </c>
      <c r="L97" s="60">
        <f t="shared" si="15"/>
        <v>96.17</v>
      </c>
      <c r="M97" s="299">
        <f t="shared" si="16"/>
        <v>5036.17</v>
      </c>
      <c r="N97" s="304" t="s">
        <v>2057</v>
      </c>
      <c r="O97" s="304" t="s">
        <v>197</v>
      </c>
    </row>
    <row r="98" spans="1:15" ht="12.75" customHeight="1" x14ac:dyDescent="0.25">
      <c r="A98" s="16" t="s">
        <v>2059</v>
      </c>
      <c r="B98" s="2" t="s">
        <v>2430</v>
      </c>
      <c r="C98" s="2" t="s">
        <v>1245</v>
      </c>
      <c r="D98" s="2">
        <v>5100</v>
      </c>
      <c r="E98" s="2">
        <v>100</v>
      </c>
      <c r="F98" s="60">
        <v>54.7</v>
      </c>
      <c r="G98" s="299">
        <f t="shared" si="12"/>
        <v>5470</v>
      </c>
      <c r="H98" s="60">
        <v>18</v>
      </c>
      <c r="I98" s="315"/>
      <c r="J98" s="315"/>
      <c r="K98" s="302"/>
      <c r="L98" s="60">
        <f t="shared" si="15"/>
        <v>18</v>
      </c>
      <c r="M98" s="299">
        <f t="shared" si="16"/>
        <v>5488</v>
      </c>
      <c r="N98" s="304" t="s">
        <v>2060</v>
      </c>
      <c r="O98" s="304" t="s">
        <v>197</v>
      </c>
    </row>
    <row r="99" spans="1:15" ht="12.75" customHeight="1" x14ac:dyDescent="0.25">
      <c r="A99" s="16" t="s">
        <v>2059</v>
      </c>
      <c r="B99" s="2" t="s">
        <v>2430</v>
      </c>
      <c r="C99" s="2" t="s">
        <v>1249</v>
      </c>
      <c r="D99" s="2">
        <v>5100</v>
      </c>
      <c r="E99" s="2">
        <v>100</v>
      </c>
      <c r="F99" s="60">
        <v>90</v>
      </c>
      <c r="G99" s="299">
        <f t="shared" si="12"/>
        <v>9000</v>
      </c>
      <c r="H99" s="60">
        <v>18</v>
      </c>
      <c r="I99" s="315"/>
      <c r="J99" s="315"/>
      <c r="K99" s="302"/>
      <c r="L99" s="60">
        <f t="shared" si="15"/>
        <v>18</v>
      </c>
      <c r="M99" s="299">
        <f t="shared" si="16"/>
        <v>9018</v>
      </c>
      <c r="N99" s="304" t="s">
        <v>2060</v>
      </c>
      <c r="O99" s="304" t="s">
        <v>197</v>
      </c>
    </row>
    <row r="100" spans="1:15" ht="12.75" customHeight="1" x14ac:dyDescent="0.25">
      <c r="A100" s="16" t="s">
        <v>2059</v>
      </c>
      <c r="B100" s="2" t="s">
        <v>2430</v>
      </c>
      <c r="C100" s="2" t="s">
        <v>1249</v>
      </c>
      <c r="D100" s="2">
        <v>5200</v>
      </c>
      <c r="E100" s="2">
        <v>50</v>
      </c>
      <c r="F100" s="60">
        <v>44.65</v>
      </c>
      <c r="G100" s="299">
        <f t="shared" si="12"/>
        <v>2232.5</v>
      </c>
      <c r="H100" s="60">
        <v>9</v>
      </c>
      <c r="I100" s="315"/>
      <c r="J100" s="315"/>
      <c r="K100" s="302"/>
      <c r="L100" s="60">
        <f t="shared" si="15"/>
        <v>9</v>
      </c>
      <c r="M100" s="299">
        <f t="shared" si="16"/>
        <v>2241.5</v>
      </c>
      <c r="N100" s="304" t="s">
        <v>2060</v>
      </c>
      <c r="O100" s="304" t="s">
        <v>197</v>
      </c>
    </row>
    <row r="101" spans="1:15" ht="12.75" customHeight="1" x14ac:dyDescent="0.25">
      <c r="A101" s="16" t="s">
        <v>2059</v>
      </c>
      <c r="B101" s="2" t="s">
        <v>2430</v>
      </c>
      <c r="C101" s="2" t="s">
        <v>1249</v>
      </c>
      <c r="D101" s="2">
        <v>5200</v>
      </c>
      <c r="E101" s="2">
        <v>150</v>
      </c>
      <c r="F101" s="60">
        <v>44.8</v>
      </c>
      <c r="G101" s="299">
        <f t="shared" si="12"/>
        <v>6720</v>
      </c>
      <c r="H101" s="60">
        <v>27</v>
      </c>
      <c r="I101" s="307"/>
      <c r="J101" s="311"/>
      <c r="K101" s="316"/>
      <c r="L101" s="60">
        <f t="shared" si="15"/>
        <v>27</v>
      </c>
      <c r="M101" s="299">
        <f t="shared" si="16"/>
        <v>6747</v>
      </c>
      <c r="N101" s="304" t="s">
        <v>2060</v>
      </c>
      <c r="O101" s="304" t="s">
        <v>197</v>
      </c>
    </row>
    <row r="102" spans="1:15" ht="13.2" x14ac:dyDescent="0.25">
      <c r="A102" s="16" t="s">
        <v>2059</v>
      </c>
      <c r="B102" s="2" t="s">
        <v>2430</v>
      </c>
      <c r="C102" s="2" t="s">
        <v>1245</v>
      </c>
      <c r="D102" s="2">
        <v>5100</v>
      </c>
      <c r="E102" s="2">
        <v>100</v>
      </c>
      <c r="F102" s="60">
        <v>59.85</v>
      </c>
      <c r="G102" s="299">
        <f t="shared" si="12"/>
        <v>5985</v>
      </c>
      <c r="H102" s="60">
        <v>18</v>
      </c>
      <c r="I102" s="231">
        <v>25.2</v>
      </c>
      <c r="J102" s="247">
        <v>46.74</v>
      </c>
      <c r="K102" s="60">
        <v>8</v>
      </c>
      <c r="L102" s="60">
        <f t="shared" si="15"/>
        <v>97.94</v>
      </c>
      <c r="M102" s="299">
        <f t="shared" si="16"/>
        <v>6082.94</v>
      </c>
      <c r="N102" s="304" t="s">
        <v>2060</v>
      </c>
      <c r="O102" s="263" t="s">
        <v>197</v>
      </c>
    </row>
    <row r="103" spans="1:15" ht="13.2" x14ac:dyDescent="0.25">
      <c r="A103" s="16" t="s">
        <v>2058</v>
      </c>
      <c r="B103" s="2" t="s">
        <v>2430</v>
      </c>
      <c r="C103" s="2" t="s">
        <v>1249</v>
      </c>
      <c r="D103" s="2">
        <v>5100</v>
      </c>
      <c r="E103" s="2">
        <v>50</v>
      </c>
      <c r="F103" s="60">
        <v>52.4</v>
      </c>
      <c r="G103" s="299">
        <f t="shared" si="12"/>
        <v>2620</v>
      </c>
      <c r="H103" s="60">
        <v>9</v>
      </c>
      <c r="I103" s="312"/>
      <c r="J103" s="314"/>
      <c r="K103" s="302"/>
      <c r="L103" s="60">
        <f t="shared" si="15"/>
        <v>9</v>
      </c>
      <c r="M103" s="299">
        <f t="shared" si="16"/>
        <v>2629</v>
      </c>
      <c r="N103" s="304" t="s">
        <v>2062</v>
      </c>
      <c r="O103" s="263" t="s">
        <v>197</v>
      </c>
    </row>
    <row r="104" spans="1:15" ht="12.75" customHeight="1" x14ac:dyDescent="0.25">
      <c r="A104" s="16" t="s">
        <v>2058</v>
      </c>
      <c r="B104" s="2" t="s">
        <v>2430</v>
      </c>
      <c r="C104" s="2" t="s">
        <v>1249</v>
      </c>
      <c r="D104" s="2">
        <v>5100</v>
      </c>
      <c r="E104" s="2">
        <v>100</v>
      </c>
      <c r="F104" s="60">
        <v>52.5</v>
      </c>
      <c r="G104" s="299">
        <f t="shared" si="12"/>
        <v>5250</v>
      </c>
      <c r="H104" s="60">
        <v>18</v>
      </c>
      <c r="I104" s="312"/>
      <c r="J104" s="311"/>
      <c r="K104" s="302"/>
      <c r="L104" s="60">
        <f t="shared" si="15"/>
        <v>18</v>
      </c>
      <c r="M104" s="299">
        <f t="shared" si="16"/>
        <v>5268</v>
      </c>
      <c r="N104" s="304" t="s">
        <v>2062</v>
      </c>
      <c r="O104" s="304" t="s">
        <v>197</v>
      </c>
    </row>
    <row r="105" spans="1:15" ht="12.75" customHeight="1" x14ac:dyDescent="0.25">
      <c r="A105" s="16" t="s">
        <v>2058</v>
      </c>
      <c r="B105" s="2" t="s">
        <v>2430</v>
      </c>
      <c r="C105" s="2" t="s">
        <v>1249</v>
      </c>
      <c r="D105" s="2">
        <v>5100</v>
      </c>
      <c r="E105" s="2">
        <v>50</v>
      </c>
      <c r="F105" s="60">
        <v>52.55</v>
      </c>
      <c r="G105" s="299">
        <f t="shared" si="12"/>
        <v>2627.5</v>
      </c>
      <c r="H105" s="60">
        <v>9</v>
      </c>
      <c r="I105" s="312"/>
      <c r="J105" s="312"/>
      <c r="K105" s="302"/>
      <c r="L105" s="60">
        <f t="shared" si="15"/>
        <v>9</v>
      </c>
      <c r="M105" s="299">
        <f t="shared" si="16"/>
        <v>2636.5</v>
      </c>
      <c r="N105" s="304" t="s">
        <v>2062</v>
      </c>
      <c r="O105" s="304" t="s">
        <v>197</v>
      </c>
    </row>
    <row r="106" spans="1:15" ht="12.75" customHeight="1" x14ac:dyDescent="0.25">
      <c r="A106" s="16" t="s">
        <v>2058</v>
      </c>
      <c r="B106" s="2" t="s">
        <v>2430</v>
      </c>
      <c r="C106" s="2" t="s">
        <v>1249</v>
      </c>
      <c r="D106" s="2">
        <v>5100</v>
      </c>
      <c r="E106" s="2">
        <v>150</v>
      </c>
      <c r="F106" s="60">
        <v>36</v>
      </c>
      <c r="G106" s="299">
        <f t="shared" si="12"/>
        <v>5400</v>
      </c>
      <c r="H106" s="60">
        <v>27</v>
      </c>
      <c r="I106" s="312"/>
      <c r="J106" s="312"/>
      <c r="K106" s="302"/>
      <c r="L106" s="60">
        <f t="shared" si="15"/>
        <v>27</v>
      </c>
      <c r="M106" s="299">
        <f t="shared" si="16"/>
        <v>5427</v>
      </c>
      <c r="N106" s="304" t="s">
        <v>2062</v>
      </c>
      <c r="O106" s="304" t="s">
        <v>197</v>
      </c>
    </row>
    <row r="107" spans="1:15" ht="12.75" customHeight="1" x14ac:dyDescent="0.25">
      <c r="A107" s="16" t="s">
        <v>2058</v>
      </c>
      <c r="B107" s="2" t="s">
        <v>2430</v>
      </c>
      <c r="C107" s="2" t="s">
        <v>1249</v>
      </c>
      <c r="D107" s="2">
        <v>5100</v>
      </c>
      <c r="E107" s="2">
        <v>50</v>
      </c>
      <c r="F107" s="60">
        <v>36</v>
      </c>
      <c r="G107" s="299">
        <f t="shared" si="12"/>
        <v>1800</v>
      </c>
      <c r="H107" s="60">
        <v>9</v>
      </c>
      <c r="I107" s="299">
        <v>11.31</v>
      </c>
      <c r="J107" s="299">
        <v>19.77</v>
      </c>
      <c r="K107" s="60">
        <v>3</v>
      </c>
      <c r="L107" s="60">
        <f t="shared" si="15"/>
        <v>43.08</v>
      </c>
      <c r="M107" s="299">
        <f t="shared" si="16"/>
        <v>1843.08</v>
      </c>
      <c r="N107" s="304" t="s">
        <v>2062</v>
      </c>
      <c r="O107" s="304" t="s">
        <v>197</v>
      </c>
    </row>
    <row r="108" spans="1:15" ht="12.75" customHeight="1" x14ac:dyDescent="0.25">
      <c r="A108" s="16" t="s">
        <v>2061</v>
      </c>
      <c r="B108" s="2" t="s">
        <v>2430</v>
      </c>
      <c r="C108" s="2" t="s">
        <v>1249</v>
      </c>
      <c r="D108" s="2">
        <v>4900</v>
      </c>
      <c r="E108" s="2">
        <v>200</v>
      </c>
      <c r="F108" s="60">
        <v>55</v>
      </c>
      <c r="G108" s="299">
        <f t="shared" si="12"/>
        <v>11000</v>
      </c>
      <c r="H108" s="60">
        <v>36</v>
      </c>
      <c r="I108" s="312"/>
      <c r="J108" s="312"/>
      <c r="K108" s="302"/>
      <c r="L108" s="60">
        <f t="shared" si="15"/>
        <v>36</v>
      </c>
      <c r="M108" s="299">
        <f t="shared" si="16"/>
        <v>11036</v>
      </c>
      <c r="N108" s="304" t="s">
        <v>2064</v>
      </c>
      <c r="O108" s="304" t="s">
        <v>197</v>
      </c>
    </row>
    <row r="109" spans="1:15" ht="12.75" customHeight="1" x14ac:dyDescent="0.25">
      <c r="A109" s="16" t="s">
        <v>2061</v>
      </c>
      <c r="B109" s="2" t="s">
        <v>2430</v>
      </c>
      <c r="C109" s="2" t="s">
        <v>1249</v>
      </c>
      <c r="D109" s="2">
        <v>4900</v>
      </c>
      <c r="E109" s="2">
        <v>100</v>
      </c>
      <c r="F109" s="60">
        <v>65</v>
      </c>
      <c r="G109" s="299">
        <f t="shared" si="12"/>
        <v>6500</v>
      </c>
      <c r="H109" s="60">
        <v>18</v>
      </c>
      <c r="I109" s="247">
        <v>20.6</v>
      </c>
      <c r="J109" s="304">
        <v>20.03</v>
      </c>
      <c r="K109" s="60">
        <v>3</v>
      </c>
      <c r="L109" s="60">
        <f t="shared" si="15"/>
        <v>61.63</v>
      </c>
      <c r="M109" s="299">
        <f t="shared" si="16"/>
        <v>6561.63</v>
      </c>
      <c r="N109" s="304" t="s">
        <v>2064</v>
      </c>
      <c r="O109" s="304" t="s">
        <v>197</v>
      </c>
    </row>
    <row r="110" spans="1:15" ht="12.75" customHeight="1" x14ac:dyDescent="0.25">
      <c r="A110" s="16" t="s">
        <v>2063</v>
      </c>
      <c r="B110" s="2" t="s">
        <v>2430</v>
      </c>
      <c r="C110" s="2" t="s">
        <v>1249</v>
      </c>
      <c r="D110" s="2">
        <v>4900</v>
      </c>
      <c r="E110" s="2">
        <v>50</v>
      </c>
      <c r="F110" s="60">
        <v>29.5</v>
      </c>
      <c r="G110" s="299">
        <f t="shared" si="12"/>
        <v>1475</v>
      </c>
      <c r="H110" s="60">
        <v>9</v>
      </c>
      <c r="I110" s="307"/>
      <c r="J110" s="311"/>
      <c r="K110" s="302"/>
      <c r="L110" s="60">
        <f t="shared" si="15"/>
        <v>9</v>
      </c>
      <c r="M110" s="299">
        <f t="shared" si="16"/>
        <v>1484</v>
      </c>
      <c r="N110" s="304" t="s">
        <v>2067</v>
      </c>
      <c r="O110" s="304" t="s">
        <v>197</v>
      </c>
    </row>
    <row r="111" spans="1:15" ht="12.75" customHeight="1" x14ac:dyDescent="0.25">
      <c r="A111" s="16" t="s">
        <v>2063</v>
      </c>
      <c r="B111" s="2" t="s">
        <v>2430</v>
      </c>
      <c r="C111" s="2" t="s">
        <v>1249</v>
      </c>
      <c r="D111" s="2">
        <v>4900</v>
      </c>
      <c r="E111" s="2">
        <v>50</v>
      </c>
      <c r="F111" s="60">
        <v>29.5</v>
      </c>
      <c r="G111" s="299">
        <f t="shared" si="12"/>
        <v>1475</v>
      </c>
      <c r="H111" s="60">
        <v>9</v>
      </c>
      <c r="I111" s="317"/>
      <c r="J111" s="317"/>
      <c r="K111" s="302"/>
      <c r="L111" s="60">
        <f t="shared" si="15"/>
        <v>9</v>
      </c>
      <c r="M111" s="299">
        <f t="shared" si="16"/>
        <v>1484</v>
      </c>
      <c r="N111" s="304" t="s">
        <v>2067</v>
      </c>
      <c r="O111" s="304" t="s">
        <v>197</v>
      </c>
    </row>
    <row r="112" spans="1:15" ht="13.2" x14ac:dyDescent="0.25">
      <c r="A112" s="16" t="s">
        <v>2063</v>
      </c>
      <c r="B112" s="2" t="s">
        <v>2430</v>
      </c>
      <c r="C112" s="2" t="s">
        <v>1249</v>
      </c>
      <c r="D112" s="2">
        <v>4900</v>
      </c>
      <c r="E112" s="2">
        <v>50</v>
      </c>
      <c r="F112" s="60">
        <v>29.55</v>
      </c>
      <c r="G112" s="299">
        <f t="shared" si="12"/>
        <v>1477.5</v>
      </c>
      <c r="H112" s="60">
        <v>9</v>
      </c>
      <c r="I112" s="318"/>
      <c r="J112" s="317"/>
      <c r="K112" s="302"/>
      <c r="L112" s="60">
        <f t="shared" si="15"/>
        <v>9</v>
      </c>
      <c r="M112" s="299">
        <f t="shared" si="16"/>
        <v>1486.5</v>
      </c>
      <c r="N112" s="304" t="s">
        <v>2069</v>
      </c>
      <c r="O112" s="263" t="s">
        <v>197</v>
      </c>
    </row>
    <row r="113" spans="1:15" ht="13.2" x14ac:dyDescent="0.25">
      <c r="A113" s="16" t="s">
        <v>2063</v>
      </c>
      <c r="B113" s="2" t="s">
        <v>2430</v>
      </c>
      <c r="C113" s="2" t="s">
        <v>1249</v>
      </c>
      <c r="D113" s="2">
        <v>4900</v>
      </c>
      <c r="E113" s="2">
        <v>50</v>
      </c>
      <c r="F113" s="60">
        <v>29.6</v>
      </c>
      <c r="G113" s="299">
        <f t="shared" si="12"/>
        <v>1480</v>
      </c>
      <c r="H113" s="60">
        <v>9</v>
      </c>
      <c r="I113" s="318"/>
      <c r="J113" s="317"/>
      <c r="K113" s="302"/>
      <c r="L113" s="60">
        <f t="shared" si="15"/>
        <v>9</v>
      </c>
      <c r="M113" s="299">
        <f t="shared" si="16"/>
        <v>1489</v>
      </c>
      <c r="N113" s="304" t="s">
        <v>2070</v>
      </c>
      <c r="O113" s="263" t="s">
        <v>197</v>
      </c>
    </row>
    <row r="114" spans="1:15" ht="13.2" x14ac:dyDescent="0.25">
      <c r="A114" s="16" t="s">
        <v>2063</v>
      </c>
      <c r="B114" s="2" t="s">
        <v>2068</v>
      </c>
      <c r="C114" s="2" t="s">
        <v>1249</v>
      </c>
      <c r="D114" s="2">
        <v>4900</v>
      </c>
      <c r="E114" s="2">
        <v>100</v>
      </c>
      <c r="F114" s="60">
        <v>133.1</v>
      </c>
      <c r="G114" s="299">
        <f t="shared" si="12"/>
        <v>13310</v>
      </c>
      <c r="H114" s="60">
        <v>18</v>
      </c>
      <c r="I114" s="299">
        <v>16.11</v>
      </c>
      <c r="J114" s="303">
        <v>30.38</v>
      </c>
      <c r="K114" s="60">
        <v>5</v>
      </c>
      <c r="L114" s="60">
        <f t="shared" si="15"/>
        <v>69.489999999999995</v>
      </c>
      <c r="M114" s="299">
        <f t="shared" si="16"/>
        <v>13379.49</v>
      </c>
      <c r="N114" s="304" t="s">
        <v>2071</v>
      </c>
      <c r="O114" s="263" t="s">
        <v>197</v>
      </c>
    </row>
    <row r="115" spans="1:15" ht="12.75" customHeight="1" x14ac:dyDescent="0.25">
      <c r="A115" s="16" t="s">
        <v>1365</v>
      </c>
      <c r="B115" s="2" t="s">
        <v>2430</v>
      </c>
      <c r="C115" s="2" t="s">
        <v>1245</v>
      </c>
      <c r="D115" s="2">
        <v>4900</v>
      </c>
      <c r="E115" s="2">
        <v>100</v>
      </c>
      <c r="F115" s="60">
        <v>16.7</v>
      </c>
      <c r="G115" s="299">
        <f t="shared" si="12"/>
        <v>1670</v>
      </c>
      <c r="H115" s="60">
        <v>18</v>
      </c>
      <c r="I115" s="315"/>
      <c r="J115" s="315"/>
      <c r="K115" s="302"/>
      <c r="L115" s="60">
        <f t="shared" ref="L115:L121" si="17">SUM(H115:K115)</f>
        <v>18</v>
      </c>
      <c r="M115" s="299">
        <f t="shared" ref="M115:M121" si="18">G115+L115</f>
        <v>1688</v>
      </c>
      <c r="N115" s="304" t="s">
        <v>1366</v>
      </c>
      <c r="O115" s="304" t="s">
        <v>197</v>
      </c>
    </row>
    <row r="116" spans="1:15" ht="12.75" customHeight="1" x14ac:dyDescent="0.25">
      <c r="A116" s="16" t="s">
        <v>1367</v>
      </c>
      <c r="B116" s="2" t="s">
        <v>2430</v>
      </c>
      <c r="C116" s="2" t="s">
        <v>1245</v>
      </c>
      <c r="D116" s="2">
        <v>4900</v>
      </c>
      <c r="E116" s="2">
        <v>100</v>
      </c>
      <c r="F116" s="60">
        <v>14</v>
      </c>
      <c r="G116" s="299">
        <f t="shared" si="12"/>
        <v>1400</v>
      </c>
      <c r="H116" s="60">
        <v>18</v>
      </c>
      <c r="I116" s="312"/>
      <c r="J116" s="312"/>
      <c r="K116" s="302"/>
      <c r="L116" s="60">
        <f t="shared" si="17"/>
        <v>18</v>
      </c>
      <c r="M116" s="299">
        <f t="shared" si="18"/>
        <v>1418</v>
      </c>
      <c r="N116" s="304" t="s">
        <v>1368</v>
      </c>
      <c r="O116" s="304" t="s">
        <v>197</v>
      </c>
    </row>
    <row r="117" spans="1:15" ht="12.75" customHeight="1" x14ac:dyDescent="0.25">
      <c r="A117" s="16" t="s">
        <v>521</v>
      </c>
      <c r="B117" s="2" t="s">
        <v>2068</v>
      </c>
      <c r="C117" s="2" t="s">
        <v>1249</v>
      </c>
      <c r="D117" s="2">
        <v>5100</v>
      </c>
      <c r="E117" s="2">
        <v>50</v>
      </c>
      <c r="F117" s="60">
        <v>75.8</v>
      </c>
      <c r="G117" s="299">
        <f t="shared" si="12"/>
        <v>3790</v>
      </c>
      <c r="H117" s="60">
        <v>9</v>
      </c>
      <c r="I117" s="317"/>
      <c r="J117" s="315"/>
      <c r="K117" s="302"/>
      <c r="L117" s="60">
        <f t="shared" si="17"/>
        <v>9</v>
      </c>
      <c r="M117" s="299">
        <f t="shared" si="18"/>
        <v>3799</v>
      </c>
      <c r="N117" s="304" t="s">
        <v>522</v>
      </c>
      <c r="O117" s="304" t="s">
        <v>197</v>
      </c>
    </row>
    <row r="118" spans="1:15" ht="12.75" customHeight="1" x14ac:dyDescent="0.25">
      <c r="A118" s="16" t="s">
        <v>521</v>
      </c>
      <c r="B118" s="2" t="s">
        <v>2068</v>
      </c>
      <c r="C118" s="2" t="s">
        <v>1249</v>
      </c>
      <c r="D118" s="2">
        <v>5100</v>
      </c>
      <c r="E118" s="2">
        <v>50</v>
      </c>
      <c r="F118" s="60">
        <v>76</v>
      </c>
      <c r="G118" s="299">
        <f t="shared" si="12"/>
        <v>3800</v>
      </c>
      <c r="H118" s="60">
        <v>9</v>
      </c>
      <c r="I118" s="317"/>
      <c r="J118" s="311"/>
      <c r="K118" s="302"/>
      <c r="L118" s="60">
        <f t="shared" si="17"/>
        <v>9</v>
      </c>
      <c r="M118" s="299">
        <f t="shared" si="18"/>
        <v>3809</v>
      </c>
      <c r="N118" s="304" t="s">
        <v>522</v>
      </c>
      <c r="O118" s="304" t="s">
        <v>197</v>
      </c>
    </row>
    <row r="119" spans="1:15" ht="12.75" customHeight="1" x14ac:dyDescent="0.25">
      <c r="A119" s="16" t="s">
        <v>521</v>
      </c>
      <c r="B119" s="2" t="s">
        <v>2068</v>
      </c>
      <c r="C119" s="2" t="s">
        <v>1249</v>
      </c>
      <c r="D119" s="2">
        <v>5100</v>
      </c>
      <c r="E119" s="2">
        <v>100</v>
      </c>
      <c r="F119" s="60">
        <v>75.650000000000006</v>
      </c>
      <c r="G119" s="299">
        <f t="shared" si="12"/>
        <v>7565.0000000000009</v>
      </c>
      <c r="H119" s="60">
        <v>18</v>
      </c>
      <c r="I119" s="317"/>
      <c r="J119" s="312"/>
      <c r="K119" s="302"/>
      <c r="L119" s="60">
        <f t="shared" si="17"/>
        <v>18</v>
      </c>
      <c r="M119" s="299">
        <f t="shared" si="18"/>
        <v>7583.0000000000009</v>
      </c>
      <c r="N119" s="304" t="s">
        <v>522</v>
      </c>
      <c r="O119" s="304" t="s">
        <v>197</v>
      </c>
    </row>
    <row r="120" spans="1:15" ht="12.75" customHeight="1" x14ac:dyDescent="0.25">
      <c r="A120" s="16" t="s">
        <v>521</v>
      </c>
      <c r="B120" s="2" t="s">
        <v>2068</v>
      </c>
      <c r="C120" s="2" t="s">
        <v>1249</v>
      </c>
      <c r="D120" s="2">
        <v>4800</v>
      </c>
      <c r="E120" s="2">
        <v>50</v>
      </c>
      <c r="F120" s="60">
        <v>236</v>
      </c>
      <c r="G120" s="299">
        <f t="shared" si="12"/>
        <v>11800</v>
      </c>
      <c r="H120" s="60">
        <v>9</v>
      </c>
      <c r="I120" s="317"/>
      <c r="J120" s="312"/>
      <c r="K120" s="302"/>
      <c r="L120" s="60">
        <f t="shared" si="17"/>
        <v>9</v>
      </c>
      <c r="M120" s="299">
        <f t="shared" si="18"/>
        <v>11809</v>
      </c>
      <c r="N120" s="304" t="s">
        <v>522</v>
      </c>
      <c r="O120" s="304" t="s">
        <v>197</v>
      </c>
    </row>
    <row r="121" spans="1:15" ht="12.75" customHeight="1" x14ac:dyDescent="0.25">
      <c r="A121" s="16" t="s">
        <v>521</v>
      </c>
      <c r="B121" s="2" t="s">
        <v>2068</v>
      </c>
      <c r="C121" s="2" t="s">
        <v>1249</v>
      </c>
      <c r="D121" s="2">
        <v>4800</v>
      </c>
      <c r="E121" s="2">
        <v>50</v>
      </c>
      <c r="F121" s="60">
        <v>236</v>
      </c>
      <c r="G121" s="299">
        <f t="shared" si="12"/>
        <v>11800</v>
      </c>
      <c r="H121" s="60">
        <v>9</v>
      </c>
      <c r="I121" s="317"/>
      <c r="J121" s="311"/>
      <c r="K121" s="302"/>
      <c r="L121" s="60">
        <f t="shared" si="17"/>
        <v>9</v>
      </c>
      <c r="M121" s="299">
        <f t="shared" si="18"/>
        <v>11809</v>
      </c>
      <c r="N121" s="304" t="s">
        <v>522</v>
      </c>
      <c r="O121" s="304" t="s">
        <v>197</v>
      </c>
    </row>
    <row r="122" spans="1:15" ht="12.75" customHeight="1" x14ac:dyDescent="0.25">
      <c r="A122" s="16" t="s">
        <v>2279</v>
      </c>
      <c r="B122" s="2" t="s">
        <v>2068</v>
      </c>
      <c r="C122" s="2" t="s">
        <v>1249</v>
      </c>
      <c r="D122" s="2">
        <v>4800</v>
      </c>
      <c r="E122" s="2">
        <v>100</v>
      </c>
      <c r="F122" s="60">
        <v>151.9</v>
      </c>
      <c r="G122" s="299">
        <f t="shared" si="12"/>
        <v>15190</v>
      </c>
      <c r="H122" s="60">
        <v>18</v>
      </c>
      <c r="I122" s="302"/>
      <c r="J122" s="312"/>
      <c r="K122" s="302"/>
      <c r="L122" s="60">
        <f t="shared" ref="L122:L128" si="19">SUM(H122:K122)</f>
        <v>18</v>
      </c>
      <c r="M122" s="299">
        <f t="shared" ref="M122:M128" si="20">G122+L122</f>
        <v>15208</v>
      </c>
      <c r="N122" s="304" t="s">
        <v>2280</v>
      </c>
      <c r="O122" s="304" t="s">
        <v>197</v>
      </c>
    </row>
    <row r="123" spans="1:15" ht="13.2" x14ac:dyDescent="0.25">
      <c r="A123" s="16" t="s">
        <v>2278</v>
      </c>
      <c r="B123" s="2" t="s">
        <v>2068</v>
      </c>
      <c r="C123" s="2" t="s">
        <v>1249</v>
      </c>
      <c r="D123" s="2">
        <v>4800</v>
      </c>
      <c r="E123" s="2">
        <v>100</v>
      </c>
      <c r="F123" s="60">
        <v>135</v>
      </c>
      <c r="G123" s="299">
        <f t="shared" si="12"/>
        <v>13500</v>
      </c>
      <c r="H123" s="60">
        <v>18</v>
      </c>
      <c r="I123" s="299">
        <v>2.84</v>
      </c>
      <c r="J123" s="303">
        <v>9.59</v>
      </c>
      <c r="K123" s="60">
        <v>1</v>
      </c>
      <c r="L123" s="60">
        <f t="shared" si="19"/>
        <v>31.43</v>
      </c>
      <c r="M123" s="299">
        <f t="shared" si="20"/>
        <v>13531.43</v>
      </c>
      <c r="N123" s="304" t="s">
        <v>2281</v>
      </c>
      <c r="O123" s="263" t="s">
        <v>197</v>
      </c>
    </row>
    <row r="124" spans="1:15" ht="13.2" x14ac:dyDescent="0.25">
      <c r="A124" s="16" t="s">
        <v>2282</v>
      </c>
      <c r="B124" s="2" t="s">
        <v>2068</v>
      </c>
      <c r="C124" s="2" t="s">
        <v>1249</v>
      </c>
      <c r="D124" s="2">
        <v>4900</v>
      </c>
      <c r="E124" s="2">
        <v>100</v>
      </c>
      <c r="F124" s="60">
        <v>130.4</v>
      </c>
      <c r="G124" s="299">
        <f t="shared" si="12"/>
        <v>13040</v>
      </c>
      <c r="H124" s="60">
        <v>18</v>
      </c>
      <c r="I124" s="313"/>
      <c r="J124" s="314"/>
      <c r="K124" s="302"/>
      <c r="L124" s="60">
        <f t="shared" si="19"/>
        <v>18</v>
      </c>
      <c r="M124" s="299">
        <f t="shared" si="20"/>
        <v>13058</v>
      </c>
      <c r="N124" s="304" t="s">
        <v>2283</v>
      </c>
      <c r="O124" s="263" t="s">
        <v>197</v>
      </c>
    </row>
    <row r="125" spans="1:15" ht="12.75" customHeight="1" x14ac:dyDescent="0.25">
      <c r="A125" s="16" t="s">
        <v>2282</v>
      </c>
      <c r="B125" s="2" t="s">
        <v>2068</v>
      </c>
      <c r="C125" s="2" t="s">
        <v>1249</v>
      </c>
      <c r="D125" s="2">
        <v>4900</v>
      </c>
      <c r="E125" s="2">
        <v>50</v>
      </c>
      <c r="F125" s="60">
        <v>130</v>
      </c>
      <c r="G125" s="299">
        <f t="shared" si="12"/>
        <v>6500</v>
      </c>
      <c r="H125" s="60">
        <v>9</v>
      </c>
      <c r="I125" s="307"/>
      <c r="J125" s="311"/>
      <c r="K125" s="302"/>
      <c r="L125" s="60">
        <f t="shared" si="19"/>
        <v>9</v>
      </c>
      <c r="M125" s="299">
        <f t="shared" si="20"/>
        <v>6509</v>
      </c>
      <c r="N125" s="304" t="s">
        <v>2283</v>
      </c>
      <c r="O125" s="304" t="s">
        <v>197</v>
      </c>
    </row>
    <row r="126" spans="1:15" ht="12.75" customHeight="1" x14ac:dyDescent="0.25">
      <c r="A126" s="16" t="s">
        <v>2284</v>
      </c>
      <c r="B126" s="2" t="s">
        <v>2068</v>
      </c>
      <c r="C126" s="2" t="s">
        <v>1249</v>
      </c>
      <c r="D126" s="2">
        <v>4900</v>
      </c>
      <c r="E126" s="2">
        <v>150</v>
      </c>
      <c r="F126" s="60">
        <v>153</v>
      </c>
      <c r="G126" s="299">
        <f t="shared" si="12"/>
        <v>22950</v>
      </c>
      <c r="H126" s="60">
        <v>27</v>
      </c>
      <c r="I126" s="312"/>
      <c r="J126" s="312"/>
      <c r="K126" s="302"/>
      <c r="L126" s="60">
        <f t="shared" si="19"/>
        <v>27</v>
      </c>
      <c r="M126" s="299">
        <f t="shared" si="20"/>
        <v>22977</v>
      </c>
      <c r="N126" s="304" t="s">
        <v>2285</v>
      </c>
      <c r="O126" s="304" t="s">
        <v>197</v>
      </c>
    </row>
    <row r="127" spans="1:15" ht="12.75" customHeight="1" x14ac:dyDescent="0.25">
      <c r="A127" s="16" t="s">
        <v>2284</v>
      </c>
      <c r="B127" s="2" t="s">
        <v>2068</v>
      </c>
      <c r="C127" s="2" t="s">
        <v>1249</v>
      </c>
      <c r="D127" s="2">
        <v>5100</v>
      </c>
      <c r="E127" s="2">
        <v>100</v>
      </c>
      <c r="F127" s="60">
        <v>62</v>
      </c>
      <c r="G127" s="299">
        <f t="shared" si="12"/>
        <v>6200</v>
      </c>
      <c r="H127" s="60">
        <v>18</v>
      </c>
      <c r="I127" s="312"/>
      <c r="J127" s="312"/>
      <c r="K127" s="302"/>
      <c r="L127" s="60">
        <f t="shared" si="19"/>
        <v>18</v>
      </c>
      <c r="M127" s="299">
        <f t="shared" si="20"/>
        <v>6218</v>
      </c>
      <c r="N127" s="304" t="s">
        <v>2285</v>
      </c>
      <c r="O127" s="304" t="s">
        <v>197</v>
      </c>
    </row>
    <row r="128" spans="1:15" ht="12.75" customHeight="1" x14ac:dyDescent="0.25">
      <c r="A128" s="16" t="s">
        <v>2284</v>
      </c>
      <c r="B128" s="2" t="s">
        <v>2068</v>
      </c>
      <c r="C128" s="2" t="s">
        <v>1245</v>
      </c>
      <c r="D128" s="2">
        <v>4900</v>
      </c>
      <c r="E128" s="2">
        <v>100</v>
      </c>
      <c r="F128" s="60">
        <v>106.55</v>
      </c>
      <c r="G128" s="299">
        <f t="shared" si="12"/>
        <v>10655</v>
      </c>
      <c r="H128" s="60">
        <v>18</v>
      </c>
      <c r="I128" s="320">
        <v>16.36</v>
      </c>
      <c r="J128" s="2">
        <v>50.91</v>
      </c>
      <c r="K128" s="60">
        <v>7</v>
      </c>
      <c r="L128" s="60">
        <f t="shared" si="19"/>
        <v>92.27</v>
      </c>
      <c r="M128" s="299">
        <f t="shared" si="20"/>
        <v>10747.27</v>
      </c>
      <c r="N128" s="304" t="s">
        <v>2285</v>
      </c>
      <c r="O128" s="304" t="s">
        <v>197</v>
      </c>
    </row>
    <row r="129" spans="1:15" ht="12.75" customHeight="1" x14ac:dyDescent="0.25">
      <c r="A129" s="16" t="s">
        <v>1567</v>
      </c>
      <c r="B129" s="2" t="s">
        <v>2068</v>
      </c>
      <c r="C129" s="2" t="s">
        <v>1249</v>
      </c>
      <c r="D129" s="2">
        <v>4900</v>
      </c>
      <c r="E129" s="2">
        <v>150</v>
      </c>
      <c r="F129" s="60">
        <v>161.1</v>
      </c>
      <c r="G129" s="299">
        <f t="shared" si="12"/>
        <v>24165</v>
      </c>
      <c r="H129" s="60">
        <v>27</v>
      </c>
      <c r="I129" s="299"/>
      <c r="J129" s="2"/>
      <c r="K129" s="60"/>
      <c r="L129" s="60">
        <f t="shared" ref="L129:L134" si="21">SUM(H129:K129)</f>
        <v>27</v>
      </c>
      <c r="M129" s="299">
        <f t="shared" ref="M129:M134" si="22">G129+L129</f>
        <v>24192</v>
      </c>
      <c r="N129" s="304" t="s">
        <v>1569</v>
      </c>
      <c r="O129" s="304" t="s">
        <v>197</v>
      </c>
    </row>
    <row r="130" spans="1:15" ht="12.75" customHeight="1" x14ac:dyDescent="0.25">
      <c r="A130" s="16" t="s">
        <v>1567</v>
      </c>
      <c r="B130" s="2" t="s">
        <v>2068</v>
      </c>
      <c r="C130" s="2" t="s">
        <v>1249</v>
      </c>
      <c r="D130" s="2">
        <v>4900</v>
      </c>
      <c r="E130" s="2">
        <v>50</v>
      </c>
      <c r="F130" s="60">
        <v>159.25</v>
      </c>
      <c r="G130" s="299">
        <f t="shared" si="12"/>
        <v>7962.5</v>
      </c>
      <c r="H130" s="60">
        <v>9</v>
      </c>
      <c r="I130" s="320">
        <v>13.21</v>
      </c>
      <c r="J130" s="2">
        <v>47.28</v>
      </c>
      <c r="K130" s="60">
        <v>8</v>
      </c>
      <c r="L130" s="60">
        <f t="shared" si="21"/>
        <v>77.490000000000009</v>
      </c>
      <c r="M130" s="299">
        <f t="shared" si="22"/>
        <v>8039.99</v>
      </c>
      <c r="N130" s="304" t="s">
        <v>1569</v>
      </c>
      <c r="O130" s="304" t="s">
        <v>197</v>
      </c>
    </row>
    <row r="131" spans="1:15" ht="12.75" customHeight="1" x14ac:dyDescent="0.25">
      <c r="A131" s="16" t="s">
        <v>1573</v>
      </c>
      <c r="B131" s="2" t="s">
        <v>1572</v>
      </c>
      <c r="C131" s="2" t="s">
        <v>1245</v>
      </c>
      <c r="D131" s="2">
        <v>5000</v>
      </c>
      <c r="E131" s="2">
        <v>100</v>
      </c>
      <c r="F131" s="60">
        <v>128</v>
      </c>
      <c r="G131" s="299">
        <f t="shared" si="12"/>
        <v>12800</v>
      </c>
      <c r="H131" s="60">
        <v>18</v>
      </c>
      <c r="I131" s="315"/>
      <c r="J131" s="312"/>
      <c r="K131" s="302"/>
      <c r="L131" s="60">
        <f t="shared" si="21"/>
        <v>18</v>
      </c>
      <c r="M131" s="299">
        <f t="shared" si="22"/>
        <v>12818</v>
      </c>
      <c r="N131" s="319" t="s">
        <v>1575</v>
      </c>
      <c r="O131" s="304" t="s">
        <v>197</v>
      </c>
    </row>
    <row r="132" spans="1:15" ht="12.75" customHeight="1" x14ac:dyDescent="0.25">
      <c r="A132" s="16" t="s">
        <v>1573</v>
      </c>
      <c r="B132" s="2" t="s">
        <v>2068</v>
      </c>
      <c r="C132" s="2" t="s">
        <v>1249</v>
      </c>
      <c r="D132" s="2">
        <v>5200</v>
      </c>
      <c r="E132" s="2">
        <v>50</v>
      </c>
      <c r="F132" s="60">
        <v>41.7</v>
      </c>
      <c r="G132" s="299">
        <f t="shared" si="12"/>
        <v>2085</v>
      </c>
      <c r="H132" s="60">
        <v>9</v>
      </c>
      <c r="I132" s="307"/>
      <c r="J132" s="311"/>
      <c r="K132" s="302"/>
      <c r="L132" s="60">
        <f t="shared" si="21"/>
        <v>9</v>
      </c>
      <c r="M132" s="299">
        <f t="shared" si="22"/>
        <v>2094</v>
      </c>
      <c r="N132" s="304" t="s">
        <v>1575</v>
      </c>
      <c r="O132" s="304" t="s">
        <v>197</v>
      </c>
    </row>
    <row r="133" spans="1:15" ht="12.75" customHeight="1" x14ac:dyDescent="0.25">
      <c r="A133" s="16" t="s">
        <v>1573</v>
      </c>
      <c r="B133" s="2" t="s">
        <v>2068</v>
      </c>
      <c r="C133" s="2" t="s">
        <v>1249</v>
      </c>
      <c r="D133" s="2">
        <v>5200</v>
      </c>
      <c r="E133" s="2">
        <v>50</v>
      </c>
      <c r="F133" s="60">
        <v>41.7</v>
      </c>
      <c r="G133" s="299">
        <f t="shared" si="12"/>
        <v>2085</v>
      </c>
      <c r="H133" s="60">
        <v>9</v>
      </c>
      <c r="I133" s="312"/>
      <c r="J133" s="312"/>
      <c r="K133" s="302"/>
      <c r="L133" s="60">
        <f t="shared" si="21"/>
        <v>9</v>
      </c>
      <c r="M133" s="299">
        <f t="shared" si="22"/>
        <v>2094</v>
      </c>
      <c r="N133" s="304" t="s">
        <v>1575</v>
      </c>
      <c r="O133" s="304" t="s">
        <v>197</v>
      </c>
    </row>
    <row r="134" spans="1:15" ht="13.2" x14ac:dyDescent="0.25">
      <c r="A134" s="16" t="s">
        <v>1573</v>
      </c>
      <c r="B134" s="2" t="s">
        <v>2068</v>
      </c>
      <c r="C134" s="2" t="s">
        <v>1249</v>
      </c>
      <c r="D134" s="2">
        <v>5200</v>
      </c>
      <c r="E134" s="2">
        <v>50</v>
      </c>
      <c r="F134" s="60">
        <v>47</v>
      </c>
      <c r="G134" s="299">
        <f t="shared" si="12"/>
        <v>2350</v>
      </c>
      <c r="H134" s="60">
        <v>9</v>
      </c>
      <c r="I134" s="320">
        <v>13.27</v>
      </c>
      <c r="J134" s="2">
        <v>47.87</v>
      </c>
      <c r="K134" s="60">
        <v>10</v>
      </c>
      <c r="L134" s="60">
        <f t="shared" si="21"/>
        <v>80.14</v>
      </c>
      <c r="M134" s="299">
        <f t="shared" si="22"/>
        <v>2430.14</v>
      </c>
      <c r="N134" s="304" t="s">
        <v>1575</v>
      </c>
      <c r="O134" s="304" t="s">
        <v>197</v>
      </c>
    </row>
    <row r="135" spans="1:15" ht="13.2" x14ac:dyDescent="0.25">
      <c r="A135" s="16" t="s">
        <v>1576</v>
      </c>
      <c r="B135" s="2" t="s">
        <v>1572</v>
      </c>
      <c r="C135" s="2" t="s">
        <v>1245</v>
      </c>
      <c r="D135" s="2">
        <v>5000</v>
      </c>
      <c r="E135" s="2">
        <v>50</v>
      </c>
      <c r="F135" s="60">
        <v>129.35</v>
      </c>
      <c r="G135" s="299">
        <f t="shared" si="12"/>
        <v>6467.5</v>
      </c>
      <c r="H135" s="60">
        <v>9</v>
      </c>
      <c r="I135" s="322"/>
      <c r="J135" s="311"/>
      <c r="K135" s="302"/>
      <c r="L135" s="60">
        <f t="shared" ref="L135:L141" si="23">SUM(H135:K135)</f>
        <v>9</v>
      </c>
      <c r="M135" s="299">
        <f t="shared" ref="M135:M141" si="24">G135+L135</f>
        <v>6476.5</v>
      </c>
      <c r="N135" s="304" t="s">
        <v>1581</v>
      </c>
      <c r="O135" s="304" t="s">
        <v>197</v>
      </c>
    </row>
    <row r="136" spans="1:15" ht="12.75" customHeight="1" x14ac:dyDescent="0.25">
      <c r="A136" s="16" t="s">
        <v>1576</v>
      </c>
      <c r="B136" s="2" t="s">
        <v>1572</v>
      </c>
      <c r="C136" s="2" t="s">
        <v>1245</v>
      </c>
      <c r="D136" s="2">
        <v>5000</v>
      </c>
      <c r="E136" s="2">
        <v>50</v>
      </c>
      <c r="F136" s="60">
        <v>129.35</v>
      </c>
      <c r="G136" s="299">
        <f t="shared" si="12"/>
        <v>6467.5</v>
      </c>
      <c r="H136" s="60">
        <v>9</v>
      </c>
      <c r="I136" s="322"/>
      <c r="J136" s="311"/>
      <c r="K136" s="302"/>
      <c r="L136" s="60">
        <f t="shared" si="23"/>
        <v>9</v>
      </c>
      <c r="M136" s="299">
        <f t="shared" si="24"/>
        <v>6476.5</v>
      </c>
      <c r="N136" s="304" t="s">
        <v>1581</v>
      </c>
      <c r="O136" s="304" t="s">
        <v>197</v>
      </c>
    </row>
    <row r="137" spans="1:15" ht="12.75" customHeight="1" x14ac:dyDescent="0.25">
      <c r="A137" s="16" t="s">
        <v>1576</v>
      </c>
      <c r="B137" s="2" t="s">
        <v>2068</v>
      </c>
      <c r="C137" s="2" t="s">
        <v>1249</v>
      </c>
      <c r="D137" s="2">
        <v>5200</v>
      </c>
      <c r="E137" s="2">
        <v>100</v>
      </c>
      <c r="F137" s="60">
        <v>51.2</v>
      </c>
      <c r="G137" s="299">
        <f t="shared" si="12"/>
        <v>5120</v>
      </c>
      <c r="H137" s="60">
        <v>18</v>
      </c>
      <c r="I137" s="322"/>
      <c r="J137" s="311"/>
      <c r="K137" s="302"/>
      <c r="L137" s="60">
        <f t="shared" si="23"/>
        <v>18</v>
      </c>
      <c r="M137" s="299">
        <f t="shared" si="24"/>
        <v>5138</v>
      </c>
      <c r="N137" s="304" t="s">
        <v>1581</v>
      </c>
      <c r="O137" s="304" t="s">
        <v>197</v>
      </c>
    </row>
    <row r="138" spans="1:15" ht="12.75" customHeight="1" x14ac:dyDescent="0.25">
      <c r="A138" s="16" t="s">
        <v>1576</v>
      </c>
      <c r="B138" s="2" t="s">
        <v>2068</v>
      </c>
      <c r="C138" s="2" t="s">
        <v>1249</v>
      </c>
      <c r="D138" s="2">
        <v>5200</v>
      </c>
      <c r="E138" s="2">
        <v>50</v>
      </c>
      <c r="F138" s="60">
        <v>49.2</v>
      </c>
      <c r="G138" s="299">
        <f t="shared" si="12"/>
        <v>2460</v>
      </c>
      <c r="H138" s="60">
        <v>9</v>
      </c>
      <c r="I138" s="322"/>
      <c r="J138" s="311"/>
      <c r="K138" s="302"/>
      <c r="L138" s="60">
        <f t="shared" si="23"/>
        <v>9</v>
      </c>
      <c r="M138" s="299">
        <f t="shared" si="24"/>
        <v>2469</v>
      </c>
      <c r="N138" s="304" t="s">
        <v>1581</v>
      </c>
      <c r="O138" s="304" t="s">
        <v>197</v>
      </c>
    </row>
    <row r="139" spans="1:15" ht="12.75" customHeight="1" x14ac:dyDescent="0.25">
      <c r="A139" s="16" t="s">
        <v>1576</v>
      </c>
      <c r="B139" s="2" t="s">
        <v>2068</v>
      </c>
      <c r="C139" s="2" t="s">
        <v>1249</v>
      </c>
      <c r="D139" s="2">
        <v>5200</v>
      </c>
      <c r="E139" s="2">
        <v>50</v>
      </c>
      <c r="F139" s="60">
        <v>49.2</v>
      </c>
      <c r="G139" s="299">
        <f t="shared" si="12"/>
        <v>2460</v>
      </c>
      <c r="H139" s="60">
        <v>9</v>
      </c>
      <c r="I139" s="322"/>
      <c r="J139" s="311"/>
      <c r="K139" s="302"/>
      <c r="L139" s="60">
        <f t="shared" si="23"/>
        <v>9</v>
      </c>
      <c r="M139" s="299">
        <f t="shared" si="24"/>
        <v>2469</v>
      </c>
      <c r="N139" s="304" t="s">
        <v>1581</v>
      </c>
      <c r="O139" s="304" t="s">
        <v>197</v>
      </c>
    </row>
    <row r="140" spans="1:15" ht="13.2" x14ac:dyDescent="0.25">
      <c r="A140" s="16" t="s">
        <v>1576</v>
      </c>
      <c r="B140" s="2" t="s">
        <v>2068</v>
      </c>
      <c r="C140" s="2" t="s">
        <v>1245</v>
      </c>
      <c r="D140" s="2">
        <v>5000</v>
      </c>
      <c r="E140" s="2">
        <v>50</v>
      </c>
      <c r="F140" s="60">
        <v>58.3</v>
      </c>
      <c r="G140" s="299">
        <f t="shared" si="12"/>
        <v>2915</v>
      </c>
      <c r="H140" s="60">
        <v>9</v>
      </c>
      <c r="I140" s="322"/>
      <c r="J140" s="311"/>
      <c r="K140" s="302"/>
      <c r="L140" s="60">
        <f t="shared" si="23"/>
        <v>9</v>
      </c>
      <c r="M140" s="299">
        <f t="shared" si="24"/>
        <v>2924</v>
      </c>
      <c r="N140" s="304" t="s">
        <v>1581</v>
      </c>
      <c r="O140" s="304" t="s">
        <v>197</v>
      </c>
    </row>
    <row r="141" spans="1:15" ht="13.2" x14ac:dyDescent="0.25">
      <c r="A141" s="16" t="s">
        <v>1576</v>
      </c>
      <c r="B141" s="2" t="s">
        <v>2068</v>
      </c>
      <c r="C141" s="2" t="s">
        <v>1245</v>
      </c>
      <c r="D141" s="2">
        <v>5000</v>
      </c>
      <c r="E141" s="2">
        <v>50</v>
      </c>
      <c r="F141" s="60">
        <v>58.45</v>
      </c>
      <c r="G141" s="299">
        <f t="shared" si="12"/>
        <v>2922.5</v>
      </c>
      <c r="H141" s="60">
        <v>9</v>
      </c>
      <c r="I141" s="320">
        <v>14.94</v>
      </c>
      <c r="J141" s="2">
        <v>28.02</v>
      </c>
      <c r="K141" s="60">
        <v>3</v>
      </c>
      <c r="L141" s="60">
        <f t="shared" si="23"/>
        <v>54.959999999999994</v>
      </c>
      <c r="M141" s="299">
        <f t="shared" si="24"/>
        <v>2977.46</v>
      </c>
      <c r="N141" s="304" t="s">
        <v>1581</v>
      </c>
      <c r="O141" s="304" t="s">
        <v>197</v>
      </c>
    </row>
    <row r="142" spans="1:15" ht="12.75" customHeight="1" x14ac:dyDescent="0.25">
      <c r="A142" s="16" t="s">
        <v>1583</v>
      </c>
      <c r="B142" s="2" t="s">
        <v>2068</v>
      </c>
      <c r="C142" s="2" t="s">
        <v>1249</v>
      </c>
      <c r="D142" s="2">
        <v>5100</v>
      </c>
      <c r="E142" s="2">
        <v>100</v>
      </c>
      <c r="F142" s="60">
        <v>41.3</v>
      </c>
      <c r="G142" s="299">
        <f t="shared" si="12"/>
        <v>4130</v>
      </c>
      <c r="H142" s="60">
        <v>18</v>
      </c>
      <c r="I142" s="322"/>
      <c r="J142" s="311"/>
      <c r="K142" s="302"/>
      <c r="L142" s="60">
        <f>SUM(H142:K142)</f>
        <v>18</v>
      </c>
      <c r="M142" s="299">
        <f>G142+L142</f>
        <v>4148</v>
      </c>
      <c r="N142" s="304" t="s">
        <v>1584</v>
      </c>
      <c r="O142" s="304" t="s">
        <v>197</v>
      </c>
    </row>
    <row r="143" spans="1:15" ht="12.75" customHeight="1" x14ac:dyDescent="0.25">
      <c r="A143" s="16" t="s">
        <v>1583</v>
      </c>
      <c r="B143" s="2" t="s">
        <v>2068</v>
      </c>
      <c r="C143" s="2" t="s">
        <v>1249</v>
      </c>
      <c r="D143" s="2">
        <v>5100</v>
      </c>
      <c r="E143" s="2">
        <v>100</v>
      </c>
      <c r="F143" s="60">
        <v>35.4</v>
      </c>
      <c r="G143" s="299">
        <f t="shared" si="12"/>
        <v>3540</v>
      </c>
      <c r="H143" s="60">
        <v>18</v>
      </c>
      <c r="I143" s="322"/>
      <c r="J143" s="311"/>
      <c r="K143" s="302"/>
      <c r="L143" s="60">
        <f>SUM(H143:K143)</f>
        <v>18</v>
      </c>
      <c r="M143" s="299">
        <f>G143+L143</f>
        <v>3558</v>
      </c>
      <c r="N143" s="304" t="s">
        <v>1584</v>
      </c>
      <c r="O143" s="304" t="s">
        <v>197</v>
      </c>
    </row>
    <row r="144" spans="1:15" ht="12.75" customHeight="1" x14ac:dyDescent="0.25">
      <c r="A144" s="16" t="s">
        <v>1583</v>
      </c>
      <c r="B144" s="2" t="s">
        <v>2068</v>
      </c>
      <c r="C144" s="2" t="s">
        <v>1249</v>
      </c>
      <c r="D144" s="2">
        <v>5100</v>
      </c>
      <c r="E144" s="2">
        <v>150</v>
      </c>
      <c r="F144" s="60">
        <v>43.8</v>
      </c>
      <c r="G144" s="299">
        <f t="shared" si="12"/>
        <v>6570</v>
      </c>
      <c r="H144" s="60">
        <v>27</v>
      </c>
      <c r="I144" s="320">
        <v>11.74</v>
      </c>
      <c r="J144" s="2">
        <v>14.91</v>
      </c>
      <c r="K144" s="60">
        <v>2</v>
      </c>
      <c r="L144" s="60">
        <f>SUM(H144:K144)</f>
        <v>55.650000000000006</v>
      </c>
      <c r="M144" s="299">
        <f>G144+L144</f>
        <v>6625.65</v>
      </c>
      <c r="N144" s="319" t="s">
        <v>1584</v>
      </c>
      <c r="O144" s="304" t="s">
        <v>197</v>
      </c>
    </row>
    <row r="145" spans="1:15" ht="12.75" customHeight="1" x14ac:dyDescent="0.25">
      <c r="A145" s="16" t="s">
        <v>718</v>
      </c>
      <c r="B145" s="2" t="s">
        <v>2068</v>
      </c>
      <c r="C145" s="2" t="s">
        <v>1249</v>
      </c>
      <c r="D145" s="2">
        <v>5100</v>
      </c>
      <c r="E145" s="2">
        <v>100</v>
      </c>
      <c r="F145" s="60">
        <v>38.25</v>
      </c>
      <c r="G145" s="299">
        <f t="shared" si="12"/>
        <v>3825</v>
      </c>
      <c r="H145" s="60">
        <v>18</v>
      </c>
      <c r="I145" s="312"/>
      <c r="J145" s="307"/>
      <c r="K145" s="312"/>
      <c r="L145" s="60">
        <f t="shared" ref="L145:L151" si="25">SUM(H145:K145)</f>
        <v>18</v>
      </c>
      <c r="M145" s="299">
        <f t="shared" ref="M145:M153" si="26">G145+L145</f>
        <v>3843</v>
      </c>
      <c r="N145" s="304" t="s">
        <v>719</v>
      </c>
      <c r="O145" s="304" t="s">
        <v>197</v>
      </c>
    </row>
    <row r="146" spans="1:15" ht="12.75" customHeight="1" x14ac:dyDescent="0.25">
      <c r="A146" s="16" t="s">
        <v>718</v>
      </c>
      <c r="B146" s="2" t="s">
        <v>2068</v>
      </c>
      <c r="C146" s="2" t="s">
        <v>1249</v>
      </c>
      <c r="D146" s="2">
        <v>5100</v>
      </c>
      <c r="E146" s="2">
        <v>100</v>
      </c>
      <c r="F146" s="60">
        <v>38.299999999999997</v>
      </c>
      <c r="G146" s="299">
        <f t="shared" ref="G146:G168" si="27">E146*F146</f>
        <v>3829.9999999999995</v>
      </c>
      <c r="H146" s="60">
        <v>18</v>
      </c>
      <c r="I146" s="312"/>
      <c r="J146" s="307"/>
      <c r="K146" s="323"/>
      <c r="L146" s="60">
        <f t="shared" si="25"/>
        <v>18</v>
      </c>
      <c r="M146" s="299">
        <f t="shared" si="26"/>
        <v>3847.9999999999995</v>
      </c>
      <c r="N146" s="304" t="s">
        <v>719</v>
      </c>
      <c r="O146" s="304" t="s">
        <v>197</v>
      </c>
    </row>
    <row r="147" spans="1:15" ht="13.2" x14ac:dyDescent="0.25">
      <c r="A147" s="16" t="s">
        <v>718</v>
      </c>
      <c r="B147" s="2" t="s">
        <v>2068</v>
      </c>
      <c r="C147" s="2" t="s">
        <v>1249</v>
      </c>
      <c r="D147" s="2">
        <v>5100</v>
      </c>
      <c r="E147" s="2">
        <v>50</v>
      </c>
      <c r="F147" s="60">
        <v>44.45</v>
      </c>
      <c r="G147" s="299">
        <f t="shared" si="27"/>
        <v>2222.5</v>
      </c>
      <c r="H147" s="60">
        <v>9</v>
      </c>
      <c r="I147" s="312"/>
      <c r="J147" s="307"/>
      <c r="K147" s="323"/>
      <c r="L147" s="60">
        <f t="shared" si="25"/>
        <v>9</v>
      </c>
      <c r="M147" s="299">
        <f t="shared" si="26"/>
        <v>2231.5</v>
      </c>
      <c r="N147" s="304" t="s">
        <v>719</v>
      </c>
      <c r="O147" s="304" t="s">
        <v>197</v>
      </c>
    </row>
    <row r="148" spans="1:15" ht="13.2" x14ac:dyDescent="0.25">
      <c r="A148" s="16" t="s">
        <v>718</v>
      </c>
      <c r="B148" s="2" t="s">
        <v>2068</v>
      </c>
      <c r="C148" s="2" t="s">
        <v>1249</v>
      </c>
      <c r="D148" s="2">
        <v>5100</v>
      </c>
      <c r="E148" s="2">
        <v>50</v>
      </c>
      <c r="F148" s="60">
        <v>44.45</v>
      </c>
      <c r="G148" s="299">
        <f t="shared" si="27"/>
        <v>2222.5</v>
      </c>
      <c r="H148" s="60">
        <v>9</v>
      </c>
      <c r="I148" s="312"/>
      <c r="J148" s="307"/>
      <c r="K148" s="312"/>
      <c r="L148" s="60">
        <f t="shared" si="25"/>
        <v>9</v>
      </c>
      <c r="M148" s="299">
        <f t="shared" si="26"/>
        <v>2231.5</v>
      </c>
      <c r="N148" s="304" t="s">
        <v>719</v>
      </c>
      <c r="O148" s="304" t="s">
        <v>197</v>
      </c>
    </row>
    <row r="149" spans="1:15" ht="12.75" customHeight="1" x14ac:dyDescent="0.25">
      <c r="A149" s="16" t="s">
        <v>718</v>
      </c>
      <c r="B149" s="2" t="s">
        <v>2068</v>
      </c>
      <c r="C149" s="2" t="s">
        <v>1249</v>
      </c>
      <c r="D149" s="2">
        <v>5200</v>
      </c>
      <c r="E149" s="2">
        <v>50</v>
      </c>
      <c r="F149" s="60">
        <v>19.2</v>
      </c>
      <c r="G149" s="299">
        <f t="shared" si="27"/>
        <v>960</v>
      </c>
      <c r="H149" s="60">
        <v>9</v>
      </c>
      <c r="I149" s="312"/>
      <c r="J149" s="312"/>
      <c r="K149" s="312"/>
      <c r="L149" s="60">
        <f t="shared" si="25"/>
        <v>9</v>
      </c>
      <c r="M149" s="299">
        <f t="shared" si="26"/>
        <v>969</v>
      </c>
      <c r="N149" s="304" t="s">
        <v>719</v>
      </c>
      <c r="O149" s="304" t="s">
        <v>197</v>
      </c>
    </row>
    <row r="150" spans="1:15" ht="12.75" customHeight="1" x14ac:dyDescent="0.25">
      <c r="A150" s="16" t="s">
        <v>718</v>
      </c>
      <c r="B150" s="2" t="s">
        <v>2068</v>
      </c>
      <c r="C150" s="2" t="s">
        <v>1249</v>
      </c>
      <c r="D150" s="2">
        <v>5200</v>
      </c>
      <c r="E150" s="2">
        <v>150</v>
      </c>
      <c r="F150" s="60">
        <v>19.2</v>
      </c>
      <c r="G150" s="299">
        <f t="shared" si="27"/>
        <v>2880</v>
      </c>
      <c r="H150" s="60">
        <v>27</v>
      </c>
      <c r="I150" s="312"/>
      <c r="J150" s="306"/>
      <c r="K150" s="312"/>
      <c r="L150" s="60">
        <f t="shared" si="25"/>
        <v>27</v>
      </c>
      <c r="M150" s="299">
        <f t="shared" si="26"/>
        <v>2907</v>
      </c>
      <c r="N150" s="304" t="s">
        <v>719</v>
      </c>
      <c r="O150" s="304" t="s">
        <v>197</v>
      </c>
    </row>
    <row r="151" spans="1:15" ht="12.75" customHeight="1" x14ac:dyDescent="0.25">
      <c r="A151" s="16" t="s">
        <v>718</v>
      </c>
      <c r="B151" s="2" t="s">
        <v>2068</v>
      </c>
      <c r="C151" s="2" t="s">
        <v>1249</v>
      </c>
      <c r="D151" s="2">
        <v>5200</v>
      </c>
      <c r="E151" s="2">
        <v>100</v>
      </c>
      <c r="F151" s="60">
        <v>19.2</v>
      </c>
      <c r="G151" s="299">
        <f t="shared" si="27"/>
        <v>1920</v>
      </c>
      <c r="H151" s="60">
        <v>18</v>
      </c>
      <c r="I151" s="312"/>
      <c r="J151" s="307"/>
      <c r="K151" s="323"/>
      <c r="L151" s="60">
        <f t="shared" si="25"/>
        <v>18</v>
      </c>
      <c r="M151" s="299">
        <f t="shared" si="26"/>
        <v>1938</v>
      </c>
      <c r="N151" s="304" t="s">
        <v>719</v>
      </c>
      <c r="O151" s="304" t="s">
        <v>197</v>
      </c>
    </row>
    <row r="152" spans="1:15" ht="12.75" customHeight="1" x14ac:dyDescent="0.25">
      <c r="A152" s="16" t="s">
        <v>721</v>
      </c>
      <c r="B152" s="2" t="s">
        <v>2068</v>
      </c>
      <c r="C152" s="2" t="s">
        <v>1249</v>
      </c>
      <c r="D152" s="2">
        <v>5100</v>
      </c>
      <c r="E152" s="2">
        <v>150</v>
      </c>
      <c r="F152" s="60">
        <v>29.9</v>
      </c>
      <c r="G152" s="299">
        <f t="shared" si="27"/>
        <v>4485</v>
      </c>
      <c r="H152" s="60">
        <v>27</v>
      </c>
      <c r="I152" s="312"/>
      <c r="J152" s="307"/>
      <c r="K152" s="302"/>
      <c r="L152" s="60">
        <f t="shared" ref="L152:L170" si="28">SUM(H152:K152)</f>
        <v>27</v>
      </c>
      <c r="M152" s="299">
        <f t="shared" si="26"/>
        <v>4512</v>
      </c>
      <c r="N152" s="304" t="s">
        <v>722</v>
      </c>
      <c r="O152" s="304" t="s">
        <v>197</v>
      </c>
    </row>
    <row r="153" spans="1:15" ht="13.2" x14ac:dyDescent="0.25">
      <c r="A153" s="16" t="s">
        <v>721</v>
      </c>
      <c r="B153" s="2" t="s">
        <v>2068</v>
      </c>
      <c r="C153" s="2" t="s">
        <v>1249</v>
      </c>
      <c r="D153" s="2">
        <v>5100</v>
      </c>
      <c r="E153" s="2">
        <v>50</v>
      </c>
      <c r="F153" s="60">
        <v>30</v>
      </c>
      <c r="G153" s="299">
        <f t="shared" si="27"/>
        <v>1500</v>
      </c>
      <c r="H153" s="60">
        <v>9</v>
      </c>
      <c r="I153" s="247">
        <v>10.1</v>
      </c>
      <c r="J153" s="320">
        <v>8.08</v>
      </c>
      <c r="K153" s="60">
        <v>2</v>
      </c>
      <c r="L153" s="60">
        <f t="shared" si="28"/>
        <v>29.18</v>
      </c>
      <c r="M153" s="299">
        <f t="shared" si="26"/>
        <v>1529.18</v>
      </c>
      <c r="N153" s="304" t="s">
        <v>722</v>
      </c>
      <c r="O153" s="263" t="s">
        <v>197</v>
      </c>
    </row>
    <row r="154" spans="1:15" ht="13.2" x14ac:dyDescent="0.25">
      <c r="A154" s="16" t="s">
        <v>728</v>
      </c>
      <c r="B154" s="2" t="s">
        <v>2068</v>
      </c>
      <c r="C154" s="2" t="s">
        <v>1245</v>
      </c>
      <c r="D154" s="2">
        <v>5100</v>
      </c>
      <c r="E154" s="2">
        <v>100</v>
      </c>
      <c r="F154" s="60">
        <v>20.75</v>
      </c>
      <c r="G154" s="299">
        <f t="shared" si="27"/>
        <v>2075</v>
      </c>
      <c r="H154" s="60">
        <v>18</v>
      </c>
      <c r="I154" s="322"/>
      <c r="J154" s="311"/>
      <c r="K154" s="302"/>
      <c r="L154" s="60">
        <f t="shared" si="28"/>
        <v>18</v>
      </c>
      <c r="M154" s="299">
        <f t="shared" ref="M154:M170" si="29">G154+L154</f>
        <v>2093</v>
      </c>
      <c r="N154" s="319" t="s">
        <v>729</v>
      </c>
      <c r="O154" s="263" t="s">
        <v>197</v>
      </c>
    </row>
    <row r="155" spans="1:15" ht="12.75" customHeight="1" x14ac:dyDescent="0.25">
      <c r="A155" s="16" t="s">
        <v>728</v>
      </c>
      <c r="B155" s="2" t="s">
        <v>2068</v>
      </c>
      <c r="C155" s="2" t="s">
        <v>1245</v>
      </c>
      <c r="D155" s="2">
        <v>5100</v>
      </c>
      <c r="E155" s="2">
        <v>150</v>
      </c>
      <c r="F155" s="60">
        <v>14</v>
      </c>
      <c r="G155" s="299">
        <f t="shared" si="27"/>
        <v>2100</v>
      </c>
      <c r="H155" s="60">
        <v>27</v>
      </c>
      <c r="I155" s="322"/>
      <c r="J155" s="311"/>
      <c r="K155" s="302"/>
      <c r="L155" s="60">
        <f t="shared" si="28"/>
        <v>27</v>
      </c>
      <c r="M155" s="299">
        <f t="shared" si="29"/>
        <v>2127</v>
      </c>
      <c r="N155" s="319" t="s">
        <v>729</v>
      </c>
      <c r="O155" s="304" t="s">
        <v>197</v>
      </c>
    </row>
    <row r="156" spans="1:15" ht="12.75" customHeight="1" x14ac:dyDescent="0.25">
      <c r="A156" s="16" t="s">
        <v>728</v>
      </c>
      <c r="B156" s="2" t="s">
        <v>2068</v>
      </c>
      <c r="C156" s="2" t="s">
        <v>1245</v>
      </c>
      <c r="D156" s="2">
        <v>5100</v>
      </c>
      <c r="E156" s="2">
        <v>50</v>
      </c>
      <c r="F156" s="60">
        <v>16</v>
      </c>
      <c r="G156" s="299">
        <f t="shared" si="27"/>
        <v>800</v>
      </c>
      <c r="H156" s="60">
        <v>9</v>
      </c>
      <c r="I156" s="322"/>
      <c r="J156" s="311"/>
      <c r="K156" s="302"/>
      <c r="L156" s="60">
        <f t="shared" si="28"/>
        <v>9</v>
      </c>
      <c r="M156" s="299">
        <f t="shared" si="29"/>
        <v>809</v>
      </c>
      <c r="N156" s="319" t="s">
        <v>729</v>
      </c>
      <c r="O156" s="304" t="s">
        <v>197</v>
      </c>
    </row>
    <row r="157" spans="1:15" ht="13.2" x14ac:dyDescent="0.25">
      <c r="A157" s="16" t="s">
        <v>730</v>
      </c>
      <c r="B157" s="2" t="s">
        <v>1572</v>
      </c>
      <c r="C157" s="2" t="s">
        <v>1245</v>
      </c>
      <c r="D157" s="2">
        <v>5000</v>
      </c>
      <c r="E157" s="2">
        <v>100</v>
      </c>
      <c r="F157" s="60">
        <v>48.4</v>
      </c>
      <c r="G157" s="299">
        <f t="shared" si="27"/>
        <v>4840</v>
      </c>
      <c r="H157" s="60">
        <v>18</v>
      </c>
      <c r="I157" s="247">
        <v>2.2000000000000002</v>
      </c>
      <c r="J157" s="2">
        <v>3.44</v>
      </c>
      <c r="K157" s="60">
        <v>0</v>
      </c>
      <c r="L157" s="60">
        <f t="shared" si="28"/>
        <v>23.64</v>
      </c>
      <c r="M157" s="299">
        <f t="shared" si="29"/>
        <v>4863.6400000000003</v>
      </c>
      <c r="N157" s="304" t="s">
        <v>2069</v>
      </c>
      <c r="O157" s="304" t="s">
        <v>197</v>
      </c>
    </row>
    <row r="158" spans="1:15" ht="13.2" x14ac:dyDescent="0.25">
      <c r="A158" s="16" t="s">
        <v>731</v>
      </c>
      <c r="B158" s="2" t="s">
        <v>1572</v>
      </c>
      <c r="C158" s="2" t="s">
        <v>1245</v>
      </c>
      <c r="D158" s="2">
        <v>5300</v>
      </c>
      <c r="E158" s="2">
        <v>50</v>
      </c>
      <c r="F158" s="60">
        <v>83.15</v>
      </c>
      <c r="G158" s="299">
        <f t="shared" si="27"/>
        <v>4157.5</v>
      </c>
      <c r="H158" s="60">
        <v>9</v>
      </c>
      <c r="I158" s="322"/>
      <c r="J158" s="311"/>
      <c r="K158" s="302"/>
      <c r="L158" s="60">
        <f t="shared" si="28"/>
        <v>9</v>
      </c>
      <c r="M158" s="299">
        <f t="shared" si="29"/>
        <v>4166.5</v>
      </c>
      <c r="N158" s="304" t="s">
        <v>734</v>
      </c>
      <c r="O158" s="304" t="s">
        <v>197</v>
      </c>
    </row>
    <row r="159" spans="1:15" ht="12.75" customHeight="1" x14ac:dyDescent="0.25">
      <c r="A159" s="16" t="s">
        <v>731</v>
      </c>
      <c r="B159" s="2" t="s">
        <v>1572</v>
      </c>
      <c r="C159" s="2" t="s">
        <v>1245</v>
      </c>
      <c r="D159" s="2">
        <v>5300</v>
      </c>
      <c r="E159" s="2">
        <v>50</v>
      </c>
      <c r="F159" s="60">
        <v>83.15</v>
      </c>
      <c r="G159" s="299">
        <f t="shared" si="27"/>
        <v>4157.5</v>
      </c>
      <c r="H159" s="60">
        <v>9</v>
      </c>
      <c r="I159" s="322"/>
      <c r="J159" s="311"/>
      <c r="K159" s="302"/>
      <c r="L159" s="60">
        <f t="shared" si="28"/>
        <v>9</v>
      </c>
      <c r="M159" s="299">
        <f t="shared" si="29"/>
        <v>4166.5</v>
      </c>
      <c r="N159" s="304" t="s">
        <v>734</v>
      </c>
      <c r="O159" s="304" t="s">
        <v>197</v>
      </c>
    </row>
    <row r="160" spans="1:15" ht="12.75" customHeight="1" x14ac:dyDescent="0.25">
      <c r="A160" s="16" t="s">
        <v>736</v>
      </c>
      <c r="B160" s="2" t="s">
        <v>1572</v>
      </c>
      <c r="C160" s="2" t="s">
        <v>1245</v>
      </c>
      <c r="D160" s="2">
        <v>5200</v>
      </c>
      <c r="E160" s="2">
        <v>50</v>
      </c>
      <c r="F160" s="60">
        <v>53.8</v>
      </c>
      <c r="G160" s="299">
        <f t="shared" si="27"/>
        <v>2690</v>
      </c>
      <c r="H160" s="60">
        <v>9</v>
      </c>
      <c r="I160" s="302"/>
      <c r="J160" s="311"/>
      <c r="K160" s="302"/>
      <c r="L160" s="60">
        <f t="shared" si="28"/>
        <v>9</v>
      </c>
      <c r="M160" s="299">
        <f t="shared" si="29"/>
        <v>2699</v>
      </c>
      <c r="N160" s="319" t="s">
        <v>737</v>
      </c>
      <c r="O160" s="304" t="s">
        <v>197</v>
      </c>
    </row>
    <row r="161" spans="1:15" ht="12.75" customHeight="1" x14ac:dyDescent="0.25">
      <c r="A161" s="16" t="s">
        <v>736</v>
      </c>
      <c r="B161" s="2" t="s">
        <v>1572</v>
      </c>
      <c r="C161" s="2" t="s">
        <v>1245</v>
      </c>
      <c r="D161" s="2">
        <v>5200</v>
      </c>
      <c r="E161" s="2">
        <v>150</v>
      </c>
      <c r="F161" s="60">
        <v>53.8</v>
      </c>
      <c r="G161" s="299">
        <f t="shared" si="27"/>
        <v>8070</v>
      </c>
      <c r="H161" s="60">
        <v>27</v>
      </c>
      <c r="I161" s="302"/>
      <c r="J161" s="311"/>
      <c r="K161" s="302"/>
      <c r="L161" s="60">
        <f t="shared" si="28"/>
        <v>27</v>
      </c>
      <c r="M161" s="299">
        <f t="shared" si="29"/>
        <v>8097</v>
      </c>
      <c r="N161" s="319" t="s">
        <v>737</v>
      </c>
      <c r="O161" s="304" t="s">
        <v>197</v>
      </c>
    </row>
    <row r="162" spans="1:15" ht="12.75" customHeight="1" x14ac:dyDescent="0.25">
      <c r="A162" s="16" t="s">
        <v>736</v>
      </c>
      <c r="B162" s="2" t="s">
        <v>1572</v>
      </c>
      <c r="C162" s="2" t="s">
        <v>1245</v>
      </c>
      <c r="D162" s="2">
        <v>5200</v>
      </c>
      <c r="E162" s="2">
        <v>100</v>
      </c>
      <c r="F162" s="60">
        <v>54.9</v>
      </c>
      <c r="G162" s="299">
        <f t="shared" si="27"/>
        <v>5490</v>
      </c>
      <c r="H162" s="60">
        <v>18</v>
      </c>
      <c r="I162" s="302"/>
      <c r="J162" s="311"/>
      <c r="K162" s="302"/>
      <c r="L162" s="60">
        <f t="shared" si="28"/>
        <v>18</v>
      </c>
      <c r="M162" s="299">
        <f t="shared" si="29"/>
        <v>5508</v>
      </c>
      <c r="N162" s="319" t="s">
        <v>737</v>
      </c>
      <c r="O162" s="304" t="s">
        <v>197</v>
      </c>
    </row>
    <row r="163" spans="1:15" ht="13.2" x14ac:dyDescent="0.25">
      <c r="A163" s="16" t="s">
        <v>736</v>
      </c>
      <c r="B163" s="2" t="s">
        <v>735</v>
      </c>
      <c r="C163" s="2" t="s">
        <v>1245</v>
      </c>
      <c r="D163" s="2">
        <v>184</v>
      </c>
      <c r="E163" s="2">
        <v>2500</v>
      </c>
      <c r="F163" s="60">
        <v>4.5</v>
      </c>
      <c r="G163" s="299">
        <f t="shared" si="27"/>
        <v>11250</v>
      </c>
      <c r="H163" s="60">
        <v>18</v>
      </c>
      <c r="I163" s="302"/>
      <c r="J163" s="311"/>
      <c r="K163" s="302"/>
      <c r="L163" s="60">
        <f t="shared" si="28"/>
        <v>18</v>
      </c>
      <c r="M163" s="299">
        <f t="shared" si="29"/>
        <v>11268</v>
      </c>
      <c r="N163" s="319" t="s">
        <v>737</v>
      </c>
      <c r="O163" s="263" t="s">
        <v>197</v>
      </c>
    </row>
    <row r="164" spans="1:15" ht="13.2" x14ac:dyDescent="0.25">
      <c r="A164" s="16" t="s">
        <v>736</v>
      </c>
      <c r="B164" s="2" t="s">
        <v>1572</v>
      </c>
      <c r="C164" s="2" t="s">
        <v>1249</v>
      </c>
      <c r="D164" s="2">
        <v>5500</v>
      </c>
      <c r="E164" s="2">
        <v>200</v>
      </c>
      <c r="F164" s="60">
        <v>46</v>
      </c>
      <c r="G164" s="299">
        <f t="shared" si="27"/>
        <v>9200</v>
      </c>
      <c r="H164" s="60">
        <v>36</v>
      </c>
      <c r="I164" s="302"/>
      <c r="J164" s="311"/>
      <c r="K164" s="302"/>
      <c r="L164" s="60">
        <f t="shared" si="28"/>
        <v>36</v>
      </c>
      <c r="M164" s="299">
        <f t="shared" si="29"/>
        <v>9236</v>
      </c>
      <c r="N164" s="319" t="s">
        <v>737</v>
      </c>
      <c r="O164" s="263" t="s">
        <v>197</v>
      </c>
    </row>
    <row r="165" spans="1:15" ht="12.75" customHeight="1" x14ac:dyDescent="0.25">
      <c r="A165" s="16" t="s">
        <v>738</v>
      </c>
      <c r="B165" s="2" t="s">
        <v>735</v>
      </c>
      <c r="C165" s="2" t="s">
        <v>1245</v>
      </c>
      <c r="D165" s="2">
        <v>184</v>
      </c>
      <c r="E165" s="2">
        <v>2500</v>
      </c>
      <c r="F165" s="60">
        <v>3.9</v>
      </c>
      <c r="G165" s="299">
        <f t="shared" si="27"/>
        <v>9750</v>
      </c>
      <c r="H165" s="60">
        <v>18</v>
      </c>
      <c r="I165" s="312"/>
      <c r="J165" s="312"/>
      <c r="K165" s="302"/>
      <c r="L165" s="60">
        <f t="shared" si="28"/>
        <v>18</v>
      </c>
      <c r="M165" s="299">
        <f t="shared" si="29"/>
        <v>9768</v>
      </c>
      <c r="N165" s="304" t="s">
        <v>739</v>
      </c>
      <c r="O165" s="304" t="s">
        <v>197</v>
      </c>
    </row>
    <row r="166" spans="1:15" ht="12.75" customHeight="1" x14ac:dyDescent="0.25">
      <c r="A166" s="16" t="s">
        <v>738</v>
      </c>
      <c r="B166" s="2" t="s">
        <v>1572</v>
      </c>
      <c r="C166" s="2" t="s">
        <v>1245</v>
      </c>
      <c r="D166" s="2">
        <v>5200</v>
      </c>
      <c r="E166" s="2">
        <v>200</v>
      </c>
      <c r="F166" s="60">
        <v>62.3</v>
      </c>
      <c r="G166" s="299">
        <f t="shared" si="27"/>
        <v>12460</v>
      </c>
      <c r="H166" s="60">
        <v>36</v>
      </c>
      <c r="I166" s="312"/>
      <c r="J166" s="312"/>
      <c r="K166" s="302"/>
      <c r="L166" s="60">
        <f t="shared" si="28"/>
        <v>36</v>
      </c>
      <c r="M166" s="299">
        <f t="shared" si="29"/>
        <v>12496</v>
      </c>
      <c r="N166" s="304" t="s">
        <v>739</v>
      </c>
      <c r="O166" s="304" t="s">
        <v>197</v>
      </c>
    </row>
    <row r="167" spans="1:15" ht="13.2" x14ac:dyDescent="0.25">
      <c r="A167" s="16" t="s">
        <v>740</v>
      </c>
      <c r="B167" s="2" t="s">
        <v>1572</v>
      </c>
      <c r="C167" s="2" t="s">
        <v>1245</v>
      </c>
      <c r="D167" s="2">
        <v>5100</v>
      </c>
      <c r="E167" s="2">
        <v>400</v>
      </c>
      <c r="F167" s="60">
        <v>52</v>
      </c>
      <c r="G167" s="299">
        <f t="shared" si="27"/>
        <v>20800</v>
      </c>
      <c r="H167" s="60">
        <v>72</v>
      </c>
      <c r="I167" s="322"/>
      <c r="J167" s="311"/>
      <c r="K167" s="302"/>
      <c r="L167" s="60">
        <f t="shared" si="28"/>
        <v>72</v>
      </c>
      <c r="M167" s="299">
        <f t="shared" si="29"/>
        <v>20872</v>
      </c>
      <c r="N167" s="304" t="s">
        <v>741</v>
      </c>
      <c r="O167" s="304" t="s">
        <v>197</v>
      </c>
    </row>
    <row r="168" spans="1:15" ht="13.2" x14ac:dyDescent="0.25">
      <c r="A168" s="16" t="s">
        <v>740</v>
      </c>
      <c r="B168" s="2" t="s">
        <v>1572</v>
      </c>
      <c r="C168" s="2" t="s">
        <v>1249</v>
      </c>
      <c r="D168" s="2">
        <v>5400</v>
      </c>
      <c r="E168" s="2">
        <v>100</v>
      </c>
      <c r="F168" s="60">
        <v>71.95</v>
      </c>
      <c r="G168" s="299">
        <f t="shared" si="27"/>
        <v>7195</v>
      </c>
      <c r="H168" s="60">
        <v>18</v>
      </c>
      <c r="I168" s="320">
        <v>21.25</v>
      </c>
      <c r="J168" s="2">
        <v>44.29</v>
      </c>
      <c r="K168" s="60">
        <v>8</v>
      </c>
      <c r="L168" s="60">
        <f t="shared" si="28"/>
        <v>91.539999999999992</v>
      </c>
      <c r="M168" s="299">
        <f t="shared" si="29"/>
        <v>7286.54</v>
      </c>
      <c r="N168" s="304" t="s">
        <v>741</v>
      </c>
      <c r="O168" s="304" t="s">
        <v>197</v>
      </c>
    </row>
    <row r="169" spans="1:15" ht="12.75" customHeight="1" x14ac:dyDescent="0.25">
      <c r="A169" s="16" t="s">
        <v>743</v>
      </c>
      <c r="B169" s="2" t="s">
        <v>742</v>
      </c>
      <c r="C169" s="2" t="s">
        <v>1249</v>
      </c>
      <c r="D169" s="2">
        <v>27.5</v>
      </c>
      <c r="E169" s="2">
        <v>8000</v>
      </c>
      <c r="F169" s="60">
        <v>1.1000000000000001</v>
      </c>
      <c r="G169" s="299">
        <f>E169*F169</f>
        <v>8800</v>
      </c>
      <c r="H169" s="60">
        <v>9</v>
      </c>
      <c r="I169" s="322"/>
      <c r="J169" s="311"/>
      <c r="K169" s="302"/>
      <c r="L169" s="60">
        <f t="shared" si="28"/>
        <v>9</v>
      </c>
      <c r="M169" s="299">
        <f t="shared" si="29"/>
        <v>8809</v>
      </c>
      <c r="N169" s="304" t="s">
        <v>744</v>
      </c>
      <c r="O169" s="304" t="s">
        <v>197</v>
      </c>
    </row>
    <row r="170" spans="1:15" ht="12.75" customHeight="1" x14ac:dyDescent="0.25">
      <c r="A170" s="16" t="s">
        <v>743</v>
      </c>
      <c r="B170" s="2" t="s">
        <v>742</v>
      </c>
      <c r="C170" s="2" t="s">
        <v>1249</v>
      </c>
      <c r="D170" s="2">
        <v>27.5</v>
      </c>
      <c r="E170" s="2">
        <v>8000</v>
      </c>
      <c r="F170" s="60">
        <v>0.95</v>
      </c>
      <c r="G170" s="299">
        <f>E170*F170</f>
        <v>7600</v>
      </c>
      <c r="H170" s="60">
        <v>9</v>
      </c>
      <c r="I170" s="322"/>
      <c r="J170" s="311"/>
      <c r="K170" s="302"/>
      <c r="L170" s="60">
        <f t="shared" si="28"/>
        <v>9</v>
      </c>
      <c r="M170" s="299">
        <f t="shared" si="29"/>
        <v>7609</v>
      </c>
      <c r="N170" s="319" t="s">
        <v>744</v>
      </c>
      <c r="O170" s="304" t="s">
        <v>197</v>
      </c>
    </row>
    <row r="171" spans="1:15" ht="12.75" customHeight="1" x14ac:dyDescent="0.25">
      <c r="A171" s="16" t="s">
        <v>2397</v>
      </c>
      <c r="B171" s="2" t="s">
        <v>1572</v>
      </c>
      <c r="C171" s="2" t="s">
        <v>1245</v>
      </c>
      <c r="D171" s="2">
        <v>5300</v>
      </c>
      <c r="E171" s="2">
        <v>50</v>
      </c>
      <c r="F171" s="60">
        <v>97.25</v>
      </c>
      <c r="G171" s="299">
        <f t="shared" ref="G171:G234" si="30">E171*F171</f>
        <v>4862.5</v>
      </c>
      <c r="H171" s="60">
        <v>9</v>
      </c>
      <c r="I171" s="307"/>
      <c r="J171" s="307"/>
      <c r="K171" s="302"/>
      <c r="L171" s="60">
        <f t="shared" ref="L171:L176" si="31">SUM(H171:K171)</f>
        <v>9</v>
      </c>
      <c r="M171" s="299">
        <f t="shared" ref="M171:M176" si="32">G171+L171</f>
        <v>4871.5</v>
      </c>
      <c r="N171" s="304" t="s">
        <v>2398</v>
      </c>
      <c r="O171" s="304" t="s">
        <v>197</v>
      </c>
    </row>
    <row r="172" spans="1:15" ht="12.75" customHeight="1" x14ac:dyDescent="0.25">
      <c r="A172" s="16" t="s">
        <v>2397</v>
      </c>
      <c r="B172" s="2" t="s">
        <v>1572</v>
      </c>
      <c r="C172" s="2" t="s">
        <v>1245</v>
      </c>
      <c r="D172" s="2">
        <v>5300</v>
      </c>
      <c r="E172" s="2">
        <v>100</v>
      </c>
      <c r="F172" s="60">
        <v>97.3</v>
      </c>
      <c r="G172" s="299">
        <f t="shared" si="30"/>
        <v>9730</v>
      </c>
      <c r="H172" s="60">
        <v>18</v>
      </c>
      <c r="I172" s="307"/>
      <c r="J172" s="307"/>
      <c r="K172" s="302"/>
      <c r="L172" s="60">
        <f t="shared" si="31"/>
        <v>18</v>
      </c>
      <c r="M172" s="299">
        <f t="shared" si="32"/>
        <v>9748</v>
      </c>
      <c r="N172" s="304" t="s">
        <v>2398</v>
      </c>
      <c r="O172" s="304" t="s">
        <v>197</v>
      </c>
    </row>
    <row r="173" spans="1:15" ht="12.75" customHeight="1" x14ac:dyDescent="0.25">
      <c r="A173" s="16" t="s">
        <v>2397</v>
      </c>
      <c r="B173" s="2" t="s">
        <v>1572</v>
      </c>
      <c r="C173" s="2" t="s">
        <v>1245</v>
      </c>
      <c r="D173" s="2">
        <v>5300</v>
      </c>
      <c r="E173" s="2">
        <v>100</v>
      </c>
      <c r="F173" s="60">
        <v>99.9</v>
      </c>
      <c r="G173" s="299">
        <f t="shared" si="30"/>
        <v>9990</v>
      </c>
      <c r="H173" s="60">
        <v>18</v>
      </c>
      <c r="I173" s="307"/>
      <c r="J173" s="307"/>
      <c r="K173" s="302"/>
      <c r="L173" s="60">
        <f t="shared" si="31"/>
        <v>18</v>
      </c>
      <c r="M173" s="299">
        <f t="shared" si="32"/>
        <v>10008</v>
      </c>
      <c r="N173" s="304" t="s">
        <v>2398</v>
      </c>
      <c r="O173" s="304" t="s">
        <v>197</v>
      </c>
    </row>
    <row r="174" spans="1:15" ht="12.75" customHeight="1" x14ac:dyDescent="0.25">
      <c r="A174" s="16" t="s">
        <v>2397</v>
      </c>
      <c r="B174" s="2" t="s">
        <v>1572</v>
      </c>
      <c r="C174" s="2" t="s">
        <v>1245</v>
      </c>
      <c r="D174" s="2">
        <v>5300</v>
      </c>
      <c r="E174" s="2">
        <v>50</v>
      </c>
      <c r="F174" s="60">
        <v>82.6</v>
      </c>
      <c r="G174" s="299">
        <f t="shared" si="30"/>
        <v>4130</v>
      </c>
      <c r="H174" s="60">
        <v>9</v>
      </c>
      <c r="I174" s="307"/>
      <c r="J174" s="307"/>
      <c r="K174" s="302"/>
      <c r="L174" s="60">
        <f t="shared" si="31"/>
        <v>9</v>
      </c>
      <c r="M174" s="299">
        <f t="shared" si="32"/>
        <v>4139</v>
      </c>
      <c r="N174" s="304" t="s">
        <v>2398</v>
      </c>
      <c r="O174" s="304" t="s">
        <v>197</v>
      </c>
    </row>
    <row r="175" spans="1:15" ht="12.75" customHeight="1" x14ac:dyDescent="0.25">
      <c r="A175" s="16" t="s">
        <v>2397</v>
      </c>
      <c r="B175" s="2" t="s">
        <v>1572</v>
      </c>
      <c r="C175" s="2" t="s">
        <v>1245</v>
      </c>
      <c r="D175" s="2">
        <v>5300</v>
      </c>
      <c r="E175" s="2">
        <v>50</v>
      </c>
      <c r="F175" s="60">
        <v>82.6</v>
      </c>
      <c r="G175" s="299">
        <f t="shared" si="30"/>
        <v>4130</v>
      </c>
      <c r="H175" s="60">
        <v>9</v>
      </c>
      <c r="I175" s="307"/>
      <c r="J175" s="307"/>
      <c r="K175" s="302"/>
      <c r="L175" s="60">
        <f t="shared" si="31"/>
        <v>9</v>
      </c>
      <c r="M175" s="299">
        <f t="shared" si="32"/>
        <v>4139</v>
      </c>
      <c r="N175" s="304" t="s">
        <v>2398</v>
      </c>
      <c r="O175" s="304" t="s">
        <v>197</v>
      </c>
    </row>
    <row r="176" spans="1:15" ht="12.75" customHeight="1" x14ac:dyDescent="0.25">
      <c r="A176" s="16" t="s">
        <v>2397</v>
      </c>
      <c r="B176" s="2" t="s">
        <v>1572</v>
      </c>
      <c r="C176" s="2" t="s">
        <v>1245</v>
      </c>
      <c r="D176" s="2">
        <v>5300</v>
      </c>
      <c r="E176" s="2">
        <v>100</v>
      </c>
      <c r="F176" s="60">
        <v>83.7</v>
      </c>
      <c r="G176" s="299">
        <f t="shared" si="30"/>
        <v>8370</v>
      </c>
      <c r="H176" s="60">
        <v>18</v>
      </c>
      <c r="I176" s="307"/>
      <c r="J176" s="307"/>
      <c r="K176" s="302"/>
      <c r="L176" s="60">
        <f t="shared" si="31"/>
        <v>18</v>
      </c>
      <c r="M176" s="299">
        <f t="shared" si="32"/>
        <v>8388</v>
      </c>
      <c r="N176" s="304" t="s">
        <v>2398</v>
      </c>
      <c r="O176" s="304" t="s">
        <v>197</v>
      </c>
    </row>
    <row r="177" spans="1:18" ht="13.2" x14ac:dyDescent="0.25">
      <c r="A177" s="16" t="s">
        <v>2401</v>
      </c>
      <c r="B177" s="2" t="s">
        <v>1572</v>
      </c>
      <c r="C177" s="2" t="s">
        <v>1245</v>
      </c>
      <c r="D177" s="2">
        <v>5100</v>
      </c>
      <c r="E177" s="2">
        <v>100</v>
      </c>
      <c r="F177" s="60">
        <v>33.299999999999997</v>
      </c>
      <c r="G177" s="299">
        <f t="shared" si="30"/>
        <v>3329.9999999999995</v>
      </c>
      <c r="H177" s="60">
        <v>18</v>
      </c>
      <c r="I177" s="316"/>
      <c r="J177" s="316"/>
      <c r="K177" s="302"/>
      <c r="L177" s="60">
        <f t="shared" ref="L177:L205" si="33">SUM(H177:K177)</f>
        <v>18</v>
      </c>
      <c r="M177" s="299">
        <f t="shared" ref="M177:M205" si="34">G177+L177</f>
        <v>3347.9999999999995</v>
      </c>
      <c r="N177" s="304" t="s">
        <v>2402</v>
      </c>
      <c r="O177" s="304" t="s">
        <v>197</v>
      </c>
      <c r="Q177" s="247"/>
      <c r="R177" s="247"/>
    </row>
    <row r="178" spans="1:18" ht="13.2" x14ac:dyDescent="0.25">
      <c r="A178" s="16" t="s">
        <v>2401</v>
      </c>
      <c r="B178" s="2" t="s">
        <v>1572</v>
      </c>
      <c r="C178" s="2" t="s">
        <v>1245</v>
      </c>
      <c r="D178" s="2">
        <v>5100</v>
      </c>
      <c r="E178" s="2">
        <v>50</v>
      </c>
      <c r="F178" s="60">
        <v>33.299999999999997</v>
      </c>
      <c r="G178" s="299">
        <f t="shared" si="30"/>
        <v>1664.9999999999998</v>
      </c>
      <c r="H178" s="60">
        <v>9</v>
      </c>
      <c r="I178" s="316"/>
      <c r="J178" s="316"/>
      <c r="K178" s="316"/>
      <c r="L178" s="60">
        <f t="shared" si="33"/>
        <v>9</v>
      </c>
      <c r="M178" s="299">
        <f t="shared" si="34"/>
        <v>1673.9999999999998</v>
      </c>
      <c r="N178" s="304" t="s">
        <v>2402</v>
      </c>
      <c r="O178" s="304" t="s">
        <v>197</v>
      </c>
      <c r="Q178" s="247"/>
    </row>
    <row r="179" spans="1:18" ht="12.75" customHeight="1" x14ac:dyDescent="0.25">
      <c r="A179" s="16" t="s">
        <v>2401</v>
      </c>
      <c r="B179" s="2" t="s">
        <v>742</v>
      </c>
      <c r="C179" s="2" t="s">
        <v>1249</v>
      </c>
      <c r="D179" s="2">
        <v>27.5</v>
      </c>
      <c r="E179" s="2">
        <v>8000</v>
      </c>
      <c r="F179" s="60">
        <v>1.2</v>
      </c>
      <c r="G179" s="299">
        <f t="shared" si="30"/>
        <v>9600</v>
      </c>
      <c r="H179" s="60">
        <v>9</v>
      </c>
      <c r="I179" s="324"/>
      <c r="J179" s="324"/>
      <c r="K179" s="302"/>
      <c r="L179" s="60">
        <f t="shared" si="33"/>
        <v>9</v>
      </c>
      <c r="M179" s="299">
        <f t="shared" si="34"/>
        <v>9609</v>
      </c>
      <c r="N179" s="304" t="s">
        <v>2402</v>
      </c>
      <c r="O179" s="304" t="s">
        <v>197</v>
      </c>
    </row>
    <row r="180" spans="1:18" ht="12.75" customHeight="1" x14ac:dyDescent="0.25">
      <c r="A180" s="16" t="s">
        <v>2405</v>
      </c>
      <c r="B180" s="2" t="s">
        <v>1572</v>
      </c>
      <c r="C180" s="2" t="s">
        <v>1249</v>
      </c>
      <c r="D180" s="2">
        <v>5200</v>
      </c>
      <c r="E180" s="2">
        <v>150</v>
      </c>
      <c r="F180" s="60">
        <v>82.35</v>
      </c>
      <c r="G180" s="299">
        <f t="shared" si="30"/>
        <v>12352.5</v>
      </c>
      <c r="H180" s="60">
        <v>27</v>
      </c>
      <c r="I180" s="324"/>
      <c r="J180" s="324"/>
      <c r="K180" s="302"/>
      <c r="L180" s="60">
        <f t="shared" si="33"/>
        <v>27</v>
      </c>
      <c r="M180" s="299">
        <f t="shared" si="34"/>
        <v>12379.5</v>
      </c>
      <c r="N180" s="304" t="s">
        <v>2406</v>
      </c>
      <c r="O180" s="304" t="s">
        <v>197</v>
      </c>
    </row>
    <row r="181" spans="1:18" ht="12.75" customHeight="1" x14ac:dyDescent="0.25">
      <c r="A181" s="16" t="s">
        <v>2405</v>
      </c>
      <c r="B181" s="2" t="s">
        <v>1572</v>
      </c>
      <c r="C181" s="2" t="s">
        <v>1249</v>
      </c>
      <c r="D181" s="2">
        <v>5200</v>
      </c>
      <c r="E181" s="2">
        <v>50</v>
      </c>
      <c r="F181" s="60">
        <v>82.35</v>
      </c>
      <c r="G181" s="299">
        <f t="shared" si="30"/>
        <v>4117.5</v>
      </c>
      <c r="H181" s="60">
        <v>9</v>
      </c>
      <c r="I181" s="324"/>
      <c r="J181" s="324"/>
      <c r="K181" s="302"/>
      <c r="L181" s="60">
        <f t="shared" si="33"/>
        <v>9</v>
      </c>
      <c r="M181" s="299">
        <f t="shared" si="34"/>
        <v>4126.5</v>
      </c>
      <c r="N181" s="304" t="s">
        <v>2406</v>
      </c>
      <c r="O181" s="304" t="s">
        <v>197</v>
      </c>
    </row>
    <row r="182" spans="1:18" ht="12.75" customHeight="1" x14ac:dyDescent="0.25">
      <c r="A182" s="16" t="s">
        <v>2405</v>
      </c>
      <c r="B182" s="2" t="s">
        <v>1572</v>
      </c>
      <c r="C182" s="2" t="s">
        <v>1249</v>
      </c>
      <c r="D182" s="2">
        <v>5200</v>
      </c>
      <c r="E182" s="2">
        <v>100</v>
      </c>
      <c r="F182" s="60">
        <v>79</v>
      </c>
      <c r="G182" s="299">
        <f t="shared" si="30"/>
        <v>7900</v>
      </c>
      <c r="H182" s="60">
        <v>18</v>
      </c>
      <c r="I182" s="324"/>
      <c r="J182" s="324"/>
      <c r="K182" s="302"/>
      <c r="L182" s="60">
        <f t="shared" si="33"/>
        <v>18</v>
      </c>
      <c r="M182" s="299">
        <f t="shared" si="34"/>
        <v>7918</v>
      </c>
      <c r="N182" s="304" t="s">
        <v>2406</v>
      </c>
      <c r="O182" s="304" t="s">
        <v>197</v>
      </c>
    </row>
    <row r="183" spans="1:18" ht="12.75" customHeight="1" x14ac:dyDescent="0.25">
      <c r="A183" s="16" t="s">
        <v>2405</v>
      </c>
      <c r="B183" s="2" t="s">
        <v>1572</v>
      </c>
      <c r="C183" s="2" t="s">
        <v>1249</v>
      </c>
      <c r="D183" s="2">
        <v>5200</v>
      </c>
      <c r="E183" s="2">
        <v>150</v>
      </c>
      <c r="F183" s="60">
        <v>81.849999999999994</v>
      </c>
      <c r="G183" s="299">
        <f t="shared" si="30"/>
        <v>12277.5</v>
      </c>
      <c r="H183" s="60">
        <v>27</v>
      </c>
      <c r="I183" s="320">
        <v>15.87</v>
      </c>
      <c r="J183" s="320">
        <v>37.1</v>
      </c>
      <c r="K183" s="60">
        <v>5</v>
      </c>
      <c r="L183" s="60">
        <f t="shared" si="33"/>
        <v>84.97</v>
      </c>
      <c r="M183" s="299">
        <f t="shared" si="34"/>
        <v>12362.47</v>
      </c>
      <c r="N183" s="304" t="s">
        <v>2406</v>
      </c>
      <c r="O183" s="304" t="s">
        <v>197</v>
      </c>
    </row>
    <row r="184" spans="1:18" ht="12.75" customHeight="1" x14ac:dyDescent="0.25">
      <c r="A184" s="16" t="s">
        <v>2408</v>
      </c>
      <c r="B184" s="2" t="s">
        <v>1572</v>
      </c>
      <c r="C184" s="2" t="s">
        <v>1245</v>
      </c>
      <c r="D184" s="2">
        <v>5200</v>
      </c>
      <c r="E184" s="2">
        <v>50</v>
      </c>
      <c r="F184" s="60">
        <v>72.8</v>
      </c>
      <c r="G184" s="299">
        <f t="shared" si="30"/>
        <v>3640</v>
      </c>
      <c r="H184" s="60">
        <v>9</v>
      </c>
      <c r="I184" s="312"/>
      <c r="J184" s="312"/>
      <c r="K184" s="302"/>
      <c r="L184" s="60">
        <f t="shared" si="33"/>
        <v>9</v>
      </c>
      <c r="M184" s="299">
        <f t="shared" si="34"/>
        <v>3649</v>
      </c>
      <c r="N184" s="304" t="s">
        <v>2407</v>
      </c>
      <c r="O184" s="304" t="s">
        <v>197</v>
      </c>
    </row>
    <row r="185" spans="1:18" ht="12.75" customHeight="1" x14ac:dyDescent="0.25">
      <c r="A185" s="16" t="s">
        <v>2408</v>
      </c>
      <c r="B185" s="2" t="s">
        <v>1572</v>
      </c>
      <c r="C185" s="2" t="s">
        <v>1245</v>
      </c>
      <c r="D185" s="2">
        <v>5200</v>
      </c>
      <c r="E185" s="2">
        <v>300</v>
      </c>
      <c r="F185" s="60">
        <v>72.8</v>
      </c>
      <c r="G185" s="299">
        <f t="shared" si="30"/>
        <v>21840</v>
      </c>
      <c r="H185" s="60">
        <v>54</v>
      </c>
      <c r="I185" s="312"/>
      <c r="J185" s="312"/>
      <c r="K185" s="302"/>
      <c r="L185" s="60">
        <f t="shared" si="33"/>
        <v>54</v>
      </c>
      <c r="M185" s="299">
        <f t="shared" si="34"/>
        <v>21894</v>
      </c>
      <c r="N185" s="304" t="s">
        <v>2407</v>
      </c>
      <c r="O185" s="304" t="s">
        <v>197</v>
      </c>
    </row>
    <row r="186" spans="1:18" ht="12.75" customHeight="1" x14ac:dyDescent="0.25">
      <c r="A186" s="16" t="s">
        <v>2408</v>
      </c>
      <c r="B186" s="2" t="s">
        <v>1572</v>
      </c>
      <c r="C186" s="2" t="s">
        <v>1245</v>
      </c>
      <c r="D186" s="2">
        <v>5200</v>
      </c>
      <c r="E186" s="2">
        <v>100</v>
      </c>
      <c r="F186" s="60">
        <v>72.8</v>
      </c>
      <c r="G186" s="299">
        <f t="shared" si="30"/>
        <v>7280</v>
      </c>
      <c r="H186" s="60">
        <v>18</v>
      </c>
      <c r="I186" s="312"/>
      <c r="J186" s="312"/>
      <c r="K186" s="302"/>
      <c r="L186" s="60">
        <f t="shared" si="33"/>
        <v>18</v>
      </c>
      <c r="M186" s="299">
        <f t="shared" si="34"/>
        <v>7298</v>
      </c>
      <c r="N186" s="304" t="s">
        <v>2407</v>
      </c>
      <c r="O186" s="304" t="s">
        <v>197</v>
      </c>
    </row>
    <row r="187" spans="1:18" ht="12.75" customHeight="1" x14ac:dyDescent="0.25">
      <c r="A187" s="16" t="s">
        <v>2408</v>
      </c>
      <c r="B187" s="2" t="s">
        <v>1572</v>
      </c>
      <c r="C187" s="2" t="s">
        <v>1245</v>
      </c>
      <c r="D187" s="2">
        <v>5200</v>
      </c>
      <c r="E187" s="2">
        <v>50</v>
      </c>
      <c r="F187" s="60">
        <v>72.8</v>
      </c>
      <c r="G187" s="299">
        <f t="shared" si="30"/>
        <v>3640</v>
      </c>
      <c r="H187" s="60">
        <v>9</v>
      </c>
      <c r="I187" s="247">
        <v>23.33</v>
      </c>
      <c r="J187" s="247">
        <v>55.56</v>
      </c>
      <c r="K187" s="60">
        <v>9</v>
      </c>
      <c r="L187" s="60">
        <f t="shared" si="33"/>
        <v>96.89</v>
      </c>
      <c r="M187" s="299">
        <f t="shared" si="34"/>
        <v>3736.89</v>
      </c>
      <c r="N187" s="304" t="s">
        <v>2407</v>
      </c>
      <c r="O187" s="304" t="s">
        <v>197</v>
      </c>
    </row>
    <row r="188" spans="1:18" ht="13.2" x14ac:dyDescent="0.25">
      <c r="A188" s="16" t="s">
        <v>2409</v>
      </c>
      <c r="B188" s="2" t="s">
        <v>1572</v>
      </c>
      <c r="C188" s="2" t="s">
        <v>1249</v>
      </c>
      <c r="D188" s="2">
        <v>5100</v>
      </c>
      <c r="E188" s="2">
        <v>50</v>
      </c>
      <c r="F188" s="60">
        <v>75.3</v>
      </c>
      <c r="G188" s="299">
        <f t="shared" si="30"/>
        <v>3765</v>
      </c>
      <c r="H188" s="60">
        <v>9</v>
      </c>
      <c r="I188" s="312"/>
      <c r="J188" s="312"/>
      <c r="K188" s="302"/>
      <c r="L188" s="60">
        <f t="shared" si="33"/>
        <v>9</v>
      </c>
      <c r="M188" s="299">
        <f t="shared" si="34"/>
        <v>3774</v>
      </c>
      <c r="N188" s="304" t="s">
        <v>2410</v>
      </c>
      <c r="O188" s="304" t="s">
        <v>197</v>
      </c>
      <c r="Q188" s="247"/>
      <c r="R188" s="247"/>
    </row>
    <row r="189" spans="1:18" ht="12.75" customHeight="1" x14ac:dyDescent="0.25">
      <c r="A189" s="16" t="s">
        <v>2409</v>
      </c>
      <c r="B189" s="2" t="s">
        <v>1572</v>
      </c>
      <c r="C189" s="2" t="s">
        <v>1249</v>
      </c>
      <c r="D189" s="2">
        <v>5100</v>
      </c>
      <c r="E189" s="2">
        <v>100</v>
      </c>
      <c r="F189" s="60">
        <v>75.3</v>
      </c>
      <c r="G189" s="299">
        <f t="shared" si="30"/>
        <v>7530</v>
      </c>
      <c r="H189" s="60">
        <v>18</v>
      </c>
      <c r="I189" s="312"/>
      <c r="J189" s="312"/>
      <c r="K189" s="302"/>
      <c r="L189" s="60">
        <f t="shared" si="33"/>
        <v>18</v>
      </c>
      <c r="M189" s="299">
        <f t="shared" si="34"/>
        <v>7548</v>
      </c>
      <c r="N189" s="304" t="s">
        <v>2410</v>
      </c>
      <c r="O189" s="304" t="s">
        <v>197</v>
      </c>
    </row>
    <row r="190" spans="1:18" ht="12.75" customHeight="1" x14ac:dyDescent="0.25">
      <c r="A190" s="16" t="s">
        <v>2409</v>
      </c>
      <c r="B190" s="2" t="s">
        <v>1572</v>
      </c>
      <c r="C190" s="2" t="s">
        <v>1249</v>
      </c>
      <c r="D190" s="2">
        <v>5100</v>
      </c>
      <c r="E190" s="2">
        <v>50</v>
      </c>
      <c r="F190" s="60">
        <v>75.3</v>
      </c>
      <c r="G190" s="299">
        <f t="shared" si="30"/>
        <v>3765</v>
      </c>
      <c r="H190" s="60">
        <v>9</v>
      </c>
      <c r="I190" s="312"/>
      <c r="J190" s="312"/>
      <c r="K190" s="302"/>
      <c r="L190" s="60">
        <f t="shared" si="33"/>
        <v>9</v>
      </c>
      <c r="M190" s="299">
        <f t="shared" si="34"/>
        <v>3774</v>
      </c>
      <c r="N190" s="304" t="s">
        <v>2410</v>
      </c>
      <c r="O190" s="304" t="s">
        <v>197</v>
      </c>
    </row>
    <row r="191" spans="1:18" ht="12.75" customHeight="1" x14ac:dyDescent="0.25">
      <c r="A191" s="16" t="s">
        <v>2409</v>
      </c>
      <c r="B191" s="2" t="s">
        <v>1572</v>
      </c>
      <c r="C191" s="2" t="s">
        <v>1249</v>
      </c>
      <c r="D191" s="2">
        <v>5100</v>
      </c>
      <c r="E191" s="2">
        <v>100</v>
      </c>
      <c r="F191" s="60">
        <v>64.150000000000006</v>
      </c>
      <c r="G191" s="299">
        <f t="shared" si="30"/>
        <v>6415.0000000000009</v>
      </c>
      <c r="H191" s="60">
        <v>18</v>
      </c>
      <c r="I191" s="312"/>
      <c r="J191" s="312"/>
      <c r="K191" s="302"/>
      <c r="L191" s="60">
        <f t="shared" si="33"/>
        <v>18</v>
      </c>
      <c r="M191" s="299">
        <f t="shared" si="34"/>
        <v>6433.0000000000009</v>
      </c>
      <c r="N191" s="304" t="s">
        <v>2410</v>
      </c>
      <c r="O191" s="304" t="s">
        <v>197</v>
      </c>
    </row>
    <row r="192" spans="1:18" ht="12.75" customHeight="1" x14ac:dyDescent="0.25">
      <c r="A192" s="16" t="s">
        <v>2409</v>
      </c>
      <c r="B192" s="2" t="s">
        <v>1572</v>
      </c>
      <c r="C192" s="2" t="s">
        <v>1249</v>
      </c>
      <c r="D192" s="2">
        <v>5100</v>
      </c>
      <c r="E192" s="2">
        <v>100</v>
      </c>
      <c r="F192" s="60">
        <v>64.2</v>
      </c>
      <c r="G192" s="299">
        <f t="shared" si="30"/>
        <v>6420</v>
      </c>
      <c r="H192" s="60">
        <v>18</v>
      </c>
      <c r="I192" s="320">
        <v>22.72</v>
      </c>
      <c r="J192" s="304">
        <v>58.5</v>
      </c>
      <c r="K192" s="60">
        <v>11</v>
      </c>
      <c r="L192" s="60">
        <f t="shared" si="33"/>
        <v>110.22</v>
      </c>
      <c r="M192" s="299">
        <f t="shared" si="34"/>
        <v>6530.22</v>
      </c>
      <c r="N192" s="304" t="s">
        <v>2410</v>
      </c>
      <c r="O192" s="304" t="s">
        <v>197</v>
      </c>
    </row>
    <row r="193" spans="1:18" ht="12.75" customHeight="1" x14ac:dyDescent="0.25">
      <c r="A193" s="16" t="s">
        <v>2412</v>
      </c>
      <c r="B193" s="2" t="s">
        <v>1572</v>
      </c>
      <c r="C193" s="2" t="s">
        <v>1249</v>
      </c>
      <c r="D193" s="2">
        <v>5000</v>
      </c>
      <c r="E193" s="2">
        <v>200</v>
      </c>
      <c r="F193" s="60">
        <v>110</v>
      </c>
      <c r="G193" s="299">
        <f t="shared" si="30"/>
        <v>22000</v>
      </c>
      <c r="H193" s="60">
        <v>36</v>
      </c>
      <c r="I193" s="312"/>
      <c r="J193" s="312"/>
      <c r="K193" s="302"/>
      <c r="L193" s="60">
        <f t="shared" si="33"/>
        <v>36</v>
      </c>
      <c r="M193" s="299">
        <f t="shared" si="34"/>
        <v>22036</v>
      </c>
      <c r="N193" s="304" t="s">
        <v>2411</v>
      </c>
      <c r="O193" s="304" t="s">
        <v>197</v>
      </c>
    </row>
    <row r="194" spans="1:18" ht="12.75" customHeight="1" x14ac:dyDescent="0.25">
      <c r="A194" s="16" t="s">
        <v>2412</v>
      </c>
      <c r="B194" s="2" t="s">
        <v>1572</v>
      </c>
      <c r="C194" s="2" t="s">
        <v>1249</v>
      </c>
      <c r="D194" s="2">
        <v>5000</v>
      </c>
      <c r="E194" s="2">
        <v>100</v>
      </c>
      <c r="F194" s="60">
        <v>108</v>
      </c>
      <c r="G194" s="299">
        <f t="shared" si="30"/>
        <v>10800</v>
      </c>
      <c r="H194" s="60">
        <v>18</v>
      </c>
      <c r="I194" s="312"/>
      <c r="J194" s="312"/>
      <c r="K194" s="302"/>
      <c r="L194" s="60">
        <f t="shared" si="33"/>
        <v>18</v>
      </c>
      <c r="M194" s="299">
        <f t="shared" si="34"/>
        <v>10818</v>
      </c>
      <c r="N194" s="304" t="s">
        <v>2411</v>
      </c>
      <c r="O194" s="304" t="s">
        <v>197</v>
      </c>
    </row>
    <row r="195" spans="1:18" ht="13.2" x14ac:dyDescent="0.25">
      <c r="A195" s="16" t="s">
        <v>2412</v>
      </c>
      <c r="B195" s="2" t="s">
        <v>1572</v>
      </c>
      <c r="C195" s="2" t="s">
        <v>1249</v>
      </c>
      <c r="D195" s="2">
        <v>5000</v>
      </c>
      <c r="E195" s="2">
        <v>200</v>
      </c>
      <c r="F195" s="60">
        <v>79</v>
      </c>
      <c r="G195" s="299">
        <f t="shared" si="30"/>
        <v>15800</v>
      </c>
      <c r="H195" s="60">
        <v>36</v>
      </c>
      <c r="I195" s="312"/>
      <c r="J195" s="312"/>
      <c r="K195" s="302"/>
      <c r="L195" s="60">
        <f t="shared" si="33"/>
        <v>36</v>
      </c>
      <c r="M195" s="299">
        <f t="shared" si="34"/>
        <v>15836</v>
      </c>
      <c r="N195" s="304" t="s">
        <v>2411</v>
      </c>
      <c r="O195" s="304" t="s">
        <v>197</v>
      </c>
      <c r="Q195" s="247"/>
      <c r="R195" s="247"/>
    </row>
    <row r="196" spans="1:18" ht="13.2" x14ac:dyDescent="0.25">
      <c r="A196" s="16" t="s">
        <v>2414</v>
      </c>
      <c r="B196" s="2" t="s">
        <v>2413</v>
      </c>
      <c r="C196" s="2" t="s">
        <v>1245</v>
      </c>
      <c r="D196" s="2">
        <v>2750</v>
      </c>
      <c r="E196" s="2">
        <v>250</v>
      </c>
      <c r="F196" s="60">
        <v>44</v>
      </c>
      <c r="G196" s="299">
        <f t="shared" si="30"/>
        <v>11000</v>
      </c>
      <c r="H196" s="60">
        <v>18</v>
      </c>
      <c r="I196" s="307"/>
      <c r="J196" s="307"/>
      <c r="K196" s="316"/>
      <c r="L196" s="60">
        <f t="shared" si="33"/>
        <v>18</v>
      </c>
      <c r="M196" s="299">
        <f t="shared" si="34"/>
        <v>11018</v>
      </c>
      <c r="N196" s="304" t="s">
        <v>2415</v>
      </c>
      <c r="O196" s="304" t="s">
        <v>197</v>
      </c>
      <c r="Q196" s="247"/>
    </row>
    <row r="197" spans="1:18" ht="12.75" customHeight="1" x14ac:dyDescent="0.25">
      <c r="A197" s="16" t="s">
        <v>2414</v>
      </c>
      <c r="B197" s="2" t="s">
        <v>1572</v>
      </c>
      <c r="C197" s="2" t="s">
        <v>1249</v>
      </c>
      <c r="D197" s="2">
        <v>5100</v>
      </c>
      <c r="E197" s="2">
        <v>800</v>
      </c>
      <c r="F197" s="60">
        <v>40.25</v>
      </c>
      <c r="G197" s="299">
        <f t="shared" si="30"/>
        <v>32200</v>
      </c>
      <c r="H197" s="60">
        <v>144</v>
      </c>
      <c r="I197" s="307"/>
      <c r="J197" s="307"/>
      <c r="K197" s="302"/>
      <c r="L197" s="60">
        <f t="shared" si="33"/>
        <v>144</v>
      </c>
      <c r="M197" s="299">
        <f t="shared" si="34"/>
        <v>32344</v>
      </c>
      <c r="N197" s="304" t="s">
        <v>2415</v>
      </c>
      <c r="O197" s="304" t="s">
        <v>197</v>
      </c>
    </row>
    <row r="198" spans="1:18" ht="12.75" customHeight="1" x14ac:dyDescent="0.25">
      <c r="A198" s="16" t="s">
        <v>2414</v>
      </c>
      <c r="B198" s="2" t="s">
        <v>2413</v>
      </c>
      <c r="C198" s="2" t="s">
        <v>1245</v>
      </c>
      <c r="D198" s="2">
        <v>2750</v>
      </c>
      <c r="E198" s="2">
        <v>125</v>
      </c>
      <c r="F198" s="60">
        <v>40</v>
      </c>
      <c r="G198" s="299">
        <f t="shared" si="30"/>
        <v>5000</v>
      </c>
      <c r="H198" s="60">
        <v>9</v>
      </c>
      <c r="I198" s="307"/>
      <c r="J198" s="307"/>
      <c r="K198" s="302"/>
      <c r="L198" s="60">
        <f t="shared" si="33"/>
        <v>9</v>
      </c>
      <c r="M198" s="299">
        <f t="shared" si="34"/>
        <v>5009</v>
      </c>
      <c r="N198" s="304" t="s">
        <v>2415</v>
      </c>
      <c r="O198" s="304" t="s">
        <v>197</v>
      </c>
    </row>
    <row r="199" spans="1:18" ht="12.75" customHeight="1" x14ac:dyDescent="0.25">
      <c r="A199" s="16" t="s">
        <v>2419</v>
      </c>
      <c r="B199" s="2" t="s">
        <v>1572</v>
      </c>
      <c r="C199" s="2" t="s">
        <v>1249</v>
      </c>
      <c r="D199" s="2">
        <v>4700</v>
      </c>
      <c r="E199" s="2">
        <v>100</v>
      </c>
      <c r="F199" s="60">
        <v>117.9</v>
      </c>
      <c r="G199" s="299">
        <f t="shared" si="30"/>
        <v>11790</v>
      </c>
      <c r="H199" s="60">
        <v>18</v>
      </c>
      <c r="I199" s="312"/>
      <c r="J199" s="312"/>
      <c r="K199" s="312"/>
      <c r="L199" s="60">
        <f t="shared" si="33"/>
        <v>18</v>
      </c>
      <c r="M199" s="299">
        <f t="shared" si="34"/>
        <v>11808</v>
      </c>
      <c r="N199" s="304" t="s">
        <v>2420</v>
      </c>
      <c r="O199" s="304" t="s">
        <v>197</v>
      </c>
    </row>
    <row r="200" spans="1:18" ht="12.75" customHeight="1" x14ac:dyDescent="0.25">
      <c r="A200" s="16" t="s">
        <v>2419</v>
      </c>
      <c r="B200" s="2" t="s">
        <v>1572</v>
      </c>
      <c r="C200" s="2" t="s">
        <v>1249</v>
      </c>
      <c r="D200" s="2">
        <v>4700</v>
      </c>
      <c r="E200" s="2">
        <v>100</v>
      </c>
      <c r="F200" s="60">
        <v>103</v>
      </c>
      <c r="G200" s="299">
        <f t="shared" si="30"/>
        <v>10300</v>
      </c>
      <c r="H200" s="60">
        <v>18</v>
      </c>
      <c r="I200" s="247">
        <v>5.33</v>
      </c>
      <c r="J200" s="320">
        <v>15.68</v>
      </c>
      <c r="K200" s="224">
        <v>1</v>
      </c>
      <c r="L200" s="60">
        <f t="shared" si="33"/>
        <v>40.01</v>
      </c>
      <c r="M200" s="299">
        <f t="shared" si="34"/>
        <v>10340.01</v>
      </c>
      <c r="N200" s="304" t="s">
        <v>2420</v>
      </c>
      <c r="O200" s="304" t="s">
        <v>197</v>
      </c>
    </row>
    <row r="201" spans="1:18" ht="12.75" customHeight="1" x14ac:dyDescent="0.25">
      <c r="A201" s="16" t="s">
        <v>2422</v>
      </c>
      <c r="B201" s="2" t="s">
        <v>1572</v>
      </c>
      <c r="C201" s="2" t="s">
        <v>1245</v>
      </c>
      <c r="D201" s="2">
        <v>4900</v>
      </c>
      <c r="E201" s="2">
        <v>50</v>
      </c>
      <c r="F201" s="60">
        <v>92.9</v>
      </c>
      <c r="G201" s="299">
        <f t="shared" si="30"/>
        <v>4645</v>
      </c>
      <c r="H201" s="60">
        <v>9</v>
      </c>
      <c r="I201" s="316"/>
      <c r="J201" s="316"/>
      <c r="K201" s="302"/>
      <c r="L201" s="60">
        <f t="shared" si="33"/>
        <v>9</v>
      </c>
      <c r="M201" s="299">
        <f t="shared" si="34"/>
        <v>4654</v>
      </c>
      <c r="N201" s="304" t="s">
        <v>2421</v>
      </c>
      <c r="O201" s="304" t="s">
        <v>197</v>
      </c>
    </row>
    <row r="202" spans="1:18" ht="12.75" customHeight="1" x14ac:dyDescent="0.25">
      <c r="A202" s="16" t="s">
        <v>2422</v>
      </c>
      <c r="B202" s="2" t="s">
        <v>1572</v>
      </c>
      <c r="C202" s="2" t="s">
        <v>1245</v>
      </c>
      <c r="D202" s="2">
        <v>4900</v>
      </c>
      <c r="E202" s="2">
        <v>50</v>
      </c>
      <c r="F202" s="60">
        <v>92.9</v>
      </c>
      <c r="G202" s="299">
        <f t="shared" si="30"/>
        <v>4645</v>
      </c>
      <c r="H202" s="60">
        <v>9</v>
      </c>
      <c r="I202" s="312"/>
      <c r="J202" s="307"/>
      <c r="K202" s="302"/>
      <c r="L202" s="60">
        <f t="shared" si="33"/>
        <v>9</v>
      </c>
      <c r="M202" s="299">
        <f t="shared" si="34"/>
        <v>4654</v>
      </c>
      <c r="N202" s="304" t="s">
        <v>2421</v>
      </c>
      <c r="O202" s="304" t="s">
        <v>197</v>
      </c>
    </row>
    <row r="203" spans="1:18" ht="12.75" customHeight="1" x14ac:dyDescent="0.25">
      <c r="A203" s="16" t="s">
        <v>2422</v>
      </c>
      <c r="B203" s="2" t="s">
        <v>1572</v>
      </c>
      <c r="C203" s="2" t="s">
        <v>1245</v>
      </c>
      <c r="D203" s="2">
        <v>4900</v>
      </c>
      <c r="E203" s="2">
        <v>50</v>
      </c>
      <c r="F203" s="60">
        <v>92.95</v>
      </c>
      <c r="G203" s="299">
        <f t="shared" si="30"/>
        <v>4647.5</v>
      </c>
      <c r="H203" s="60">
        <v>9</v>
      </c>
      <c r="I203" s="307"/>
      <c r="J203" s="307"/>
      <c r="K203" s="302"/>
      <c r="L203" s="60">
        <f t="shared" si="33"/>
        <v>9</v>
      </c>
      <c r="M203" s="299">
        <f t="shared" si="34"/>
        <v>4656.5</v>
      </c>
      <c r="N203" s="304" t="s">
        <v>2421</v>
      </c>
      <c r="O203" s="304" t="s">
        <v>197</v>
      </c>
    </row>
    <row r="204" spans="1:18" ht="13.2" x14ac:dyDescent="0.25">
      <c r="A204" s="16" t="s">
        <v>2422</v>
      </c>
      <c r="B204" s="2" t="s">
        <v>1572</v>
      </c>
      <c r="C204" s="2" t="s">
        <v>1245</v>
      </c>
      <c r="D204" s="2">
        <v>4500</v>
      </c>
      <c r="E204" s="2">
        <v>50</v>
      </c>
      <c r="F204" s="60">
        <v>0.85</v>
      </c>
      <c r="G204" s="299">
        <f t="shared" si="30"/>
        <v>42.5</v>
      </c>
      <c r="H204" s="60">
        <v>9</v>
      </c>
      <c r="I204" s="307"/>
      <c r="J204" s="307"/>
      <c r="K204" s="302"/>
      <c r="L204" s="60">
        <f t="shared" si="33"/>
        <v>9</v>
      </c>
      <c r="M204" s="299">
        <f t="shared" si="34"/>
        <v>51.5</v>
      </c>
      <c r="N204" s="304" t="s">
        <v>2421</v>
      </c>
      <c r="O204" s="304" t="s">
        <v>197</v>
      </c>
    </row>
    <row r="205" spans="1:18" ht="13.2" x14ac:dyDescent="0.25">
      <c r="A205" s="16" t="s">
        <v>2422</v>
      </c>
      <c r="B205" s="2" t="s">
        <v>1572</v>
      </c>
      <c r="C205" s="2" t="s">
        <v>1245</v>
      </c>
      <c r="D205" s="2">
        <v>4900</v>
      </c>
      <c r="E205" s="2">
        <v>50</v>
      </c>
      <c r="F205" s="60">
        <v>103.3</v>
      </c>
      <c r="G205" s="299">
        <f t="shared" si="30"/>
        <v>5165</v>
      </c>
      <c r="H205" s="60">
        <v>9</v>
      </c>
      <c r="I205" s="320">
        <v>11.79</v>
      </c>
      <c r="J205" s="320">
        <v>33.47</v>
      </c>
      <c r="K205" s="60">
        <v>7</v>
      </c>
      <c r="L205" s="60">
        <f t="shared" si="33"/>
        <v>61.26</v>
      </c>
      <c r="M205" s="299">
        <f t="shared" si="34"/>
        <v>5226.26</v>
      </c>
      <c r="N205" s="304" t="s">
        <v>2421</v>
      </c>
      <c r="O205" s="304" t="s">
        <v>197</v>
      </c>
    </row>
    <row r="206" spans="1:18" ht="12.75" customHeight="1" x14ac:dyDescent="0.25">
      <c r="A206" s="16" t="s">
        <v>1690</v>
      </c>
      <c r="B206" s="2" t="s">
        <v>1689</v>
      </c>
      <c r="C206" s="2" t="s">
        <v>1245</v>
      </c>
      <c r="D206" s="2">
        <v>4400</v>
      </c>
      <c r="E206" s="2">
        <v>200</v>
      </c>
      <c r="F206" s="60">
        <v>49.1</v>
      </c>
      <c r="G206" s="299">
        <f t="shared" si="30"/>
        <v>9820</v>
      </c>
      <c r="H206" s="60">
        <v>36</v>
      </c>
      <c r="I206" s="312"/>
      <c r="J206" s="312"/>
      <c r="K206" s="312"/>
      <c r="L206" s="60">
        <f t="shared" ref="L206:L216" si="35">SUM(H206:K206)</f>
        <v>36</v>
      </c>
      <c r="M206" s="299">
        <f t="shared" ref="M206:M216" si="36">G206+L206</f>
        <v>9856</v>
      </c>
      <c r="N206" s="304" t="s">
        <v>1692</v>
      </c>
      <c r="O206" s="304" t="s">
        <v>197</v>
      </c>
    </row>
    <row r="207" spans="1:18" ht="12.75" customHeight="1" x14ac:dyDescent="0.25">
      <c r="A207" s="16" t="s">
        <v>1690</v>
      </c>
      <c r="B207" s="2" t="s">
        <v>1689</v>
      </c>
      <c r="C207" s="2" t="s">
        <v>1245</v>
      </c>
      <c r="D207" s="2">
        <v>4200</v>
      </c>
      <c r="E207" s="2">
        <v>50</v>
      </c>
      <c r="F207" s="60">
        <v>24.95</v>
      </c>
      <c r="G207" s="299">
        <f t="shared" si="30"/>
        <v>1247.5</v>
      </c>
      <c r="H207" s="60">
        <v>9</v>
      </c>
      <c r="I207" s="312"/>
      <c r="J207" s="312"/>
      <c r="K207" s="312"/>
      <c r="L207" s="60">
        <f t="shared" si="35"/>
        <v>9</v>
      </c>
      <c r="M207" s="299">
        <f t="shared" si="36"/>
        <v>1256.5</v>
      </c>
      <c r="N207" s="304" t="s">
        <v>1692</v>
      </c>
      <c r="O207" s="304" t="s">
        <v>197</v>
      </c>
    </row>
    <row r="208" spans="1:18" ht="12.75" customHeight="1" x14ac:dyDescent="0.25">
      <c r="A208" s="16" t="s">
        <v>1690</v>
      </c>
      <c r="B208" s="2" t="s">
        <v>1689</v>
      </c>
      <c r="C208" s="2" t="s">
        <v>1245</v>
      </c>
      <c r="D208" s="2">
        <v>4200</v>
      </c>
      <c r="E208" s="2">
        <v>200</v>
      </c>
      <c r="F208" s="60">
        <v>25</v>
      </c>
      <c r="G208" s="299">
        <f t="shared" si="30"/>
        <v>5000</v>
      </c>
      <c r="H208" s="60">
        <v>36</v>
      </c>
      <c r="I208" s="312"/>
      <c r="J208" s="312"/>
      <c r="K208" s="312"/>
      <c r="L208" s="60">
        <f t="shared" si="35"/>
        <v>36</v>
      </c>
      <c r="M208" s="299">
        <f t="shared" si="36"/>
        <v>5036</v>
      </c>
      <c r="N208" s="304" t="s">
        <v>1692</v>
      </c>
      <c r="O208" s="304" t="s">
        <v>197</v>
      </c>
    </row>
    <row r="209" spans="1:15" ht="12.75" customHeight="1" x14ac:dyDescent="0.25">
      <c r="A209" s="16" t="s">
        <v>1690</v>
      </c>
      <c r="B209" s="2" t="s">
        <v>1572</v>
      </c>
      <c r="C209" s="2" t="s">
        <v>1249</v>
      </c>
      <c r="D209" s="2">
        <v>4800</v>
      </c>
      <c r="E209" s="2">
        <v>50</v>
      </c>
      <c r="F209" s="60">
        <v>14.5</v>
      </c>
      <c r="G209" s="299">
        <f t="shared" si="30"/>
        <v>725</v>
      </c>
      <c r="H209" s="60">
        <v>9</v>
      </c>
      <c r="I209" s="312"/>
      <c r="J209" s="312"/>
      <c r="K209" s="312"/>
      <c r="L209" s="60">
        <f t="shared" si="35"/>
        <v>9</v>
      </c>
      <c r="M209" s="299">
        <f t="shared" si="36"/>
        <v>734</v>
      </c>
      <c r="N209" s="304" t="s">
        <v>1692</v>
      </c>
      <c r="O209" s="304" t="s">
        <v>197</v>
      </c>
    </row>
    <row r="210" spans="1:15" ht="12.75" customHeight="1" x14ac:dyDescent="0.25">
      <c r="A210" s="16" t="s">
        <v>1690</v>
      </c>
      <c r="B210" s="2" t="s">
        <v>1572</v>
      </c>
      <c r="C210" s="2" t="s">
        <v>1249</v>
      </c>
      <c r="D210" s="2">
        <v>4800</v>
      </c>
      <c r="E210" s="2">
        <v>250</v>
      </c>
      <c r="F210" s="60">
        <v>14.5</v>
      </c>
      <c r="G210" s="299">
        <f t="shared" si="30"/>
        <v>3625</v>
      </c>
      <c r="H210" s="60">
        <v>45</v>
      </c>
      <c r="I210" s="312"/>
      <c r="J210" s="312"/>
      <c r="K210" s="312"/>
      <c r="L210" s="60">
        <f t="shared" si="35"/>
        <v>45</v>
      </c>
      <c r="M210" s="299">
        <f t="shared" si="36"/>
        <v>3670</v>
      </c>
      <c r="N210" s="304" t="s">
        <v>1692</v>
      </c>
      <c r="O210" s="304" t="s">
        <v>197</v>
      </c>
    </row>
    <row r="211" spans="1:15" ht="12.75" customHeight="1" x14ac:dyDescent="0.25">
      <c r="A211" s="16" t="s">
        <v>1690</v>
      </c>
      <c r="B211" s="2" t="s">
        <v>1572</v>
      </c>
      <c r="C211" s="2" t="s">
        <v>1249</v>
      </c>
      <c r="D211" s="2">
        <v>4800</v>
      </c>
      <c r="E211" s="2">
        <v>100</v>
      </c>
      <c r="F211" s="60">
        <v>8.6999999999999993</v>
      </c>
      <c r="G211" s="299">
        <f t="shared" si="30"/>
        <v>869.99999999999989</v>
      </c>
      <c r="H211" s="60">
        <v>18</v>
      </c>
      <c r="I211" s="312"/>
      <c r="J211" s="312"/>
      <c r="K211" s="312"/>
      <c r="L211" s="60">
        <f t="shared" si="35"/>
        <v>18</v>
      </c>
      <c r="M211" s="299">
        <f t="shared" si="36"/>
        <v>887.99999999999989</v>
      </c>
      <c r="N211" s="304" t="s">
        <v>1692</v>
      </c>
      <c r="O211" s="304" t="s">
        <v>197</v>
      </c>
    </row>
    <row r="212" spans="1:15" ht="12.75" customHeight="1" x14ac:dyDescent="0.25">
      <c r="A212" s="16" t="s">
        <v>1690</v>
      </c>
      <c r="B212" s="2" t="s">
        <v>1572</v>
      </c>
      <c r="C212" s="2" t="s">
        <v>1249</v>
      </c>
      <c r="D212" s="2">
        <v>4800</v>
      </c>
      <c r="E212" s="2">
        <v>100</v>
      </c>
      <c r="F212" s="60">
        <v>8.6999999999999993</v>
      </c>
      <c r="G212" s="299">
        <f t="shared" si="30"/>
        <v>869.99999999999989</v>
      </c>
      <c r="H212" s="60">
        <v>18</v>
      </c>
      <c r="I212" s="312"/>
      <c r="J212" s="312"/>
      <c r="K212" s="312"/>
      <c r="L212" s="60">
        <f t="shared" si="35"/>
        <v>18</v>
      </c>
      <c r="M212" s="299">
        <f t="shared" si="36"/>
        <v>887.99999999999989</v>
      </c>
      <c r="N212" s="304" t="s">
        <v>1692</v>
      </c>
      <c r="O212" s="304" t="s">
        <v>197</v>
      </c>
    </row>
    <row r="213" spans="1:15" ht="12.75" customHeight="1" x14ac:dyDescent="0.25">
      <c r="A213" s="16" t="s">
        <v>1690</v>
      </c>
      <c r="B213" s="2" t="s">
        <v>1572</v>
      </c>
      <c r="C213" s="2" t="s">
        <v>1249</v>
      </c>
      <c r="D213" s="2">
        <v>4800</v>
      </c>
      <c r="E213" s="2">
        <v>500</v>
      </c>
      <c r="F213" s="60">
        <v>6.45</v>
      </c>
      <c r="G213" s="299">
        <f t="shared" si="30"/>
        <v>3225</v>
      </c>
      <c r="H213" s="60">
        <v>90</v>
      </c>
      <c r="I213" s="312"/>
      <c r="J213" s="312"/>
      <c r="K213" s="312"/>
      <c r="L213" s="60">
        <f t="shared" si="35"/>
        <v>90</v>
      </c>
      <c r="M213" s="299">
        <f t="shared" si="36"/>
        <v>3315</v>
      </c>
      <c r="N213" s="304" t="s">
        <v>1692</v>
      </c>
      <c r="O213" s="304" t="s">
        <v>197</v>
      </c>
    </row>
    <row r="214" spans="1:15" ht="12.75" customHeight="1" x14ac:dyDescent="0.25">
      <c r="A214" s="16" t="s">
        <v>1691</v>
      </c>
      <c r="B214" s="2" t="s">
        <v>1572</v>
      </c>
      <c r="C214" s="2" t="s">
        <v>1249</v>
      </c>
      <c r="D214" s="2">
        <v>4700</v>
      </c>
      <c r="E214" s="2">
        <v>150</v>
      </c>
      <c r="F214" s="60">
        <v>18.600000000000001</v>
      </c>
      <c r="G214" s="299">
        <f t="shared" si="30"/>
        <v>2790</v>
      </c>
      <c r="H214" s="60">
        <v>27</v>
      </c>
      <c r="I214" s="312"/>
      <c r="J214" s="312"/>
      <c r="K214" s="302"/>
      <c r="L214" s="60">
        <f t="shared" si="35"/>
        <v>27</v>
      </c>
      <c r="M214" s="299">
        <f t="shared" si="36"/>
        <v>2817</v>
      </c>
      <c r="N214" s="304" t="s">
        <v>1693</v>
      </c>
      <c r="O214" s="304" t="s">
        <v>197</v>
      </c>
    </row>
    <row r="215" spans="1:15" ht="12.75" customHeight="1" x14ac:dyDescent="0.25">
      <c r="A215" s="16" t="s">
        <v>1691</v>
      </c>
      <c r="B215" s="2" t="s">
        <v>1572</v>
      </c>
      <c r="C215" s="2" t="s">
        <v>1249</v>
      </c>
      <c r="D215" s="2">
        <v>4700</v>
      </c>
      <c r="E215" s="2">
        <v>50</v>
      </c>
      <c r="F215" s="60">
        <v>8.9</v>
      </c>
      <c r="G215" s="299">
        <f t="shared" si="30"/>
        <v>445</v>
      </c>
      <c r="H215" s="60">
        <v>9</v>
      </c>
      <c r="I215" s="312"/>
      <c r="J215" s="312"/>
      <c r="K215" s="302"/>
      <c r="L215" s="60">
        <f t="shared" si="35"/>
        <v>9</v>
      </c>
      <c r="M215" s="299">
        <f t="shared" si="36"/>
        <v>454</v>
      </c>
      <c r="N215" s="304" t="s">
        <v>1693</v>
      </c>
      <c r="O215" s="304" t="s">
        <v>197</v>
      </c>
    </row>
    <row r="216" spans="1:15" ht="12.75" customHeight="1" x14ac:dyDescent="0.25">
      <c r="A216" s="16" t="s">
        <v>1691</v>
      </c>
      <c r="B216" s="2" t="s">
        <v>1572</v>
      </c>
      <c r="C216" s="2" t="s">
        <v>1249</v>
      </c>
      <c r="D216" s="2">
        <v>4700</v>
      </c>
      <c r="E216" s="2">
        <v>50</v>
      </c>
      <c r="F216" s="60">
        <v>8.9</v>
      </c>
      <c r="G216" s="299">
        <f t="shared" si="30"/>
        <v>445</v>
      </c>
      <c r="H216" s="60">
        <v>9</v>
      </c>
      <c r="I216" s="312"/>
      <c r="J216" s="312"/>
      <c r="K216" s="302"/>
      <c r="L216" s="60">
        <f t="shared" si="35"/>
        <v>9</v>
      </c>
      <c r="M216" s="299">
        <f t="shared" si="36"/>
        <v>454</v>
      </c>
      <c r="N216" s="304" t="s">
        <v>1693</v>
      </c>
      <c r="O216" s="304" t="s">
        <v>197</v>
      </c>
    </row>
    <row r="217" spans="1:15" ht="12.75" customHeight="1" x14ac:dyDescent="0.25">
      <c r="A217" s="16" t="s">
        <v>765</v>
      </c>
      <c r="B217" s="2" t="s">
        <v>1689</v>
      </c>
      <c r="C217" s="2" t="s">
        <v>1249</v>
      </c>
      <c r="D217" s="2">
        <v>5000</v>
      </c>
      <c r="E217" s="2">
        <v>150</v>
      </c>
      <c r="F217" s="60">
        <v>53</v>
      </c>
      <c r="G217" s="299">
        <f t="shared" si="30"/>
        <v>7950</v>
      </c>
      <c r="H217" s="60">
        <v>27</v>
      </c>
      <c r="I217" s="322"/>
      <c r="J217" s="311"/>
      <c r="K217" s="302"/>
      <c r="L217" s="60">
        <f>SUM(H217:K217)</f>
        <v>27</v>
      </c>
      <c r="M217" s="299">
        <f>G217+L217</f>
        <v>7977</v>
      </c>
      <c r="N217" s="304" t="s">
        <v>764</v>
      </c>
      <c r="O217" s="304" t="s">
        <v>197</v>
      </c>
    </row>
    <row r="218" spans="1:15" ht="13.2" x14ac:dyDescent="0.25">
      <c r="A218" s="16" t="s">
        <v>765</v>
      </c>
      <c r="B218" s="2" t="s">
        <v>1689</v>
      </c>
      <c r="C218" s="2" t="s">
        <v>1249</v>
      </c>
      <c r="D218" s="2">
        <v>5000</v>
      </c>
      <c r="E218" s="2">
        <v>50</v>
      </c>
      <c r="F218" s="60">
        <v>53</v>
      </c>
      <c r="G218" s="299">
        <f t="shared" si="30"/>
        <v>2650</v>
      </c>
      <c r="H218" s="60">
        <v>9</v>
      </c>
      <c r="I218" s="322"/>
      <c r="J218" s="311"/>
      <c r="K218" s="302"/>
      <c r="L218" s="60">
        <f>SUM(H218:K218)</f>
        <v>9</v>
      </c>
      <c r="M218" s="299">
        <f>G218+L218</f>
        <v>2659</v>
      </c>
      <c r="N218" s="304" t="s">
        <v>764</v>
      </c>
      <c r="O218" s="263" t="s">
        <v>197</v>
      </c>
    </row>
    <row r="219" spans="1:15" ht="13.2" x14ac:dyDescent="0.25">
      <c r="A219" s="16" t="s">
        <v>765</v>
      </c>
      <c r="B219" s="2" t="s">
        <v>1689</v>
      </c>
      <c r="C219" s="2" t="s">
        <v>1249</v>
      </c>
      <c r="D219" s="2">
        <v>5000</v>
      </c>
      <c r="E219" s="2">
        <v>100</v>
      </c>
      <c r="F219" s="60">
        <v>53</v>
      </c>
      <c r="G219" s="299">
        <f t="shared" si="30"/>
        <v>5300</v>
      </c>
      <c r="H219" s="60">
        <v>18</v>
      </c>
      <c r="I219" s="320">
        <v>6.72</v>
      </c>
      <c r="J219" s="2">
        <v>11.29</v>
      </c>
      <c r="K219" s="60">
        <v>1</v>
      </c>
      <c r="L219" s="60">
        <f>SUM(H219:K219)</f>
        <v>37.01</v>
      </c>
      <c r="M219" s="299">
        <f>G219+L219</f>
        <v>5337.01</v>
      </c>
      <c r="N219" s="304" t="s">
        <v>764</v>
      </c>
      <c r="O219" s="263" t="s">
        <v>197</v>
      </c>
    </row>
    <row r="220" spans="1:15" ht="12.75" customHeight="1" x14ac:dyDescent="0.25">
      <c r="A220" s="16" t="s">
        <v>766</v>
      </c>
      <c r="B220" s="2" t="s">
        <v>1689</v>
      </c>
      <c r="C220" s="2" t="s">
        <v>1245</v>
      </c>
      <c r="D220" s="2">
        <v>4600</v>
      </c>
      <c r="E220" s="2">
        <v>50</v>
      </c>
      <c r="F220" s="60">
        <v>83.3</v>
      </c>
      <c r="G220" s="299">
        <f t="shared" si="30"/>
        <v>4165</v>
      </c>
      <c r="H220" s="60">
        <v>9</v>
      </c>
      <c r="I220" s="312"/>
      <c r="J220" s="312"/>
      <c r="K220" s="312"/>
      <c r="L220" s="60">
        <f t="shared" ref="L220:L225" si="37">SUM(H220:K220)</f>
        <v>9</v>
      </c>
      <c r="M220" s="299">
        <f t="shared" ref="M220:M225" si="38">G220+L220</f>
        <v>4174</v>
      </c>
      <c r="N220" s="304" t="s">
        <v>767</v>
      </c>
      <c r="O220" s="263" t="s">
        <v>197</v>
      </c>
    </row>
    <row r="221" spans="1:15" ht="12.75" customHeight="1" x14ac:dyDescent="0.25">
      <c r="A221" s="16" t="s">
        <v>766</v>
      </c>
      <c r="B221" s="2" t="s">
        <v>1689</v>
      </c>
      <c r="C221" s="2" t="s">
        <v>1245</v>
      </c>
      <c r="D221" s="2">
        <v>4600</v>
      </c>
      <c r="E221" s="2">
        <v>100</v>
      </c>
      <c r="F221" s="60">
        <v>83.35</v>
      </c>
      <c r="G221" s="299">
        <f t="shared" si="30"/>
        <v>8335</v>
      </c>
      <c r="H221" s="60">
        <v>18</v>
      </c>
      <c r="I221" s="312"/>
      <c r="J221" s="312"/>
      <c r="K221" s="312"/>
      <c r="L221" s="60">
        <f t="shared" si="37"/>
        <v>18</v>
      </c>
      <c r="M221" s="299">
        <f t="shared" si="38"/>
        <v>8353</v>
      </c>
      <c r="N221" s="304" t="s">
        <v>767</v>
      </c>
      <c r="O221" s="263" t="s">
        <v>197</v>
      </c>
    </row>
    <row r="222" spans="1:15" ht="12.75" customHeight="1" x14ac:dyDescent="0.25">
      <c r="A222" s="16" t="s">
        <v>766</v>
      </c>
      <c r="B222" s="2" t="s">
        <v>1689</v>
      </c>
      <c r="C222" s="2" t="s">
        <v>1249</v>
      </c>
      <c r="D222" s="2">
        <v>4900</v>
      </c>
      <c r="E222" s="2">
        <v>50</v>
      </c>
      <c r="F222" s="60">
        <v>82.45</v>
      </c>
      <c r="G222" s="299">
        <f t="shared" si="30"/>
        <v>4122.5</v>
      </c>
      <c r="H222" s="60">
        <v>9</v>
      </c>
      <c r="I222" s="312"/>
      <c r="J222" s="312"/>
      <c r="K222" s="312"/>
      <c r="L222" s="60">
        <f t="shared" si="37"/>
        <v>9</v>
      </c>
      <c r="M222" s="299">
        <f t="shared" si="38"/>
        <v>4131.5</v>
      </c>
      <c r="N222" s="304" t="s">
        <v>767</v>
      </c>
      <c r="O222" s="263" t="s">
        <v>197</v>
      </c>
    </row>
    <row r="223" spans="1:15" ht="12.75" customHeight="1" x14ac:dyDescent="0.25">
      <c r="A223" s="16" t="s">
        <v>766</v>
      </c>
      <c r="B223" s="2" t="s">
        <v>1689</v>
      </c>
      <c r="C223" s="2" t="s">
        <v>1249</v>
      </c>
      <c r="D223" s="2">
        <v>4900</v>
      </c>
      <c r="E223" s="2">
        <v>100</v>
      </c>
      <c r="F223" s="60">
        <v>82.5</v>
      </c>
      <c r="G223" s="299">
        <f t="shared" si="30"/>
        <v>8250</v>
      </c>
      <c r="H223" s="60">
        <v>18</v>
      </c>
      <c r="I223" s="312"/>
      <c r="J223" s="312"/>
      <c r="K223" s="312"/>
      <c r="L223" s="60">
        <f t="shared" si="37"/>
        <v>18</v>
      </c>
      <c r="M223" s="299">
        <f t="shared" si="38"/>
        <v>8268</v>
      </c>
      <c r="N223" s="304" t="s">
        <v>767</v>
      </c>
      <c r="O223" s="263" t="s">
        <v>197</v>
      </c>
    </row>
    <row r="224" spans="1:15" ht="12.75" customHeight="1" x14ac:dyDescent="0.25">
      <c r="A224" s="16" t="s">
        <v>766</v>
      </c>
      <c r="B224" s="2" t="s">
        <v>1689</v>
      </c>
      <c r="C224" s="2" t="s">
        <v>1249</v>
      </c>
      <c r="D224" s="2">
        <v>5000</v>
      </c>
      <c r="E224" s="2">
        <v>100</v>
      </c>
      <c r="F224" s="60">
        <v>59.2</v>
      </c>
      <c r="G224" s="299">
        <f t="shared" si="30"/>
        <v>5920</v>
      </c>
      <c r="H224" s="60">
        <v>18</v>
      </c>
      <c r="I224" s="312"/>
      <c r="J224" s="312"/>
      <c r="K224" s="312"/>
      <c r="L224" s="60">
        <f t="shared" si="37"/>
        <v>18</v>
      </c>
      <c r="M224" s="299">
        <f t="shared" si="38"/>
        <v>5938</v>
      </c>
      <c r="N224" s="304" t="s">
        <v>767</v>
      </c>
      <c r="O224" s="263" t="s">
        <v>197</v>
      </c>
    </row>
    <row r="225" spans="1:15" ht="12.75" customHeight="1" x14ac:dyDescent="0.25">
      <c r="A225" s="16" t="s">
        <v>766</v>
      </c>
      <c r="B225" s="2" t="s">
        <v>1689</v>
      </c>
      <c r="C225" s="2" t="s">
        <v>1249</v>
      </c>
      <c r="D225" s="2">
        <v>5000</v>
      </c>
      <c r="E225" s="2">
        <v>200</v>
      </c>
      <c r="F225" s="60">
        <v>59.2</v>
      </c>
      <c r="G225" s="299">
        <f t="shared" si="30"/>
        <v>11840</v>
      </c>
      <c r="H225" s="60">
        <v>36</v>
      </c>
      <c r="I225" s="312"/>
      <c r="J225" s="312"/>
      <c r="K225" s="312"/>
      <c r="L225" s="60">
        <f t="shared" si="37"/>
        <v>36</v>
      </c>
      <c r="M225" s="299">
        <f t="shared" si="38"/>
        <v>11876</v>
      </c>
      <c r="N225" s="304" t="s">
        <v>767</v>
      </c>
      <c r="O225" s="263" t="s">
        <v>197</v>
      </c>
    </row>
    <row r="226" spans="1:15" ht="12.75" customHeight="1" x14ac:dyDescent="0.25">
      <c r="A226" s="16" t="s">
        <v>770</v>
      </c>
      <c r="B226" s="2" t="s">
        <v>771</v>
      </c>
      <c r="C226" s="2" t="s">
        <v>1245</v>
      </c>
      <c r="D226" s="2">
        <v>4700</v>
      </c>
      <c r="E226" s="2">
        <v>300</v>
      </c>
      <c r="F226" s="60">
        <v>59</v>
      </c>
      <c r="G226" s="299">
        <f t="shared" si="30"/>
        <v>17700</v>
      </c>
      <c r="H226" s="60">
        <v>54</v>
      </c>
      <c r="I226" s="312"/>
      <c r="J226" s="312"/>
      <c r="K226" s="312"/>
      <c r="L226" s="60">
        <f t="shared" ref="L226:L232" si="39">SUM(H226:K226)</f>
        <v>54</v>
      </c>
      <c r="M226" s="299">
        <f t="shared" ref="M226:M232" si="40">G226+L226</f>
        <v>17754</v>
      </c>
      <c r="N226" s="304" t="s">
        <v>772</v>
      </c>
      <c r="O226" s="263" t="s">
        <v>197</v>
      </c>
    </row>
    <row r="227" spans="1:15" ht="12.75" customHeight="1" x14ac:dyDescent="0.25">
      <c r="A227" s="16" t="s">
        <v>770</v>
      </c>
      <c r="B227" s="2" t="s">
        <v>771</v>
      </c>
      <c r="C227" s="2" t="s">
        <v>1245</v>
      </c>
      <c r="D227" s="2">
        <v>4700</v>
      </c>
      <c r="E227" s="2">
        <v>100</v>
      </c>
      <c r="F227" s="60">
        <v>53</v>
      </c>
      <c r="G227" s="299">
        <f>E227*F227</f>
        <v>5300</v>
      </c>
      <c r="H227" s="60">
        <v>18</v>
      </c>
      <c r="I227" s="312"/>
      <c r="J227" s="312"/>
      <c r="K227" s="312"/>
      <c r="L227" s="60">
        <f t="shared" si="39"/>
        <v>18</v>
      </c>
      <c r="M227" s="299">
        <f t="shared" si="40"/>
        <v>5318</v>
      </c>
      <c r="N227" s="304" t="s">
        <v>772</v>
      </c>
      <c r="O227" s="263" t="s">
        <v>197</v>
      </c>
    </row>
    <row r="228" spans="1:15" ht="12.75" customHeight="1" x14ac:dyDescent="0.25">
      <c r="A228" s="16" t="s">
        <v>770</v>
      </c>
      <c r="B228" s="2" t="s">
        <v>771</v>
      </c>
      <c r="C228" s="2" t="s">
        <v>1245</v>
      </c>
      <c r="D228" s="2">
        <v>4400</v>
      </c>
      <c r="E228" s="2">
        <v>50</v>
      </c>
      <c r="F228" s="60">
        <v>25.85</v>
      </c>
      <c r="G228" s="299">
        <f t="shared" si="30"/>
        <v>1292.5</v>
      </c>
      <c r="H228" s="60">
        <v>9</v>
      </c>
      <c r="I228" s="312"/>
      <c r="J228" s="312"/>
      <c r="K228" s="312"/>
      <c r="L228" s="60">
        <f t="shared" si="39"/>
        <v>9</v>
      </c>
      <c r="M228" s="299">
        <f t="shared" si="40"/>
        <v>1301.5</v>
      </c>
      <c r="N228" s="304" t="s">
        <v>772</v>
      </c>
      <c r="O228" s="263" t="s">
        <v>197</v>
      </c>
    </row>
    <row r="229" spans="1:15" ht="12.75" customHeight="1" x14ac:dyDescent="0.25">
      <c r="A229" s="16" t="s">
        <v>770</v>
      </c>
      <c r="B229" s="2" t="s">
        <v>771</v>
      </c>
      <c r="C229" s="2" t="s">
        <v>1245</v>
      </c>
      <c r="D229" s="2">
        <v>4400</v>
      </c>
      <c r="E229" s="2">
        <v>450</v>
      </c>
      <c r="F229" s="60">
        <v>25.95</v>
      </c>
      <c r="G229" s="299">
        <f t="shared" si="30"/>
        <v>11677.5</v>
      </c>
      <c r="H229" s="60">
        <v>81</v>
      </c>
      <c r="I229" s="312"/>
      <c r="J229" s="312"/>
      <c r="K229" s="312"/>
      <c r="L229" s="60">
        <f t="shared" si="39"/>
        <v>81</v>
      </c>
      <c r="M229" s="299">
        <f t="shared" si="40"/>
        <v>11758.5</v>
      </c>
      <c r="N229" s="304" t="s">
        <v>772</v>
      </c>
      <c r="O229" s="263" t="s">
        <v>197</v>
      </c>
    </row>
    <row r="230" spans="1:15" ht="12.75" customHeight="1" x14ac:dyDescent="0.25">
      <c r="A230" s="16" t="s">
        <v>770</v>
      </c>
      <c r="B230" s="2" t="s">
        <v>771</v>
      </c>
      <c r="C230" s="2" t="s">
        <v>1245</v>
      </c>
      <c r="D230" s="2">
        <v>5000</v>
      </c>
      <c r="E230" s="2">
        <v>100</v>
      </c>
      <c r="F230" s="60">
        <v>123.2</v>
      </c>
      <c r="G230" s="299">
        <f t="shared" si="30"/>
        <v>12320</v>
      </c>
      <c r="H230" s="60">
        <v>18</v>
      </c>
      <c r="I230" s="312"/>
      <c r="J230" s="312"/>
      <c r="K230" s="312"/>
      <c r="L230" s="60">
        <f t="shared" si="39"/>
        <v>18</v>
      </c>
      <c r="M230" s="299">
        <f t="shared" si="40"/>
        <v>12338</v>
      </c>
      <c r="N230" s="304" t="s">
        <v>772</v>
      </c>
      <c r="O230" s="263" t="s">
        <v>197</v>
      </c>
    </row>
    <row r="231" spans="1:15" ht="12.75" customHeight="1" x14ac:dyDescent="0.25">
      <c r="A231" s="16" t="s">
        <v>773</v>
      </c>
      <c r="B231" s="2" t="s">
        <v>1689</v>
      </c>
      <c r="C231" s="2" t="s">
        <v>1249</v>
      </c>
      <c r="D231" s="2">
        <v>5300</v>
      </c>
      <c r="E231" s="2">
        <v>300</v>
      </c>
      <c r="F231" s="60">
        <v>28.8</v>
      </c>
      <c r="G231" s="299">
        <f t="shared" si="30"/>
        <v>8640</v>
      </c>
      <c r="H231" s="60">
        <v>54</v>
      </c>
      <c r="I231" s="312"/>
      <c r="J231" s="312"/>
      <c r="K231" s="312"/>
      <c r="L231" s="60">
        <f t="shared" si="39"/>
        <v>54</v>
      </c>
      <c r="M231" s="299">
        <f t="shared" si="40"/>
        <v>8694</v>
      </c>
      <c r="N231" s="304" t="s">
        <v>774</v>
      </c>
      <c r="O231" s="263" t="s">
        <v>197</v>
      </c>
    </row>
    <row r="232" spans="1:15" ht="12.75" customHeight="1" x14ac:dyDescent="0.25">
      <c r="A232" s="16" t="s">
        <v>773</v>
      </c>
      <c r="B232" s="2" t="s">
        <v>1689</v>
      </c>
      <c r="C232" s="2" t="s">
        <v>1249</v>
      </c>
      <c r="D232" s="2">
        <v>5300</v>
      </c>
      <c r="E232" s="2">
        <v>200</v>
      </c>
      <c r="F232" s="60">
        <v>28.3</v>
      </c>
      <c r="G232" s="299">
        <f t="shared" si="30"/>
        <v>5660</v>
      </c>
      <c r="H232" s="60">
        <v>36</v>
      </c>
      <c r="I232" s="312"/>
      <c r="J232" s="312"/>
      <c r="K232" s="312"/>
      <c r="L232" s="60">
        <f t="shared" si="39"/>
        <v>36</v>
      </c>
      <c r="M232" s="299">
        <f t="shared" si="40"/>
        <v>5696</v>
      </c>
      <c r="N232" s="304" t="s">
        <v>774</v>
      </c>
      <c r="O232" s="263" t="s">
        <v>197</v>
      </c>
    </row>
    <row r="233" spans="1:15" ht="12.75" customHeight="1" x14ac:dyDescent="0.25">
      <c r="A233" s="16" t="s">
        <v>1615</v>
      </c>
      <c r="B233" s="2" t="s">
        <v>1689</v>
      </c>
      <c r="C233" s="2" t="s">
        <v>1249</v>
      </c>
      <c r="D233" s="2">
        <v>5200</v>
      </c>
      <c r="E233" s="2">
        <v>300</v>
      </c>
      <c r="F233" s="60">
        <v>39.25</v>
      </c>
      <c r="G233" s="299">
        <f t="shared" si="30"/>
        <v>11775</v>
      </c>
      <c r="H233" s="60">
        <v>54</v>
      </c>
      <c r="I233" s="307"/>
      <c r="J233" s="307"/>
      <c r="K233" s="312"/>
      <c r="L233" s="60">
        <f t="shared" ref="L233:L253" si="41">SUM(H233:K233)</f>
        <v>54</v>
      </c>
      <c r="M233" s="299">
        <f t="shared" ref="M233:M253" si="42">G233+L233</f>
        <v>11829</v>
      </c>
      <c r="N233" s="304" t="s">
        <v>1614</v>
      </c>
      <c r="O233" s="263" t="s">
        <v>197</v>
      </c>
    </row>
    <row r="234" spans="1:15" ht="12.75" customHeight="1" x14ac:dyDescent="0.25">
      <c r="A234" s="16" t="s">
        <v>1621</v>
      </c>
      <c r="B234" s="2" t="s">
        <v>1689</v>
      </c>
      <c r="C234" s="2" t="s">
        <v>1245</v>
      </c>
      <c r="D234" s="2">
        <v>4600</v>
      </c>
      <c r="E234" s="2">
        <v>50</v>
      </c>
      <c r="F234" s="60">
        <v>44.8</v>
      </c>
      <c r="G234" s="299">
        <f t="shared" si="30"/>
        <v>2240</v>
      </c>
      <c r="H234" s="60">
        <v>9</v>
      </c>
      <c r="I234" s="324"/>
      <c r="J234" s="324"/>
      <c r="K234" s="312"/>
      <c r="L234" s="60">
        <f t="shared" si="41"/>
        <v>9</v>
      </c>
      <c r="M234" s="299">
        <f t="shared" si="42"/>
        <v>2249</v>
      </c>
      <c r="N234" s="304" t="s">
        <v>1622</v>
      </c>
      <c r="O234" s="263" t="s">
        <v>197</v>
      </c>
    </row>
    <row r="235" spans="1:15" ht="12.75" customHeight="1" x14ac:dyDescent="0.25">
      <c r="A235" s="16" t="s">
        <v>1621</v>
      </c>
      <c r="B235" s="2" t="s">
        <v>1689</v>
      </c>
      <c r="C235" s="2" t="s">
        <v>1245</v>
      </c>
      <c r="D235" s="2">
        <v>4600</v>
      </c>
      <c r="E235" s="2">
        <v>250</v>
      </c>
      <c r="F235" s="60">
        <v>44.8</v>
      </c>
      <c r="G235" s="299">
        <f t="shared" ref="G235:G253" si="43">E235*F235</f>
        <v>11200</v>
      </c>
      <c r="H235" s="60">
        <v>45</v>
      </c>
      <c r="I235" s="324"/>
      <c r="J235" s="324"/>
      <c r="K235" s="312"/>
      <c r="L235" s="60">
        <f t="shared" si="41"/>
        <v>45</v>
      </c>
      <c r="M235" s="299">
        <f t="shared" si="42"/>
        <v>11245</v>
      </c>
      <c r="N235" s="304" t="s">
        <v>1622</v>
      </c>
      <c r="O235" s="263" t="s">
        <v>197</v>
      </c>
    </row>
    <row r="236" spans="1:15" ht="12.75" customHeight="1" x14ac:dyDescent="0.25">
      <c r="A236" s="16" t="s">
        <v>1621</v>
      </c>
      <c r="B236" s="2" t="s">
        <v>1689</v>
      </c>
      <c r="C236" s="2" t="s">
        <v>1249</v>
      </c>
      <c r="D236" s="2">
        <v>5100</v>
      </c>
      <c r="E236" s="2">
        <v>300</v>
      </c>
      <c r="F236" s="60">
        <v>45.75</v>
      </c>
      <c r="G236" s="299">
        <f t="shared" si="43"/>
        <v>13725</v>
      </c>
      <c r="H236" s="60">
        <v>54</v>
      </c>
      <c r="I236" s="315"/>
      <c r="J236" s="315"/>
      <c r="K236" s="312"/>
      <c r="L236" s="60">
        <f t="shared" si="41"/>
        <v>54</v>
      </c>
      <c r="M236" s="299">
        <f t="shared" si="42"/>
        <v>13779</v>
      </c>
      <c r="N236" s="304" t="s">
        <v>1622</v>
      </c>
      <c r="O236" s="263" t="s">
        <v>197</v>
      </c>
    </row>
    <row r="237" spans="1:15" ht="12.75" customHeight="1" x14ac:dyDescent="0.25">
      <c r="A237" s="16" t="s">
        <v>1624</v>
      </c>
      <c r="B237" s="2" t="s">
        <v>1689</v>
      </c>
      <c r="C237" s="2" t="s">
        <v>1245</v>
      </c>
      <c r="D237" s="2">
        <v>4600</v>
      </c>
      <c r="E237" s="2">
        <v>300</v>
      </c>
      <c r="F237" s="60">
        <v>37.85</v>
      </c>
      <c r="G237" s="299">
        <f t="shared" si="43"/>
        <v>11355</v>
      </c>
      <c r="H237" s="60">
        <v>54</v>
      </c>
      <c r="I237" s="312"/>
      <c r="J237" s="312"/>
      <c r="K237" s="312"/>
      <c r="L237" s="60">
        <f t="shared" si="41"/>
        <v>54</v>
      </c>
      <c r="M237" s="299">
        <f t="shared" si="42"/>
        <v>11409</v>
      </c>
      <c r="N237" s="304" t="s">
        <v>1623</v>
      </c>
      <c r="O237" s="304" t="s">
        <v>197</v>
      </c>
    </row>
    <row r="238" spans="1:15" ht="12.75" customHeight="1" x14ac:dyDescent="0.25">
      <c r="A238" s="16" t="s">
        <v>1625</v>
      </c>
      <c r="B238" s="2" t="s">
        <v>1689</v>
      </c>
      <c r="C238" s="2" t="s">
        <v>1245</v>
      </c>
      <c r="D238" s="2">
        <v>4600</v>
      </c>
      <c r="E238" s="2">
        <v>200</v>
      </c>
      <c r="F238" s="60">
        <v>55</v>
      </c>
      <c r="G238" s="299">
        <f t="shared" si="43"/>
        <v>11000</v>
      </c>
      <c r="H238" s="60">
        <v>36</v>
      </c>
      <c r="I238" s="312"/>
      <c r="J238" s="312"/>
      <c r="K238" s="312"/>
      <c r="L238" s="60">
        <f t="shared" si="41"/>
        <v>36</v>
      </c>
      <c r="M238" s="299">
        <f t="shared" si="42"/>
        <v>11036</v>
      </c>
      <c r="N238" s="304" t="s">
        <v>1626</v>
      </c>
      <c r="O238" s="304" t="s">
        <v>197</v>
      </c>
    </row>
    <row r="239" spans="1:15" ht="12.75" customHeight="1" x14ac:dyDescent="0.25">
      <c r="A239" s="16" t="s">
        <v>1625</v>
      </c>
      <c r="B239" s="2" t="s">
        <v>1689</v>
      </c>
      <c r="C239" s="2" t="s">
        <v>1245</v>
      </c>
      <c r="D239" s="2">
        <v>4600</v>
      </c>
      <c r="E239" s="2">
        <v>200</v>
      </c>
      <c r="F239" s="60">
        <v>55</v>
      </c>
      <c r="G239" s="299">
        <f t="shared" si="43"/>
        <v>11000</v>
      </c>
      <c r="H239" s="60">
        <v>36</v>
      </c>
      <c r="I239" s="312"/>
      <c r="J239" s="312"/>
      <c r="K239" s="312"/>
      <c r="L239" s="60">
        <f t="shared" si="41"/>
        <v>36</v>
      </c>
      <c r="M239" s="299">
        <f t="shared" si="42"/>
        <v>11036</v>
      </c>
      <c r="N239" s="304" t="s">
        <v>1626</v>
      </c>
      <c r="O239" s="304" t="s">
        <v>197</v>
      </c>
    </row>
    <row r="240" spans="1:15" ht="12.75" customHeight="1" x14ac:dyDescent="0.25">
      <c r="A240" s="16" t="s">
        <v>1625</v>
      </c>
      <c r="B240" s="2" t="s">
        <v>1689</v>
      </c>
      <c r="C240" s="2" t="s">
        <v>1245</v>
      </c>
      <c r="D240" s="2">
        <v>4600</v>
      </c>
      <c r="E240" s="2">
        <v>50</v>
      </c>
      <c r="F240" s="60">
        <v>55</v>
      </c>
      <c r="G240" s="299">
        <f t="shared" si="43"/>
        <v>2750</v>
      </c>
      <c r="H240" s="60">
        <v>9</v>
      </c>
      <c r="I240" s="312"/>
      <c r="J240" s="312"/>
      <c r="K240" s="312"/>
      <c r="L240" s="60">
        <f t="shared" si="41"/>
        <v>9</v>
      </c>
      <c r="M240" s="299">
        <f t="shared" si="42"/>
        <v>2759</v>
      </c>
      <c r="N240" s="304" t="s">
        <v>1626</v>
      </c>
      <c r="O240" s="304" t="s">
        <v>197</v>
      </c>
    </row>
    <row r="241" spans="1:15" ht="12.75" customHeight="1" x14ac:dyDescent="0.25">
      <c r="A241" s="16" t="s">
        <v>1625</v>
      </c>
      <c r="B241" s="2" t="s">
        <v>1689</v>
      </c>
      <c r="C241" s="2" t="s">
        <v>1245</v>
      </c>
      <c r="D241" s="2">
        <v>4600</v>
      </c>
      <c r="E241" s="2">
        <v>50</v>
      </c>
      <c r="F241" s="60">
        <v>55</v>
      </c>
      <c r="G241" s="299">
        <f t="shared" si="43"/>
        <v>2750</v>
      </c>
      <c r="H241" s="60">
        <v>9</v>
      </c>
      <c r="I241" s="312"/>
      <c r="J241" s="312"/>
      <c r="K241" s="312"/>
      <c r="L241" s="60">
        <f t="shared" si="41"/>
        <v>9</v>
      </c>
      <c r="M241" s="299">
        <f t="shared" si="42"/>
        <v>2759</v>
      </c>
      <c r="N241" s="304" t="s">
        <v>1626</v>
      </c>
      <c r="O241" s="304" t="s">
        <v>197</v>
      </c>
    </row>
    <row r="242" spans="1:15" ht="12.75" customHeight="1" x14ac:dyDescent="0.25">
      <c r="A242" s="16" t="s">
        <v>1625</v>
      </c>
      <c r="B242" s="2" t="s">
        <v>1689</v>
      </c>
      <c r="C242" s="2" t="s">
        <v>1245</v>
      </c>
      <c r="D242" s="2">
        <v>4600</v>
      </c>
      <c r="E242" s="2">
        <v>300</v>
      </c>
      <c r="F242" s="60">
        <v>35.25</v>
      </c>
      <c r="G242" s="299">
        <f t="shared" si="43"/>
        <v>10575</v>
      </c>
      <c r="H242" s="60">
        <v>54</v>
      </c>
      <c r="I242" s="312"/>
      <c r="J242" s="312"/>
      <c r="K242" s="312"/>
      <c r="L242" s="60">
        <f t="shared" si="41"/>
        <v>54</v>
      </c>
      <c r="M242" s="299">
        <f t="shared" si="42"/>
        <v>10629</v>
      </c>
      <c r="N242" s="304" t="s">
        <v>1626</v>
      </c>
      <c r="O242" s="304" t="s">
        <v>197</v>
      </c>
    </row>
    <row r="243" spans="1:15" ht="12.75" customHeight="1" x14ac:dyDescent="0.25">
      <c r="A243" s="16" t="s">
        <v>1625</v>
      </c>
      <c r="B243" s="2" t="s">
        <v>1689</v>
      </c>
      <c r="C243" s="2" t="s">
        <v>1245</v>
      </c>
      <c r="D243" s="2">
        <v>4600</v>
      </c>
      <c r="E243" s="2">
        <v>100</v>
      </c>
      <c r="F243" s="60">
        <v>35.25</v>
      </c>
      <c r="G243" s="299">
        <f t="shared" si="43"/>
        <v>3525</v>
      </c>
      <c r="H243" s="60">
        <v>18</v>
      </c>
      <c r="I243" s="312"/>
      <c r="J243" s="312"/>
      <c r="K243" s="312"/>
      <c r="L243" s="60">
        <f t="shared" si="41"/>
        <v>18</v>
      </c>
      <c r="M243" s="299">
        <f t="shared" si="42"/>
        <v>3543</v>
      </c>
      <c r="N243" s="304" t="s">
        <v>1626</v>
      </c>
      <c r="O243" s="304" t="s">
        <v>197</v>
      </c>
    </row>
    <row r="244" spans="1:15" ht="12.75" customHeight="1" x14ac:dyDescent="0.25">
      <c r="A244" s="16" t="s">
        <v>1627</v>
      </c>
      <c r="B244" s="2" t="s">
        <v>1689</v>
      </c>
      <c r="C244" s="2" t="s">
        <v>1245</v>
      </c>
      <c r="D244" s="2">
        <v>4600</v>
      </c>
      <c r="E244" s="2">
        <v>200</v>
      </c>
      <c r="F244" s="60">
        <v>37.299999999999997</v>
      </c>
      <c r="G244" s="299">
        <f t="shared" si="43"/>
        <v>7459.9999999999991</v>
      </c>
      <c r="H244" s="60">
        <v>36</v>
      </c>
      <c r="I244" s="60">
        <v>4.26</v>
      </c>
      <c r="J244" s="60">
        <v>5.3</v>
      </c>
      <c r="K244" s="60">
        <v>1</v>
      </c>
      <c r="L244" s="60">
        <f t="shared" si="41"/>
        <v>46.559999999999995</v>
      </c>
      <c r="M244" s="299">
        <f t="shared" si="42"/>
        <v>7506.5599999999995</v>
      </c>
      <c r="N244" s="304" t="s">
        <v>1629</v>
      </c>
      <c r="O244" s="304" t="s">
        <v>197</v>
      </c>
    </row>
    <row r="245" spans="1:15" ht="12.75" customHeight="1" x14ac:dyDescent="0.25">
      <c r="A245" s="16" t="s">
        <v>704</v>
      </c>
      <c r="B245" s="2" t="s">
        <v>1689</v>
      </c>
      <c r="C245" s="2" t="s">
        <v>1245</v>
      </c>
      <c r="D245" s="2">
        <v>4600</v>
      </c>
      <c r="E245" s="2">
        <v>50</v>
      </c>
      <c r="F245" s="60">
        <v>30.15</v>
      </c>
      <c r="G245" s="299">
        <f t="shared" si="43"/>
        <v>1507.5</v>
      </c>
      <c r="H245" s="60">
        <v>9</v>
      </c>
      <c r="I245" s="327"/>
      <c r="J245" s="328"/>
      <c r="K245" s="312"/>
      <c r="L245" s="60">
        <f t="shared" si="41"/>
        <v>9</v>
      </c>
      <c r="M245" s="299">
        <f t="shared" si="42"/>
        <v>1516.5</v>
      </c>
      <c r="N245" s="304" t="s">
        <v>703</v>
      </c>
      <c r="O245" s="263" t="s">
        <v>197</v>
      </c>
    </row>
    <row r="246" spans="1:15" ht="12.75" customHeight="1" x14ac:dyDescent="0.25">
      <c r="A246" s="16" t="s">
        <v>704</v>
      </c>
      <c r="B246" s="2" t="s">
        <v>1689</v>
      </c>
      <c r="C246" s="2" t="s">
        <v>1245</v>
      </c>
      <c r="D246" s="2">
        <v>4600</v>
      </c>
      <c r="E246" s="2">
        <v>50</v>
      </c>
      <c r="F246" s="60">
        <v>30.15</v>
      </c>
      <c r="G246" s="299">
        <f t="shared" si="43"/>
        <v>1507.5</v>
      </c>
      <c r="H246" s="60">
        <v>9</v>
      </c>
      <c r="I246" s="317"/>
      <c r="J246" s="317"/>
      <c r="K246" s="312"/>
      <c r="L246" s="60">
        <f t="shared" si="41"/>
        <v>9</v>
      </c>
      <c r="M246" s="299">
        <f t="shared" si="42"/>
        <v>1516.5</v>
      </c>
      <c r="N246" s="304" t="s">
        <v>703</v>
      </c>
      <c r="O246" s="263" t="s">
        <v>197</v>
      </c>
    </row>
    <row r="247" spans="1:15" ht="12.75" customHeight="1" x14ac:dyDescent="0.25">
      <c r="A247" s="16" t="s">
        <v>704</v>
      </c>
      <c r="B247" s="2" t="s">
        <v>1689</v>
      </c>
      <c r="C247" s="2" t="s">
        <v>1245</v>
      </c>
      <c r="D247" s="2">
        <v>4600</v>
      </c>
      <c r="E247" s="2">
        <v>50</v>
      </c>
      <c r="F247" s="60">
        <v>30.15</v>
      </c>
      <c r="G247" s="299">
        <f t="shared" si="43"/>
        <v>1507.5</v>
      </c>
      <c r="H247" s="60">
        <v>9</v>
      </c>
      <c r="I247" s="327"/>
      <c r="J247" s="327"/>
      <c r="K247" s="302"/>
      <c r="L247" s="60">
        <f t="shared" si="41"/>
        <v>9</v>
      </c>
      <c r="M247" s="299">
        <f t="shared" si="42"/>
        <v>1516.5</v>
      </c>
      <c r="N247" s="304" t="s">
        <v>703</v>
      </c>
      <c r="O247" s="304" t="s">
        <v>197</v>
      </c>
    </row>
    <row r="248" spans="1:15" ht="12.75" customHeight="1" x14ac:dyDescent="0.25">
      <c r="A248" s="16" t="s">
        <v>704</v>
      </c>
      <c r="B248" s="2" t="s">
        <v>1689</v>
      </c>
      <c r="C248" s="2" t="s">
        <v>1245</v>
      </c>
      <c r="D248" s="2">
        <v>4600</v>
      </c>
      <c r="E248" s="2">
        <v>50</v>
      </c>
      <c r="F248" s="60">
        <v>30.15</v>
      </c>
      <c r="G248" s="299">
        <f t="shared" si="43"/>
        <v>1507.5</v>
      </c>
      <c r="H248" s="60">
        <v>9</v>
      </c>
      <c r="I248" s="327"/>
      <c r="J248" s="327"/>
      <c r="K248" s="302"/>
      <c r="L248" s="60">
        <f t="shared" si="41"/>
        <v>9</v>
      </c>
      <c r="M248" s="299">
        <f t="shared" si="42"/>
        <v>1516.5</v>
      </c>
      <c r="N248" s="304" t="s">
        <v>703</v>
      </c>
      <c r="O248" s="304" t="s">
        <v>197</v>
      </c>
    </row>
    <row r="249" spans="1:15" ht="12.75" customHeight="1" x14ac:dyDescent="0.25">
      <c r="A249" s="16" t="s">
        <v>704</v>
      </c>
      <c r="B249" s="2" t="s">
        <v>1689</v>
      </c>
      <c r="C249" s="2" t="s">
        <v>1245</v>
      </c>
      <c r="D249" s="2">
        <v>4600</v>
      </c>
      <c r="E249" s="2">
        <v>200</v>
      </c>
      <c r="F249" s="60">
        <v>30.15</v>
      </c>
      <c r="G249" s="299">
        <f t="shared" si="43"/>
        <v>6030</v>
      </c>
      <c r="H249" s="60">
        <v>36</v>
      </c>
      <c r="I249" s="326">
        <v>8.3000000000000007</v>
      </c>
      <c r="J249" s="326">
        <v>8.56</v>
      </c>
      <c r="K249" s="247">
        <v>1</v>
      </c>
      <c r="L249" s="60">
        <f t="shared" si="41"/>
        <v>53.86</v>
      </c>
      <c r="M249" s="299">
        <f t="shared" si="42"/>
        <v>6083.86</v>
      </c>
      <c r="N249" s="304" t="s">
        <v>703</v>
      </c>
      <c r="O249" s="263" t="s">
        <v>197</v>
      </c>
    </row>
    <row r="250" spans="1:15" ht="12.75" customHeight="1" x14ac:dyDescent="0.25">
      <c r="A250" s="16" t="s">
        <v>707</v>
      </c>
      <c r="B250" s="2" t="s">
        <v>771</v>
      </c>
      <c r="C250" s="2" t="s">
        <v>1245</v>
      </c>
      <c r="D250" s="2">
        <v>4700</v>
      </c>
      <c r="E250" s="2">
        <v>100</v>
      </c>
      <c r="F250" s="60">
        <v>135</v>
      </c>
      <c r="G250" s="299">
        <f t="shared" si="43"/>
        <v>13500</v>
      </c>
      <c r="H250" s="60">
        <v>18</v>
      </c>
      <c r="I250" s="312"/>
      <c r="J250" s="312"/>
      <c r="K250" s="312"/>
      <c r="L250" s="60">
        <f t="shared" si="41"/>
        <v>18</v>
      </c>
      <c r="M250" s="299">
        <f t="shared" si="42"/>
        <v>13518</v>
      </c>
      <c r="N250" s="263" t="s">
        <v>706</v>
      </c>
      <c r="O250" s="263" t="s">
        <v>197</v>
      </c>
    </row>
    <row r="251" spans="1:15" ht="12.75" customHeight="1" x14ac:dyDescent="0.25">
      <c r="A251" s="16" t="s">
        <v>707</v>
      </c>
      <c r="B251" s="2" t="s">
        <v>771</v>
      </c>
      <c r="C251" s="2" t="s">
        <v>1245</v>
      </c>
      <c r="D251" s="2">
        <v>4700</v>
      </c>
      <c r="E251" s="2">
        <v>100</v>
      </c>
      <c r="F251" s="60">
        <v>135</v>
      </c>
      <c r="G251" s="299">
        <f t="shared" si="43"/>
        <v>13500</v>
      </c>
      <c r="H251" s="60">
        <v>18</v>
      </c>
      <c r="I251" s="307"/>
      <c r="J251" s="311"/>
      <c r="K251" s="312"/>
      <c r="L251" s="60">
        <f t="shared" si="41"/>
        <v>18</v>
      </c>
      <c r="M251" s="299">
        <f t="shared" si="42"/>
        <v>13518</v>
      </c>
      <c r="N251" s="263" t="s">
        <v>706</v>
      </c>
      <c r="O251" s="263" t="s">
        <v>197</v>
      </c>
    </row>
    <row r="252" spans="1:15" ht="12.75" customHeight="1" x14ac:dyDescent="0.25">
      <c r="A252" s="16" t="s">
        <v>707</v>
      </c>
      <c r="B252" s="2" t="s">
        <v>771</v>
      </c>
      <c r="C252" s="2" t="s">
        <v>1245</v>
      </c>
      <c r="D252" s="2">
        <v>4700</v>
      </c>
      <c r="E252" s="2">
        <v>100</v>
      </c>
      <c r="F252" s="60">
        <v>135</v>
      </c>
      <c r="G252" s="299">
        <f t="shared" si="43"/>
        <v>13500</v>
      </c>
      <c r="H252" s="60">
        <v>18</v>
      </c>
      <c r="I252" s="307"/>
      <c r="J252" s="311"/>
      <c r="K252" s="312"/>
      <c r="L252" s="60">
        <f t="shared" si="41"/>
        <v>18</v>
      </c>
      <c r="M252" s="299">
        <f t="shared" si="42"/>
        <v>13518</v>
      </c>
      <c r="N252" s="263" t="s">
        <v>706</v>
      </c>
      <c r="O252" s="263" t="s">
        <v>197</v>
      </c>
    </row>
    <row r="253" spans="1:15" ht="12.75" customHeight="1" x14ac:dyDescent="0.25">
      <c r="A253" s="16" t="s">
        <v>707</v>
      </c>
      <c r="B253" s="2" t="s">
        <v>1689</v>
      </c>
      <c r="C253" s="2" t="s">
        <v>1249</v>
      </c>
      <c r="D253" s="2">
        <v>4800</v>
      </c>
      <c r="E253" s="2">
        <v>300</v>
      </c>
      <c r="F253" s="60">
        <v>45</v>
      </c>
      <c r="G253" s="299">
        <f t="shared" si="43"/>
        <v>13500</v>
      </c>
      <c r="H253" s="60">
        <v>54</v>
      </c>
      <c r="I253" s="307"/>
      <c r="J253" s="311"/>
      <c r="K253" s="312"/>
      <c r="L253" s="60">
        <f t="shared" si="41"/>
        <v>54</v>
      </c>
      <c r="M253" s="299">
        <f t="shared" si="42"/>
        <v>13554</v>
      </c>
      <c r="N253" s="263" t="s">
        <v>706</v>
      </c>
      <c r="O253" s="263" t="s">
        <v>197</v>
      </c>
    </row>
    <row r="254" spans="1:15" ht="12.75" customHeight="1" x14ac:dyDescent="0.25">
      <c r="A254" s="16" t="s">
        <v>710</v>
      </c>
      <c r="B254" s="2" t="s">
        <v>708</v>
      </c>
      <c r="C254" s="2" t="s">
        <v>1245</v>
      </c>
      <c r="D254" s="2">
        <v>8300</v>
      </c>
      <c r="E254" s="2">
        <v>100</v>
      </c>
      <c r="F254" s="60">
        <v>138</v>
      </c>
      <c r="G254" s="299">
        <f>E254*F254</f>
        <v>13800</v>
      </c>
      <c r="H254" s="60">
        <v>36</v>
      </c>
      <c r="I254" s="315"/>
      <c r="J254" s="315"/>
      <c r="K254" s="312"/>
      <c r="L254" s="60">
        <f t="shared" ref="L254:L264" si="44">SUM(H254:K254)</f>
        <v>36</v>
      </c>
      <c r="M254" s="299">
        <f t="shared" ref="M254:M264" si="45">G254+L254</f>
        <v>13836</v>
      </c>
      <c r="N254" s="263" t="s">
        <v>709</v>
      </c>
      <c r="O254" s="304" t="s">
        <v>197</v>
      </c>
    </row>
    <row r="255" spans="1:15" ht="12.75" customHeight="1" x14ac:dyDescent="0.25">
      <c r="A255" s="16" t="s">
        <v>710</v>
      </c>
      <c r="B255" s="2" t="s">
        <v>1689</v>
      </c>
      <c r="C255" s="2" t="s">
        <v>1245</v>
      </c>
      <c r="D255" s="2">
        <v>4800</v>
      </c>
      <c r="E255" s="2">
        <v>50</v>
      </c>
      <c r="F255" s="60">
        <v>90.7</v>
      </c>
      <c r="G255" s="299">
        <f>E255*F255</f>
        <v>4535</v>
      </c>
      <c r="H255" s="60">
        <v>9</v>
      </c>
      <c r="I255" s="307"/>
      <c r="J255" s="311"/>
      <c r="K255" s="312"/>
      <c r="L255" s="60">
        <f t="shared" si="44"/>
        <v>9</v>
      </c>
      <c r="M255" s="299">
        <f t="shared" si="45"/>
        <v>4544</v>
      </c>
      <c r="N255" s="263" t="s">
        <v>709</v>
      </c>
      <c r="O255" s="304" t="s">
        <v>197</v>
      </c>
    </row>
    <row r="256" spans="1:15" ht="12.75" customHeight="1" x14ac:dyDescent="0.25">
      <c r="A256" s="16" t="s">
        <v>710</v>
      </c>
      <c r="B256" s="2" t="s">
        <v>1689</v>
      </c>
      <c r="C256" s="2" t="s">
        <v>1245</v>
      </c>
      <c r="D256" s="2">
        <v>4800</v>
      </c>
      <c r="E256" s="2">
        <v>250</v>
      </c>
      <c r="F256" s="60">
        <v>90.7</v>
      </c>
      <c r="G256" s="299">
        <f>E256*F256</f>
        <v>22675</v>
      </c>
      <c r="H256" s="60">
        <v>45</v>
      </c>
      <c r="I256" s="324"/>
      <c r="J256" s="324"/>
      <c r="K256" s="312"/>
      <c r="L256" s="60">
        <f t="shared" si="44"/>
        <v>45</v>
      </c>
      <c r="M256" s="299">
        <f t="shared" si="45"/>
        <v>22720</v>
      </c>
      <c r="N256" s="263" t="s">
        <v>709</v>
      </c>
      <c r="O256" s="304" t="s">
        <v>197</v>
      </c>
    </row>
    <row r="257" spans="1:15" ht="12.75" customHeight="1" x14ac:dyDescent="0.25">
      <c r="A257" s="16" t="s">
        <v>710</v>
      </c>
      <c r="B257" s="2" t="s">
        <v>771</v>
      </c>
      <c r="C257" s="2" t="s">
        <v>1245</v>
      </c>
      <c r="D257" s="2">
        <v>4700</v>
      </c>
      <c r="E257" s="2">
        <v>50</v>
      </c>
      <c r="F257" s="60">
        <v>115</v>
      </c>
      <c r="G257" s="299">
        <f t="shared" ref="G257:G264" si="46">E257*F257</f>
        <v>5750</v>
      </c>
      <c r="H257" s="60">
        <v>9</v>
      </c>
      <c r="I257" s="307"/>
      <c r="J257" s="311"/>
      <c r="K257" s="312"/>
      <c r="L257" s="60">
        <f t="shared" si="44"/>
        <v>9</v>
      </c>
      <c r="M257" s="299">
        <f t="shared" si="45"/>
        <v>5759</v>
      </c>
      <c r="N257" s="263" t="s">
        <v>709</v>
      </c>
      <c r="O257" s="304" t="s">
        <v>197</v>
      </c>
    </row>
    <row r="258" spans="1:15" ht="12.75" customHeight="1" x14ac:dyDescent="0.25">
      <c r="A258" s="16" t="s">
        <v>710</v>
      </c>
      <c r="B258" s="2" t="s">
        <v>771</v>
      </c>
      <c r="C258" s="2" t="s">
        <v>1245</v>
      </c>
      <c r="D258" s="2">
        <v>4700</v>
      </c>
      <c r="E258" s="2">
        <v>50</v>
      </c>
      <c r="F258" s="60">
        <v>115</v>
      </c>
      <c r="G258" s="299">
        <f t="shared" si="46"/>
        <v>5750</v>
      </c>
      <c r="H258" s="60">
        <v>9</v>
      </c>
      <c r="I258" s="307"/>
      <c r="J258" s="311"/>
      <c r="K258" s="312"/>
      <c r="L258" s="60">
        <f t="shared" si="44"/>
        <v>9</v>
      </c>
      <c r="M258" s="299">
        <f t="shared" si="45"/>
        <v>5759</v>
      </c>
      <c r="N258" s="263" t="s">
        <v>709</v>
      </c>
      <c r="O258" s="304" t="s">
        <v>197</v>
      </c>
    </row>
    <row r="259" spans="1:15" ht="12.75" customHeight="1" x14ac:dyDescent="0.25">
      <c r="A259" s="16" t="s">
        <v>710</v>
      </c>
      <c r="B259" s="2" t="s">
        <v>771</v>
      </c>
      <c r="C259" s="2" t="s">
        <v>1245</v>
      </c>
      <c r="D259" s="2">
        <v>4700</v>
      </c>
      <c r="E259" s="2">
        <v>200</v>
      </c>
      <c r="F259" s="60">
        <v>115</v>
      </c>
      <c r="G259" s="299">
        <f t="shared" si="46"/>
        <v>23000</v>
      </c>
      <c r="H259" s="60">
        <v>36</v>
      </c>
      <c r="I259" s="307"/>
      <c r="J259" s="311"/>
      <c r="K259" s="312"/>
      <c r="L259" s="60">
        <f t="shared" si="44"/>
        <v>36</v>
      </c>
      <c r="M259" s="299">
        <f t="shared" si="45"/>
        <v>23036</v>
      </c>
      <c r="N259" s="263" t="s">
        <v>709</v>
      </c>
      <c r="O259" s="304" t="s">
        <v>197</v>
      </c>
    </row>
    <row r="260" spans="1:15" ht="12.75" customHeight="1" x14ac:dyDescent="0.25">
      <c r="A260" s="16" t="s">
        <v>710</v>
      </c>
      <c r="B260" s="2" t="s">
        <v>771</v>
      </c>
      <c r="C260" s="2" t="s">
        <v>1245</v>
      </c>
      <c r="D260" s="2">
        <v>4700</v>
      </c>
      <c r="E260" s="2">
        <v>50</v>
      </c>
      <c r="F260" s="60">
        <v>115</v>
      </c>
      <c r="G260" s="299">
        <f t="shared" si="46"/>
        <v>5750</v>
      </c>
      <c r="H260" s="60">
        <v>9</v>
      </c>
      <c r="I260" s="307"/>
      <c r="J260" s="311"/>
      <c r="K260" s="312"/>
      <c r="L260" s="60">
        <f t="shared" si="44"/>
        <v>9</v>
      </c>
      <c r="M260" s="299">
        <f t="shared" si="45"/>
        <v>5759</v>
      </c>
      <c r="N260" s="263" t="s">
        <v>709</v>
      </c>
      <c r="O260" s="304" t="s">
        <v>197</v>
      </c>
    </row>
    <row r="261" spans="1:15" ht="12.75" customHeight="1" x14ac:dyDescent="0.25">
      <c r="A261" s="16" t="s">
        <v>710</v>
      </c>
      <c r="B261" s="2" t="s">
        <v>771</v>
      </c>
      <c r="C261" s="2" t="s">
        <v>1245</v>
      </c>
      <c r="D261" s="2">
        <v>4700</v>
      </c>
      <c r="E261" s="2">
        <v>50</v>
      </c>
      <c r="F261" s="60">
        <v>115</v>
      </c>
      <c r="G261" s="299">
        <f t="shared" si="46"/>
        <v>5750</v>
      </c>
      <c r="H261" s="60">
        <v>9</v>
      </c>
      <c r="I261" s="307"/>
      <c r="J261" s="311"/>
      <c r="K261" s="312"/>
      <c r="L261" s="60">
        <f t="shared" si="44"/>
        <v>9</v>
      </c>
      <c r="M261" s="299">
        <f t="shared" si="45"/>
        <v>5759</v>
      </c>
      <c r="N261" s="263" t="s">
        <v>709</v>
      </c>
      <c r="O261" s="304" t="s">
        <v>197</v>
      </c>
    </row>
    <row r="262" spans="1:15" ht="12.75" customHeight="1" x14ac:dyDescent="0.25">
      <c r="A262" s="16" t="s">
        <v>710</v>
      </c>
      <c r="B262" s="2" t="s">
        <v>771</v>
      </c>
      <c r="C262" s="2" t="s">
        <v>1245</v>
      </c>
      <c r="D262" s="2">
        <v>4700</v>
      </c>
      <c r="E262" s="2">
        <v>50</v>
      </c>
      <c r="F262" s="60">
        <v>115</v>
      </c>
      <c r="G262" s="299">
        <f t="shared" si="46"/>
        <v>5750</v>
      </c>
      <c r="H262" s="60">
        <v>9</v>
      </c>
      <c r="I262" s="307"/>
      <c r="J262" s="311"/>
      <c r="K262" s="312"/>
      <c r="L262" s="60">
        <f t="shared" si="44"/>
        <v>9</v>
      </c>
      <c r="M262" s="299">
        <f t="shared" si="45"/>
        <v>5759</v>
      </c>
      <c r="N262" s="263" t="s">
        <v>709</v>
      </c>
      <c r="O262" s="304" t="s">
        <v>197</v>
      </c>
    </row>
    <row r="263" spans="1:15" ht="12.75" customHeight="1" x14ac:dyDescent="0.25">
      <c r="A263" s="16" t="s">
        <v>710</v>
      </c>
      <c r="B263" s="2" t="s">
        <v>771</v>
      </c>
      <c r="C263" s="2" t="s">
        <v>1245</v>
      </c>
      <c r="D263" s="2">
        <v>4700</v>
      </c>
      <c r="E263" s="2">
        <v>50</v>
      </c>
      <c r="F263" s="60">
        <v>115</v>
      </c>
      <c r="G263" s="299">
        <f t="shared" si="46"/>
        <v>5750</v>
      </c>
      <c r="H263" s="60">
        <v>9</v>
      </c>
      <c r="I263" s="315"/>
      <c r="J263" s="315"/>
      <c r="K263" s="312"/>
      <c r="L263" s="60">
        <f t="shared" si="44"/>
        <v>9</v>
      </c>
      <c r="M263" s="299">
        <f t="shared" si="45"/>
        <v>5759</v>
      </c>
      <c r="N263" s="263" t="s">
        <v>709</v>
      </c>
      <c r="O263" s="304" t="s">
        <v>197</v>
      </c>
    </row>
    <row r="264" spans="1:15" ht="12.75" customHeight="1" x14ac:dyDescent="0.25">
      <c r="A264" s="16" t="s">
        <v>710</v>
      </c>
      <c r="B264" s="2" t="s">
        <v>1689</v>
      </c>
      <c r="C264" s="2" t="s">
        <v>1249</v>
      </c>
      <c r="D264" s="2">
        <v>4800</v>
      </c>
      <c r="E264" s="2">
        <v>200</v>
      </c>
      <c r="F264" s="60">
        <v>27.55</v>
      </c>
      <c r="G264" s="299">
        <f t="shared" si="46"/>
        <v>5510</v>
      </c>
      <c r="H264" s="60">
        <v>36</v>
      </c>
      <c r="I264" s="320">
        <v>36.340000000000003</v>
      </c>
      <c r="J264" s="320">
        <v>82.8</v>
      </c>
      <c r="K264" s="60">
        <v>9</v>
      </c>
      <c r="L264" s="60">
        <f t="shared" si="44"/>
        <v>164.14</v>
      </c>
      <c r="M264" s="299">
        <f t="shared" si="45"/>
        <v>5674.14</v>
      </c>
      <c r="N264" s="263" t="s">
        <v>709</v>
      </c>
      <c r="O264" s="304" t="s">
        <v>197</v>
      </c>
    </row>
    <row r="265" spans="1:15" ht="12.75" customHeight="1" x14ac:dyDescent="0.25">
      <c r="A265" s="16" t="s">
        <v>1478</v>
      </c>
      <c r="B265" s="2" t="s">
        <v>1689</v>
      </c>
      <c r="C265" s="2" t="s">
        <v>1245</v>
      </c>
      <c r="D265" s="2">
        <v>4700</v>
      </c>
      <c r="E265" s="2">
        <v>250</v>
      </c>
      <c r="F265" s="60">
        <v>19.55</v>
      </c>
      <c r="G265" s="299">
        <f t="shared" ref="G265:G284" si="47">E265*F265</f>
        <v>4887.5</v>
      </c>
      <c r="H265" s="60">
        <v>45</v>
      </c>
      <c r="I265" s="312"/>
      <c r="J265" s="312"/>
      <c r="K265" s="312"/>
      <c r="L265" s="60">
        <f t="shared" ref="L265:L272" si="48">SUM(H265:K265)</f>
        <v>45</v>
      </c>
      <c r="M265" s="299">
        <f t="shared" ref="M265:M272" si="49">G265+L265</f>
        <v>4932.5</v>
      </c>
      <c r="N265" s="263" t="s">
        <v>1481</v>
      </c>
      <c r="O265" s="263" t="s">
        <v>197</v>
      </c>
    </row>
    <row r="266" spans="1:15" ht="12.75" customHeight="1" x14ac:dyDescent="0.25">
      <c r="A266" s="16" t="s">
        <v>1478</v>
      </c>
      <c r="B266" s="2" t="s">
        <v>1689</v>
      </c>
      <c r="C266" s="2" t="s">
        <v>1245</v>
      </c>
      <c r="D266" s="2">
        <v>4700</v>
      </c>
      <c r="E266" s="2">
        <v>250</v>
      </c>
      <c r="F266" s="60">
        <v>19.649999999999999</v>
      </c>
      <c r="G266" s="299">
        <f t="shared" si="47"/>
        <v>4912.5</v>
      </c>
      <c r="H266" s="60">
        <v>45</v>
      </c>
      <c r="I266" s="312"/>
      <c r="J266" s="312"/>
      <c r="K266" s="312"/>
      <c r="L266" s="60">
        <f t="shared" si="48"/>
        <v>45</v>
      </c>
      <c r="M266" s="299">
        <f t="shared" si="49"/>
        <v>4957.5</v>
      </c>
      <c r="N266" s="263" t="s">
        <v>1481</v>
      </c>
      <c r="O266" s="304" t="s">
        <v>197</v>
      </c>
    </row>
    <row r="267" spans="1:15" ht="12.75" customHeight="1" x14ac:dyDescent="0.25">
      <c r="A267" s="16" t="s">
        <v>1478</v>
      </c>
      <c r="B267" s="2" t="s">
        <v>1689</v>
      </c>
      <c r="C267" s="2" t="s">
        <v>1245</v>
      </c>
      <c r="D267" s="2">
        <v>4700</v>
      </c>
      <c r="E267" s="2">
        <v>200</v>
      </c>
      <c r="F267" s="60">
        <v>16.2</v>
      </c>
      <c r="G267" s="299">
        <f t="shared" si="47"/>
        <v>3240</v>
      </c>
      <c r="H267" s="60">
        <v>36</v>
      </c>
      <c r="I267" s="312"/>
      <c r="J267" s="312"/>
      <c r="K267" s="312"/>
      <c r="L267" s="60">
        <f t="shared" si="48"/>
        <v>36</v>
      </c>
      <c r="M267" s="299">
        <f t="shared" si="49"/>
        <v>3276</v>
      </c>
      <c r="N267" s="263" t="s">
        <v>1481</v>
      </c>
      <c r="O267" s="304" t="s">
        <v>197</v>
      </c>
    </row>
    <row r="268" spans="1:15" ht="12.75" customHeight="1" x14ac:dyDescent="0.25">
      <c r="A268" s="16" t="s">
        <v>1482</v>
      </c>
      <c r="B268" s="2" t="s">
        <v>1689</v>
      </c>
      <c r="C268" s="2" t="s">
        <v>1245</v>
      </c>
      <c r="D268" s="2">
        <v>4700</v>
      </c>
      <c r="E268" s="2">
        <v>50</v>
      </c>
      <c r="F268" s="60">
        <v>28.4</v>
      </c>
      <c r="G268" s="299">
        <f t="shared" si="47"/>
        <v>1420</v>
      </c>
      <c r="H268" s="60">
        <v>9</v>
      </c>
      <c r="I268" s="312"/>
      <c r="J268" s="312"/>
      <c r="K268" s="312"/>
      <c r="L268" s="60">
        <f t="shared" si="48"/>
        <v>9</v>
      </c>
      <c r="M268" s="299">
        <f t="shared" si="49"/>
        <v>1429</v>
      </c>
      <c r="N268" s="304" t="s">
        <v>1483</v>
      </c>
      <c r="O268" s="263" t="s">
        <v>197</v>
      </c>
    </row>
    <row r="269" spans="1:15" ht="12.75" customHeight="1" x14ac:dyDescent="0.25">
      <c r="A269" s="16" t="s">
        <v>1482</v>
      </c>
      <c r="B269" s="2" t="s">
        <v>1689</v>
      </c>
      <c r="C269" s="2" t="s">
        <v>1245</v>
      </c>
      <c r="D269" s="2">
        <v>4700</v>
      </c>
      <c r="E269" s="2">
        <v>50</v>
      </c>
      <c r="F269" s="60">
        <v>28.5</v>
      </c>
      <c r="G269" s="299">
        <f t="shared" si="47"/>
        <v>1425</v>
      </c>
      <c r="H269" s="60">
        <v>9</v>
      </c>
      <c r="I269" s="247">
        <v>2.06</v>
      </c>
      <c r="J269" s="247">
        <v>2.02</v>
      </c>
      <c r="K269" s="247">
        <v>1</v>
      </c>
      <c r="L269" s="60">
        <f t="shared" si="48"/>
        <v>14.08</v>
      </c>
      <c r="M269" s="299">
        <f t="shared" si="49"/>
        <v>1439.08</v>
      </c>
      <c r="N269" s="304" t="s">
        <v>1483</v>
      </c>
      <c r="O269" s="263" t="s">
        <v>197</v>
      </c>
    </row>
    <row r="270" spans="1:15" ht="12.75" customHeight="1" x14ac:dyDescent="0.25">
      <c r="A270" s="16" t="s">
        <v>1484</v>
      </c>
      <c r="B270" s="2" t="s">
        <v>1689</v>
      </c>
      <c r="C270" s="2" t="s">
        <v>1249</v>
      </c>
      <c r="D270" s="2">
        <v>4700</v>
      </c>
      <c r="E270" s="2">
        <v>50</v>
      </c>
      <c r="F270" s="60">
        <v>19.2</v>
      </c>
      <c r="G270" s="299">
        <f t="shared" si="47"/>
        <v>960</v>
      </c>
      <c r="H270" s="60">
        <v>9</v>
      </c>
      <c r="I270" s="315"/>
      <c r="J270" s="315"/>
      <c r="K270" s="312"/>
      <c r="L270" s="60">
        <f t="shared" si="48"/>
        <v>9</v>
      </c>
      <c r="M270" s="299">
        <f t="shared" si="49"/>
        <v>969</v>
      </c>
      <c r="N270" s="249" t="s">
        <v>1485</v>
      </c>
      <c r="O270" s="263" t="s">
        <v>197</v>
      </c>
    </row>
    <row r="271" spans="1:15" ht="12.75" customHeight="1" x14ac:dyDescent="0.25">
      <c r="A271" s="16" t="s">
        <v>1484</v>
      </c>
      <c r="B271" s="2" t="s">
        <v>1689</v>
      </c>
      <c r="C271" s="2" t="s">
        <v>1249</v>
      </c>
      <c r="D271" s="2">
        <v>4700</v>
      </c>
      <c r="E271" s="2">
        <v>100</v>
      </c>
      <c r="F271" s="60">
        <v>10.5</v>
      </c>
      <c r="G271" s="299">
        <f t="shared" si="47"/>
        <v>1050</v>
      </c>
      <c r="H271" s="60">
        <v>18</v>
      </c>
      <c r="I271" s="315"/>
      <c r="J271" s="315"/>
      <c r="K271" s="312"/>
      <c r="L271" s="60">
        <f t="shared" si="48"/>
        <v>18</v>
      </c>
      <c r="M271" s="299">
        <f t="shared" si="49"/>
        <v>1068</v>
      </c>
      <c r="N271" s="249" t="s">
        <v>1485</v>
      </c>
      <c r="O271" s="263" t="s">
        <v>197</v>
      </c>
    </row>
    <row r="272" spans="1:15" ht="12.75" customHeight="1" x14ac:dyDescent="0.25">
      <c r="A272" s="16" t="s">
        <v>1484</v>
      </c>
      <c r="B272" s="2" t="s">
        <v>1689</v>
      </c>
      <c r="C272" s="2" t="s">
        <v>1249</v>
      </c>
      <c r="D272" s="2">
        <v>4700</v>
      </c>
      <c r="E272" s="2">
        <v>50</v>
      </c>
      <c r="F272" s="60">
        <v>9.85</v>
      </c>
      <c r="G272" s="299">
        <f t="shared" si="47"/>
        <v>492.5</v>
      </c>
      <c r="H272" s="60">
        <v>9</v>
      </c>
      <c r="I272" s="307"/>
      <c r="J272" s="311"/>
      <c r="K272" s="312"/>
      <c r="L272" s="60">
        <f t="shared" si="48"/>
        <v>9</v>
      </c>
      <c r="M272" s="299">
        <f t="shared" si="49"/>
        <v>501.5</v>
      </c>
      <c r="N272" s="249" t="s">
        <v>1485</v>
      </c>
      <c r="O272" s="263" t="s">
        <v>197</v>
      </c>
    </row>
    <row r="273" spans="1:15" ht="12.75" customHeight="1" x14ac:dyDescent="0.25">
      <c r="A273" s="338" t="s">
        <v>550</v>
      </c>
      <c r="B273" s="16" t="s">
        <v>771</v>
      </c>
      <c r="C273" s="2" t="s">
        <v>1249</v>
      </c>
      <c r="D273" s="2">
        <v>5000</v>
      </c>
      <c r="E273" s="2">
        <v>700</v>
      </c>
      <c r="F273" s="60">
        <v>15.5</v>
      </c>
      <c r="G273" s="299">
        <f t="shared" si="47"/>
        <v>10850</v>
      </c>
      <c r="H273" s="60">
        <v>126</v>
      </c>
      <c r="I273" s="307"/>
      <c r="J273" s="311"/>
      <c r="K273" s="312"/>
      <c r="L273" s="60">
        <f t="shared" ref="L273:L281" si="50">SUM(H273:K273)</f>
        <v>126</v>
      </c>
      <c r="M273" s="299">
        <f t="shared" ref="M273:M281" si="51">G273+L273</f>
        <v>10976</v>
      </c>
      <c r="N273" s="263" t="s">
        <v>551</v>
      </c>
      <c r="O273" s="304" t="s">
        <v>197</v>
      </c>
    </row>
    <row r="274" spans="1:15" ht="12.75" customHeight="1" x14ac:dyDescent="0.25">
      <c r="A274" s="338" t="s">
        <v>550</v>
      </c>
      <c r="B274" s="16" t="s">
        <v>771</v>
      </c>
      <c r="C274" s="2" t="s">
        <v>1249</v>
      </c>
      <c r="D274" s="2">
        <v>5000</v>
      </c>
      <c r="E274" s="2">
        <v>200</v>
      </c>
      <c r="F274" s="60">
        <v>15.55</v>
      </c>
      <c r="G274" s="299">
        <f t="shared" si="47"/>
        <v>3110</v>
      </c>
      <c r="H274" s="60">
        <v>36</v>
      </c>
      <c r="I274" s="307"/>
      <c r="J274" s="311"/>
      <c r="K274" s="312"/>
      <c r="L274" s="60">
        <f t="shared" si="50"/>
        <v>36</v>
      </c>
      <c r="M274" s="299">
        <f t="shared" si="51"/>
        <v>3146</v>
      </c>
      <c r="N274" s="263" t="s">
        <v>551</v>
      </c>
      <c r="O274" s="304" t="s">
        <v>197</v>
      </c>
    </row>
    <row r="275" spans="1:15" ht="12.75" customHeight="1" x14ac:dyDescent="0.25">
      <c r="A275" s="338" t="s">
        <v>550</v>
      </c>
      <c r="B275" s="16" t="s">
        <v>771</v>
      </c>
      <c r="C275" s="2" t="s">
        <v>1249</v>
      </c>
      <c r="D275" s="2">
        <v>5000</v>
      </c>
      <c r="E275" s="2">
        <v>100</v>
      </c>
      <c r="F275" s="60">
        <v>15.55</v>
      </c>
      <c r="G275" s="299">
        <f t="shared" si="47"/>
        <v>1555</v>
      </c>
      <c r="H275" s="60">
        <v>18</v>
      </c>
      <c r="I275" s="307"/>
      <c r="J275" s="311"/>
      <c r="K275" s="312"/>
      <c r="L275" s="60">
        <f t="shared" si="50"/>
        <v>18</v>
      </c>
      <c r="M275" s="299">
        <f t="shared" si="51"/>
        <v>1573</v>
      </c>
      <c r="N275" s="263" t="s">
        <v>551</v>
      </c>
      <c r="O275" s="304" t="s">
        <v>197</v>
      </c>
    </row>
    <row r="276" spans="1:15" ht="12.75" customHeight="1" x14ac:dyDescent="0.25">
      <c r="A276" s="338" t="s">
        <v>550</v>
      </c>
      <c r="B276" s="249" t="s">
        <v>771</v>
      </c>
      <c r="C276" s="249" t="s">
        <v>1249</v>
      </c>
      <c r="D276" s="249">
        <v>4900</v>
      </c>
      <c r="E276" s="299">
        <v>500</v>
      </c>
      <c r="F276" s="299">
        <v>30</v>
      </c>
      <c r="G276" s="299">
        <f t="shared" si="47"/>
        <v>15000</v>
      </c>
      <c r="H276" s="299">
        <v>90</v>
      </c>
      <c r="I276" s="315"/>
      <c r="J276" s="315"/>
      <c r="K276" s="312"/>
      <c r="L276" s="60">
        <f t="shared" si="50"/>
        <v>90</v>
      </c>
      <c r="M276" s="299">
        <f t="shared" si="51"/>
        <v>15090</v>
      </c>
      <c r="N276" s="263" t="s">
        <v>551</v>
      </c>
      <c r="O276" s="304" t="s">
        <v>197</v>
      </c>
    </row>
    <row r="277" spans="1:15" ht="12.75" customHeight="1" x14ac:dyDescent="0.25">
      <c r="A277" s="338" t="s">
        <v>550</v>
      </c>
      <c r="B277" s="16" t="s">
        <v>771</v>
      </c>
      <c r="C277" s="2" t="s">
        <v>1249</v>
      </c>
      <c r="D277" s="2">
        <v>4900</v>
      </c>
      <c r="E277" s="2">
        <v>50</v>
      </c>
      <c r="F277" s="60">
        <v>30.55</v>
      </c>
      <c r="G277" s="299">
        <f t="shared" si="47"/>
        <v>1527.5</v>
      </c>
      <c r="H277" s="60">
        <v>9</v>
      </c>
      <c r="I277" s="307"/>
      <c r="J277" s="307"/>
      <c r="K277" s="302"/>
      <c r="L277" s="60">
        <f t="shared" si="50"/>
        <v>9</v>
      </c>
      <c r="M277" s="299">
        <f t="shared" si="51"/>
        <v>1536.5</v>
      </c>
      <c r="N277" s="263" t="s">
        <v>551</v>
      </c>
      <c r="O277" s="304" t="s">
        <v>197</v>
      </c>
    </row>
    <row r="278" spans="1:15" ht="12.75" customHeight="1" x14ac:dyDescent="0.25">
      <c r="A278" s="338" t="s">
        <v>550</v>
      </c>
      <c r="B278" s="16" t="s">
        <v>771</v>
      </c>
      <c r="C278" s="2" t="s">
        <v>1249</v>
      </c>
      <c r="D278" s="2">
        <v>4900</v>
      </c>
      <c r="E278" s="2">
        <v>50</v>
      </c>
      <c r="F278" s="60">
        <v>30.55</v>
      </c>
      <c r="G278" s="299">
        <f t="shared" si="47"/>
        <v>1527.5</v>
      </c>
      <c r="H278" s="60">
        <v>9</v>
      </c>
      <c r="I278" s="307"/>
      <c r="J278" s="307"/>
      <c r="K278" s="302"/>
      <c r="L278" s="60">
        <f t="shared" si="50"/>
        <v>9</v>
      </c>
      <c r="M278" s="299">
        <f t="shared" si="51"/>
        <v>1536.5</v>
      </c>
      <c r="N278" s="263" t="s">
        <v>551</v>
      </c>
      <c r="O278" s="304" t="s">
        <v>197</v>
      </c>
    </row>
    <row r="279" spans="1:15" ht="12.75" customHeight="1" x14ac:dyDescent="0.25">
      <c r="A279" s="338" t="s">
        <v>550</v>
      </c>
      <c r="B279" s="16" t="s">
        <v>771</v>
      </c>
      <c r="C279" s="2" t="s">
        <v>1249</v>
      </c>
      <c r="D279" s="2">
        <v>4900</v>
      </c>
      <c r="E279" s="2">
        <v>200</v>
      </c>
      <c r="F279" s="60">
        <v>30.55</v>
      </c>
      <c r="G279" s="299">
        <f t="shared" si="47"/>
        <v>6110</v>
      </c>
      <c r="H279" s="60">
        <v>36</v>
      </c>
      <c r="I279" s="307"/>
      <c r="J279" s="307"/>
      <c r="K279" s="302"/>
      <c r="L279" s="60">
        <f t="shared" si="50"/>
        <v>36</v>
      </c>
      <c r="M279" s="299">
        <f t="shared" si="51"/>
        <v>6146</v>
      </c>
      <c r="N279" s="263" t="s">
        <v>551</v>
      </c>
      <c r="O279" s="304" t="s">
        <v>197</v>
      </c>
    </row>
    <row r="280" spans="1:15" ht="12.75" customHeight="1" x14ac:dyDescent="0.25">
      <c r="A280" s="338" t="s">
        <v>550</v>
      </c>
      <c r="B280" s="249" t="s">
        <v>771</v>
      </c>
      <c r="C280" s="249" t="s">
        <v>1249</v>
      </c>
      <c r="D280" s="249">
        <v>4900</v>
      </c>
      <c r="E280" s="299">
        <v>50</v>
      </c>
      <c r="F280" s="299">
        <v>31.3</v>
      </c>
      <c r="G280" s="299">
        <f t="shared" si="47"/>
        <v>1565</v>
      </c>
      <c r="H280" s="299">
        <v>9</v>
      </c>
      <c r="I280" s="315"/>
      <c r="J280" s="315"/>
      <c r="K280" s="312"/>
      <c r="L280" s="60">
        <f t="shared" si="50"/>
        <v>9</v>
      </c>
      <c r="M280" s="299">
        <f t="shared" si="51"/>
        <v>1574</v>
      </c>
      <c r="N280" s="263" t="s">
        <v>551</v>
      </c>
      <c r="O280" s="304" t="s">
        <v>197</v>
      </c>
    </row>
    <row r="281" spans="1:15" ht="12.75" customHeight="1" x14ac:dyDescent="0.25">
      <c r="A281" s="338" t="s">
        <v>550</v>
      </c>
      <c r="B281" s="249" t="s">
        <v>771</v>
      </c>
      <c r="C281" s="249" t="s">
        <v>1249</v>
      </c>
      <c r="D281" s="249">
        <v>4900</v>
      </c>
      <c r="E281" s="299">
        <v>150</v>
      </c>
      <c r="F281" s="299">
        <v>31.3</v>
      </c>
      <c r="G281" s="299">
        <f t="shared" si="47"/>
        <v>4695</v>
      </c>
      <c r="H281" s="299">
        <v>27</v>
      </c>
      <c r="I281" s="299">
        <v>46.34</v>
      </c>
      <c r="J281" s="299">
        <v>53.92</v>
      </c>
      <c r="K281" s="247">
        <v>10</v>
      </c>
      <c r="L281" s="60">
        <f t="shared" si="50"/>
        <v>137.26</v>
      </c>
      <c r="M281" s="299">
        <f t="shared" si="51"/>
        <v>4832.26</v>
      </c>
      <c r="N281" s="263" t="s">
        <v>551</v>
      </c>
      <c r="O281" s="304" t="s">
        <v>197</v>
      </c>
    </row>
    <row r="282" spans="1:15" ht="12.75" customHeight="1" x14ac:dyDescent="0.25">
      <c r="A282" s="338" t="s">
        <v>554</v>
      </c>
      <c r="B282" s="249" t="s">
        <v>552</v>
      </c>
      <c r="C282" s="249" t="s">
        <v>1245</v>
      </c>
      <c r="D282" s="249">
        <v>150</v>
      </c>
      <c r="E282" s="299">
        <v>1000</v>
      </c>
      <c r="F282" s="299">
        <v>3.1</v>
      </c>
      <c r="G282" s="299">
        <f t="shared" si="47"/>
        <v>3100</v>
      </c>
      <c r="H282" s="299">
        <v>9</v>
      </c>
      <c r="I282" s="299">
        <v>1.1599999999999999</v>
      </c>
      <c r="J282" s="299">
        <v>2.2000000000000002</v>
      </c>
      <c r="K282" s="247">
        <v>1</v>
      </c>
      <c r="L282" s="60">
        <f t="shared" ref="L282:L295" si="52">SUM(H282:K282)</f>
        <v>13.36</v>
      </c>
      <c r="M282" s="299">
        <f t="shared" ref="M282:M295" si="53">G282+L282</f>
        <v>3113.36</v>
      </c>
      <c r="N282" s="263" t="s">
        <v>553</v>
      </c>
      <c r="O282" s="263" t="s">
        <v>197</v>
      </c>
    </row>
    <row r="283" spans="1:15" ht="12.75" customHeight="1" x14ac:dyDescent="0.25">
      <c r="A283" s="325" t="s">
        <v>555</v>
      </c>
      <c r="B283" s="16" t="s">
        <v>771</v>
      </c>
      <c r="C283" s="2" t="s">
        <v>1245</v>
      </c>
      <c r="D283" s="2">
        <v>4700</v>
      </c>
      <c r="E283" s="2">
        <v>200</v>
      </c>
      <c r="F283" s="60">
        <v>75.349999999999994</v>
      </c>
      <c r="G283" s="299">
        <f t="shared" si="47"/>
        <v>15069.999999999998</v>
      </c>
      <c r="H283" s="60">
        <v>36</v>
      </c>
      <c r="I283" s="307"/>
      <c r="J283" s="307"/>
      <c r="K283" s="302"/>
      <c r="L283" s="60">
        <f t="shared" si="52"/>
        <v>36</v>
      </c>
      <c r="M283" s="299">
        <f t="shared" si="53"/>
        <v>15105.999999999998</v>
      </c>
      <c r="N283" s="263" t="s">
        <v>556</v>
      </c>
      <c r="O283" s="304" t="s">
        <v>197</v>
      </c>
    </row>
    <row r="284" spans="1:15" ht="12.75" customHeight="1" x14ac:dyDescent="0.25">
      <c r="A284" s="325" t="s">
        <v>555</v>
      </c>
      <c r="B284" s="249" t="s">
        <v>771</v>
      </c>
      <c r="C284" s="249" t="s">
        <v>1245</v>
      </c>
      <c r="D284" s="249">
        <v>4700</v>
      </c>
      <c r="E284" s="299">
        <v>300</v>
      </c>
      <c r="F284" s="299">
        <v>75.400000000000006</v>
      </c>
      <c r="G284" s="299">
        <f t="shared" si="47"/>
        <v>22620</v>
      </c>
      <c r="H284" s="299">
        <v>54</v>
      </c>
      <c r="I284" s="315"/>
      <c r="J284" s="315"/>
      <c r="K284" s="312"/>
      <c r="L284" s="60">
        <f t="shared" si="52"/>
        <v>54</v>
      </c>
      <c r="M284" s="299">
        <f t="shared" si="53"/>
        <v>22674</v>
      </c>
      <c r="N284" s="263" t="s">
        <v>556</v>
      </c>
      <c r="O284" s="263" t="s">
        <v>197</v>
      </c>
    </row>
    <row r="285" spans="1:15" ht="12.75" customHeight="1" x14ac:dyDescent="0.25">
      <c r="A285" s="16" t="s">
        <v>560</v>
      </c>
      <c r="B285" s="16" t="s">
        <v>771</v>
      </c>
      <c r="C285" s="2" t="s">
        <v>1245</v>
      </c>
      <c r="D285" s="2">
        <v>4600</v>
      </c>
      <c r="E285" s="2">
        <v>250</v>
      </c>
      <c r="F285" s="60">
        <v>57.8</v>
      </c>
      <c r="G285" s="303">
        <f t="shared" ref="G285:G312" si="54">E285*F285</f>
        <v>14450</v>
      </c>
      <c r="H285" s="60">
        <v>45</v>
      </c>
      <c r="I285" s="307"/>
      <c r="J285" s="311"/>
      <c r="K285" s="312"/>
      <c r="L285" s="60">
        <f t="shared" si="52"/>
        <v>45</v>
      </c>
      <c r="M285" s="299">
        <f t="shared" si="53"/>
        <v>14495</v>
      </c>
      <c r="N285" s="263" t="s">
        <v>559</v>
      </c>
      <c r="O285" s="304" t="s">
        <v>197</v>
      </c>
    </row>
    <row r="286" spans="1:15" ht="12.75" customHeight="1" x14ac:dyDescent="0.25">
      <c r="A286" s="16" t="s">
        <v>560</v>
      </c>
      <c r="B286" s="16" t="s">
        <v>771</v>
      </c>
      <c r="C286" s="2" t="s">
        <v>1245</v>
      </c>
      <c r="D286" s="2">
        <v>4600</v>
      </c>
      <c r="E286" s="2">
        <v>250</v>
      </c>
      <c r="F286" s="60">
        <v>57.8</v>
      </c>
      <c r="G286" s="303">
        <f t="shared" si="54"/>
        <v>14450</v>
      </c>
      <c r="H286" s="60">
        <v>45</v>
      </c>
      <c r="I286" s="320">
        <v>22.34</v>
      </c>
      <c r="J286" s="2">
        <v>36.85</v>
      </c>
      <c r="K286" s="247">
        <v>8</v>
      </c>
      <c r="L286" s="60">
        <f t="shared" si="52"/>
        <v>112.19</v>
      </c>
      <c r="M286" s="299">
        <f t="shared" si="53"/>
        <v>14562.19</v>
      </c>
      <c r="N286" s="263" t="s">
        <v>559</v>
      </c>
      <c r="O286" s="304" t="s">
        <v>197</v>
      </c>
    </row>
    <row r="287" spans="1:15" ht="12.75" customHeight="1" x14ac:dyDescent="0.25">
      <c r="A287" s="16" t="s">
        <v>583</v>
      </c>
      <c r="B287" s="2" t="s">
        <v>582</v>
      </c>
      <c r="C287" s="2" t="s">
        <v>1245</v>
      </c>
      <c r="D287" s="2">
        <v>4800</v>
      </c>
      <c r="E287" s="2">
        <v>100</v>
      </c>
      <c r="F287" s="60">
        <v>130</v>
      </c>
      <c r="G287" s="303">
        <f t="shared" si="54"/>
        <v>13000</v>
      </c>
      <c r="H287" s="60">
        <v>18</v>
      </c>
      <c r="I287" s="327"/>
      <c r="J287" s="328"/>
      <c r="K287" s="312"/>
      <c r="L287" s="60">
        <f t="shared" si="52"/>
        <v>18</v>
      </c>
      <c r="M287" s="299">
        <f t="shared" si="53"/>
        <v>13018</v>
      </c>
      <c r="N287" s="249" t="s">
        <v>584</v>
      </c>
      <c r="O287" s="304" t="s">
        <v>197</v>
      </c>
    </row>
    <row r="288" spans="1:15" ht="12.75" customHeight="1" x14ac:dyDescent="0.25">
      <c r="A288" s="16" t="s">
        <v>583</v>
      </c>
      <c r="B288" s="2" t="s">
        <v>582</v>
      </c>
      <c r="C288" s="2" t="s">
        <v>1245</v>
      </c>
      <c r="D288" s="2">
        <v>4800</v>
      </c>
      <c r="E288" s="2">
        <v>50</v>
      </c>
      <c r="F288" s="60">
        <v>130</v>
      </c>
      <c r="G288" s="303">
        <f t="shared" si="54"/>
        <v>6500</v>
      </c>
      <c r="H288" s="60">
        <v>9</v>
      </c>
      <c r="I288" s="327"/>
      <c r="J288" s="328"/>
      <c r="K288" s="312"/>
      <c r="L288" s="60">
        <f t="shared" si="52"/>
        <v>9</v>
      </c>
      <c r="M288" s="299">
        <f t="shared" si="53"/>
        <v>6509</v>
      </c>
      <c r="N288" s="249" t="s">
        <v>584</v>
      </c>
      <c r="O288" s="304" t="s">
        <v>197</v>
      </c>
    </row>
    <row r="289" spans="1:18" ht="12.75" customHeight="1" x14ac:dyDescent="0.25">
      <c r="A289" s="16" t="s">
        <v>583</v>
      </c>
      <c r="B289" s="2" t="s">
        <v>582</v>
      </c>
      <c r="C289" s="2" t="s">
        <v>1245</v>
      </c>
      <c r="D289" s="2">
        <v>4800</v>
      </c>
      <c r="E289" s="2">
        <v>100</v>
      </c>
      <c r="F289" s="60">
        <v>130</v>
      </c>
      <c r="G289" s="303">
        <f t="shared" si="54"/>
        <v>13000</v>
      </c>
      <c r="H289" s="60">
        <v>18</v>
      </c>
      <c r="I289" s="327"/>
      <c r="J289" s="328"/>
      <c r="K289" s="312"/>
      <c r="L289" s="60">
        <f t="shared" si="52"/>
        <v>18</v>
      </c>
      <c r="M289" s="299">
        <f t="shared" si="53"/>
        <v>13018</v>
      </c>
      <c r="N289" s="249" t="s">
        <v>584</v>
      </c>
      <c r="O289" s="304" t="s">
        <v>197</v>
      </c>
    </row>
    <row r="290" spans="1:18" ht="12.75" customHeight="1" x14ac:dyDescent="0.25">
      <c r="A290" s="16" t="s">
        <v>583</v>
      </c>
      <c r="B290" s="2" t="s">
        <v>771</v>
      </c>
      <c r="C290" s="2" t="s">
        <v>1249</v>
      </c>
      <c r="D290" s="2">
        <v>5000</v>
      </c>
      <c r="E290" s="2">
        <v>500</v>
      </c>
      <c r="F290" s="60">
        <v>35.5</v>
      </c>
      <c r="G290" s="303">
        <f t="shared" si="54"/>
        <v>17750</v>
      </c>
      <c r="H290" s="60">
        <v>90</v>
      </c>
      <c r="I290" s="317"/>
      <c r="J290" s="317"/>
      <c r="K290" s="312"/>
      <c r="L290" s="60">
        <f t="shared" si="52"/>
        <v>90</v>
      </c>
      <c r="M290" s="299">
        <f t="shared" si="53"/>
        <v>17840</v>
      </c>
      <c r="N290" s="249" t="s">
        <v>584</v>
      </c>
      <c r="O290" s="304" t="s">
        <v>197</v>
      </c>
    </row>
    <row r="291" spans="1:18" ht="12.75" customHeight="1" x14ac:dyDescent="0.25">
      <c r="A291" s="16" t="s">
        <v>583</v>
      </c>
      <c r="B291" s="2" t="s">
        <v>771</v>
      </c>
      <c r="C291" s="2" t="s">
        <v>1249</v>
      </c>
      <c r="D291" s="2">
        <v>5000</v>
      </c>
      <c r="E291" s="2">
        <v>500</v>
      </c>
      <c r="F291" s="60">
        <v>35.6</v>
      </c>
      <c r="G291" s="303">
        <f t="shared" si="54"/>
        <v>17800</v>
      </c>
      <c r="H291" s="60">
        <v>90</v>
      </c>
      <c r="I291" s="294">
        <v>49.2</v>
      </c>
      <c r="J291" s="294">
        <v>72.599999999999994</v>
      </c>
      <c r="K291" s="60">
        <v>13</v>
      </c>
      <c r="L291" s="60">
        <f t="shared" si="52"/>
        <v>224.79999999999998</v>
      </c>
      <c r="M291" s="299">
        <f t="shared" si="53"/>
        <v>18024.8</v>
      </c>
      <c r="N291" s="249" t="s">
        <v>584</v>
      </c>
      <c r="O291" s="304" t="s">
        <v>197</v>
      </c>
    </row>
    <row r="292" spans="1:18" ht="12.75" customHeight="1" x14ac:dyDescent="0.25">
      <c r="A292" s="16" t="s">
        <v>585</v>
      </c>
      <c r="B292" s="325" t="s">
        <v>582</v>
      </c>
      <c r="C292" s="249" t="s">
        <v>1245</v>
      </c>
      <c r="D292" s="249">
        <v>4800</v>
      </c>
      <c r="E292" s="299">
        <v>150</v>
      </c>
      <c r="F292" s="299">
        <v>115.6</v>
      </c>
      <c r="G292" s="303">
        <f t="shared" si="54"/>
        <v>17340</v>
      </c>
      <c r="H292" s="299">
        <v>27</v>
      </c>
      <c r="I292" s="327"/>
      <c r="J292" s="328"/>
      <c r="K292" s="312"/>
      <c r="L292" s="60">
        <f t="shared" si="52"/>
        <v>27</v>
      </c>
      <c r="M292" s="299">
        <f t="shared" si="53"/>
        <v>17367</v>
      </c>
      <c r="N292" s="263" t="s">
        <v>586</v>
      </c>
      <c r="O292" s="304" t="s">
        <v>197</v>
      </c>
    </row>
    <row r="293" spans="1:18" ht="12.75" customHeight="1" x14ac:dyDescent="0.25">
      <c r="A293" s="16" t="s">
        <v>585</v>
      </c>
      <c r="B293" s="16" t="s">
        <v>582</v>
      </c>
      <c r="C293" s="2" t="s">
        <v>1245</v>
      </c>
      <c r="D293" s="2">
        <v>4800</v>
      </c>
      <c r="E293" s="2">
        <v>100</v>
      </c>
      <c r="F293" s="60">
        <v>115.65</v>
      </c>
      <c r="G293" s="303">
        <f t="shared" si="54"/>
        <v>11565</v>
      </c>
      <c r="H293" s="60">
        <v>18</v>
      </c>
      <c r="I293" s="329">
        <v>6.75</v>
      </c>
      <c r="J293" s="293">
        <v>20.52</v>
      </c>
      <c r="K293" s="247">
        <v>2</v>
      </c>
      <c r="L293" s="60">
        <f t="shared" si="52"/>
        <v>47.269999999999996</v>
      </c>
      <c r="M293" s="299">
        <f t="shared" si="53"/>
        <v>11612.27</v>
      </c>
      <c r="N293" s="263" t="s">
        <v>586</v>
      </c>
      <c r="O293" s="304" t="s">
        <v>197</v>
      </c>
    </row>
    <row r="294" spans="1:18" ht="12.75" customHeight="1" x14ac:dyDescent="0.25">
      <c r="A294" s="16" t="s">
        <v>589</v>
      </c>
      <c r="B294" s="249" t="s">
        <v>771</v>
      </c>
      <c r="C294" s="249" t="s">
        <v>1245</v>
      </c>
      <c r="D294" s="249">
        <v>4800</v>
      </c>
      <c r="E294" s="299">
        <v>500</v>
      </c>
      <c r="F294" s="299">
        <v>67.95</v>
      </c>
      <c r="G294" s="303">
        <f t="shared" si="54"/>
        <v>33975</v>
      </c>
      <c r="H294" s="299">
        <v>90</v>
      </c>
      <c r="I294" s="317"/>
      <c r="J294" s="317"/>
      <c r="K294" s="312"/>
      <c r="L294" s="60">
        <f t="shared" si="52"/>
        <v>90</v>
      </c>
      <c r="M294" s="299">
        <f t="shared" si="53"/>
        <v>34065</v>
      </c>
      <c r="N294" s="249" t="s">
        <v>590</v>
      </c>
      <c r="O294" s="263" t="s">
        <v>197</v>
      </c>
    </row>
    <row r="295" spans="1:18" ht="12.75" customHeight="1" x14ac:dyDescent="0.25">
      <c r="A295" s="16" t="s">
        <v>589</v>
      </c>
      <c r="B295" s="249" t="s">
        <v>771</v>
      </c>
      <c r="C295" s="249" t="s">
        <v>1245</v>
      </c>
      <c r="D295" s="249">
        <v>4800</v>
      </c>
      <c r="E295" s="299">
        <v>200</v>
      </c>
      <c r="F295" s="299">
        <v>63</v>
      </c>
      <c r="G295" s="303">
        <f t="shared" si="54"/>
        <v>12600</v>
      </c>
      <c r="H295" s="299">
        <v>36</v>
      </c>
      <c r="I295" s="317"/>
      <c r="J295" s="317"/>
      <c r="K295" s="312"/>
      <c r="L295" s="60">
        <f t="shared" si="52"/>
        <v>36</v>
      </c>
      <c r="M295" s="299">
        <f t="shared" si="53"/>
        <v>12636</v>
      </c>
      <c r="N295" s="249" t="s">
        <v>590</v>
      </c>
      <c r="O295" s="263" t="s">
        <v>197</v>
      </c>
    </row>
    <row r="296" spans="1:18" ht="12.75" customHeight="1" x14ac:dyDescent="0.25">
      <c r="A296" s="16" t="s">
        <v>594</v>
      </c>
      <c r="B296" s="249" t="s">
        <v>771</v>
      </c>
      <c r="C296" s="249" t="s">
        <v>1245</v>
      </c>
      <c r="D296" s="249">
        <v>4900</v>
      </c>
      <c r="E296" s="299">
        <v>500</v>
      </c>
      <c r="F296" s="299">
        <v>100</v>
      </c>
      <c r="G296" s="303">
        <f t="shared" si="54"/>
        <v>50000</v>
      </c>
      <c r="H296" s="299">
        <v>90</v>
      </c>
      <c r="I296" s="317"/>
      <c r="J296" s="317"/>
      <c r="K296" s="312"/>
      <c r="L296" s="60">
        <f t="shared" ref="L296:L304" si="55">SUM(H296:K296)</f>
        <v>90</v>
      </c>
      <c r="M296" s="299">
        <f t="shared" ref="M296:M304" si="56">G296+L296</f>
        <v>50090</v>
      </c>
      <c r="N296" s="263" t="s">
        <v>593</v>
      </c>
      <c r="O296" s="263" t="s">
        <v>197</v>
      </c>
    </row>
    <row r="297" spans="1:18" ht="12.75" customHeight="1" x14ac:dyDescent="0.25">
      <c r="A297" s="16" t="s">
        <v>594</v>
      </c>
      <c r="B297" s="249" t="s">
        <v>771</v>
      </c>
      <c r="C297" s="249" t="s">
        <v>1245</v>
      </c>
      <c r="D297" s="249">
        <v>4900</v>
      </c>
      <c r="E297" s="299">
        <v>50</v>
      </c>
      <c r="F297" s="299">
        <v>81.900000000000006</v>
      </c>
      <c r="G297" s="303">
        <f t="shared" si="54"/>
        <v>4095.0000000000005</v>
      </c>
      <c r="H297" s="299">
        <v>9</v>
      </c>
      <c r="I297" s="317"/>
      <c r="J297" s="317"/>
      <c r="K297" s="312"/>
      <c r="L297" s="60">
        <f t="shared" si="55"/>
        <v>9</v>
      </c>
      <c r="M297" s="299">
        <f t="shared" si="56"/>
        <v>4104</v>
      </c>
      <c r="N297" s="263" t="s">
        <v>593</v>
      </c>
      <c r="O297" s="263" t="s">
        <v>197</v>
      </c>
    </row>
    <row r="298" spans="1:18" ht="12.75" customHeight="1" x14ac:dyDescent="0.25">
      <c r="A298" s="16" t="s">
        <v>594</v>
      </c>
      <c r="B298" s="16" t="s">
        <v>771</v>
      </c>
      <c r="C298" s="249" t="s">
        <v>1245</v>
      </c>
      <c r="D298" s="249">
        <v>4900</v>
      </c>
      <c r="E298" s="249">
        <v>150</v>
      </c>
      <c r="F298" s="249">
        <v>82</v>
      </c>
      <c r="G298" s="303">
        <f t="shared" si="54"/>
        <v>12300</v>
      </c>
      <c r="H298" s="249">
        <v>27</v>
      </c>
      <c r="I298" s="317"/>
      <c r="J298" s="317"/>
      <c r="K298" s="312"/>
      <c r="L298" s="60">
        <f t="shared" si="55"/>
        <v>27</v>
      </c>
      <c r="M298" s="299">
        <f t="shared" si="56"/>
        <v>12327</v>
      </c>
      <c r="N298" s="263" t="s">
        <v>593</v>
      </c>
      <c r="O298" s="263" t="s">
        <v>197</v>
      </c>
    </row>
    <row r="299" spans="1:18" ht="12.75" customHeight="1" x14ac:dyDescent="0.25">
      <c r="A299" s="16" t="s">
        <v>594</v>
      </c>
      <c r="B299" s="16" t="s">
        <v>771</v>
      </c>
      <c r="C299" s="2" t="s">
        <v>1249</v>
      </c>
      <c r="D299" s="2">
        <v>4900</v>
      </c>
      <c r="E299" s="2">
        <v>150</v>
      </c>
      <c r="F299" s="60">
        <v>64.900000000000006</v>
      </c>
      <c r="G299" s="303">
        <f t="shared" si="54"/>
        <v>9735</v>
      </c>
      <c r="H299" s="60">
        <v>27</v>
      </c>
      <c r="I299" s="317"/>
      <c r="J299" s="317"/>
      <c r="K299" s="312"/>
      <c r="L299" s="60">
        <f t="shared" si="55"/>
        <v>27</v>
      </c>
      <c r="M299" s="299">
        <f t="shared" si="56"/>
        <v>9762</v>
      </c>
      <c r="N299" s="263" t="s">
        <v>593</v>
      </c>
      <c r="O299" s="263" t="s">
        <v>197</v>
      </c>
    </row>
    <row r="300" spans="1:18" ht="13.2" x14ac:dyDescent="0.25">
      <c r="A300" s="16" t="s">
        <v>594</v>
      </c>
      <c r="B300" s="16" t="s">
        <v>771</v>
      </c>
      <c r="C300" s="2" t="s">
        <v>1249</v>
      </c>
      <c r="D300" s="2">
        <v>4900</v>
      </c>
      <c r="E300" s="2">
        <v>150</v>
      </c>
      <c r="F300" s="60">
        <v>65</v>
      </c>
      <c r="G300" s="303">
        <f t="shared" si="54"/>
        <v>9750</v>
      </c>
      <c r="H300" s="60">
        <v>27</v>
      </c>
      <c r="I300" s="317"/>
      <c r="J300" s="317"/>
      <c r="K300" s="312"/>
      <c r="L300" s="60">
        <f t="shared" si="55"/>
        <v>27</v>
      </c>
      <c r="M300" s="299">
        <f t="shared" si="56"/>
        <v>9777</v>
      </c>
      <c r="N300" s="263" t="s">
        <v>593</v>
      </c>
      <c r="O300" s="263" t="s">
        <v>197</v>
      </c>
      <c r="Q300" s="247"/>
      <c r="R300" s="247"/>
    </row>
    <row r="301" spans="1:18" ht="12.75" customHeight="1" x14ac:dyDescent="0.25">
      <c r="A301" s="16" t="s">
        <v>594</v>
      </c>
      <c r="B301" s="16" t="s">
        <v>771</v>
      </c>
      <c r="C301" s="2" t="s">
        <v>1249</v>
      </c>
      <c r="D301" s="2">
        <v>4900</v>
      </c>
      <c r="E301" s="2">
        <v>50</v>
      </c>
      <c r="F301" s="60">
        <v>65</v>
      </c>
      <c r="G301" s="303">
        <f t="shared" si="54"/>
        <v>3250</v>
      </c>
      <c r="H301" s="60">
        <v>9</v>
      </c>
      <c r="I301" s="317"/>
      <c r="J301" s="317"/>
      <c r="K301" s="312"/>
      <c r="L301" s="60">
        <f t="shared" si="55"/>
        <v>9</v>
      </c>
      <c r="M301" s="299">
        <f t="shared" si="56"/>
        <v>3259</v>
      </c>
      <c r="N301" s="263" t="s">
        <v>593</v>
      </c>
      <c r="O301" s="263" t="s">
        <v>197</v>
      </c>
    </row>
    <row r="302" spans="1:18" ht="12.75" customHeight="1" x14ac:dyDescent="0.25">
      <c r="A302" s="16" t="s">
        <v>594</v>
      </c>
      <c r="B302" s="16" t="s">
        <v>771</v>
      </c>
      <c r="C302" s="2" t="s">
        <v>1249</v>
      </c>
      <c r="D302" s="2">
        <v>4900</v>
      </c>
      <c r="E302" s="2">
        <v>50</v>
      </c>
      <c r="F302" s="60">
        <v>65</v>
      </c>
      <c r="G302" s="303">
        <f t="shared" si="54"/>
        <v>3250</v>
      </c>
      <c r="H302" s="60">
        <v>9</v>
      </c>
      <c r="I302" s="317"/>
      <c r="J302" s="317"/>
      <c r="K302" s="312"/>
      <c r="L302" s="60">
        <f t="shared" si="55"/>
        <v>9</v>
      </c>
      <c r="M302" s="299">
        <f t="shared" si="56"/>
        <v>3259</v>
      </c>
      <c r="N302" s="263" t="s">
        <v>593</v>
      </c>
      <c r="O302" s="263" t="s">
        <v>197</v>
      </c>
    </row>
    <row r="303" spans="1:18" ht="12.75" customHeight="1" x14ac:dyDescent="0.25">
      <c r="A303" s="16" t="s">
        <v>594</v>
      </c>
      <c r="B303" s="16" t="s">
        <v>771</v>
      </c>
      <c r="C303" s="2" t="s">
        <v>1249</v>
      </c>
      <c r="D303" s="2">
        <v>4900</v>
      </c>
      <c r="E303" s="2">
        <v>50</v>
      </c>
      <c r="F303" s="60">
        <v>65</v>
      </c>
      <c r="G303" s="303">
        <f t="shared" si="54"/>
        <v>3250</v>
      </c>
      <c r="H303" s="60">
        <v>9</v>
      </c>
      <c r="I303" s="317"/>
      <c r="J303" s="317"/>
      <c r="K303" s="312"/>
      <c r="L303" s="60">
        <f t="shared" si="55"/>
        <v>9</v>
      </c>
      <c r="M303" s="299">
        <f t="shared" si="56"/>
        <v>3259</v>
      </c>
      <c r="N303" s="263" t="s">
        <v>593</v>
      </c>
      <c r="O303" s="263" t="s">
        <v>197</v>
      </c>
    </row>
    <row r="304" spans="1:18" ht="12.75" customHeight="1" x14ac:dyDescent="0.25">
      <c r="A304" s="16" t="s">
        <v>594</v>
      </c>
      <c r="B304" s="249" t="s">
        <v>771</v>
      </c>
      <c r="C304" s="249" t="s">
        <v>1249</v>
      </c>
      <c r="D304" s="249">
        <v>4900</v>
      </c>
      <c r="E304" s="299">
        <v>50</v>
      </c>
      <c r="F304" s="299">
        <v>65</v>
      </c>
      <c r="G304" s="303">
        <f t="shared" si="54"/>
        <v>3250</v>
      </c>
      <c r="H304" s="299">
        <v>9</v>
      </c>
      <c r="I304" s="317"/>
      <c r="J304" s="317"/>
      <c r="K304" s="312"/>
      <c r="L304" s="60">
        <f t="shared" si="55"/>
        <v>9</v>
      </c>
      <c r="M304" s="299">
        <f t="shared" si="56"/>
        <v>3259</v>
      </c>
      <c r="N304" s="263" t="s">
        <v>593</v>
      </c>
      <c r="O304" s="263" t="s">
        <v>197</v>
      </c>
    </row>
    <row r="305" spans="1:15" ht="12.75" customHeight="1" x14ac:dyDescent="0.25">
      <c r="A305" s="16" t="s">
        <v>595</v>
      </c>
      <c r="B305" s="2" t="s">
        <v>771</v>
      </c>
      <c r="C305" s="2" t="s">
        <v>1245</v>
      </c>
      <c r="D305" s="2">
        <v>4900</v>
      </c>
      <c r="E305" s="2">
        <v>50</v>
      </c>
      <c r="F305" s="60">
        <v>93</v>
      </c>
      <c r="G305" s="303">
        <f t="shared" si="54"/>
        <v>4650</v>
      </c>
      <c r="H305" s="60">
        <v>9</v>
      </c>
      <c r="I305" s="317"/>
      <c r="J305" s="317"/>
      <c r="K305" s="312"/>
      <c r="L305" s="60">
        <f t="shared" ref="L305:L310" si="57">SUM(H305:K305)</f>
        <v>9</v>
      </c>
      <c r="M305" s="299">
        <f t="shared" ref="M305:M310" si="58">G305+L305</f>
        <v>4659</v>
      </c>
      <c r="N305" s="249" t="s">
        <v>596</v>
      </c>
      <c r="O305" s="263" t="s">
        <v>197</v>
      </c>
    </row>
    <row r="306" spans="1:15" ht="12.75" customHeight="1" x14ac:dyDescent="0.25">
      <c r="A306" s="16" t="s">
        <v>595</v>
      </c>
      <c r="B306" s="2" t="s">
        <v>771</v>
      </c>
      <c r="C306" s="2" t="s">
        <v>1245</v>
      </c>
      <c r="D306" s="2">
        <v>4900</v>
      </c>
      <c r="E306" s="2">
        <v>50</v>
      </c>
      <c r="F306" s="60">
        <v>93</v>
      </c>
      <c r="G306" s="303">
        <f t="shared" si="54"/>
        <v>4650</v>
      </c>
      <c r="H306" s="60">
        <v>9</v>
      </c>
      <c r="I306" s="317"/>
      <c r="J306" s="317"/>
      <c r="K306" s="312"/>
      <c r="L306" s="60">
        <f t="shared" si="57"/>
        <v>9</v>
      </c>
      <c r="M306" s="299">
        <f t="shared" si="58"/>
        <v>4659</v>
      </c>
      <c r="N306" s="249" t="s">
        <v>596</v>
      </c>
      <c r="O306" s="263" t="s">
        <v>197</v>
      </c>
    </row>
    <row r="307" spans="1:15" ht="12.75" customHeight="1" x14ac:dyDescent="0.25">
      <c r="A307" s="16" t="s">
        <v>595</v>
      </c>
      <c r="B307" s="2" t="s">
        <v>771</v>
      </c>
      <c r="C307" s="2" t="s">
        <v>1245</v>
      </c>
      <c r="D307" s="2">
        <v>4900</v>
      </c>
      <c r="E307" s="2">
        <v>50</v>
      </c>
      <c r="F307" s="60">
        <v>93</v>
      </c>
      <c r="G307" s="303">
        <f t="shared" si="54"/>
        <v>4650</v>
      </c>
      <c r="H307" s="60">
        <v>9</v>
      </c>
      <c r="I307" s="317"/>
      <c r="J307" s="317"/>
      <c r="K307" s="312"/>
      <c r="L307" s="60">
        <f t="shared" si="57"/>
        <v>9</v>
      </c>
      <c r="M307" s="299">
        <f t="shared" si="58"/>
        <v>4659</v>
      </c>
      <c r="N307" s="249" t="s">
        <v>596</v>
      </c>
      <c r="O307" s="263" t="s">
        <v>197</v>
      </c>
    </row>
    <row r="308" spans="1:15" ht="12.75" customHeight="1" x14ac:dyDescent="0.25">
      <c r="A308" s="16" t="s">
        <v>595</v>
      </c>
      <c r="B308" s="2" t="s">
        <v>771</v>
      </c>
      <c r="C308" s="2" t="s">
        <v>1245</v>
      </c>
      <c r="D308" s="2">
        <v>4900</v>
      </c>
      <c r="E308" s="2">
        <v>100</v>
      </c>
      <c r="F308" s="60">
        <v>93</v>
      </c>
      <c r="G308" s="303">
        <f t="shared" si="54"/>
        <v>9300</v>
      </c>
      <c r="H308" s="60">
        <v>18</v>
      </c>
      <c r="I308" s="317"/>
      <c r="J308" s="317"/>
      <c r="K308" s="312"/>
      <c r="L308" s="60">
        <f t="shared" si="57"/>
        <v>18</v>
      </c>
      <c r="M308" s="299">
        <f t="shared" si="58"/>
        <v>9318</v>
      </c>
      <c r="N308" s="249" t="s">
        <v>596</v>
      </c>
      <c r="O308" s="263" t="s">
        <v>197</v>
      </c>
    </row>
    <row r="309" spans="1:15" ht="12.75" customHeight="1" x14ac:dyDescent="0.25">
      <c r="A309" s="16" t="s">
        <v>595</v>
      </c>
      <c r="B309" s="2" t="s">
        <v>771</v>
      </c>
      <c r="C309" s="2" t="s">
        <v>1245</v>
      </c>
      <c r="D309" s="2">
        <v>4900</v>
      </c>
      <c r="E309" s="2">
        <v>50</v>
      </c>
      <c r="F309" s="60">
        <v>93</v>
      </c>
      <c r="G309" s="303">
        <f t="shared" si="54"/>
        <v>4650</v>
      </c>
      <c r="H309" s="60">
        <v>9</v>
      </c>
      <c r="I309" s="317"/>
      <c r="J309" s="317"/>
      <c r="K309" s="312"/>
      <c r="L309" s="60">
        <f t="shared" si="57"/>
        <v>9</v>
      </c>
      <c r="M309" s="299">
        <f t="shared" si="58"/>
        <v>4659</v>
      </c>
      <c r="N309" s="249" t="s">
        <v>596</v>
      </c>
      <c r="O309" s="263" t="s">
        <v>197</v>
      </c>
    </row>
    <row r="310" spans="1:15" ht="12.75" customHeight="1" x14ac:dyDescent="0.25">
      <c r="A310" s="16" t="s">
        <v>595</v>
      </c>
      <c r="B310" s="2" t="s">
        <v>771</v>
      </c>
      <c r="C310" s="2" t="s">
        <v>1245</v>
      </c>
      <c r="D310" s="2">
        <v>4900</v>
      </c>
      <c r="E310" s="2">
        <v>300</v>
      </c>
      <c r="F310" s="60">
        <v>80</v>
      </c>
      <c r="G310" s="303">
        <f t="shared" si="54"/>
        <v>24000</v>
      </c>
      <c r="H310" s="60">
        <v>54</v>
      </c>
      <c r="I310" s="317"/>
      <c r="J310" s="317"/>
      <c r="K310" s="312"/>
      <c r="L310" s="60">
        <f t="shared" si="57"/>
        <v>54</v>
      </c>
      <c r="M310" s="299">
        <f t="shared" si="58"/>
        <v>24054</v>
      </c>
      <c r="N310" s="249" t="s">
        <v>596</v>
      </c>
      <c r="O310" s="263" t="s">
        <v>197</v>
      </c>
    </row>
    <row r="311" spans="1:15" ht="12.75" customHeight="1" x14ac:dyDescent="0.25">
      <c r="A311" s="16" t="s">
        <v>597</v>
      </c>
      <c r="B311" s="2" t="s">
        <v>771</v>
      </c>
      <c r="C311" s="2" t="s">
        <v>1249</v>
      </c>
      <c r="D311" s="2">
        <v>5000</v>
      </c>
      <c r="E311" s="2">
        <v>650</v>
      </c>
      <c r="F311" s="60">
        <v>47</v>
      </c>
      <c r="G311" s="303">
        <f t="shared" si="54"/>
        <v>30550</v>
      </c>
      <c r="H311" s="60">
        <v>117</v>
      </c>
      <c r="I311" s="315"/>
      <c r="J311" s="315"/>
      <c r="K311" s="312"/>
      <c r="L311" s="60">
        <f t="shared" ref="L311:L316" si="59">SUM(H311:K311)</f>
        <v>117</v>
      </c>
      <c r="M311" s="299">
        <f t="shared" ref="M311:M316" si="60">G311+L311</f>
        <v>30667</v>
      </c>
      <c r="N311" s="249" t="s">
        <v>598</v>
      </c>
      <c r="O311" s="263" t="s">
        <v>197</v>
      </c>
    </row>
    <row r="312" spans="1:15" ht="12.75" customHeight="1" x14ac:dyDescent="0.25">
      <c r="A312" s="16" t="s">
        <v>597</v>
      </c>
      <c r="B312" s="2" t="s">
        <v>771</v>
      </c>
      <c r="C312" s="2" t="s">
        <v>1249</v>
      </c>
      <c r="D312" s="2">
        <v>5000</v>
      </c>
      <c r="E312" s="2">
        <v>350</v>
      </c>
      <c r="F312" s="60">
        <v>47</v>
      </c>
      <c r="G312" s="303">
        <f t="shared" si="54"/>
        <v>16450</v>
      </c>
      <c r="H312" s="60">
        <v>63</v>
      </c>
      <c r="I312" s="315"/>
      <c r="J312" s="315"/>
      <c r="K312" s="312"/>
      <c r="L312" s="60">
        <f t="shared" si="59"/>
        <v>63</v>
      </c>
      <c r="M312" s="299">
        <f t="shared" si="60"/>
        <v>16513</v>
      </c>
      <c r="N312" s="249" t="s">
        <v>598</v>
      </c>
      <c r="O312" s="263" t="s">
        <v>197</v>
      </c>
    </row>
    <row r="313" spans="1:15" ht="13.2" x14ac:dyDescent="0.25">
      <c r="A313" s="16" t="s">
        <v>2158</v>
      </c>
      <c r="B313" s="2" t="s">
        <v>2157</v>
      </c>
      <c r="C313" s="2" t="s">
        <v>1245</v>
      </c>
      <c r="D313" s="2">
        <v>1800</v>
      </c>
      <c r="E313" s="2">
        <v>125</v>
      </c>
      <c r="F313" s="60">
        <v>16.149999999999999</v>
      </c>
      <c r="G313" s="303">
        <f t="shared" ref="G313:G328" si="61">E313*F313</f>
        <v>2018.7499999999998</v>
      </c>
      <c r="H313" s="60">
        <v>9</v>
      </c>
      <c r="I313" s="315"/>
      <c r="J313" s="315"/>
      <c r="K313" s="312"/>
      <c r="L313" s="60">
        <f t="shared" si="59"/>
        <v>9</v>
      </c>
      <c r="M313" s="299">
        <f t="shared" si="60"/>
        <v>2027.7499999999998</v>
      </c>
      <c r="N313" s="304" t="s">
        <v>2159</v>
      </c>
      <c r="O313" s="263" t="s">
        <v>197</v>
      </c>
    </row>
    <row r="314" spans="1:15" ht="12.75" customHeight="1" x14ac:dyDescent="0.25">
      <c r="A314" s="16" t="s">
        <v>2158</v>
      </c>
      <c r="B314" s="2" t="s">
        <v>2157</v>
      </c>
      <c r="C314" s="2" t="s">
        <v>1245</v>
      </c>
      <c r="D314" s="2">
        <v>1800</v>
      </c>
      <c r="E314" s="2">
        <v>125</v>
      </c>
      <c r="F314" s="60">
        <v>16.2</v>
      </c>
      <c r="G314" s="303">
        <f t="shared" si="61"/>
        <v>2025</v>
      </c>
      <c r="H314" s="60">
        <v>9</v>
      </c>
      <c r="I314" s="302"/>
      <c r="J314" s="310"/>
      <c r="K314" s="302"/>
      <c r="L314" s="60">
        <f t="shared" si="59"/>
        <v>9</v>
      </c>
      <c r="M314" s="299">
        <f t="shared" si="60"/>
        <v>2034</v>
      </c>
      <c r="N314" s="304" t="s">
        <v>2159</v>
      </c>
      <c r="O314" s="263" t="s">
        <v>197</v>
      </c>
    </row>
    <row r="315" spans="1:15" ht="12.75" customHeight="1" x14ac:dyDescent="0.25">
      <c r="A315" s="16" t="s">
        <v>2158</v>
      </c>
      <c r="B315" s="2" t="s">
        <v>2157</v>
      </c>
      <c r="C315" s="2" t="s">
        <v>1245</v>
      </c>
      <c r="D315" s="2">
        <v>1800</v>
      </c>
      <c r="E315" s="2">
        <v>125</v>
      </c>
      <c r="F315" s="60">
        <v>15.4</v>
      </c>
      <c r="G315" s="303">
        <f t="shared" si="61"/>
        <v>1925</v>
      </c>
      <c r="H315" s="60">
        <v>9</v>
      </c>
      <c r="I315" s="315"/>
      <c r="J315" s="315"/>
      <c r="K315" s="312"/>
      <c r="L315" s="60">
        <f t="shared" si="59"/>
        <v>9</v>
      </c>
      <c r="M315" s="299">
        <f t="shared" si="60"/>
        <v>1934</v>
      </c>
      <c r="N315" s="304" t="s">
        <v>2159</v>
      </c>
      <c r="O315" s="263" t="s">
        <v>197</v>
      </c>
    </row>
    <row r="316" spans="1:15" ht="12.75" customHeight="1" x14ac:dyDescent="0.25">
      <c r="A316" s="16" t="s">
        <v>2158</v>
      </c>
      <c r="B316" s="2" t="s">
        <v>2157</v>
      </c>
      <c r="C316" s="2" t="s">
        <v>1245</v>
      </c>
      <c r="D316" s="2">
        <v>1800</v>
      </c>
      <c r="E316" s="2">
        <v>125</v>
      </c>
      <c r="F316" s="60">
        <v>15.45</v>
      </c>
      <c r="G316" s="303">
        <f t="shared" si="61"/>
        <v>1931.25</v>
      </c>
      <c r="H316" s="60">
        <v>9</v>
      </c>
      <c r="I316" s="315"/>
      <c r="J316" s="315"/>
      <c r="K316" s="312"/>
      <c r="L316" s="60">
        <f t="shared" si="59"/>
        <v>9</v>
      </c>
      <c r="M316" s="299">
        <f t="shared" si="60"/>
        <v>1940.25</v>
      </c>
      <c r="N316" s="304" t="s">
        <v>2159</v>
      </c>
      <c r="O316" s="263" t="s">
        <v>197</v>
      </c>
    </row>
    <row r="317" spans="1:15" ht="13.2" x14ac:dyDescent="0.25">
      <c r="A317" s="16" t="s">
        <v>2160</v>
      </c>
      <c r="B317" s="2" t="s">
        <v>2163</v>
      </c>
      <c r="C317" s="2" t="s">
        <v>1245</v>
      </c>
      <c r="D317" s="2">
        <v>2600</v>
      </c>
      <c r="E317" s="2">
        <v>125</v>
      </c>
      <c r="F317" s="60">
        <v>44.8</v>
      </c>
      <c r="G317" s="303">
        <f t="shared" si="61"/>
        <v>5600</v>
      </c>
      <c r="H317" s="60">
        <v>9</v>
      </c>
      <c r="I317" s="315"/>
      <c r="J317" s="312"/>
      <c r="K317" s="312"/>
      <c r="L317" s="60">
        <f t="shared" ref="L317:L328" si="62">SUM(H317:K317)</f>
        <v>9</v>
      </c>
      <c r="M317" s="299">
        <f t="shared" ref="M317:M328" si="63">G317+L317</f>
        <v>5609</v>
      </c>
      <c r="N317" s="249" t="s">
        <v>2168</v>
      </c>
      <c r="O317" s="263" t="s">
        <v>197</v>
      </c>
    </row>
    <row r="318" spans="1:15" ht="12.75" customHeight="1" x14ac:dyDescent="0.25">
      <c r="A318" s="16" t="s">
        <v>2160</v>
      </c>
      <c r="B318" s="2" t="s">
        <v>2163</v>
      </c>
      <c r="C318" s="2" t="s">
        <v>1245</v>
      </c>
      <c r="D318" s="2">
        <v>2600</v>
      </c>
      <c r="E318" s="2">
        <v>125</v>
      </c>
      <c r="F318" s="60">
        <v>44.9</v>
      </c>
      <c r="G318" s="303">
        <f t="shared" si="61"/>
        <v>5612.5</v>
      </c>
      <c r="H318" s="60">
        <v>9</v>
      </c>
      <c r="I318" s="315"/>
      <c r="J318" s="312"/>
      <c r="K318" s="312"/>
      <c r="L318" s="60">
        <f t="shared" si="62"/>
        <v>9</v>
      </c>
      <c r="M318" s="299">
        <f t="shared" si="63"/>
        <v>5621.5</v>
      </c>
      <c r="N318" s="249" t="s">
        <v>2168</v>
      </c>
      <c r="O318" s="263" t="s">
        <v>197</v>
      </c>
    </row>
    <row r="319" spans="1:15" ht="12.75" customHeight="1" x14ac:dyDescent="0.25">
      <c r="A319" s="16" t="s">
        <v>2160</v>
      </c>
      <c r="B319" s="2" t="s">
        <v>2164</v>
      </c>
      <c r="C319" s="2" t="s">
        <v>1245</v>
      </c>
      <c r="D319" s="2">
        <v>270</v>
      </c>
      <c r="E319" s="2">
        <v>1000</v>
      </c>
      <c r="F319" s="60">
        <v>7.3</v>
      </c>
      <c r="G319" s="303">
        <f t="shared" si="61"/>
        <v>7300</v>
      </c>
      <c r="H319" s="60">
        <v>9</v>
      </c>
      <c r="I319" s="315"/>
      <c r="J319" s="312"/>
      <c r="K319" s="312"/>
      <c r="L319" s="60">
        <f t="shared" si="62"/>
        <v>9</v>
      </c>
      <c r="M319" s="299">
        <f t="shared" si="63"/>
        <v>7309</v>
      </c>
      <c r="N319" s="249" t="s">
        <v>2168</v>
      </c>
      <c r="O319" s="263" t="s">
        <v>197</v>
      </c>
    </row>
    <row r="320" spans="1:15" ht="12.75" customHeight="1" x14ac:dyDescent="0.25">
      <c r="A320" s="16" t="s">
        <v>2160</v>
      </c>
      <c r="B320" s="2" t="s">
        <v>2164</v>
      </c>
      <c r="C320" s="2" t="s">
        <v>1245</v>
      </c>
      <c r="D320" s="2">
        <v>270</v>
      </c>
      <c r="E320" s="2">
        <v>1000</v>
      </c>
      <c r="F320" s="60">
        <v>7.3</v>
      </c>
      <c r="G320" s="303">
        <f t="shared" si="61"/>
        <v>7300</v>
      </c>
      <c r="H320" s="60">
        <v>9</v>
      </c>
      <c r="I320" s="315"/>
      <c r="J320" s="312"/>
      <c r="K320" s="312"/>
      <c r="L320" s="60">
        <f t="shared" si="62"/>
        <v>9</v>
      </c>
      <c r="M320" s="299">
        <f t="shared" si="63"/>
        <v>7309</v>
      </c>
      <c r="N320" s="249" t="s">
        <v>2168</v>
      </c>
      <c r="O320" s="263" t="s">
        <v>197</v>
      </c>
    </row>
    <row r="321" spans="1:15" ht="13.2" x14ac:dyDescent="0.25">
      <c r="A321" s="16" t="s">
        <v>2160</v>
      </c>
      <c r="B321" s="2" t="s">
        <v>2165</v>
      </c>
      <c r="C321" s="2" t="s">
        <v>1249</v>
      </c>
      <c r="D321" s="2">
        <v>220</v>
      </c>
      <c r="E321" s="2">
        <v>2000</v>
      </c>
      <c r="F321" s="60">
        <v>4.1500000000000004</v>
      </c>
      <c r="G321" s="303">
        <f t="shared" si="61"/>
        <v>8300</v>
      </c>
      <c r="H321" s="60">
        <v>9</v>
      </c>
      <c r="I321" s="315"/>
      <c r="J321" s="312"/>
      <c r="K321" s="312"/>
      <c r="L321" s="60">
        <f t="shared" si="62"/>
        <v>9</v>
      </c>
      <c r="M321" s="299">
        <f t="shared" si="63"/>
        <v>8309</v>
      </c>
      <c r="N321" s="249" t="s">
        <v>2168</v>
      </c>
      <c r="O321" s="263" t="s">
        <v>197</v>
      </c>
    </row>
    <row r="322" spans="1:15" ht="12.75" customHeight="1" x14ac:dyDescent="0.25">
      <c r="A322" s="16" t="s">
        <v>2160</v>
      </c>
      <c r="B322" s="2" t="s">
        <v>771</v>
      </c>
      <c r="C322" s="2" t="s">
        <v>1245</v>
      </c>
      <c r="D322" s="2">
        <v>5100</v>
      </c>
      <c r="E322" s="2">
        <v>300</v>
      </c>
      <c r="F322" s="60">
        <v>116</v>
      </c>
      <c r="G322" s="303">
        <f t="shared" si="61"/>
        <v>34800</v>
      </c>
      <c r="H322" s="60">
        <v>54</v>
      </c>
      <c r="I322" s="307"/>
      <c r="J322" s="307"/>
      <c r="K322" s="302"/>
      <c r="L322" s="60">
        <f t="shared" si="62"/>
        <v>54</v>
      </c>
      <c r="M322" s="299">
        <f t="shared" si="63"/>
        <v>34854</v>
      </c>
      <c r="N322" s="249" t="s">
        <v>2168</v>
      </c>
      <c r="O322" s="263" t="s">
        <v>197</v>
      </c>
    </row>
    <row r="323" spans="1:15" ht="12.75" customHeight="1" x14ac:dyDescent="0.25">
      <c r="A323" s="16" t="s">
        <v>2160</v>
      </c>
      <c r="B323" s="2" t="s">
        <v>2157</v>
      </c>
      <c r="C323" s="2" t="s">
        <v>1245</v>
      </c>
      <c r="D323" s="2">
        <v>1800</v>
      </c>
      <c r="E323" s="2">
        <v>125</v>
      </c>
      <c r="F323" s="60">
        <v>8</v>
      </c>
      <c r="G323" s="303">
        <f t="shared" si="61"/>
        <v>1000</v>
      </c>
      <c r="H323" s="60">
        <v>9</v>
      </c>
      <c r="I323" s="315"/>
      <c r="J323" s="315"/>
      <c r="K323" s="312"/>
      <c r="L323" s="60">
        <f t="shared" si="62"/>
        <v>9</v>
      </c>
      <c r="M323" s="299">
        <f t="shared" si="63"/>
        <v>1009</v>
      </c>
      <c r="N323" s="249" t="s">
        <v>2168</v>
      </c>
      <c r="O323" s="263" t="s">
        <v>197</v>
      </c>
    </row>
    <row r="324" spans="1:15" ht="12.75" customHeight="1" x14ac:dyDescent="0.25">
      <c r="A324" s="16" t="s">
        <v>2160</v>
      </c>
      <c r="B324" s="2" t="s">
        <v>2157</v>
      </c>
      <c r="C324" s="2" t="s">
        <v>1245</v>
      </c>
      <c r="D324" s="2">
        <v>1800</v>
      </c>
      <c r="E324" s="2">
        <v>375</v>
      </c>
      <c r="F324" s="60">
        <v>8</v>
      </c>
      <c r="G324" s="303">
        <f t="shared" si="61"/>
        <v>3000</v>
      </c>
      <c r="H324" s="60">
        <v>27</v>
      </c>
      <c r="I324" s="315"/>
      <c r="J324" s="315"/>
      <c r="K324" s="312"/>
      <c r="L324" s="60">
        <f t="shared" si="62"/>
        <v>27</v>
      </c>
      <c r="M324" s="299">
        <f t="shared" si="63"/>
        <v>3027</v>
      </c>
      <c r="N324" s="249" t="s">
        <v>2168</v>
      </c>
      <c r="O324" s="263" t="s">
        <v>197</v>
      </c>
    </row>
    <row r="325" spans="1:15" ht="12.75" customHeight="1" x14ac:dyDescent="0.25">
      <c r="A325" s="16" t="s">
        <v>2160</v>
      </c>
      <c r="B325" s="2" t="s">
        <v>2166</v>
      </c>
      <c r="C325" s="2" t="s">
        <v>1249</v>
      </c>
      <c r="D325" s="2">
        <v>35</v>
      </c>
      <c r="E325" s="2">
        <v>4000</v>
      </c>
      <c r="F325" s="60">
        <v>0.8</v>
      </c>
      <c r="G325" s="303">
        <f t="shared" si="61"/>
        <v>3200</v>
      </c>
      <c r="H325" s="60">
        <v>9</v>
      </c>
      <c r="I325" s="302"/>
      <c r="J325" s="310"/>
      <c r="K325" s="302"/>
      <c r="L325" s="60">
        <f t="shared" si="62"/>
        <v>9</v>
      </c>
      <c r="M325" s="299">
        <f t="shared" si="63"/>
        <v>3209</v>
      </c>
      <c r="N325" s="249" t="s">
        <v>2168</v>
      </c>
      <c r="O325" s="263" t="s">
        <v>197</v>
      </c>
    </row>
    <row r="326" spans="1:15" ht="12.75" customHeight="1" x14ac:dyDescent="0.25">
      <c r="A326" s="16" t="s">
        <v>2160</v>
      </c>
      <c r="B326" s="2" t="s">
        <v>2167</v>
      </c>
      <c r="C326" s="2" t="s">
        <v>1245</v>
      </c>
      <c r="D326" s="2">
        <v>340</v>
      </c>
      <c r="E326" s="2">
        <v>1000</v>
      </c>
      <c r="F326" s="60">
        <v>5.0999999999999996</v>
      </c>
      <c r="G326" s="303">
        <f t="shared" si="61"/>
        <v>5100</v>
      </c>
      <c r="H326" s="60">
        <v>9</v>
      </c>
      <c r="I326" s="315"/>
      <c r="J326" s="315"/>
      <c r="K326" s="312"/>
      <c r="L326" s="60">
        <f t="shared" si="62"/>
        <v>9</v>
      </c>
      <c r="M326" s="299">
        <f t="shared" si="63"/>
        <v>5109</v>
      </c>
      <c r="N326" s="249" t="s">
        <v>2168</v>
      </c>
      <c r="O326" s="263" t="s">
        <v>197</v>
      </c>
    </row>
    <row r="327" spans="1:15" ht="12.75" customHeight="1" x14ac:dyDescent="0.25">
      <c r="A327" s="16" t="s">
        <v>2160</v>
      </c>
      <c r="B327" s="2" t="s">
        <v>2167</v>
      </c>
      <c r="C327" s="2" t="s">
        <v>1245</v>
      </c>
      <c r="D327" s="2">
        <v>340</v>
      </c>
      <c r="E327" s="2">
        <v>1000</v>
      </c>
      <c r="F327" s="60">
        <v>5.15</v>
      </c>
      <c r="G327" s="303">
        <f t="shared" si="61"/>
        <v>5150</v>
      </c>
      <c r="H327" s="60">
        <v>9</v>
      </c>
      <c r="I327" s="315"/>
      <c r="J327" s="315"/>
      <c r="K327" s="312"/>
      <c r="L327" s="60">
        <f t="shared" si="62"/>
        <v>9</v>
      </c>
      <c r="M327" s="299">
        <f>G327+L327</f>
        <v>5159</v>
      </c>
      <c r="N327" s="249" t="s">
        <v>2168</v>
      </c>
      <c r="O327" s="263" t="s">
        <v>197</v>
      </c>
    </row>
    <row r="328" spans="1:15" ht="12.75" customHeight="1" x14ac:dyDescent="0.25">
      <c r="A328" s="16" t="s">
        <v>2160</v>
      </c>
      <c r="B328" s="2" t="s">
        <v>2166</v>
      </c>
      <c r="C328" s="2" t="s">
        <v>1249</v>
      </c>
      <c r="D328" s="2">
        <v>35</v>
      </c>
      <c r="E328" s="2">
        <v>4000</v>
      </c>
      <c r="F328" s="60">
        <v>0.75</v>
      </c>
      <c r="G328" s="303">
        <f t="shared" si="61"/>
        <v>3000</v>
      </c>
      <c r="H328" s="60">
        <v>9</v>
      </c>
      <c r="I328" s="302"/>
      <c r="J328" s="310"/>
      <c r="K328" s="302"/>
      <c r="L328" s="60">
        <f t="shared" si="62"/>
        <v>9</v>
      </c>
      <c r="M328" s="299">
        <f t="shared" si="63"/>
        <v>3009</v>
      </c>
      <c r="N328" s="249" t="s">
        <v>2168</v>
      </c>
      <c r="O328" s="263" t="s">
        <v>197</v>
      </c>
    </row>
    <row r="329" spans="1:15" ht="12.75" customHeight="1" x14ac:dyDescent="0.25">
      <c r="A329" s="16" t="s">
        <v>1311</v>
      </c>
      <c r="B329" s="2" t="s">
        <v>771</v>
      </c>
      <c r="C329" s="2" t="s">
        <v>1249</v>
      </c>
      <c r="D329" s="2">
        <v>5000</v>
      </c>
      <c r="E329" s="2">
        <v>500</v>
      </c>
      <c r="F329" s="60">
        <v>60</v>
      </c>
      <c r="G329" s="303">
        <f t="shared" ref="G329:G351" si="64">E329*F329</f>
        <v>30000</v>
      </c>
      <c r="H329" s="60">
        <v>90</v>
      </c>
      <c r="I329" s="316"/>
      <c r="J329" s="316"/>
      <c r="K329" s="316"/>
      <c r="L329" s="60">
        <f>SUM(H329:K329)</f>
        <v>90</v>
      </c>
      <c r="M329" s="299">
        <f>G329+L329</f>
        <v>30090</v>
      </c>
      <c r="N329" s="263" t="s">
        <v>1312</v>
      </c>
      <c r="O329" s="263" t="s">
        <v>197</v>
      </c>
    </row>
    <row r="330" spans="1:15" ht="12.75" customHeight="1" x14ac:dyDescent="0.25">
      <c r="A330" s="16" t="s">
        <v>1316</v>
      </c>
      <c r="B330" s="2" t="s">
        <v>771</v>
      </c>
      <c r="C330" s="2" t="s">
        <v>1245</v>
      </c>
      <c r="D330" s="2">
        <v>4900</v>
      </c>
      <c r="E330" s="2">
        <v>100</v>
      </c>
      <c r="F330" s="60">
        <v>3.7</v>
      </c>
      <c r="G330" s="303">
        <f t="shared" si="64"/>
        <v>370</v>
      </c>
      <c r="H330" s="60">
        <v>18</v>
      </c>
      <c r="I330" s="312"/>
      <c r="J330" s="312"/>
      <c r="K330" s="316"/>
      <c r="L330" s="60">
        <f>SUM(H330:K330)</f>
        <v>18</v>
      </c>
      <c r="M330" s="299">
        <f>G330+L330</f>
        <v>388</v>
      </c>
      <c r="N330" s="249" t="s">
        <v>1317</v>
      </c>
      <c r="O330" s="263" t="s">
        <v>197</v>
      </c>
    </row>
    <row r="331" spans="1:15" ht="12.75" customHeight="1" x14ac:dyDescent="0.25">
      <c r="A331" s="16" t="s">
        <v>1316</v>
      </c>
      <c r="B331" s="2" t="s">
        <v>771</v>
      </c>
      <c r="C331" s="2" t="s">
        <v>1249</v>
      </c>
      <c r="D331" s="2">
        <v>5100</v>
      </c>
      <c r="E331" s="2">
        <v>1000</v>
      </c>
      <c r="F331" s="60">
        <v>19.5</v>
      </c>
      <c r="G331" s="303">
        <f t="shared" si="64"/>
        <v>19500</v>
      </c>
      <c r="H331" s="60">
        <v>180</v>
      </c>
      <c r="I331" s="247">
        <v>35.67</v>
      </c>
      <c r="J331" s="247">
        <v>40.299999999999997</v>
      </c>
      <c r="K331" s="247">
        <v>10</v>
      </c>
      <c r="L331" s="60">
        <f>SUM(H331:K331)</f>
        <v>265.97000000000003</v>
      </c>
      <c r="M331" s="299">
        <f>G331+L331</f>
        <v>19765.97</v>
      </c>
      <c r="N331" s="249" t="s">
        <v>1317</v>
      </c>
      <c r="O331" s="263" t="s">
        <v>197</v>
      </c>
    </row>
    <row r="332" spans="1:15" ht="13.2" x14ac:dyDescent="0.25">
      <c r="A332" s="16" t="s">
        <v>1318</v>
      </c>
      <c r="B332" s="2" t="s">
        <v>771</v>
      </c>
      <c r="C332" s="2" t="s">
        <v>1245</v>
      </c>
      <c r="D332" s="2">
        <v>5100</v>
      </c>
      <c r="E332" s="2">
        <v>200</v>
      </c>
      <c r="F332" s="60">
        <v>33</v>
      </c>
      <c r="G332" s="303">
        <f t="shared" si="64"/>
        <v>6600</v>
      </c>
      <c r="H332" s="60">
        <v>36</v>
      </c>
      <c r="I332" s="316"/>
      <c r="J332" s="316"/>
      <c r="K332" s="316"/>
      <c r="L332" s="60">
        <f t="shared" ref="L332:L339" si="65">SUM(H332:K332)</f>
        <v>36</v>
      </c>
      <c r="M332" s="299">
        <f t="shared" ref="M332:M339" si="66">G332+L332</f>
        <v>6636</v>
      </c>
      <c r="N332" s="263" t="s">
        <v>1319</v>
      </c>
      <c r="O332" s="263" t="s">
        <v>197</v>
      </c>
    </row>
    <row r="333" spans="1:15" ht="12.75" customHeight="1" x14ac:dyDescent="0.25">
      <c r="A333" s="16" t="s">
        <v>1318</v>
      </c>
      <c r="B333" s="2" t="s">
        <v>771</v>
      </c>
      <c r="C333" s="2" t="s">
        <v>1245</v>
      </c>
      <c r="D333" s="2">
        <v>5100</v>
      </c>
      <c r="E333" s="2">
        <v>200</v>
      </c>
      <c r="F333" s="60">
        <v>33</v>
      </c>
      <c r="G333" s="303">
        <f t="shared" si="64"/>
        <v>6600</v>
      </c>
      <c r="H333" s="60">
        <v>36</v>
      </c>
      <c r="I333" s="316"/>
      <c r="J333" s="316"/>
      <c r="K333" s="316"/>
      <c r="L333" s="60">
        <f t="shared" si="65"/>
        <v>36</v>
      </c>
      <c r="M333" s="299">
        <f t="shared" si="66"/>
        <v>6636</v>
      </c>
      <c r="N333" s="263" t="s">
        <v>1319</v>
      </c>
      <c r="O333" s="263" t="s">
        <v>197</v>
      </c>
    </row>
    <row r="334" spans="1:15" ht="12.75" customHeight="1" x14ac:dyDescent="0.25">
      <c r="A334" s="16" t="s">
        <v>1318</v>
      </c>
      <c r="B334" s="2" t="s">
        <v>771</v>
      </c>
      <c r="C334" s="2" t="s">
        <v>1245</v>
      </c>
      <c r="D334" s="2">
        <v>5100</v>
      </c>
      <c r="E334" s="2">
        <v>100</v>
      </c>
      <c r="F334" s="60">
        <v>33</v>
      </c>
      <c r="G334" s="303">
        <f t="shared" si="64"/>
        <v>3300</v>
      </c>
      <c r="H334" s="60">
        <v>18</v>
      </c>
      <c r="I334" s="316"/>
      <c r="J334" s="316"/>
      <c r="K334" s="316"/>
      <c r="L334" s="60">
        <f t="shared" si="65"/>
        <v>18</v>
      </c>
      <c r="M334" s="299">
        <f t="shared" si="66"/>
        <v>3318</v>
      </c>
      <c r="N334" s="263" t="s">
        <v>1319</v>
      </c>
      <c r="O334" s="263" t="s">
        <v>197</v>
      </c>
    </row>
    <row r="335" spans="1:15" ht="12.75" customHeight="1" x14ac:dyDescent="0.25">
      <c r="A335" s="16" t="s">
        <v>1318</v>
      </c>
      <c r="B335" s="2" t="s">
        <v>2157</v>
      </c>
      <c r="C335" s="2" t="s">
        <v>1249</v>
      </c>
      <c r="D335" s="2">
        <v>1950</v>
      </c>
      <c r="E335" s="2">
        <v>125</v>
      </c>
      <c r="F335" s="60">
        <v>25.95</v>
      </c>
      <c r="G335" s="303">
        <f t="shared" si="64"/>
        <v>3243.75</v>
      </c>
      <c r="H335" s="60">
        <v>9</v>
      </c>
      <c r="I335" s="316"/>
      <c r="J335" s="316"/>
      <c r="K335" s="316"/>
      <c r="L335" s="60">
        <f t="shared" si="65"/>
        <v>9</v>
      </c>
      <c r="M335" s="299">
        <f t="shared" si="66"/>
        <v>3252.75</v>
      </c>
      <c r="N335" s="263" t="s">
        <v>1319</v>
      </c>
      <c r="O335" s="263" t="s">
        <v>197</v>
      </c>
    </row>
    <row r="336" spans="1:15" ht="13.2" x14ac:dyDescent="0.25">
      <c r="A336" s="16" t="s">
        <v>1318</v>
      </c>
      <c r="B336" s="2" t="s">
        <v>2157</v>
      </c>
      <c r="C336" s="2" t="s">
        <v>1249</v>
      </c>
      <c r="D336" s="2">
        <v>1950</v>
      </c>
      <c r="E336" s="2">
        <v>125</v>
      </c>
      <c r="F336" s="60">
        <v>26</v>
      </c>
      <c r="G336" s="303">
        <f t="shared" si="64"/>
        <v>3250</v>
      </c>
      <c r="H336" s="60">
        <v>9</v>
      </c>
      <c r="I336" s="316"/>
      <c r="J336" s="316"/>
      <c r="K336" s="316"/>
      <c r="L336" s="60">
        <f t="shared" si="65"/>
        <v>9</v>
      </c>
      <c r="M336" s="299">
        <f t="shared" si="66"/>
        <v>3259</v>
      </c>
      <c r="N336" s="263" t="s">
        <v>1319</v>
      </c>
      <c r="O336" s="263" t="s">
        <v>197</v>
      </c>
    </row>
    <row r="337" spans="1:15" ht="12.75" customHeight="1" x14ac:dyDescent="0.25">
      <c r="A337" s="16" t="s">
        <v>1318</v>
      </c>
      <c r="B337" s="2" t="s">
        <v>2157</v>
      </c>
      <c r="C337" s="2" t="s">
        <v>1249</v>
      </c>
      <c r="D337" s="2">
        <v>1950</v>
      </c>
      <c r="E337" s="2">
        <v>125</v>
      </c>
      <c r="F337" s="60">
        <v>26</v>
      </c>
      <c r="G337" s="303">
        <f t="shared" si="64"/>
        <v>3250</v>
      </c>
      <c r="H337" s="60">
        <v>9</v>
      </c>
      <c r="I337" s="307"/>
      <c r="J337" s="307"/>
      <c r="K337" s="302"/>
      <c r="L337" s="60">
        <f t="shared" si="65"/>
        <v>9</v>
      </c>
      <c r="M337" s="299">
        <f t="shared" si="66"/>
        <v>3259</v>
      </c>
      <c r="N337" s="263" t="s">
        <v>1319</v>
      </c>
      <c r="O337" s="263" t="s">
        <v>197</v>
      </c>
    </row>
    <row r="338" spans="1:15" ht="12.75" customHeight="1" x14ac:dyDescent="0.25">
      <c r="A338" s="16" t="s">
        <v>1318</v>
      </c>
      <c r="B338" s="2" t="s">
        <v>2157</v>
      </c>
      <c r="C338" s="2" t="s">
        <v>1249</v>
      </c>
      <c r="D338" s="2">
        <v>1950</v>
      </c>
      <c r="E338" s="2">
        <v>125</v>
      </c>
      <c r="F338" s="60">
        <v>27</v>
      </c>
      <c r="G338" s="303">
        <f t="shared" si="64"/>
        <v>3375</v>
      </c>
      <c r="H338" s="60">
        <v>9</v>
      </c>
      <c r="I338" s="307"/>
      <c r="J338" s="307"/>
      <c r="K338" s="302"/>
      <c r="L338" s="60">
        <f t="shared" si="65"/>
        <v>9</v>
      </c>
      <c r="M338" s="299">
        <f t="shared" si="66"/>
        <v>3384</v>
      </c>
      <c r="N338" s="263" t="s">
        <v>1319</v>
      </c>
      <c r="O338" s="263" t="s">
        <v>197</v>
      </c>
    </row>
    <row r="339" spans="1:15" ht="12.75" customHeight="1" x14ac:dyDescent="0.25">
      <c r="A339" s="16" t="s">
        <v>1318</v>
      </c>
      <c r="B339" s="2" t="s">
        <v>2157</v>
      </c>
      <c r="C339" s="2" t="s">
        <v>1245</v>
      </c>
      <c r="D339" s="2">
        <v>1900</v>
      </c>
      <c r="E339" s="2">
        <v>250</v>
      </c>
      <c r="F339" s="60">
        <v>15.1</v>
      </c>
      <c r="G339" s="303">
        <f t="shared" si="64"/>
        <v>3775</v>
      </c>
      <c r="H339" s="60">
        <v>18</v>
      </c>
      <c r="I339" s="307"/>
      <c r="J339" s="307"/>
      <c r="K339" s="302"/>
      <c r="L339" s="60">
        <f t="shared" si="65"/>
        <v>18</v>
      </c>
      <c r="M339" s="299">
        <f t="shared" si="66"/>
        <v>3793</v>
      </c>
      <c r="N339" s="263" t="s">
        <v>1319</v>
      </c>
      <c r="O339" s="263" t="s">
        <v>197</v>
      </c>
    </row>
    <row r="340" spans="1:15" ht="13.2" x14ac:dyDescent="0.25">
      <c r="A340" s="16" t="s">
        <v>1320</v>
      </c>
      <c r="B340" s="2" t="s">
        <v>582</v>
      </c>
      <c r="C340" s="2" t="s">
        <v>1249</v>
      </c>
      <c r="D340" s="2">
        <v>5300</v>
      </c>
      <c r="E340" s="2">
        <v>50</v>
      </c>
      <c r="F340" s="60">
        <v>62</v>
      </c>
      <c r="G340" s="303">
        <f t="shared" si="64"/>
        <v>3100</v>
      </c>
      <c r="H340" s="60">
        <v>9</v>
      </c>
      <c r="I340" s="324"/>
      <c r="J340" s="324"/>
      <c r="K340" s="316"/>
      <c r="L340" s="60">
        <f t="shared" ref="L340:L345" si="67">SUM(H340:K340)</f>
        <v>9</v>
      </c>
      <c r="M340" s="299">
        <f t="shared" ref="M340:M345" si="68">G340+L340</f>
        <v>3109</v>
      </c>
      <c r="N340" s="249" t="s">
        <v>1321</v>
      </c>
      <c r="O340" s="263" t="s">
        <v>197</v>
      </c>
    </row>
    <row r="341" spans="1:15" ht="12.75" customHeight="1" x14ac:dyDescent="0.25">
      <c r="A341" s="16" t="s">
        <v>1320</v>
      </c>
      <c r="B341" s="2" t="s">
        <v>582</v>
      </c>
      <c r="C341" s="2" t="s">
        <v>1249</v>
      </c>
      <c r="D341" s="2">
        <v>5300</v>
      </c>
      <c r="E341" s="2">
        <v>100</v>
      </c>
      <c r="F341" s="60">
        <v>62</v>
      </c>
      <c r="G341" s="303">
        <f t="shared" si="64"/>
        <v>6200</v>
      </c>
      <c r="H341" s="60">
        <v>18</v>
      </c>
      <c r="I341" s="324"/>
      <c r="J341" s="324"/>
      <c r="K341" s="316"/>
      <c r="L341" s="60">
        <f t="shared" si="67"/>
        <v>18</v>
      </c>
      <c r="M341" s="299">
        <f t="shared" si="68"/>
        <v>6218</v>
      </c>
      <c r="N341" s="249" t="s">
        <v>1321</v>
      </c>
      <c r="O341" s="263" t="s">
        <v>197</v>
      </c>
    </row>
    <row r="342" spans="1:15" ht="12.75" customHeight="1" x14ac:dyDescent="0.25">
      <c r="A342" s="16" t="s">
        <v>1320</v>
      </c>
      <c r="B342" s="2" t="s">
        <v>582</v>
      </c>
      <c r="C342" s="2" t="s">
        <v>1249</v>
      </c>
      <c r="D342" s="2">
        <v>5300</v>
      </c>
      <c r="E342" s="2">
        <v>150</v>
      </c>
      <c r="F342" s="60">
        <v>62</v>
      </c>
      <c r="G342" s="303">
        <f t="shared" si="64"/>
        <v>9300</v>
      </c>
      <c r="H342" s="60">
        <v>27</v>
      </c>
      <c r="I342" s="324"/>
      <c r="J342" s="324"/>
      <c r="K342" s="316"/>
      <c r="L342" s="60">
        <f t="shared" si="67"/>
        <v>27</v>
      </c>
      <c r="M342" s="299">
        <f t="shared" si="68"/>
        <v>9327</v>
      </c>
      <c r="N342" s="249" t="s">
        <v>1321</v>
      </c>
      <c r="O342" s="263" t="s">
        <v>197</v>
      </c>
    </row>
    <row r="343" spans="1:15" ht="12.75" customHeight="1" x14ac:dyDescent="0.25">
      <c r="A343" s="16" t="s">
        <v>1320</v>
      </c>
      <c r="B343" s="2" t="s">
        <v>582</v>
      </c>
      <c r="C343" s="2" t="s">
        <v>1249</v>
      </c>
      <c r="D343" s="2">
        <v>5300</v>
      </c>
      <c r="E343" s="2">
        <v>150</v>
      </c>
      <c r="F343" s="60">
        <v>64.2</v>
      </c>
      <c r="G343" s="303">
        <f t="shared" si="64"/>
        <v>9630</v>
      </c>
      <c r="H343" s="60">
        <v>27</v>
      </c>
      <c r="I343" s="324"/>
      <c r="J343" s="324"/>
      <c r="K343" s="316"/>
      <c r="L343" s="60">
        <f t="shared" si="67"/>
        <v>27</v>
      </c>
      <c r="M343" s="299">
        <f t="shared" si="68"/>
        <v>9657</v>
      </c>
      <c r="N343" s="249" t="s">
        <v>1321</v>
      </c>
      <c r="O343" s="263" t="s">
        <v>197</v>
      </c>
    </row>
    <row r="344" spans="1:15" ht="13.2" x14ac:dyDescent="0.25">
      <c r="A344" s="16" t="s">
        <v>1320</v>
      </c>
      <c r="B344" s="2" t="s">
        <v>582</v>
      </c>
      <c r="C344" s="2" t="s">
        <v>1249</v>
      </c>
      <c r="D344" s="2">
        <v>5300</v>
      </c>
      <c r="E344" s="2">
        <v>50</v>
      </c>
      <c r="F344" s="60">
        <v>64.2</v>
      </c>
      <c r="G344" s="303">
        <f t="shared" si="64"/>
        <v>3210</v>
      </c>
      <c r="H344" s="60">
        <v>9</v>
      </c>
      <c r="I344" s="324"/>
      <c r="J344" s="324"/>
      <c r="K344" s="316"/>
      <c r="L344" s="60">
        <f t="shared" si="67"/>
        <v>9</v>
      </c>
      <c r="M344" s="299">
        <f t="shared" si="68"/>
        <v>3219</v>
      </c>
      <c r="N344" s="249" t="s">
        <v>1321</v>
      </c>
      <c r="O344" s="263" t="s">
        <v>197</v>
      </c>
    </row>
    <row r="345" spans="1:15" ht="12.75" customHeight="1" x14ac:dyDescent="0.25">
      <c r="A345" s="16" t="s">
        <v>1320</v>
      </c>
      <c r="B345" s="2" t="s">
        <v>582</v>
      </c>
      <c r="C345" s="2" t="s">
        <v>1249</v>
      </c>
      <c r="D345" s="2">
        <v>5300</v>
      </c>
      <c r="E345" s="2">
        <v>200</v>
      </c>
      <c r="F345" s="60">
        <v>68</v>
      </c>
      <c r="G345" s="303">
        <f t="shared" si="64"/>
        <v>13600</v>
      </c>
      <c r="H345" s="60">
        <v>36</v>
      </c>
      <c r="I345" s="324"/>
      <c r="J345" s="324"/>
      <c r="K345" s="316"/>
      <c r="L345" s="60">
        <f t="shared" si="67"/>
        <v>36</v>
      </c>
      <c r="M345" s="299">
        <f t="shared" si="68"/>
        <v>13636</v>
      </c>
      <c r="N345" s="249" t="s">
        <v>1321</v>
      </c>
      <c r="O345" s="263" t="s">
        <v>197</v>
      </c>
    </row>
    <row r="346" spans="1:15" ht="12.75" customHeight="1" x14ac:dyDescent="0.25">
      <c r="A346" s="16" t="s">
        <v>1322</v>
      </c>
      <c r="B346" s="2" t="s">
        <v>582</v>
      </c>
      <c r="C346" s="2" t="s">
        <v>1245</v>
      </c>
      <c r="D346" s="2">
        <v>5000</v>
      </c>
      <c r="E346" s="2">
        <v>100</v>
      </c>
      <c r="F346" s="60">
        <v>55.65</v>
      </c>
      <c r="G346" s="303">
        <f t="shared" si="64"/>
        <v>5565</v>
      </c>
      <c r="H346" s="60">
        <v>18</v>
      </c>
      <c r="I346" s="315"/>
      <c r="J346" s="315"/>
      <c r="K346" s="312"/>
      <c r="L346" s="60">
        <f t="shared" ref="L346:L351" si="69">SUM(H346:K346)</f>
        <v>18</v>
      </c>
      <c r="M346" s="299">
        <f t="shared" ref="M346:M351" si="70">G346+L346</f>
        <v>5583</v>
      </c>
      <c r="N346" s="263" t="s">
        <v>1323</v>
      </c>
      <c r="O346" s="263" t="s">
        <v>197</v>
      </c>
    </row>
    <row r="347" spans="1:15" ht="12.75" customHeight="1" x14ac:dyDescent="0.25">
      <c r="A347" s="16" t="s">
        <v>1322</v>
      </c>
      <c r="B347" s="2" t="s">
        <v>582</v>
      </c>
      <c r="C347" s="2" t="s">
        <v>1245</v>
      </c>
      <c r="D347" s="2">
        <v>5000</v>
      </c>
      <c r="E347" s="2">
        <v>50</v>
      </c>
      <c r="F347" s="60">
        <v>55.7</v>
      </c>
      <c r="G347" s="303">
        <f t="shared" si="64"/>
        <v>2785</v>
      </c>
      <c r="H347" s="60">
        <v>9</v>
      </c>
      <c r="I347" s="315"/>
      <c r="J347" s="315"/>
      <c r="K347" s="312"/>
      <c r="L347" s="60">
        <f t="shared" si="69"/>
        <v>9</v>
      </c>
      <c r="M347" s="299">
        <f t="shared" si="70"/>
        <v>2794</v>
      </c>
      <c r="N347" s="263" t="s">
        <v>1323</v>
      </c>
      <c r="O347" s="263" t="s">
        <v>197</v>
      </c>
    </row>
    <row r="348" spans="1:15" ht="12.75" customHeight="1" x14ac:dyDescent="0.25">
      <c r="A348" s="16" t="s">
        <v>1322</v>
      </c>
      <c r="B348" s="2" t="s">
        <v>582</v>
      </c>
      <c r="C348" s="2" t="s">
        <v>1245</v>
      </c>
      <c r="D348" s="2">
        <v>5000</v>
      </c>
      <c r="E348" s="2">
        <v>350</v>
      </c>
      <c r="F348" s="60">
        <v>55.7</v>
      </c>
      <c r="G348" s="303">
        <f t="shared" si="64"/>
        <v>19495</v>
      </c>
      <c r="H348" s="60">
        <v>63</v>
      </c>
      <c r="I348" s="299">
        <v>11.31</v>
      </c>
      <c r="J348" s="299">
        <v>19.77</v>
      </c>
      <c r="K348" s="247">
        <v>2</v>
      </c>
      <c r="L348" s="60">
        <f t="shared" si="69"/>
        <v>96.08</v>
      </c>
      <c r="M348" s="299">
        <f t="shared" si="70"/>
        <v>19591.080000000002</v>
      </c>
      <c r="N348" s="263" t="s">
        <v>1323</v>
      </c>
      <c r="O348" s="263" t="s">
        <v>197</v>
      </c>
    </row>
    <row r="349" spans="1:15" ht="12.75" customHeight="1" x14ac:dyDescent="0.25">
      <c r="A349" s="16" t="s">
        <v>1324</v>
      </c>
      <c r="B349" s="2" t="s">
        <v>582</v>
      </c>
      <c r="C349" s="2" t="s">
        <v>1245</v>
      </c>
      <c r="D349" s="2">
        <v>5000</v>
      </c>
      <c r="E349" s="2">
        <v>450</v>
      </c>
      <c r="F349" s="60">
        <v>53.8</v>
      </c>
      <c r="G349" s="303">
        <f t="shared" si="64"/>
        <v>24210</v>
      </c>
      <c r="H349" s="60">
        <v>81</v>
      </c>
      <c r="I349" s="315"/>
      <c r="J349" s="315"/>
      <c r="K349" s="312"/>
      <c r="L349" s="60">
        <f t="shared" si="69"/>
        <v>81</v>
      </c>
      <c r="M349" s="299">
        <f t="shared" si="70"/>
        <v>24291</v>
      </c>
      <c r="N349" s="263" t="s">
        <v>1327</v>
      </c>
      <c r="O349" s="263" t="s">
        <v>197</v>
      </c>
    </row>
    <row r="350" spans="1:15" ht="12.75" customHeight="1" x14ac:dyDescent="0.25">
      <c r="A350" s="16" t="s">
        <v>1324</v>
      </c>
      <c r="B350" s="2" t="s">
        <v>582</v>
      </c>
      <c r="C350" s="2" t="s">
        <v>1245</v>
      </c>
      <c r="D350" s="2">
        <v>5000</v>
      </c>
      <c r="E350" s="2">
        <v>50</v>
      </c>
      <c r="F350" s="60">
        <v>53.8</v>
      </c>
      <c r="G350" s="303">
        <f t="shared" si="64"/>
        <v>2690</v>
      </c>
      <c r="H350" s="60">
        <v>9</v>
      </c>
      <c r="I350" s="315"/>
      <c r="J350" s="315"/>
      <c r="K350" s="312"/>
      <c r="L350" s="60">
        <f t="shared" si="69"/>
        <v>9</v>
      </c>
      <c r="M350" s="299">
        <f t="shared" si="70"/>
        <v>2699</v>
      </c>
      <c r="N350" s="263" t="s">
        <v>1327</v>
      </c>
      <c r="O350" s="263" t="s">
        <v>197</v>
      </c>
    </row>
    <row r="351" spans="1:15" ht="12.75" customHeight="1" x14ac:dyDescent="0.25">
      <c r="A351" s="16" t="s">
        <v>1324</v>
      </c>
      <c r="B351" s="2" t="s">
        <v>1326</v>
      </c>
      <c r="C351" s="2" t="s">
        <v>1249</v>
      </c>
      <c r="D351" s="2">
        <v>70</v>
      </c>
      <c r="E351" s="2">
        <v>4000</v>
      </c>
      <c r="F351" s="60">
        <v>4.3499999999999996</v>
      </c>
      <c r="G351" s="303">
        <f t="shared" si="64"/>
        <v>17400</v>
      </c>
      <c r="H351" s="60">
        <v>9</v>
      </c>
      <c r="I351" s="299">
        <v>15.69</v>
      </c>
      <c r="J351" s="299">
        <v>44.38</v>
      </c>
      <c r="K351" s="247">
        <v>7</v>
      </c>
      <c r="L351" s="60">
        <f t="shared" si="69"/>
        <v>76.069999999999993</v>
      </c>
      <c r="M351" s="299">
        <f t="shared" si="70"/>
        <v>17476.07</v>
      </c>
      <c r="N351" s="263" t="s">
        <v>1327</v>
      </c>
      <c r="O351" s="263" t="s">
        <v>197</v>
      </c>
    </row>
    <row r="352" spans="1:15" ht="12.75" customHeight="1" x14ac:dyDescent="0.25">
      <c r="A352" s="16" t="s">
        <v>378</v>
      </c>
      <c r="B352" s="2" t="s">
        <v>582</v>
      </c>
      <c r="C352" s="2" t="s">
        <v>1249</v>
      </c>
      <c r="D352" s="2">
        <v>5200</v>
      </c>
      <c r="E352" s="2">
        <v>100</v>
      </c>
      <c r="F352" s="60">
        <v>104.7</v>
      </c>
      <c r="G352" s="303">
        <f t="shared" ref="G352:G359" si="71">E352*F352</f>
        <v>10470</v>
      </c>
      <c r="H352" s="60">
        <v>18</v>
      </c>
      <c r="I352" s="315"/>
      <c r="J352" s="315"/>
      <c r="K352" s="316"/>
      <c r="L352" s="60">
        <f t="shared" ref="L352:L359" si="72">SUM(H352:K352)</f>
        <v>18</v>
      </c>
      <c r="M352" s="299">
        <f t="shared" ref="M352:M359" si="73">G352+L352</f>
        <v>10488</v>
      </c>
      <c r="N352" s="249" t="s">
        <v>379</v>
      </c>
      <c r="O352" s="304" t="s">
        <v>197</v>
      </c>
    </row>
    <row r="353" spans="1:18" ht="12.75" customHeight="1" x14ac:dyDescent="0.25">
      <c r="A353" s="16" t="s">
        <v>378</v>
      </c>
      <c r="B353" s="2" t="s">
        <v>582</v>
      </c>
      <c r="C353" s="2" t="s">
        <v>1249</v>
      </c>
      <c r="D353" s="2">
        <v>5200</v>
      </c>
      <c r="E353" s="2">
        <v>200</v>
      </c>
      <c r="F353" s="60">
        <v>104.7</v>
      </c>
      <c r="G353" s="303">
        <f t="shared" si="71"/>
        <v>20940</v>
      </c>
      <c r="H353" s="60">
        <v>36</v>
      </c>
      <c r="I353" s="315"/>
      <c r="J353" s="315"/>
      <c r="K353" s="312"/>
      <c r="L353" s="60">
        <f t="shared" si="72"/>
        <v>36</v>
      </c>
      <c r="M353" s="299">
        <f t="shared" si="73"/>
        <v>20976</v>
      </c>
      <c r="N353" s="249" t="s">
        <v>379</v>
      </c>
      <c r="O353" s="304" t="s">
        <v>197</v>
      </c>
    </row>
    <row r="354" spans="1:18" ht="12.75" customHeight="1" x14ac:dyDescent="0.25">
      <c r="A354" s="16" t="s">
        <v>378</v>
      </c>
      <c r="B354" s="2" t="s">
        <v>582</v>
      </c>
      <c r="C354" s="2" t="s">
        <v>1249</v>
      </c>
      <c r="D354" s="2">
        <v>5200</v>
      </c>
      <c r="E354" s="2">
        <v>50</v>
      </c>
      <c r="F354" s="60">
        <v>104.7</v>
      </c>
      <c r="G354" s="303">
        <f t="shared" si="71"/>
        <v>5235</v>
      </c>
      <c r="H354" s="60">
        <v>9</v>
      </c>
      <c r="I354" s="315"/>
      <c r="J354" s="315"/>
      <c r="K354" s="312"/>
      <c r="L354" s="60">
        <f t="shared" si="72"/>
        <v>9</v>
      </c>
      <c r="M354" s="299">
        <f t="shared" si="73"/>
        <v>5244</v>
      </c>
      <c r="N354" s="249" t="s">
        <v>379</v>
      </c>
      <c r="O354" s="304" t="s">
        <v>197</v>
      </c>
      <c r="Q354" s="247"/>
    </row>
    <row r="355" spans="1:18" ht="12.75" customHeight="1" x14ac:dyDescent="0.25">
      <c r="A355" s="16" t="s">
        <v>378</v>
      </c>
      <c r="B355" s="2" t="s">
        <v>582</v>
      </c>
      <c r="C355" s="2" t="s">
        <v>1249</v>
      </c>
      <c r="D355" s="2">
        <v>5200</v>
      </c>
      <c r="E355" s="2">
        <v>50</v>
      </c>
      <c r="F355" s="60">
        <v>104.7</v>
      </c>
      <c r="G355" s="303">
        <f t="shared" si="71"/>
        <v>5235</v>
      </c>
      <c r="H355" s="60">
        <v>9</v>
      </c>
      <c r="I355" s="315"/>
      <c r="J355" s="315"/>
      <c r="K355" s="312"/>
      <c r="L355" s="60">
        <f t="shared" si="72"/>
        <v>9</v>
      </c>
      <c r="M355" s="299">
        <f t="shared" si="73"/>
        <v>5244</v>
      </c>
      <c r="N355" s="249" t="s">
        <v>379</v>
      </c>
      <c r="O355" s="304" t="s">
        <v>197</v>
      </c>
    </row>
    <row r="356" spans="1:18" ht="13.2" x14ac:dyDescent="0.25">
      <c r="A356" s="16" t="s">
        <v>378</v>
      </c>
      <c r="B356" s="2" t="s">
        <v>582</v>
      </c>
      <c r="C356" s="2" t="s">
        <v>1249</v>
      </c>
      <c r="D356" s="2">
        <v>5200</v>
      </c>
      <c r="E356" s="2">
        <v>50</v>
      </c>
      <c r="F356" s="60">
        <v>104.7</v>
      </c>
      <c r="G356" s="303">
        <f t="shared" si="71"/>
        <v>5235</v>
      </c>
      <c r="H356" s="60">
        <v>9</v>
      </c>
      <c r="I356" s="315"/>
      <c r="J356" s="315"/>
      <c r="K356" s="312"/>
      <c r="L356" s="60">
        <f t="shared" si="72"/>
        <v>9</v>
      </c>
      <c r="M356" s="299">
        <f t="shared" si="73"/>
        <v>5244</v>
      </c>
      <c r="N356" s="249" t="s">
        <v>379</v>
      </c>
      <c r="O356" s="304" t="s">
        <v>197</v>
      </c>
    </row>
    <row r="357" spans="1:18" ht="12.75" customHeight="1" x14ac:dyDescent="0.25">
      <c r="A357" s="16" t="s">
        <v>378</v>
      </c>
      <c r="B357" s="2" t="s">
        <v>582</v>
      </c>
      <c r="C357" s="2" t="s">
        <v>1249</v>
      </c>
      <c r="D357" s="2">
        <v>5200</v>
      </c>
      <c r="E357" s="2">
        <v>50</v>
      </c>
      <c r="F357" s="60">
        <v>104.7</v>
      </c>
      <c r="G357" s="303">
        <f t="shared" si="71"/>
        <v>5235</v>
      </c>
      <c r="H357" s="60">
        <v>9</v>
      </c>
      <c r="I357" s="324"/>
      <c r="J357" s="324"/>
      <c r="K357" s="316"/>
      <c r="L357" s="60">
        <f t="shared" si="72"/>
        <v>9</v>
      </c>
      <c r="M357" s="299">
        <f t="shared" si="73"/>
        <v>5244</v>
      </c>
      <c r="N357" s="249" t="s">
        <v>379</v>
      </c>
      <c r="O357" s="304" t="s">
        <v>197</v>
      </c>
    </row>
    <row r="358" spans="1:18" ht="12.75" customHeight="1" x14ac:dyDescent="0.25">
      <c r="A358" s="16" t="s">
        <v>378</v>
      </c>
      <c r="B358" s="2" t="s">
        <v>582</v>
      </c>
      <c r="C358" s="2" t="s">
        <v>1249</v>
      </c>
      <c r="D358" s="2">
        <v>5200</v>
      </c>
      <c r="E358" s="2">
        <v>100</v>
      </c>
      <c r="F358" s="60">
        <v>109.4</v>
      </c>
      <c r="G358" s="303">
        <f t="shared" si="71"/>
        <v>10940</v>
      </c>
      <c r="H358" s="60">
        <v>18</v>
      </c>
      <c r="I358" s="324"/>
      <c r="J358" s="324"/>
      <c r="K358" s="316"/>
      <c r="L358" s="60">
        <f t="shared" si="72"/>
        <v>18</v>
      </c>
      <c r="M358" s="299">
        <f t="shared" si="73"/>
        <v>10958</v>
      </c>
      <c r="N358" s="249" t="s">
        <v>379</v>
      </c>
      <c r="O358" s="304" t="s">
        <v>197</v>
      </c>
    </row>
    <row r="359" spans="1:18" ht="12.75" customHeight="1" x14ac:dyDescent="0.25">
      <c r="A359" s="16" t="s">
        <v>378</v>
      </c>
      <c r="B359" s="2" t="s">
        <v>582</v>
      </c>
      <c r="C359" s="2" t="s">
        <v>1249</v>
      </c>
      <c r="D359" s="2">
        <v>5200</v>
      </c>
      <c r="E359" s="2">
        <v>100</v>
      </c>
      <c r="F359" s="60">
        <v>109.5</v>
      </c>
      <c r="G359" s="303">
        <f t="shared" si="71"/>
        <v>10950</v>
      </c>
      <c r="H359" s="60">
        <v>18</v>
      </c>
      <c r="I359" s="299">
        <v>60.66</v>
      </c>
      <c r="J359" s="299">
        <v>156.9</v>
      </c>
      <c r="K359" s="247">
        <v>39</v>
      </c>
      <c r="L359" s="60">
        <f t="shared" si="72"/>
        <v>274.56</v>
      </c>
      <c r="M359" s="299">
        <f t="shared" si="73"/>
        <v>11224.56</v>
      </c>
      <c r="N359" s="249" t="s">
        <v>379</v>
      </c>
      <c r="O359" s="304" t="s">
        <v>197</v>
      </c>
    </row>
    <row r="360" spans="1:18" ht="13.2" x14ac:dyDescent="0.25">
      <c r="A360" s="16" t="s">
        <v>382</v>
      </c>
      <c r="B360" s="2" t="s">
        <v>2791</v>
      </c>
      <c r="C360" s="2" t="s">
        <v>1249</v>
      </c>
      <c r="D360" s="2">
        <v>55</v>
      </c>
      <c r="E360" s="2">
        <v>4000</v>
      </c>
      <c r="F360" s="60">
        <v>3.1</v>
      </c>
      <c r="G360" s="303">
        <f t="shared" ref="G360:G397" si="74">E360*F360</f>
        <v>12400</v>
      </c>
      <c r="H360" s="60">
        <v>9</v>
      </c>
      <c r="I360" s="312"/>
      <c r="J360" s="312"/>
      <c r="K360" s="312"/>
      <c r="L360" s="60">
        <f t="shared" ref="L360:L366" si="75">SUM(H360:K360)</f>
        <v>9</v>
      </c>
      <c r="M360" s="299">
        <f t="shared" ref="M360:M366" si="76">G360+L360</f>
        <v>12409</v>
      </c>
      <c r="N360" s="249" t="s">
        <v>2792</v>
      </c>
      <c r="O360" s="263" t="s">
        <v>197</v>
      </c>
      <c r="Q360" s="247"/>
    </row>
    <row r="361" spans="1:18" ht="12.75" customHeight="1" x14ac:dyDescent="0.25">
      <c r="A361" s="16" t="s">
        <v>382</v>
      </c>
      <c r="B361" s="2" t="s">
        <v>2791</v>
      </c>
      <c r="C361" s="2" t="s">
        <v>1249</v>
      </c>
      <c r="D361" s="2">
        <v>55</v>
      </c>
      <c r="E361" s="2">
        <v>4000</v>
      </c>
      <c r="F361" s="60">
        <v>3.1</v>
      </c>
      <c r="G361" s="303">
        <f t="shared" si="74"/>
        <v>12400</v>
      </c>
      <c r="H361" s="60">
        <v>9</v>
      </c>
      <c r="I361" s="312"/>
      <c r="J361" s="312"/>
      <c r="K361" s="312"/>
      <c r="L361" s="60">
        <f t="shared" si="75"/>
        <v>9</v>
      </c>
      <c r="M361" s="299">
        <f t="shared" si="76"/>
        <v>12409</v>
      </c>
      <c r="N361" s="249" t="s">
        <v>2792</v>
      </c>
      <c r="O361" s="263" t="s">
        <v>197</v>
      </c>
    </row>
    <row r="362" spans="1:18" ht="12.75" customHeight="1" x14ac:dyDescent="0.25">
      <c r="A362" s="16" t="s">
        <v>382</v>
      </c>
      <c r="B362" s="2" t="s">
        <v>1326</v>
      </c>
      <c r="C362" s="2" t="s">
        <v>1249</v>
      </c>
      <c r="D362" s="2">
        <v>75</v>
      </c>
      <c r="E362" s="2">
        <v>8000</v>
      </c>
      <c r="F362" s="60">
        <v>4.0999999999999996</v>
      </c>
      <c r="G362" s="303">
        <f t="shared" si="74"/>
        <v>32800</v>
      </c>
      <c r="H362" s="60">
        <v>18</v>
      </c>
      <c r="I362" s="312"/>
      <c r="J362" s="312"/>
      <c r="K362" s="312"/>
      <c r="L362" s="60">
        <f t="shared" si="75"/>
        <v>18</v>
      </c>
      <c r="M362" s="299">
        <f t="shared" si="76"/>
        <v>32818</v>
      </c>
      <c r="N362" s="249" t="s">
        <v>2792</v>
      </c>
      <c r="O362" s="263" t="s">
        <v>197</v>
      </c>
    </row>
    <row r="363" spans="1:18" ht="12.75" customHeight="1" x14ac:dyDescent="0.25">
      <c r="A363" s="16" t="s">
        <v>382</v>
      </c>
      <c r="B363" s="2" t="s">
        <v>582</v>
      </c>
      <c r="C363" s="2" t="s">
        <v>1245</v>
      </c>
      <c r="D363" s="2">
        <v>5100</v>
      </c>
      <c r="E363" s="2">
        <v>50</v>
      </c>
      <c r="F363" s="60">
        <v>49.9</v>
      </c>
      <c r="G363" s="303">
        <f t="shared" si="74"/>
        <v>2495</v>
      </c>
      <c r="H363" s="60">
        <v>9</v>
      </c>
      <c r="I363" s="312"/>
      <c r="J363" s="312"/>
      <c r="K363" s="312"/>
      <c r="L363" s="60">
        <f t="shared" si="75"/>
        <v>9</v>
      </c>
      <c r="M363" s="299">
        <f t="shared" si="76"/>
        <v>2504</v>
      </c>
      <c r="N363" s="249" t="s">
        <v>2792</v>
      </c>
      <c r="O363" s="263" t="s">
        <v>197</v>
      </c>
    </row>
    <row r="364" spans="1:18" ht="12.75" customHeight="1" x14ac:dyDescent="0.25">
      <c r="A364" s="16" t="s">
        <v>382</v>
      </c>
      <c r="B364" s="2" t="s">
        <v>582</v>
      </c>
      <c r="C364" s="2" t="s">
        <v>1245</v>
      </c>
      <c r="D364" s="2">
        <v>5100</v>
      </c>
      <c r="E364" s="2">
        <v>400</v>
      </c>
      <c r="F364" s="60">
        <v>49.9</v>
      </c>
      <c r="G364" s="303">
        <f t="shared" si="74"/>
        <v>19960</v>
      </c>
      <c r="H364" s="60">
        <v>72</v>
      </c>
      <c r="I364" s="312"/>
      <c r="J364" s="312"/>
      <c r="K364" s="312"/>
      <c r="L364" s="60">
        <f t="shared" si="75"/>
        <v>72</v>
      </c>
      <c r="M364" s="299">
        <f t="shared" si="76"/>
        <v>20032</v>
      </c>
      <c r="N364" s="249" t="s">
        <v>2792</v>
      </c>
      <c r="O364" s="263" t="s">
        <v>197</v>
      </c>
    </row>
    <row r="365" spans="1:18" ht="13.2" x14ac:dyDescent="0.25">
      <c r="A365" s="16" t="s">
        <v>382</v>
      </c>
      <c r="B365" s="2" t="s">
        <v>582</v>
      </c>
      <c r="C365" s="2" t="s">
        <v>1245</v>
      </c>
      <c r="D365" s="2">
        <v>5100</v>
      </c>
      <c r="E365" s="2">
        <v>400</v>
      </c>
      <c r="F365" s="60">
        <v>49.9</v>
      </c>
      <c r="G365" s="303">
        <f t="shared" si="74"/>
        <v>19960</v>
      </c>
      <c r="H365" s="60">
        <v>72</v>
      </c>
      <c r="I365" s="315"/>
      <c r="J365" s="315"/>
      <c r="K365" s="316"/>
      <c r="L365" s="60">
        <f t="shared" si="75"/>
        <v>72</v>
      </c>
      <c r="M365" s="299">
        <f t="shared" si="76"/>
        <v>20032</v>
      </c>
      <c r="N365" s="249" t="s">
        <v>2792</v>
      </c>
      <c r="O365" s="304" t="s">
        <v>197</v>
      </c>
      <c r="Q365" s="247"/>
      <c r="R365" s="247"/>
    </row>
    <row r="366" spans="1:18" ht="12.75" customHeight="1" x14ac:dyDescent="0.25">
      <c r="A366" s="16" t="s">
        <v>382</v>
      </c>
      <c r="B366" s="2" t="s">
        <v>582</v>
      </c>
      <c r="C366" s="2" t="s">
        <v>1245</v>
      </c>
      <c r="D366" s="2">
        <v>5100</v>
      </c>
      <c r="E366" s="2">
        <v>150</v>
      </c>
      <c r="F366" s="60">
        <v>49.9</v>
      </c>
      <c r="G366" s="303">
        <f t="shared" si="74"/>
        <v>7485</v>
      </c>
      <c r="H366" s="60">
        <v>27</v>
      </c>
      <c r="I366" s="299">
        <v>56.48</v>
      </c>
      <c r="J366" s="299">
        <v>134.4</v>
      </c>
      <c r="K366" s="247">
        <v>26</v>
      </c>
      <c r="L366" s="60">
        <f t="shared" si="75"/>
        <v>243.88</v>
      </c>
      <c r="M366" s="299">
        <f t="shared" si="76"/>
        <v>7728.88</v>
      </c>
      <c r="N366" s="249" t="s">
        <v>2792</v>
      </c>
      <c r="O366" s="304" t="s">
        <v>197</v>
      </c>
    </row>
    <row r="367" spans="1:18" ht="12.75" customHeight="1" x14ac:dyDescent="0.25">
      <c r="A367" s="16" t="s">
        <v>44</v>
      </c>
      <c r="B367" s="2" t="s">
        <v>582</v>
      </c>
      <c r="C367" s="2" t="s">
        <v>1249</v>
      </c>
      <c r="D367" s="2">
        <v>5500</v>
      </c>
      <c r="E367" s="2">
        <v>200</v>
      </c>
      <c r="F367" s="60">
        <v>28.05</v>
      </c>
      <c r="G367" s="303">
        <f t="shared" si="74"/>
        <v>5610</v>
      </c>
      <c r="H367" s="60">
        <v>36</v>
      </c>
      <c r="I367" s="312"/>
      <c r="J367" s="312"/>
      <c r="K367" s="312"/>
      <c r="L367" s="60">
        <f t="shared" ref="L367:L398" si="77">SUM(H367:K367)</f>
        <v>36</v>
      </c>
      <c r="M367" s="299">
        <f t="shared" ref="M367:M400" si="78">G367+L367</f>
        <v>5646</v>
      </c>
      <c r="N367" s="249" t="s">
        <v>43</v>
      </c>
      <c r="O367" s="263" t="s">
        <v>197</v>
      </c>
    </row>
    <row r="368" spans="1:18" ht="12.75" customHeight="1" x14ac:dyDescent="0.25">
      <c r="A368" s="16" t="s">
        <v>44</v>
      </c>
      <c r="B368" s="2" t="s">
        <v>582</v>
      </c>
      <c r="C368" s="2" t="s">
        <v>1249</v>
      </c>
      <c r="D368" s="2">
        <v>5500</v>
      </c>
      <c r="E368" s="2">
        <v>300</v>
      </c>
      <c r="F368" s="60">
        <v>28.1</v>
      </c>
      <c r="G368" s="303">
        <f t="shared" si="74"/>
        <v>8430</v>
      </c>
      <c r="H368" s="60">
        <v>54</v>
      </c>
      <c r="I368" s="312"/>
      <c r="J368" s="312"/>
      <c r="K368" s="312"/>
      <c r="L368" s="60">
        <f t="shared" si="77"/>
        <v>54</v>
      </c>
      <c r="M368" s="299">
        <f t="shared" si="78"/>
        <v>8484</v>
      </c>
      <c r="N368" s="249" t="s">
        <v>43</v>
      </c>
      <c r="O368" s="263" t="s">
        <v>197</v>
      </c>
    </row>
    <row r="369" spans="1:18" ht="13.2" x14ac:dyDescent="0.25">
      <c r="A369" s="16" t="s">
        <v>44</v>
      </c>
      <c r="B369" s="2" t="s">
        <v>582</v>
      </c>
      <c r="C369" s="2" t="s">
        <v>1249</v>
      </c>
      <c r="D369" s="2">
        <v>5500</v>
      </c>
      <c r="E369" s="2">
        <v>300</v>
      </c>
      <c r="F369" s="60">
        <v>35.9</v>
      </c>
      <c r="G369" s="303">
        <f t="shared" si="74"/>
        <v>10770</v>
      </c>
      <c r="H369" s="60">
        <v>54</v>
      </c>
      <c r="I369" s="315"/>
      <c r="J369" s="315"/>
      <c r="K369" s="316"/>
      <c r="L369" s="60">
        <f t="shared" si="77"/>
        <v>54</v>
      </c>
      <c r="M369" s="299">
        <f t="shared" si="78"/>
        <v>10824</v>
      </c>
      <c r="N369" s="249" t="s">
        <v>43</v>
      </c>
      <c r="O369" s="304" t="s">
        <v>197</v>
      </c>
      <c r="Q369" s="247"/>
    </row>
    <row r="370" spans="1:18" ht="13.2" x14ac:dyDescent="0.25">
      <c r="A370" s="16" t="s">
        <v>44</v>
      </c>
      <c r="B370" s="2" t="s">
        <v>582</v>
      </c>
      <c r="C370" s="2" t="s">
        <v>1249</v>
      </c>
      <c r="D370" s="2">
        <v>5500</v>
      </c>
      <c r="E370" s="2">
        <v>200</v>
      </c>
      <c r="F370" s="60">
        <v>35.950000000000003</v>
      </c>
      <c r="G370" s="303">
        <f t="shared" si="74"/>
        <v>7190.0000000000009</v>
      </c>
      <c r="H370" s="60">
        <v>36</v>
      </c>
      <c r="I370" s="315"/>
      <c r="J370" s="315"/>
      <c r="K370" s="316"/>
      <c r="L370" s="60">
        <f t="shared" si="77"/>
        <v>36</v>
      </c>
      <c r="M370" s="299">
        <f t="shared" si="78"/>
        <v>7226.0000000000009</v>
      </c>
      <c r="N370" s="249" t="s">
        <v>43</v>
      </c>
      <c r="O370" s="304" t="s">
        <v>197</v>
      </c>
      <c r="Q370" s="247"/>
    </row>
    <row r="371" spans="1:18" ht="13.2" x14ac:dyDescent="0.25">
      <c r="A371" s="16" t="s">
        <v>44</v>
      </c>
      <c r="B371" s="2" t="s">
        <v>582</v>
      </c>
      <c r="C371" s="2" t="s">
        <v>1249</v>
      </c>
      <c r="D371" s="2">
        <v>5500</v>
      </c>
      <c r="E371" s="2">
        <v>500</v>
      </c>
      <c r="F371" s="60">
        <v>41</v>
      </c>
      <c r="G371" s="303">
        <f t="shared" si="74"/>
        <v>20500</v>
      </c>
      <c r="H371" s="60">
        <v>90</v>
      </c>
      <c r="I371" s="299">
        <v>31.65</v>
      </c>
      <c r="J371" s="299">
        <v>37.28</v>
      </c>
      <c r="K371" s="247">
        <v>4</v>
      </c>
      <c r="L371" s="60">
        <f t="shared" si="77"/>
        <v>162.93</v>
      </c>
      <c r="M371" s="299">
        <f t="shared" si="78"/>
        <v>20662.93</v>
      </c>
      <c r="N371" s="249" t="s">
        <v>43</v>
      </c>
      <c r="O371" s="304" t="s">
        <v>197</v>
      </c>
      <c r="Q371" s="247"/>
    </row>
    <row r="372" spans="1:18" ht="13.2" x14ac:dyDescent="0.25">
      <c r="A372" s="16" t="s">
        <v>54</v>
      </c>
      <c r="B372" s="2" t="s">
        <v>53</v>
      </c>
      <c r="C372" s="2" t="s">
        <v>1249</v>
      </c>
      <c r="D372" s="2">
        <v>50</v>
      </c>
      <c r="E372" s="2">
        <v>4000</v>
      </c>
      <c r="F372" s="60">
        <v>3</v>
      </c>
      <c r="G372" s="303">
        <f t="shared" si="74"/>
        <v>12000</v>
      </c>
      <c r="H372" s="60">
        <v>9</v>
      </c>
      <c r="I372" s="315"/>
      <c r="J372" s="315"/>
      <c r="K372" s="316"/>
      <c r="L372" s="60">
        <f t="shared" si="77"/>
        <v>9</v>
      </c>
      <c r="M372" s="299">
        <f t="shared" si="78"/>
        <v>12009</v>
      </c>
      <c r="N372" s="304" t="s">
        <v>55</v>
      </c>
      <c r="O372" s="304" t="s">
        <v>197</v>
      </c>
      <c r="Q372" s="247"/>
    </row>
    <row r="373" spans="1:18" ht="12.75" customHeight="1" x14ac:dyDescent="0.25">
      <c r="A373" s="16" t="s">
        <v>54</v>
      </c>
      <c r="B373" s="2" t="s">
        <v>53</v>
      </c>
      <c r="C373" s="2" t="s">
        <v>1249</v>
      </c>
      <c r="D373" s="2">
        <v>50</v>
      </c>
      <c r="E373" s="2">
        <v>4000</v>
      </c>
      <c r="F373" s="60">
        <v>2.9</v>
      </c>
      <c r="G373" s="303">
        <f t="shared" si="74"/>
        <v>11600</v>
      </c>
      <c r="H373" s="60">
        <v>9</v>
      </c>
      <c r="I373" s="316"/>
      <c r="J373" s="316"/>
      <c r="K373" s="316"/>
      <c r="L373" s="60">
        <f t="shared" si="77"/>
        <v>9</v>
      </c>
      <c r="M373" s="299">
        <f t="shared" si="78"/>
        <v>11609</v>
      </c>
      <c r="N373" s="249" t="s">
        <v>55</v>
      </c>
      <c r="O373" s="263" t="s">
        <v>197</v>
      </c>
    </row>
    <row r="374" spans="1:18" ht="12.75" customHeight="1" x14ac:dyDescent="0.25">
      <c r="A374" s="16" t="s">
        <v>54</v>
      </c>
      <c r="B374" s="2" t="s">
        <v>582</v>
      </c>
      <c r="C374" s="2" t="s">
        <v>1245</v>
      </c>
      <c r="D374" s="2">
        <v>5400</v>
      </c>
      <c r="E374" s="2">
        <v>100</v>
      </c>
      <c r="F374" s="60">
        <v>117.5</v>
      </c>
      <c r="G374" s="303">
        <f t="shared" si="74"/>
        <v>11750</v>
      </c>
      <c r="H374" s="60">
        <v>18</v>
      </c>
      <c r="I374" s="316"/>
      <c r="J374" s="316"/>
      <c r="K374" s="316"/>
      <c r="L374" s="60">
        <f t="shared" si="77"/>
        <v>18</v>
      </c>
      <c r="M374" s="299">
        <f t="shared" si="78"/>
        <v>11768</v>
      </c>
      <c r="N374" s="249" t="s">
        <v>55</v>
      </c>
      <c r="O374" s="263" t="s">
        <v>197</v>
      </c>
    </row>
    <row r="375" spans="1:18" ht="12.75" customHeight="1" x14ac:dyDescent="0.25">
      <c r="A375" s="16" t="s">
        <v>54</v>
      </c>
      <c r="B375" s="2" t="s">
        <v>582</v>
      </c>
      <c r="C375" s="2" t="s">
        <v>1245</v>
      </c>
      <c r="D375" s="2">
        <v>5400</v>
      </c>
      <c r="E375" s="2">
        <v>100</v>
      </c>
      <c r="F375" s="60">
        <v>117.6</v>
      </c>
      <c r="G375" s="303">
        <f t="shared" si="74"/>
        <v>11760</v>
      </c>
      <c r="H375" s="60">
        <v>18</v>
      </c>
      <c r="I375" s="316"/>
      <c r="J375" s="316"/>
      <c r="K375" s="316"/>
      <c r="L375" s="60">
        <f t="shared" si="77"/>
        <v>18</v>
      </c>
      <c r="M375" s="299">
        <f t="shared" si="78"/>
        <v>11778</v>
      </c>
      <c r="N375" s="249" t="s">
        <v>55</v>
      </c>
      <c r="O375" s="263" t="s">
        <v>197</v>
      </c>
    </row>
    <row r="376" spans="1:18" ht="12.75" customHeight="1" x14ac:dyDescent="0.25">
      <c r="A376" s="16" t="s">
        <v>54</v>
      </c>
      <c r="B376" s="2" t="s">
        <v>582</v>
      </c>
      <c r="C376" s="2" t="s">
        <v>1245</v>
      </c>
      <c r="D376" s="2">
        <v>5400</v>
      </c>
      <c r="E376" s="2">
        <v>100</v>
      </c>
      <c r="F376" s="60">
        <v>117.6</v>
      </c>
      <c r="G376" s="303">
        <f t="shared" si="74"/>
        <v>11760</v>
      </c>
      <c r="H376" s="60">
        <v>18</v>
      </c>
      <c r="I376" s="312"/>
      <c r="J376" s="312"/>
      <c r="K376" s="312"/>
      <c r="L376" s="60">
        <f t="shared" si="77"/>
        <v>18</v>
      </c>
      <c r="M376" s="299">
        <f t="shared" si="78"/>
        <v>11778</v>
      </c>
      <c r="N376" s="249" t="s">
        <v>55</v>
      </c>
      <c r="O376" s="263" t="s">
        <v>197</v>
      </c>
    </row>
    <row r="377" spans="1:18" ht="13.2" x14ac:dyDescent="0.25">
      <c r="A377" s="16" t="s">
        <v>58</v>
      </c>
      <c r="B377" s="2" t="s">
        <v>582</v>
      </c>
      <c r="C377" s="2" t="s">
        <v>1249</v>
      </c>
      <c r="D377" s="2">
        <v>5500</v>
      </c>
      <c r="E377" s="2">
        <v>1000</v>
      </c>
      <c r="F377" s="60">
        <v>49.25</v>
      </c>
      <c r="G377" s="303">
        <f t="shared" si="74"/>
        <v>49250</v>
      </c>
      <c r="H377" s="60">
        <v>180</v>
      </c>
      <c r="I377" s="312"/>
      <c r="J377" s="312"/>
      <c r="K377" s="312"/>
      <c r="L377" s="60">
        <f t="shared" si="77"/>
        <v>180</v>
      </c>
      <c r="M377" s="299">
        <f t="shared" si="78"/>
        <v>49430</v>
      </c>
      <c r="N377" s="249" t="s">
        <v>61</v>
      </c>
      <c r="O377" s="263" t="s">
        <v>197</v>
      </c>
      <c r="Q377" s="247"/>
      <c r="R377" s="247"/>
    </row>
    <row r="378" spans="1:18" ht="12.75" customHeight="1" x14ac:dyDescent="0.25">
      <c r="A378" s="16" t="s">
        <v>58</v>
      </c>
      <c r="B378" s="2" t="s">
        <v>582</v>
      </c>
      <c r="C378" s="2" t="s">
        <v>1249</v>
      </c>
      <c r="D378" s="2">
        <v>5500</v>
      </c>
      <c r="E378" s="2">
        <v>100</v>
      </c>
      <c r="F378" s="60">
        <v>49.6</v>
      </c>
      <c r="G378" s="303">
        <f t="shared" si="74"/>
        <v>4960</v>
      </c>
      <c r="H378" s="60">
        <v>18</v>
      </c>
      <c r="I378" s="312"/>
      <c r="J378" s="312"/>
      <c r="K378" s="312"/>
      <c r="L378" s="60">
        <f t="shared" si="77"/>
        <v>18</v>
      </c>
      <c r="M378" s="299">
        <f t="shared" si="78"/>
        <v>4978</v>
      </c>
      <c r="N378" s="249" t="s">
        <v>61</v>
      </c>
      <c r="O378" s="263" t="s">
        <v>197</v>
      </c>
    </row>
    <row r="379" spans="1:18" ht="12.75" customHeight="1" x14ac:dyDescent="0.25">
      <c r="A379" s="16" t="s">
        <v>58</v>
      </c>
      <c r="B379" s="2" t="s">
        <v>582</v>
      </c>
      <c r="C379" s="2" t="s">
        <v>1249</v>
      </c>
      <c r="D379" s="2">
        <v>5500</v>
      </c>
      <c r="E379" s="2">
        <v>200</v>
      </c>
      <c r="F379" s="60">
        <v>49.6</v>
      </c>
      <c r="G379" s="303">
        <f t="shared" si="74"/>
        <v>9920</v>
      </c>
      <c r="H379" s="60">
        <v>36</v>
      </c>
      <c r="I379" s="312"/>
      <c r="J379" s="312"/>
      <c r="K379" s="312"/>
      <c r="L379" s="60">
        <f t="shared" si="77"/>
        <v>36</v>
      </c>
      <c r="M379" s="299">
        <f t="shared" si="78"/>
        <v>9956</v>
      </c>
      <c r="N379" s="249" t="s">
        <v>61</v>
      </c>
      <c r="O379" s="263" t="s">
        <v>197</v>
      </c>
    </row>
    <row r="380" spans="1:18" ht="12.75" customHeight="1" x14ac:dyDescent="0.25">
      <c r="A380" s="16" t="s">
        <v>58</v>
      </c>
      <c r="B380" s="2" t="s">
        <v>582</v>
      </c>
      <c r="C380" s="2" t="s">
        <v>1249</v>
      </c>
      <c r="D380" s="2">
        <v>5500</v>
      </c>
      <c r="E380" s="2">
        <v>200</v>
      </c>
      <c r="F380" s="60">
        <v>49.65</v>
      </c>
      <c r="G380" s="303">
        <f t="shared" si="74"/>
        <v>9930</v>
      </c>
      <c r="H380" s="60">
        <v>36</v>
      </c>
      <c r="I380" s="247">
        <v>40.869999999999997</v>
      </c>
      <c r="J380" s="247">
        <v>72.83</v>
      </c>
      <c r="K380" s="247">
        <v>12</v>
      </c>
      <c r="L380" s="60">
        <f t="shared" si="77"/>
        <v>161.69999999999999</v>
      </c>
      <c r="M380" s="299">
        <f t="shared" si="78"/>
        <v>10091.700000000001</v>
      </c>
      <c r="N380" s="249" t="s">
        <v>61</v>
      </c>
      <c r="O380" s="263" t="s">
        <v>197</v>
      </c>
    </row>
    <row r="381" spans="1:18" ht="13.2" x14ac:dyDescent="0.25">
      <c r="A381" s="16" t="s">
        <v>62</v>
      </c>
      <c r="B381" s="2" t="s">
        <v>582</v>
      </c>
      <c r="C381" s="2" t="s">
        <v>1245</v>
      </c>
      <c r="D381" s="2">
        <v>5400</v>
      </c>
      <c r="E381" s="2">
        <v>500</v>
      </c>
      <c r="F381" s="60">
        <v>105</v>
      </c>
      <c r="G381" s="303">
        <f t="shared" si="74"/>
        <v>52500</v>
      </c>
      <c r="H381" s="60">
        <v>90</v>
      </c>
      <c r="I381" s="312"/>
      <c r="J381" s="312"/>
      <c r="K381" s="312"/>
      <c r="L381" s="60">
        <f t="shared" si="77"/>
        <v>90</v>
      </c>
      <c r="M381" s="299">
        <f t="shared" si="78"/>
        <v>52590</v>
      </c>
      <c r="N381" s="249" t="s">
        <v>63</v>
      </c>
      <c r="O381" s="263" t="s">
        <v>197</v>
      </c>
      <c r="Q381" s="247"/>
    </row>
    <row r="382" spans="1:18" ht="13.2" x14ac:dyDescent="0.25">
      <c r="A382" s="16" t="s">
        <v>62</v>
      </c>
      <c r="B382" s="2" t="s">
        <v>582</v>
      </c>
      <c r="C382" s="2" t="s">
        <v>1245</v>
      </c>
      <c r="D382" s="2">
        <v>5400</v>
      </c>
      <c r="E382" s="2">
        <v>300</v>
      </c>
      <c r="F382" s="60">
        <v>90.05</v>
      </c>
      <c r="G382" s="303">
        <f t="shared" si="74"/>
        <v>27015</v>
      </c>
      <c r="H382" s="60">
        <v>54</v>
      </c>
      <c r="I382" s="312"/>
      <c r="J382" s="312"/>
      <c r="K382" s="312"/>
      <c r="L382" s="60">
        <f t="shared" si="77"/>
        <v>54</v>
      </c>
      <c r="M382" s="299">
        <f t="shared" si="78"/>
        <v>27069</v>
      </c>
      <c r="N382" s="249" t="s">
        <v>63</v>
      </c>
      <c r="O382" s="263" t="s">
        <v>197</v>
      </c>
      <c r="Q382" s="247"/>
    </row>
    <row r="383" spans="1:18" ht="13.2" x14ac:dyDescent="0.25">
      <c r="A383" s="16" t="s">
        <v>62</v>
      </c>
      <c r="B383" s="2" t="s">
        <v>582</v>
      </c>
      <c r="C383" s="2" t="s">
        <v>1249</v>
      </c>
      <c r="D383" s="2">
        <v>5500</v>
      </c>
      <c r="E383" s="2">
        <v>100</v>
      </c>
      <c r="F383" s="60">
        <v>58</v>
      </c>
      <c r="G383" s="303">
        <f t="shared" si="74"/>
        <v>5800</v>
      </c>
      <c r="H383" s="60">
        <v>18</v>
      </c>
      <c r="I383" s="312"/>
      <c r="J383" s="312"/>
      <c r="K383" s="312"/>
      <c r="L383" s="60">
        <f t="shared" si="77"/>
        <v>18</v>
      </c>
      <c r="M383" s="299">
        <f t="shared" si="78"/>
        <v>5818</v>
      </c>
      <c r="N383" s="249" t="s">
        <v>63</v>
      </c>
      <c r="O383" s="263" t="s">
        <v>197</v>
      </c>
      <c r="Q383" s="247"/>
    </row>
    <row r="384" spans="1:18" ht="13.2" x14ac:dyDescent="0.25">
      <c r="A384" s="16" t="s">
        <v>62</v>
      </c>
      <c r="B384" s="2" t="s">
        <v>582</v>
      </c>
      <c r="C384" s="2" t="s">
        <v>1249</v>
      </c>
      <c r="D384" s="2">
        <v>5500</v>
      </c>
      <c r="E384" s="2">
        <v>700</v>
      </c>
      <c r="F384" s="60">
        <v>58</v>
      </c>
      <c r="G384" s="303">
        <f t="shared" si="74"/>
        <v>40600</v>
      </c>
      <c r="H384" s="60">
        <v>126</v>
      </c>
      <c r="I384" s="312"/>
      <c r="J384" s="312"/>
      <c r="K384" s="312"/>
      <c r="L384" s="60">
        <f t="shared" si="77"/>
        <v>126</v>
      </c>
      <c r="M384" s="299">
        <f t="shared" si="78"/>
        <v>40726</v>
      </c>
      <c r="N384" s="249" t="s">
        <v>63</v>
      </c>
      <c r="O384" s="263" t="s">
        <v>197</v>
      </c>
      <c r="Q384" s="247"/>
    </row>
    <row r="385" spans="1:18" ht="12.75" customHeight="1" x14ac:dyDescent="0.25">
      <c r="A385" s="16" t="s">
        <v>62</v>
      </c>
      <c r="B385" s="2" t="s">
        <v>582</v>
      </c>
      <c r="C385" s="2" t="s">
        <v>1249</v>
      </c>
      <c r="D385" s="2">
        <v>5500</v>
      </c>
      <c r="E385" s="2">
        <v>200</v>
      </c>
      <c r="F385" s="60">
        <v>58</v>
      </c>
      <c r="G385" s="303">
        <f t="shared" si="74"/>
        <v>11600</v>
      </c>
      <c r="H385" s="60">
        <v>36</v>
      </c>
      <c r="I385" s="247">
        <v>97.05</v>
      </c>
      <c r="J385" s="247">
        <v>186.24</v>
      </c>
      <c r="K385" s="247">
        <v>37</v>
      </c>
      <c r="L385" s="60">
        <f t="shared" si="77"/>
        <v>356.29</v>
      </c>
      <c r="M385" s="299">
        <f t="shared" si="78"/>
        <v>11956.29</v>
      </c>
      <c r="N385" s="249" t="s">
        <v>63</v>
      </c>
      <c r="O385" s="263" t="s">
        <v>197</v>
      </c>
    </row>
    <row r="386" spans="1:18" ht="12.75" customHeight="1" x14ac:dyDescent="0.25">
      <c r="A386" s="16" t="s">
        <v>68</v>
      </c>
      <c r="B386" s="2" t="s">
        <v>64</v>
      </c>
      <c r="C386" s="2" t="s">
        <v>1245</v>
      </c>
      <c r="D386" s="2">
        <v>440</v>
      </c>
      <c r="E386" s="2">
        <v>500</v>
      </c>
      <c r="F386" s="60">
        <v>11.5</v>
      </c>
      <c r="G386" s="303">
        <f t="shared" si="74"/>
        <v>5750</v>
      </c>
      <c r="H386" s="60">
        <v>9</v>
      </c>
      <c r="I386" s="307"/>
      <c r="J386" s="311"/>
      <c r="K386" s="312"/>
      <c r="L386" s="60">
        <f t="shared" si="77"/>
        <v>9</v>
      </c>
      <c r="M386" s="299">
        <f t="shared" si="78"/>
        <v>5759</v>
      </c>
      <c r="N386" s="249" t="s">
        <v>69</v>
      </c>
      <c r="O386" s="263" t="s">
        <v>197</v>
      </c>
    </row>
    <row r="387" spans="1:18" ht="12.75" customHeight="1" x14ac:dyDescent="0.25">
      <c r="A387" s="16" t="s">
        <v>68</v>
      </c>
      <c r="B387" s="2" t="s">
        <v>64</v>
      </c>
      <c r="C387" s="2" t="s">
        <v>1245</v>
      </c>
      <c r="D387" s="2">
        <v>440</v>
      </c>
      <c r="E387" s="2">
        <v>500</v>
      </c>
      <c r="F387" s="60">
        <v>11.5</v>
      </c>
      <c r="G387" s="303">
        <f t="shared" si="74"/>
        <v>5750</v>
      </c>
      <c r="H387" s="60">
        <v>9</v>
      </c>
      <c r="I387" s="307"/>
      <c r="J387" s="311"/>
      <c r="K387" s="312"/>
      <c r="L387" s="60">
        <f t="shared" si="77"/>
        <v>9</v>
      </c>
      <c r="M387" s="299">
        <f t="shared" si="78"/>
        <v>5759</v>
      </c>
      <c r="N387" s="249" t="s">
        <v>69</v>
      </c>
      <c r="O387" s="263" t="s">
        <v>197</v>
      </c>
    </row>
    <row r="388" spans="1:18" ht="13.2" x14ac:dyDescent="0.25">
      <c r="A388" s="16" t="s">
        <v>68</v>
      </c>
      <c r="B388" s="2" t="s">
        <v>64</v>
      </c>
      <c r="C388" s="2" t="s">
        <v>1245</v>
      </c>
      <c r="D388" s="2">
        <v>440</v>
      </c>
      <c r="E388" s="2">
        <v>1000</v>
      </c>
      <c r="F388" s="60">
        <v>11.5</v>
      </c>
      <c r="G388" s="303">
        <f t="shared" si="74"/>
        <v>11500</v>
      </c>
      <c r="H388" s="60">
        <v>18</v>
      </c>
      <c r="I388" s="307"/>
      <c r="J388" s="311"/>
      <c r="K388" s="312"/>
      <c r="L388" s="60">
        <f t="shared" si="77"/>
        <v>18</v>
      </c>
      <c r="M388" s="299">
        <f t="shared" si="78"/>
        <v>11518</v>
      </c>
      <c r="N388" s="249" t="s">
        <v>69</v>
      </c>
      <c r="O388" s="263" t="s">
        <v>197</v>
      </c>
      <c r="Q388" s="247"/>
    </row>
    <row r="389" spans="1:18" ht="13.2" x14ac:dyDescent="0.25">
      <c r="A389" s="16" t="s">
        <v>68</v>
      </c>
      <c r="B389" s="2" t="s">
        <v>53</v>
      </c>
      <c r="C389" s="2" t="s">
        <v>1249</v>
      </c>
      <c r="D389" s="2">
        <v>50</v>
      </c>
      <c r="E389" s="2">
        <v>4000</v>
      </c>
      <c r="F389" s="60">
        <v>2</v>
      </c>
      <c r="G389" s="303">
        <f t="shared" si="74"/>
        <v>8000</v>
      </c>
      <c r="H389" s="60">
        <v>9</v>
      </c>
      <c r="I389" s="320">
        <v>30.51</v>
      </c>
      <c r="J389" s="2">
        <v>62.2</v>
      </c>
      <c r="K389" s="247">
        <v>16</v>
      </c>
      <c r="L389" s="60">
        <f t="shared" si="77"/>
        <v>117.71000000000001</v>
      </c>
      <c r="M389" s="299">
        <f t="shared" si="78"/>
        <v>8117.71</v>
      </c>
      <c r="N389" s="249" t="s">
        <v>69</v>
      </c>
      <c r="O389" s="263" t="s">
        <v>197</v>
      </c>
      <c r="Q389" s="247"/>
    </row>
    <row r="390" spans="1:18" ht="12.75" customHeight="1" x14ac:dyDescent="0.25">
      <c r="A390" s="16" t="s">
        <v>65</v>
      </c>
      <c r="B390" s="2" t="s">
        <v>582</v>
      </c>
      <c r="C390" s="2" t="s">
        <v>1249</v>
      </c>
      <c r="D390" s="2">
        <v>5500</v>
      </c>
      <c r="E390" s="2">
        <v>200</v>
      </c>
      <c r="F390" s="60">
        <v>33.9</v>
      </c>
      <c r="G390" s="303">
        <f t="shared" si="74"/>
        <v>6780</v>
      </c>
      <c r="H390" s="60">
        <v>36</v>
      </c>
      <c r="I390" s="307"/>
      <c r="J390" s="312"/>
      <c r="K390" s="312"/>
      <c r="L390" s="60">
        <f t="shared" si="77"/>
        <v>36</v>
      </c>
      <c r="M390" s="299">
        <f t="shared" si="78"/>
        <v>6816</v>
      </c>
      <c r="N390" s="249" t="s">
        <v>66</v>
      </c>
      <c r="O390" s="263" t="s">
        <v>197</v>
      </c>
    </row>
    <row r="391" spans="1:18" ht="12.75" customHeight="1" x14ac:dyDescent="0.25">
      <c r="A391" s="16" t="s">
        <v>65</v>
      </c>
      <c r="B391" s="2" t="s">
        <v>582</v>
      </c>
      <c r="C391" s="2" t="s">
        <v>1249</v>
      </c>
      <c r="D391" s="2">
        <v>5500</v>
      </c>
      <c r="E391" s="2">
        <v>300</v>
      </c>
      <c r="F391" s="60">
        <v>34</v>
      </c>
      <c r="G391" s="303">
        <f t="shared" si="74"/>
        <v>10200</v>
      </c>
      <c r="H391" s="60">
        <v>54</v>
      </c>
      <c r="I391" s="307"/>
      <c r="J391" s="312"/>
      <c r="K391" s="312"/>
      <c r="L391" s="60">
        <f t="shared" si="77"/>
        <v>54</v>
      </c>
      <c r="M391" s="299">
        <f t="shared" si="78"/>
        <v>10254</v>
      </c>
      <c r="N391" s="249" t="s">
        <v>66</v>
      </c>
      <c r="O391" s="263" t="s">
        <v>197</v>
      </c>
    </row>
    <row r="392" spans="1:18" ht="12.75" customHeight="1" x14ac:dyDescent="0.25">
      <c r="A392" s="16" t="s">
        <v>65</v>
      </c>
      <c r="B392" s="2" t="s">
        <v>582</v>
      </c>
      <c r="C392" s="2" t="s">
        <v>1249</v>
      </c>
      <c r="D392" s="2">
        <v>5500</v>
      </c>
      <c r="E392" s="2">
        <v>150</v>
      </c>
      <c r="F392" s="60">
        <v>33.75</v>
      </c>
      <c r="G392" s="303">
        <f t="shared" si="74"/>
        <v>5062.5</v>
      </c>
      <c r="H392" s="60">
        <v>27</v>
      </c>
      <c r="I392" s="307"/>
      <c r="J392" s="312"/>
      <c r="K392" s="312"/>
      <c r="L392" s="60">
        <f t="shared" si="77"/>
        <v>27</v>
      </c>
      <c r="M392" s="299">
        <f t="shared" si="78"/>
        <v>5089.5</v>
      </c>
      <c r="N392" s="249" t="s">
        <v>66</v>
      </c>
      <c r="O392" s="263" t="s">
        <v>197</v>
      </c>
    </row>
    <row r="393" spans="1:18" ht="13.2" x14ac:dyDescent="0.25">
      <c r="A393" s="16" t="s">
        <v>65</v>
      </c>
      <c r="B393" s="2" t="s">
        <v>582</v>
      </c>
      <c r="C393" s="2" t="s">
        <v>1249</v>
      </c>
      <c r="D393" s="2">
        <v>5500</v>
      </c>
      <c r="E393" s="2">
        <v>100</v>
      </c>
      <c r="F393" s="60">
        <v>33.799999999999997</v>
      </c>
      <c r="G393" s="303">
        <f t="shared" si="74"/>
        <v>3379.9999999999995</v>
      </c>
      <c r="H393" s="60">
        <v>18</v>
      </c>
      <c r="I393" s="307"/>
      <c r="J393" s="312"/>
      <c r="K393" s="312"/>
      <c r="L393" s="60">
        <f t="shared" si="77"/>
        <v>18</v>
      </c>
      <c r="M393" s="299">
        <f t="shared" si="78"/>
        <v>3397.9999999999995</v>
      </c>
      <c r="N393" s="249" t="s">
        <v>66</v>
      </c>
      <c r="O393" s="263" t="s">
        <v>197</v>
      </c>
      <c r="Q393" s="247"/>
      <c r="R393" s="247"/>
    </row>
    <row r="394" spans="1:18" ht="12.75" customHeight="1" x14ac:dyDescent="0.25">
      <c r="A394" s="16" t="s">
        <v>65</v>
      </c>
      <c r="B394" s="2" t="s">
        <v>582</v>
      </c>
      <c r="C394" s="2" t="s">
        <v>1249</v>
      </c>
      <c r="D394" s="2">
        <v>5500</v>
      </c>
      <c r="E394" s="2">
        <v>250</v>
      </c>
      <c r="F394" s="60">
        <v>33.85</v>
      </c>
      <c r="G394" s="303">
        <f t="shared" si="74"/>
        <v>8462.5</v>
      </c>
      <c r="H394" s="60">
        <v>45</v>
      </c>
      <c r="I394" s="320">
        <v>22.33</v>
      </c>
      <c r="J394" s="247">
        <v>27.75</v>
      </c>
      <c r="K394" s="247">
        <v>4</v>
      </c>
      <c r="L394" s="60">
        <f t="shared" si="77"/>
        <v>99.08</v>
      </c>
      <c r="M394" s="299">
        <f t="shared" si="78"/>
        <v>8561.58</v>
      </c>
      <c r="N394" s="249" t="s">
        <v>66</v>
      </c>
      <c r="O394" s="263" t="s">
        <v>197</v>
      </c>
    </row>
    <row r="395" spans="1:18" ht="13.2" x14ac:dyDescent="0.25">
      <c r="A395" s="16" t="s">
        <v>72</v>
      </c>
      <c r="B395" s="2" t="s">
        <v>582</v>
      </c>
      <c r="C395" s="2" t="s">
        <v>1245</v>
      </c>
      <c r="D395" s="2">
        <v>5400</v>
      </c>
      <c r="E395" s="2">
        <v>150</v>
      </c>
      <c r="F395" s="60">
        <v>56</v>
      </c>
      <c r="G395" s="303">
        <f t="shared" si="74"/>
        <v>8400</v>
      </c>
      <c r="H395" s="60">
        <v>27</v>
      </c>
      <c r="I395" s="316"/>
      <c r="J395" s="316"/>
      <c r="K395" s="316"/>
      <c r="L395" s="60">
        <f t="shared" si="77"/>
        <v>27</v>
      </c>
      <c r="M395" s="299">
        <f t="shared" si="78"/>
        <v>8427</v>
      </c>
      <c r="N395" s="249" t="s">
        <v>71</v>
      </c>
      <c r="O395" s="263" t="s">
        <v>197</v>
      </c>
      <c r="Q395" s="247"/>
    </row>
    <row r="396" spans="1:18" ht="13.2" x14ac:dyDescent="0.25">
      <c r="A396" s="16" t="s">
        <v>72</v>
      </c>
      <c r="B396" s="2" t="s">
        <v>582</v>
      </c>
      <c r="C396" s="2" t="s">
        <v>1245</v>
      </c>
      <c r="D396" s="2">
        <v>5400</v>
      </c>
      <c r="E396" s="2">
        <v>50</v>
      </c>
      <c r="F396" s="60">
        <v>56</v>
      </c>
      <c r="G396" s="303">
        <f t="shared" si="74"/>
        <v>2800</v>
      </c>
      <c r="H396" s="60">
        <v>9</v>
      </c>
      <c r="I396" s="316"/>
      <c r="J396" s="316"/>
      <c r="K396" s="316"/>
      <c r="L396" s="60">
        <f t="shared" si="77"/>
        <v>9</v>
      </c>
      <c r="M396" s="299">
        <f t="shared" si="78"/>
        <v>2809</v>
      </c>
      <c r="N396" s="249" t="s">
        <v>71</v>
      </c>
      <c r="O396" s="263" t="s">
        <v>197</v>
      </c>
      <c r="Q396" s="247"/>
    </row>
    <row r="397" spans="1:18" ht="12.75" customHeight="1" x14ac:dyDescent="0.25">
      <c r="A397" s="16" t="s">
        <v>72</v>
      </c>
      <c r="B397" s="2" t="s">
        <v>582</v>
      </c>
      <c r="C397" s="2" t="s">
        <v>1249</v>
      </c>
      <c r="D397" s="2">
        <v>5500</v>
      </c>
      <c r="E397" s="2">
        <v>200</v>
      </c>
      <c r="F397" s="60">
        <v>34</v>
      </c>
      <c r="G397" s="303">
        <f t="shared" si="74"/>
        <v>6800</v>
      </c>
      <c r="H397" s="60">
        <v>36</v>
      </c>
      <c r="I397" s="307"/>
      <c r="J397" s="312"/>
      <c r="K397" s="312"/>
      <c r="L397" s="60">
        <f t="shared" si="77"/>
        <v>36</v>
      </c>
      <c r="M397" s="299">
        <f t="shared" si="78"/>
        <v>6836</v>
      </c>
      <c r="N397" s="249" t="s">
        <v>71</v>
      </c>
      <c r="O397" s="263" t="s">
        <v>197</v>
      </c>
    </row>
    <row r="398" spans="1:18" ht="12.75" customHeight="1" x14ac:dyDescent="0.25">
      <c r="A398" s="16" t="s">
        <v>561</v>
      </c>
      <c r="B398" s="2" t="s">
        <v>582</v>
      </c>
      <c r="C398" s="2" t="s">
        <v>1245</v>
      </c>
      <c r="D398" s="2">
        <v>5600</v>
      </c>
      <c r="E398" s="2">
        <v>400</v>
      </c>
      <c r="F398" s="60">
        <v>80</v>
      </c>
      <c r="G398" s="303">
        <f t="shared" ref="G398:G430" si="79">E398*F398</f>
        <v>32000</v>
      </c>
      <c r="H398" s="60">
        <v>72</v>
      </c>
      <c r="I398" s="60">
        <v>38.82</v>
      </c>
      <c r="J398" s="299">
        <v>79.88</v>
      </c>
      <c r="K398" s="247">
        <v>21</v>
      </c>
      <c r="L398" s="60">
        <f t="shared" si="77"/>
        <v>211.7</v>
      </c>
      <c r="M398" s="299">
        <f t="shared" si="78"/>
        <v>32211.7</v>
      </c>
      <c r="N398" s="249" t="s">
        <v>562</v>
      </c>
      <c r="O398" s="304" t="s">
        <v>197</v>
      </c>
    </row>
    <row r="399" spans="1:18" ht="12.75" customHeight="1" x14ac:dyDescent="0.25">
      <c r="A399" s="16" t="s">
        <v>563</v>
      </c>
      <c r="B399" s="2" t="s">
        <v>582</v>
      </c>
      <c r="C399" s="2" t="s">
        <v>1249</v>
      </c>
      <c r="D399" s="2">
        <v>5500</v>
      </c>
      <c r="E399" s="2">
        <v>150</v>
      </c>
      <c r="F399" s="60">
        <v>105</v>
      </c>
      <c r="G399" s="303">
        <f t="shared" si="79"/>
        <v>15750</v>
      </c>
      <c r="H399" s="60">
        <v>27</v>
      </c>
      <c r="I399" s="315"/>
      <c r="J399" s="315"/>
      <c r="K399" s="312"/>
      <c r="L399" s="60">
        <f>SUM(H399:K399)</f>
        <v>27</v>
      </c>
      <c r="M399" s="299">
        <f t="shared" si="78"/>
        <v>15777</v>
      </c>
      <c r="N399" s="249" t="s">
        <v>564</v>
      </c>
      <c r="O399" s="304" t="s">
        <v>197</v>
      </c>
    </row>
    <row r="400" spans="1:18" ht="12.75" customHeight="1" x14ac:dyDescent="0.25">
      <c r="A400" s="16" t="s">
        <v>563</v>
      </c>
      <c r="B400" s="2" t="s">
        <v>582</v>
      </c>
      <c r="C400" s="2" t="s">
        <v>1249</v>
      </c>
      <c r="D400" s="2">
        <v>5500</v>
      </c>
      <c r="E400" s="2">
        <v>50</v>
      </c>
      <c r="F400" s="60">
        <v>105</v>
      </c>
      <c r="G400" s="303">
        <f t="shared" si="79"/>
        <v>5250</v>
      </c>
      <c r="H400" s="60">
        <v>9</v>
      </c>
      <c r="I400" s="324"/>
      <c r="J400" s="324"/>
      <c r="K400" s="316"/>
      <c r="L400" s="60">
        <f>SUM(H400:K400)</f>
        <v>9</v>
      </c>
      <c r="M400" s="299">
        <f t="shared" si="78"/>
        <v>5259</v>
      </c>
      <c r="N400" s="249" t="s">
        <v>564</v>
      </c>
      <c r="O400" s="263" t="s">
        <v>197</v>
      </c>
    </row>
    <row r="401" spans="1:17" ht="13.2" x14ac:dyDescent="0.25">
      <c r="A401" s="16" t="s">
        <v>568</v>
      </c>
      <c r="B401" s="2" t="s">
        <v>582</v>
      </c>
      <c r="C401" s="2" t="s">
        <v>1249</v>
      </c>
      <c r="D401" s="2">
        <v>5700</v>
      </c>
      <c r="E401" s="2">
        <v>500</v>
      </c>
      <c r="F401" s="60">
        <v>7.95</v>
      </c>
      <c r="G401" s="303">
        <f t="shared" si="79"/>
        <v>3975</v>
      </c>
      <c r="H401" s="60">
        <v>90</v>
      </c>
      <c r="I401" s="307"/>
      <c r="J401" s="311"/>
      <c r="K401" s="315"/>
      <c r="L401" s="60">
        <f>SUM(H401:K401)</f>
        <v>90</v>
      </c>
      <c r="M401" s="299">
        <f>G401+L401</f>
        <v>4065</v>
      </c>
      <c r="N401" s="304" t="s">
        <v>565</v>
      </c>
      <c r="O401" s="304" t="s">
        <v>197</v>
      </c>
      <c r="Q401" s="247"/>
    </row>
    <row r="402" spans="1:17" ht="13.2" x14ac:dyDescent="0.25">
      <c r="A402" s="16" t="s">
        <v>568</v>
      </c>
      <c r="B402" s="2" t="s">
        <v>582</v>
      </c>
      <c r="C402" s="2" t="s">
        <v>1249</v>
      </c>
      <c r="D402" s="2">
        <v>5700</v>
      </c>
      <c r="E402" s="2">
        <v>500</v>
      </c>
      <c r="F402" s="60">
        <v>7.7</v>
      </c>
      <c r="G402" s="303">
        <f t="shared" si="79"/>
        <v>3850</v>
      </c>
      <c r="H402" s="60">
        <v>90</v>
      </c>
      <c r="I402" s="320">
        <v>19.11</v>
      </c>
      <c r="J402" s="2">
        <v>5.56</v>
      </c>
      <c r="K402" s="299">
        <v>1</v>
      </c>
      <c r="L402" s="60">
        <f>SUM(H402:K402)</f>
        <v>115.67</v>
      </c>
      <c r="M402" s="299">
        <f>G402+L402</f>
        <v>3965.67</v>
      </c>
      <c r="N402" s="304" t="s">
        <v>565</v>
      </c>
      <c r="O402" s="304" t="s">
        <v>197</v>
      </c>
      <c r="Q402" s="247"/>
    </row>
    <row r="403" spans="1:17" ht="12.75" customHeight="1" x14ac:dyDescent="0.25">
      <c r="A403" s="16" t="s">
        <v>566</v>
      </c>
      <c r="B403" s="2" t="s">
        <v>582</v>
      </c>
      <c r="C403" s="2" t="s">
        <v>1245</v>
      </c>
      <c r="D403" s="2">
        <v>5600</v>
      </c>
      <c r="E403" s="2">
        <v>250</v>
      </c>
      <c r="F403" s="60">
        <v>18.8</v>
      </c>
      <c r="G403" s="303">
        <f t="shared" si="79"/>
        <v>4700</v>
      </c>
      <c r="H403" s="60">
        <v>45</v>
      </c>
      <c r="I403" s="307"/>
      <c r="J403" s="311"/>
      <c r="K403" s="312"/>
      <c r="L403" s="60">
        <f t="shared" ref="L403:L409" si="80">SUM(H403:K403)</f>
        <v>45</v>
      </c>
      <c r="M403" s="299">
        <f t="shared" ref="M403:M409" si="81">G403+L403</f>
        <v>4745</v>
      </c>
      <c r="N403" s="304" t="s">
        <v>567</v>
      </c>
      <c r="O403" s="304" t="s">
        <v>197</v>
      </c>
    </row>
    <row r="404" spans="1:17" ht="12.75" customHeight="1" x14ac:dyDescent="0.25">
      <c r="A404" s="16" t="s">
        <v>566</v>
      </c>
      <c r="B404" s="2" t="s">
        <v>582</v>
      </c>
      <c r="C404" s="2" t="s">
        <v>1245</v>
      </c>
      <c r="D404" s="2">
        <v>5600</v>
      </c>
      <c r="E404" s="2">
        <v>150</v>
      </c>
      <c r="F404" s="60">
        <v>18.8</v>
      </c>
      <c r="G404" s="303">
        <f t="shared" si="79"/>
        <v>2820</v>
      </c>
      <c r="H404" s="60">
        <v>27</v>
      </c>
      <c r="I404" s="307"/>
      <c r="J404" s="311"/>
      <c r="K404" s="312"/>
      <c r="L404" s="60">
        <f t="shared" si="80"/>
        <v>27</v>
      </c>
      <c r="M404" s="299">
        <f t="shared" si="81"/>
        <v>2847</v>
      </c>
      <c r="N404" s="304" t="s">
        <v>567</v>
      </c>
      <c r="O404" s="304" t="s">
        <v>197</v>
      </c>
    </row>
    <row r="405" spans="1:17" ht="13.2" x14ac:dyDescent="0.25">
      <c r="A405" s="16" t="s">
        <v>566</v>
      </c>
      <c r="B405" s="2" t="s">
        <v>582</v>
      </c>
      <c r="C405" s="2" t="s">
        <v>1249</v>
      </c>
      <c r="D405" s="2">
        <v>5600</v>
      </c>
      <c r="E405" s="2">
        <v>450</v>
      </c>
      <c r="F405" s="60">
        <v>28</v>
      </c>
      <c r="G405" s="303">
        <f t="shared" si="79"/>
        <v>12600</v>
      </c>
      <c r="H405" s="60">
        <v>81</v>
      </c>
      <c r="I405" s="315"/>
      <c r="J405" s="315"/>
      <c r="K405" s="312"/>
      <c r="L405" s="60">
        <f t="shared" si="80"/>
        <v>81</v>
      </c>
      <c r="M405" s="299">
        <f t="shared" si="81"/>
        <v>12681</v>
      </c>
      <c r="N405" s="304" t="s">
        <v>567</v>
      </c>
      <c r="O405" s="304" t="s">
        <v>197</v>
      </c>
      <c r="Q405" s="247"/>
    </row>
    <row r="406" spans="1:17" ht="13.2" x14ac:dyDescent="0.25">
      <c r="A406" s="16" t="s">
        <v>566</v>
      </c>
      <c r="B406" s="2" t="s">
        <v>582</v>
      </c>
      <c r="C406" s="2" t="s">
        <v>1249</v>
      </c>
      <c r="D406" s="2">
        <v>5600</v>
      </c>
      <c r="E406" s="2">
        <v>50</v>
      </c>
      <c r="F406" s="60">
        <v>28</v>
      </c>
      <c r="G406" s="303">
        <f t="shared" si="79"/>
        <v>1400</v>
      </c>
      <c r="H406" s="60">
        <v>9</v>
      </c>
      <c r="I406" s="324"/>
      <c r="J406" s="324"/>
      <c r="K406" s="316"/>
      <c r="L406" s="60">
        <f t="shared" si="80"/>
        <v>9</v>
      </c>
      <c r="M406" s="299">
        <f t="shared" si="81"/>
        <v>1409</v>
      </c>
      <c r="N406" s="304" t="s">
        <v>567</v>
      </c>
      <c r="O406" s="304" t="s">
        <v>197</v>
      </c>
      <c r="Q406" s="247"/>
    </row>
    <row r="407" spans="1:17" ht="12.75" customHeight="1" x14ac:dyDescent="0.25">
      <c r="A407" s="16" t="s">
        <v>566</v>
      </c>
      <c r="B407" s="2" t="s">
        <v>582</v>
      </c>
      <c r="C407" s="2" t="s">
        <v>1249</v>
      </c>
      <c r="D407" s="2">
        <v>5600</v>
      </c>
      <c r="E407" s="2">
        <v>50</v>
      </c>
      <c r="F407" s="60">
        <v>29.9</v>
      </c>
      <c r="G407" s="303">
        <f t="shared" si="79"/>
        <v>1495</v>
      </c>
      <c r="H407" s="60">
        <v>9</v>
      </c>
      <c r="I407" s="324"/>
      <c r="J407" s="324"/>
      <c r="K407" s="316"/>
      <c r="L407" s="60">
        <f t="shared" si="80"/>
        <v>9</v>
      </c>
      <c r="M407" s="299">
        <f t="shared" si="81"/>
        <v>1504</v>
      </c>
      <c r="N407" s="304" t="s">
        <v>567</v>
      </c>
      <c r="O407" s="304" t="s">
        <v>197</v>
      </c>
    </row>
    <row r="408" spans="1:17" ht="12.75" customHeight="1" x14ac:dyDescent="0.25">
      <c r="A408" s="16" t="s">
        <v>566</v>
      </c>
      <c r="B408" s="2" t="s">
        <v>582</v>
      </c>
      <c r="C408" s="2" t="s">
        <v>1249</v>
      </c>
      <c r="D408" s="2">
        <v>5600</v>
      </c>
      <c r="E408" s="2">
        <v>50</v>
      </c>
      <c r="F408" s="60">
        <v>29.95</v>
      </c>
      <c r="G408" s="303">
        <f t="shared" si="79"/>
        <v>1497.5</v>
      </c>
      <c r="H408" s="60">
        <v>9</v>
      </c>
      <c r="I408" s="324"/>
      <c r="J408" s="324"/>
      <c r="K408" s="316"/>
      <c r="L408" s="60">
        <f t="shared" si="80"/>
        <v>9</v>
      </c>
      <c r="M408" s="299">
        <f t="shared" si="81"/>
        <v>1506.5</v>
      </c>
      <c r="N408" s="304" t="s">
        <v>567</v>
      </c>
      <c r="O408" s="304" t="s">
        <v>197</v>
      </c>
    </row>
    <row r="409" spans="1:17" ht="12.75" customHeight="1" x14ac:dyDescent="0.25">
      <c r="A409" s="16" t="s">
        <v>566</v>
      </c>
      <c r="B409" s="2" t="s">
        <v>582</v>
      </c>
      <c r="C409" s="2" t="s">
        <v>1249</v>
      </c>
      <c r="D409" s="2">
        <v>5600</v>
      </c>
      <c r="E409" s="2">
        <v>100</v>
      </c>
      <c r="F409" s="60">
        <v>29.95</v>
      </c>
      <c r="G409" s="303">
        <f t="shared" si="79"/>
        <v>2995</v>
      </c>
      <c r="H409" s="60">
        <v>18</v>
      </c>
      <c r="I409" s="307"/>
      <c r="J409" s="311"/>
      <c r="K409" s="312"/>
      <c r="L409" s="60">
        <f t="shared" si="80"/>
        <v>18</v>
      </c>
      <c r="M409" s="299">
        <f t="shared" si="81"/>
        <v>3013</v>
      </c>
      <c r="N409" s="304" t="s">
        <v>567</v>
      </c>
      <c r="O409" s="304" t="s">
        <v>197</v>
      </c>
    </row>
    <row r="410" spans="1:17" ht="13.2" x14ac:dyDescent="0.25">
      <c r="A410" s="16" t="s">
        <v>570</v>
      </c>
      <c r="B410" s="2" t="s">
        <v>582</v>
      </c>
      <c r="C410" s="2" t="s">
        <v>1245</v>
      </c>
      <c r="D410" s="2">
        <v>5500</v>
      </c>
      <c r="E410" s="2">
        <v>500</v>
      </c>
      <c r="F410" s="60">
        <v>17.399999999999999</v>
      </c>
      <c r="G410" s="303">
        <f t="shared" si="79"/>
        <v>8700</v>
      </c>
      <c r="H410" s="60">
        <v>90</v>
      </c>
      <c r="I410" s="317"/>
      <c r="J410" s="317"/>
      <c r="K410" s="312"/>
      <c r="L410" s="60">
        <f t="shared" ref="L410:L420" si="82">SUM(H410:K410)</f>
        <v>90</v>
      </c>
      <c r="M410" s="299">
        <f t="shared" ref="M410:M420" si="83">G410+L410</f>
        <v>8790</v>
      </c>
      <c r="N410" s="249" t="s">
        <v>571</v>
      </c>
      <c r="O410" s="263" t="s">
        <v>197</v>
      </c>
      <c r="Q410" s="247"/>
    </row>
    <row r="411" spans="1:17" ht="13.2" x14ac:dyDescent="0.25">
      <c r="A411" s="16" t="s">
        <v>570</v>
      </c>
      <c r="B411" s="2" t="s">
        <v>582</v>
      </c>
      <c r="C411" s="2" t="s">
        <v>1245</v>
      </c>
      <c r="D411" s="2">
        <v>5500</v>
      </c>
      <c r="E411" s="2">
        <v>50</v>
      </c>
      <c r="F411" s="60">
        <v>12.65</v>
      </c>
      <c r="G411" s="303">
        <f t="shared" si="79"/>
        <v>632.5</v>
      </c>
      <c r="H411" s="60">
        <v>9</v>
      </c>
      <c r="I411" s="317"/>
      <c r="J411" s="317"/>
      <c r="K411" s="312"/>
      <c r="L411" s="60">
        <f t="shared" si="82"/>
        <v>9</v>
      </c>
      <c r="M411" s="299">
        <f t="shared" si="83"/>
        <v>641.5</v>
      </c>
      <c r="N411" s="249" t="s">
        <v>571</v>
      </c>
      <c r="O411" s="263" t="s">
        <v>197</v>
      </c>
      <c r="Q411" s="247"/>
    </row>
    <row r="412" spans="1:17" ht="13.2" x14ac:dyDescent="0.25">
      <c r="A412" s="16" t="s">
        <v>570</v>
      </c>
      <c r="B412" s="2" t="s">
        <v>582</v>
      </c>
      <c r="C412" s="2" t="s">
        <v>1245</v>
      </c>
      <c r="D412" s="2">
        <v>5500</v>
      </c>
      <c r="E412" s="2">
        <v>50</v>
      </c>
      <c r="F412" s="60">
        <v>12.7</v>
      </c>
      <c r="G412" s="303">
        <f t="shared" si="79"/>
        <v>635</v>
      </c>
      <c r="H412" s="60">
        <v>9</v>
      </c>
      <c r="I412" s="317"/>
      <c r="J412" s="317"/>
      <c r="K412" s="312"/>
      <c r="L412" s="60">
        <f t="shared" si="82"/>
        <v>9</v>
      </c>
      <c r="M412" s="299">
        <f t="shared" si="83"/>
        <v>644</v>
      </c>
      <c r="N412" s="249" t="s">
        <v>571</v>
      </c>
      <c r="O412" s="263" t="s">
        <v>197</v>
      </c>
      <c r="Q412" s="247"/>
    </row>
    <row r="413" spans="1:17" ht="12.75" customHeight="1" x14ac:dyDescent="0.25">
      <c r="A413" s="16" t="s">
        <v>570</v>
      </c>
      <c r="B413" s="2" t="s">
        <v>582</v>
      </c>
      <c r="C413" s="2" t="s">
        <v>1245</v>
      </c>
      <c r="D413" s="2">
        <v>5500</v>
      </c>
      <c r="E413" s="2">
        <v>200</v>
      </c>
      <c r="F413" s="60">
        <v>12.75</v>
      </c>
      <c r="G413" s="303">
        <f t="shared" si="79"/>
        <v>2550</v>
      </c>
      <c r="H413" s="60">
        <v>36</v>
      </c>
      <c r="I413" s="317"/>
      <c r="J413" s="317"/>
      <c r="K413" s="312"/>
      <c r="L413" s="60">
        <f t="shared" si="82"/>
        <v>36</v>
      </c>
      <c r="M413" s="299">
        <f t="shared" si="83"/>
        <v>2586</v>
      </c>
      <c r="N413" s="249" t="s">
        <v>571</v>
      </c>
      <c r="O413" s="263" t="s">
        <v>197</v>
      </c>
    </row>
    <row r="414" spans="1:17" ht="12.75" customHeight="1" x14ac:dyDescent="0.25">
      <c r="A414" s="16" t="s">
        <v>570</v>
      </c>
      <c r="B414" s="2" t="s">
        <v>569</v>
      </c>
      <c r="C414" s="2" t="s">
        <v>1245</v>
      </c>
      <c r="D414" s="2">
        <v>5300</v>
      </c>
      <c r="E414" s="2">
        <v>50</v>
      </c>
      <c r="F414" s="60">
        <v>80</v>
      </c>
      <c r="G414" s="303">
        <f t="shared" si="79"/>
        <v>4000</v>
      </c>
      <c r="H414" s="60">
        <v>9</v>
      </c>
      <c r="I414" s="317"/>
      <c r="J414" s="317"/>
      <c r="K414" s="312"/>
      <c r="L414" s="60">
        <f t="shared" si="82"/>
        <v>9</v>
      </c>
      <c r="M414" s="299">
        <f t="shared" si="83"/>
        <v>4009</v>
      </c>
      <c r="N414" s="249" t="s">
        <v>571</v>
      </c>
      <c r="O414" s="263" t="s">
        <v>197</v>
      </c>
    </row>
    <row r="415" spans="1:17" ht="13.2" x14ac:dyDescent="0.25">
      <c r="A415" s="16" t="s">
        <v>570</v>
      </c>
      <c r="B415" s="2" t="s">
        <v>569</v>
      </c>
      <c r="C415" s="2" t="s">
        <v>1245</v>
      </c>
      <c r="D415" s="2">
        <v>5300</v>
      </c>
      <c r="E415" s="2">
        <v>50</v>
      </c>
      <c r="F415" s="60">
        <v>80</v>
      </c>
      <c r="G415" s="303">
        <f t="shared" si="79"/>
        <v>4000</v>
      </c>
      <c r="H415" s="60">
        <v>9</v>
      </c>
      <c r="I415" s="317"/>
      <c r="J415" s="317"/>
      <c r="K415" s="312"/>
      <c r="L415" s="60">
        <f t="shared" si="82"/>
        <v>9</v>
      </c>
      <c r="M415" s="299">
        <f t="shared" si="83"/>
        <v>4009</v>
      </c>
      <c r="N415" s="249" t="s">
        <v>571</v>
      </c>
      <c r="O415" s="263" t="s">
        <v>197</v>
      </c>
      <c r="Q415" s="247"/>
    </row>
    <row r="416" spans="1:17" ht="12.75" customHeight="1" x14ac:dyDescent="0.25">
      <c r="A416" s="16" t="s">
        <v>570</v>
      </c>
      <c r="B416" s="2" t="s">
        <v>569</v>
      </c>
      <c r="C416" s="2" t="s">
        <v>1245</v>
      </c>
      <c r="D416" s="2">
        <v>5300</v>
      </c>
      <c r="E416" s="2">
        <v>50</v>
      </c>
      <c r="F416" s="60">
        <v>80</v>
      </c>
      <c r="G416" s="303">
        <f t="shared" si="79"/>
        <v>4000</v>
      </c>
      <c r="H416" s="60">
        <v>9</v>
      </c>
      <c r="I416" s="318"/>
      <c r="J416" s="318"/>
      <c r="K416" s="316"/>
      <c r="L416" s="60">
        <f t="shared" si="82"/>
        <v>9</v>
      </c>
      <c r="M416" s="299">
        <f t="shared" si="83"/>
        <v>4009</v>
      </c>
      <c r="N416" s="249" t="s">
        <v>571</v>
      </c>
      <c r="O416" s="263" t="s">
        <v>197</v>
      </c>
    </row>
    <row r="417" spans="1:17" ht="12.75" customHeight="1" x14ac:dyDescent="0.25">
      <c r="A417" s="16" t="s">
        <v>570</v>
      </c>
      <c r="B417" s="2" t="s">
        <v>569</v>
      </c>
      <c r="C417" s="2" t="s">
        <v>1245</v>
      </c>
      <c r="D417" s="2">
        <v>5300</v>
      </c>
      <c r="E417" s="2">
        <v>50</v>
      </c>
      <c r="F417" s="60">
        <v>80</v>
      </c>
      <c r="G417" s="303">
        <f t="shared" si="79"/>
        <v>4000</v>
      </c>
      <c r="H417" s="60">
        <v>9</v>
      </c>
      <c r="I417" s="318"/>
      <c r="J417" s="318"/>
      <c r="K417" s="316"/>
      <c r="L417" s="60">
        <f t="shared" si="82"/>
        <v>9</v>
      </c>
      <c r="M417" s="299">
        <f t="shared" si="83"/>
        <v>4009</v>
      </c>
      <c r="N417" s="249" t="s">
        <v>571</v>
      </c>
      <c r="O417" s="263" t="s">
        <v>197</v>
      </c>
    </row>
    <row r="418" spans="1:17" ht="12.75" customHeight="1" x14ac:dyDescent="0.25">
      <c r="A418" s="16" t="s">
        <v>570</v>
      </c>
      <c r="B418" s="2" t="s">
        <v>569</v>
      </c>
      <c r="C418" s="2" t="s">
        <v>1245</v>
      </c>
      <c r="D418" s="2">
        <v>5300</v>
      </c>
      <c r="E418" s="2">
        <v>50</v>
      </c>
      <c r="F418" s="60">
        <v>80</v>
      </c>
      <c r="G418" s="303">
        <f t="shared" si="79"/>
        <v>4000</v>
      </c>
      <c r="H418" s="60">
        <v>9</v>
      </c>
      <c r="I418" s="318"/>
      <c r="J418" s="318"/>
      <c r="K418" s="316"/>
      <c r="L418" s="60">
        <f t="shared" si="82"/>
        <v>9</v>
      </c>
      <c r="M418" s="299">
        <f t="shared" si="83"/>
        <v>4009</v>
      </c>
      <c r="N418" s="249" t="s">
        <v>571</v>
      </c>
      <c r="O418" s="263" t="s">
        <v>197</v>
      </c>
    </row>
    <row r="419" spans="1:17" ht="13.2" x14ac:dyDescent="0.25">
      <c r="A419" s="16" t="s">
        <v>570</v>
      </c>
      <c r="B419" s="2" t="s">
        <v>569</v>
      </c>
      <c r="C419" s="2" t="s">
        <v>1245</v>
      </c>
      <c r="D419" s="2">
        <v>5300</v>
      </c>
      <c r="E419" s="2">
        <v>50</v>
      </c>
      <c r="F419" s="60">
        <v>80</v>
      </c>
      <c r="G419" s="303">
        <f t="shared" si="79"/>
        <v>4000</v>
      </c>
      <c r="H419" s="60">
        <v>9</v>
      </c>
      <c r="I419" s="327"/>
      <c r="J419" s="328"/>
      <c r="K419" s="312"/>
      <c r="L419" s="60">
        <f t="shared" si="82"/>
        <v>9</v>
      </c>
      <c r="M419" s="299">
        <f t="shared" si="83"/>
        <v>4009</v>
      </c>
      <c r="N419" s="249" t="s">
        <v>571</v>
      </c>
      <c r="O419" s="304" t="s">
        <v>197</v>
      </c>
      <c r="Q419" s="247"/>
    </row>
    <row r="420" spans="1:17" ht="13.2" x14ac:dyDescent="0.25">
      <c r="A420" s="16" t="s">
        <v>570</v>
      </c>
      <c r="B420" s="2" t="s">
        <v>569</v>
      </c>
      <c r="C420" s="2" t="s">
        <v>1245</v>
      </c>
      <c r="D420" s="2">
        <v>5300</v>
      </c>
      <c r="E420" s="2">
        <v>200</v>
      </c>
      <c r="F420" s="60">
        <v>80</v>
      </c>
      <c r="G420" s="303">
        <f t="shared" si="79"/>
        <v>16000</v>
      </c>
      <c r="H420" s="60">
        <v>36</v>
      </c>
      <c r="I420" s="327"/>
      <c r="J420" s="328"/>
      <c r="K420" s="312"/>
      <c r="L420" s="60">
        <f t="shared" si="82"/>
        <v>36</v>
      </c>
      <c r="M420" s="299">
        <f t="shared" si="83"/>
        <v>16036</v>
      </c>
      <c r="N420" s="249" t="s">
        <v>571</v>
      </c>
      <c r="O420" s="304" t="s">
        <v>197</v>
      </c>
      <c r="Q420" s="247"/>
    </row>
    <row r="421" spans="1:17" ht="12.75" customHeight="1" x14ac:dyDescent="0.25">
      <c r="A421" s="16" t="s">
        <v>572</v>
      </c>
      <c r="B421" s="2" t="s">
        <v>569</v>
      </c>
      <c r="C421" s="2" t="s">
        <v>1249</v>
      </c>
      <c r="D421" s="2">
        <v>5700</v>
      </c>
      <c r="E421" s="2">
        <v>350</v>
      </c>
      <c r="F421" s="60">
        <v>66</v>
      </c>
      <c r="G421" s="303">
        <f t="shared" si="79"/>
        <v>23100</v>
      </c>
      <c r="H421" s="60">
        <v>63</v>
      </c>
      <c r="I421" s="312"/>
      <c r="J421" s="312"/>
      <c r="K421" s="312"/>
      <c r="L421" s="60">
        <f>SUM(H421:K421)</f>
        <v>63</v>
      </c>
      <c r="M421" s="299">
        <f>G421+L421</f>
        <v>23163</v>
      </c>
      <c r="N421" s="263" t="s">
        <v>573</v>
      </c>
      <c r="O421" s="263" t="s">
        <v>197</v>
      </c>
    </row>
    <row r="422" spans="1:17" ht="12.75" customHeight="1" x14ac:dyDescent="0.25">
      <c r="A422" s="16" t="s">
        <v>572</v>
      </c>
      <c r="B422" s="2" t="s">
        <v>569</v>
      </c>
      <c r="C422" s="2" t="s">
        <v>1249</v>
      </c>
      <c r="D422" s="2">
        <v>5700</v>
      </c>
      <c r="E422" s="2">
        <v>50</v>
      </c>
      <c r="F422" s="60">
        <v>66.2</v>
      </c>
      <c r="G422" s="303">
        <f t="shared" si="79"/>
        <v>3310</v>
      </c>
      <c r="H422" s="60">
        <v>9</v>
      </c>
      <c r="I422" s="312"/>
      <c r="J422" s="312"/>
      <c r="K422" s="312"/>
      <c r="L422" s="60">
        <f>SUM(H422:K422)</f>
        <v>9</v>
      </c>
      <c r="M422" s="299">
        <f>G422+L422</f>
        <v>3319</v>
      </c>
      <c r="N422" s="263" t="s">
        <v>573</v>
      </c>
      <c r="O422" s="263" t="s">
        <v>197</v>
      </c>
    </row>
    <row r="423" spans="1:17" ht="13.2" x14ac:dyDescent="0.25">
      <c r="A423" s="16" t="s">
        <v>578</v>
      </c>
      <c r="B423" s="2" t="s">
        <v>569</v>
      </c>
      <c r="C423" s="2" t="s">
        <v>1249</v>
      </c>
      <c r="D423" s="2">
        <v>5600</v>
      </c>
      <c r="E423" s="2">
        <v>100</v>
      </c>
      <c r="F423" s="60">
        <v>82</v>
      </c>
      <c r="G423" s="303">
        <f t="shared" si="79"/>
        <v>8200</v>
      </c>
      <c r="H423" s="60">
        <v>18</v>
      </c>
      <c r="I423" s="307"/>
      <c r="J423" s="317"/>
      <c r="K423" s="312"/>
      <c r="L423" s="60">
        <f t="shared" ref="L423:L430" si="84">SUM(H423:K423)</f>
        <v>18</v>
      </c>
      <c r="M423" s="299">
        <f t="shared" ref="M423:M430" si="85">G423+L423</f>
        <v>8218</v>
      </c>
      <c r="N423" s="249" t="s">
        <v>577</v>
      </c>
      <c r="O423" s="263" t="s">
        <v>197</v>
      </c>
      <c r="Q423" s="247"/>
    </row>
    <row r="424" spans="1:17" ht="13.2" x14ac:dyDescent="0.25">
      <c r="A424" s="16" t="s">
        <v>578</v>
      </c>
      <c r="B424" s="2" t="s">
        <v>569</v>
      </c>
      <c r="C424" s="2" t="s">
        <v>1249</v>
      </c>
      <c r="D424" s="2">
        <v>5600</v>
      </c>
      <c r="E424" s="2">
        <v>50</v>
      </c>
      <c r="F424" s="60">
        <v>82</v>
      </c>
      <c r="G424" s="303">
        <f t="shared" si="79"/>
        <v>4100</v>
      </c>
      <c r="H424" s="60">
        <v>9</v>
      </c>
      <c r="I424" s="307"/>
      <c r="J424" s="317"/>
      <c r="K424" s="312"/>
      <c r="L424" s="60">
        <f t="shared" si="84"/>
        <v>9</v>
      </c>
      <c r="M424" s="299">
        <f t="shared" si="85"/>
        <v>4109</v>
      </c>
      <c r="N424" s="249" t="s">
        <v>577</v>
      </c>
      <c r="O424" s="263" t="s">
        <v>197</v>
      </c>
      <c r="Q424" s="247"/>
    </row>
    <row r="425" spans="1:17" ht="12.75" customHeight="1" x14ac:dyDescent="0.25">
      <c r="A425" s="16" t="s">
        <v>578</v>
      </c>
      <c r="B425" s="2" t="s">
        <v>569</v>
      </c>
      <c r="C425" s="2" t="s">
        <v>1249</v>
      </c>
      <c r="D425" s="2">
        <v>5600</v>
      </c>
      <c r="E425" s="2">
        <v>50</v>
      </c>
      <c r="F425" s="60">
        <v>82</v>
      </c>
      <c r="G425" s="303">
        <f t="shared" si="79"/>
        <v>4100</v>
      </c>
      <c r="H425" s="60">
        <v>9</v>
      </c>
      <c r="I425" s="307"/>
      <c r="J425" s="317"/>
      <c r="K425" s="312"/>
      <c r="L425" s="60">
        <f t="shared" si="84"/>
        <v>9</v>
      </c>
      <c r="M425" s="299">
        <f t="shared" si="85"/>
        <v>4109</v>
      </c>
      <c r="N425" s="249" t="s">
        <v>577</v>
      </c>
      <c r="O425" s="263" t="s">
        <v>197</v>
      </c>
    </row>
    <row r="426" spans="1:17" ht="12.75" customHeight="1" x14ac:dyDescent="0.25">
      <c r="A426" s="16" t="s">
        <v>578</v>
      </c>
      <c r="B426" s="2" t="s">
        <v>569</v>
      </c>
      <c r="C426" s="2" t="s">
        <v>1249</v>
      </c>
      <c r="D426" s="2">
        <v>5600</v>
      </c>
      <c r="E426" s="2">
        <v>250</v>
      </c>
      <c r="F426" s="60">
        <v>82</v>
      </c>
      <c r="G426" s="303">
        <f t="shared" si="79"/>
        <v>20500</v>
      </c>
      <c r="H426" s="60">
        <v>45</v>
      </c>
      <c r="I426" s="307"/>
      <c r="J426" s="317"/>
      <c r="K426" s="312"/>
      <c r="L426" s="60">
        <f t="shared" si="84"/>
        <v>45</v>
      </c>
      <c r="M426" s="299">
        <f t="shared" si="85"/>
        <v>20545</v>
      </c>
      <c r="N426" s="249" t="s">
        <v>577</v>
      </c>
      <c r="O426" s="263" t="s">
        <v>197</v>
      </c>
    </row>
    <row r="427" spans="1:17" ht="12.75" customHeight="1" x14ac:dyDescent="0.25">
      <c r="A427" s="16" t="s">
        <v>578</v>
      </c>
      <c r="B427" s="2" t="s">
        <v>569</v>
      </c>
      <c r="C427" s="2" t="s">
        <v>1249</v>
      </c>
      <c r="D427" s="2">
        <v>5600</v>
      </c>
      <c r="E427" s="2">
        <v>50</v>
      </c>
      <c r="F427" s="60">
        <v>82</v>
      </c>
      <c r="G427" s="303">
        <f t="shared" si="79"/>
        <v>4100</v>
      </c>
      <c r="H427" s="60">
        <v>9</v>
      </c>
      <c r="I427" s="307"/>
      <c r="J427" s="317"/>
      <c r="K427" s="312"/>
      <c r="L427" s="60">
        <f t="shared" si="84"/>
        <v>9</v>
      </c>
      <c r="M427" s="299">
        <f t="shared" si="85"/>
        <v>4109</v>
      </c>
      <c r="N427" s="249" t="s">
        <v>577</v>
      </c>
      <c r="O427" s="263" t="s">
        <v>197</v>
      </c>
    </row>
    <row r="428" spans="1:17" ht="13.2" x14ac:dyDescent="0.25">
      <c r="A428" s="16" t="s">
        <v>578</v>
      </c>
      <c r="B428" s="2" t="s">
        <v>569</v>
      </c>
      <c r="C428" s="2" t="s">
        <v>1249</v>
      </c>
      <c r="D428" s="2">
        <v>5600</v>
      </c>
      <c r="E428" s="2">
        <v>200</v>
      </c>
      <c r="F428" s="60">
        <v>79.5</v>
      </c>
      <c r="G428" s="303">
        <f t="shared" si="79"/>
        <v>15900</v>
      </c>
      <c r="H428" s="60">
        <v>36</v>
      </c>
      <c r="I428" s="307"/>
      <c r="J428" s="317"/>
      <c r="K428" s="312"/>
      <c r="L428" s="60">
        <f t="shared" si="84"/>
        <v>36</v>
      </c>
      <c r="M428" s="299">
        <f t="shared" si="85"/>
        <v>15936</v>
      </c>
      <c r="N428" s="249" t="s">
        <v>577</v>
      </c>
      <c r="O428" s="263" t="s">
        <v>197</v>
      </c>
      <c r="Q428" s="247"/>
    </row>
    <row r="429" spans="1:17" ht="13.2" x14ac:dyDescent="0.25">
      <c r="A429" s="16" t="s">
        <v>578</v>
      </c>
      <c r="B429" s="2" t="s">
        <v>569</v>
      </c>
      <c r="C429" s="2" t="s">
        <v>1249</v>
      </c>
      <c r="D429" s="2">
        <v>5600</v>
      </c>
      <c r="E429" s="2">
        <v>250</v>
      </c>
      <c r="F429" s="60">
        <v>60</v>
      </c>
      <c r="G429" s="303">
        <f t="shared" si="79"/>
        <v>15000</v>
      </c>
      <c r="H429" s="60">
        <v>45</v>
      </c>
      <c r="I429" s="307"/>
      <c r="J429" s="317"/>
      <c r="K429" s="312"/>
      <c r="L429" s="60">
        <f t="shared" si="84"/>
        <v>45</v>
      </c>
      <c r="M429" s="299">
        <f t="shared" si="85"/>
        <v>15045</v>
      </c>
      <c r="N429" s="249" t="s">
        <v>577</v>
      </c>
      <c r="O429" s="304" t="s">
        <v>197</v>
      </c>
      <c r="Q429" s="247"/>
    </row>
    <row r="430" spans="1:17" ht="12.75" customHeight="1" x14ac:dyDescent="0.25">
      <c r="A430" s="16" t="s">
        <v>578</v>
      </c>
      <c r="B430" s="2" t="s">
        <v>569</v>
      </c>
      <c r="C430" s="2" t="s">
        <v>1249</v>
      </c>
      <c r="D430" s="2">
        <v>5600</v>
      </c>
      <c r="E430" s="2">
        <v>50</v>
      </c>
      <c r="F430" s="60">
        <v>60</v>
      </c>
      <c r="G430" s="303">
        <f t="shared" si="79"/>
        <v>3000</v>
      </c>
      <c r="H430" s="60">
        <v>9</v>
      </c>
      <c r="I430" s="307"/>
      <c r="J430" s="317"/>
      <c r="K430" s="312"/>
      <c r="L430" s="60">
        <f t="shared" si="84"/>
        <v>9</v>
      </c>
      <c r="M430" s="299">
        <f t="shared" si="85"/>
        <v>3009</v>
      </c>
      <c r="N430" s="249" t="s">
        <v>577</v>
      </c>
      <c r="O430" s="263" t="s">
        <v>197</v>
      </c>
    </row>
    <row r="431" spans="1:17" ht="12.75" customHeight="1" x14ac:dyDescent="0.25">
      <c r="A431" s="16" t="s">
        <v>2499</v>
      </c>
      <c r="B431" s="2" t="s">
        <v>569</v>
      </c>
      <c r="C431" s="2" t="s">
        <v>1245</v>
      </c>
      <c r="D431" s="2">
        <v>5300</v>
      </c>
      <c r="E431" s="2">
        <v>150</v>
      </c>
      <c r="F431" s="60">
        <v>124.9</v>
      </c>
      <c r="G431" s="303">
        <f t="shared" ref="G431:G451" si="86">E431*F431</f>
        <v>18735</v>
      </c>
      <c r="H431" s="60">
        <v>27</v>
      </c>
      <c r="I431" s="307"/>
      <c r="J431" s="311"/>
      <c r="K431" s="312"/>
      <c r="L431" s="60">
        <f t="shared" ref="L431:L451" si="87">SUM(H431:K431)</f>
        <v>27</v>
      </c>
      <c r="M431" s="299">
        <f t="shared" ref="M431:M455" si="88">G431+L431</f>
        <v>18762</v>
      </c>
      <c r="N431" s="249" t="s">
        <v>2500</v>
      </c>
      <c r="O431" s="263" t="s">
        <v>197</v>
      </c>
    </row>
    <row r="432" spans="1:17" ht="13.2" x14ac:dyDescent="0.25">
      <c r="A432" s="16" t="s">
        <v>2499</v>
      </c>
      <c r="B432" s="2" t="s">
        <v>569</v>
      </c>
      <c r="C432" s="2" t="s">
        <v>1245</v>
      </c>
      <c r="D432" s="2">
        <v>5300</v>
      </c>
      <c r="E432" s="2">
        <v>150</v>
      </c>
      <c r="F432" s="60">
        <v>124.95</v>
      </c>
      <c r="G432" s="303">
        <f t="shared" si="86"/>
        <v>18742.5</v>
      </c>
      <c r="H432" s="60">
        <v>27</v>
      </c>
      <c r="I432" s="307"/>
      <c r="J432" s="311"/>
      <c r="K432" s="312"/>
      <c r="L432" s="60">
        <f t="shared" si="87"/>
        <v>27</v>
      </c>
      <c r="M432" s="299">
        <f t="shared" si="88"/>
        <v>18769.5</v>
      </c>
      <c r="N432" s="249" t="s">
        <v>2500</v>
      </c>
      <c r="O432" s="263" t="s">
        <v>197</v>
      </c>
      <c r="Q432" s="247"/>
    </row>
    <row r="433" spans="1:17" ht="13.2" x14ac:dyDescent="0.25">
      <c r="A433" s="16" t="s">
        <v>2499</v>
      </c>
      <c r="B433" s="2" t="s">
        <v>569</v>
      </c>
      <c r="C433" s="2" t="s">
        <v>1245</v>
      </c>
      <c r="D433" s="2">
        <v>5300</v>
      </c>
      <c r="E433" s="2">
        <v>200</v>
      </c>
      <c r="F433" s="60">
        <v>122</v>
      </c>
      <c r="G433" s="303">
        <f t="shared" si="86"/>
        <v>24400</v>
      </c>
      <c r="H433" s="60">
        <v>36</v>
      </c>
      <c r="I433" s="320">
        <v>36.79</v>
      </c>
      <c r="J433" s="2">
        <v>87.15</v>
      </c>
      <c r="K433" s="247">
        <v>18</v>
      </c>
      <c r="L433" s="60">
        <f t="shared" si="87"/>
        <v>177.94</v>
      </c>
      <c r="M433" s="299">
        <f t="shared" si="88"/>
        <v>24577.94</v>
      </c>
      <c r="N433" s="249" t="s">
        <v>2500</v>
      </c>
      <c r="O433" s="263" t="s">
        <v>197</v>
      </c>
    </row>
    <row r="434" spans="1:17" ht="12.75" customHeight="1" x14ac:dyDescent="0.25">
      <c r="A434" s="325" t="s">
        <v>2504</v>
      </c>
      <c r="B434" s="16" t="s">
        <v>569</v>
      </c>
      <c r="C434" s="2" t="s">
        <v>1249</v>
      </c>
      <c r="D434" s="2">
        <v>5500</v>
      </c>
      <c r="E434" s="2">
        <v>500</v>
      </c>
      <c r="F434" s="60">
        <v>76.3</v>
      </c>
      <c r="G434" s="303">
        <f t="shared" si="86"/>
        <v>38150</v>
      </c>
      <c r="H434" s="60">
        <v>90</v>
      </c>
      <c r="I434" s="247">
        <v>26.82</v>
      </c>
      <c r="J434" s="247">
        <v>80.34</v>
      </c>
      <c r="K434" s="247">
        <v>20</v>
      </c>
      <c r="L434" s="60">
        <f t="shared" si="87"/>
        <v>217.16</v>
      </c>
      <c r="M434" s="299">
        <f t="shared" si="88"/>
        <v>38367.160000000003</v>
      </c>
      <c r="N434" s="249" t="s">
        <v>2507</v>
      </c>
      <c r="O434" s="263" t="s">
        <v>197</v>
      </c>
    </row>
    <row r="435" spans="1:17" ht="12.75" customHeight="1" x14ac:dyDescent="0.25">
      <c r="A435" s="325" t="s">
        <v>2508</v>
      </c>
      <c r="B435" s="16" t="s">
        <v>569</v>
      </c>
      <c r="C435" s="2" t="s">
        <v>1249</v>
      </c>
      <c r="D435" s="2">
        <v>5500</v>
      </c>
      <c r="E435" s="2">
        <v>300</v>
      </c>
      <c r="F435" s="60">
        <v>75</v>
      </c>
      <c r="G435" s="303">
        <f t="shared" si="86"/>
        <v>22500</v>
      </c>
      <c r="H435" s="60">
        <v>54</v>
      </c>
      <c r="I435" s="307"/>
      <c r="J435" s="311"/>
      <c r="K435" s="312"/>
      <c r="L435" s="60">
        <f t="shared" si="87"/>
        <v>54</v>
      </c>
      <c r="M435" s="299">
        <f t="shared" si="88"/>
        <v>22554</v>
      </c>
      <c r="N435" s="249" t="s">
        <v>2509</v>
      </c>
      <c r="O435" s="263" t="s">
        <v>197</v>
      </c>
    </row>
    <row r="436" spans="1:17" ht="12.75" customHeight="1" x14ac:dyDescent="0.25">
      <c r="A436" s="325" t="s">
        <v>2508</v>
      </c>
      <c r="B436" s="16" t="s">
        <v>569</v>
      </c>
      <c r="C436" s="2" t="s">
        <v>1249</v>
      </c>
      <c r="D436" s="2">
        <v>5500</v>
      </c>
      <c r="E436" s="2">
        <v>200</v>
      </c>
      <c r="F436" s="60">
        <v>75</v>
      </c>
      <c r="G436" s="303">
        <f t="shared" si="86"/>
        <v>15000</v>
      </c>
      <c r="H436" s="60">
        <v>36</v>
      </c>
      <c r="I436" s="320">
        <v>34.590000000000003</v>
      </c>
      <c r="J436" s="2">
        <v>65.819999999999993</v>
      </c>
      <c r="K436" s="247">
        <v>15</v>
      </c>
      <c r="L436" s="60">
        <f t="shared" si="87"/>
        <v>151.41</v>
      </c>
      <c r="M436" s="299">
        <f t="shared" si="88"/>
        <v>15151.41</v>
      </c>
      <c r="N436" s="249" t="s">
        <v>2509</v>
      </c>
      <c r="O436" s="263" t="s">
        <v>197</v>
      </c>
    </row>
    <row r="437" spans="1:17" ht="13.2" x14ac:dyDescent="0.25">
      <c r="A437" s="325" t="s">
        <v>2510</v>
      </c>
      <c r="B437" s="16" t="s">
        <v>569</v>
      </c>
      <c r="C437" s="2" t="s">
        <v>1249</v>
      </c>
      <c r="D437" s="2">
        <v>5300</v>
      </c>
      <c r="E437" s="2">
        <v>50</v>
      </c>
      <c r="F437" s="60">
        <v>94</v>
      </c>
      <c r="G437" s="303">
        <f t="shared" si="86"/>
        <v>4700</v>
      </c>
      <c r="H437" s="60">
        <v>9</v>
      </c>
      <c r="I437" s="312"/>
      <c r="J437" s="312"/>
      <c r="K437" s="312"/>
      <c r="L437" s="60">
        <f t="shared" si="87"/>
        <v>9</v>
      </c>
      <c r="M437" s="299">
        <f t="shared" si="88"/>
        <v>4709</v>
      </c>
      <c r="N437" s="249" t="s">
        <v>2511</v>
      </c>
      <c r="O437" s="263" t="s">
        <v>197</v>
      </c>
      <c r="Q437" s="247"/>
    </row>
    <row r="438" spans="1:17" ht="12.75" customHeight="1" x14ac:dyDescent="0.25">
      <c r="A438" s="325" t="s">
        <v>2510</v>
      </c>
      <c r="B438" s="16" t="s">
        <v>569</v>
      </c>
      <c r="C438" s="2" t="s">
        <v>1249</v>
      </c>
      <c r="D438" s="2">
        <v>5300</v>
      </c>
      <c r="E438" s="2">
        <v>100</v>
      </c>
      <c r="F438" s="60">
        <v>94</v>
      </c>
      <c r="G438" s="303">
        <f t="shared" si="86"/>
        <v>9400</v>
      </c>
      <c r="H438" s="60">
        <v>18</v>
      </c>
      <c r="I438" s="312"/>
      <c r="J438" s="312"/>
      <c r="K438" s="312"/>
      <c r="L438" s="60">
        <f t="shared" si="87"/>
        <v>18</v>
      </c>
      <c r="M438" s="299">
        <f t="shared" si="88"/>
        <v>9418</v>
      </c>
      <c r="N438" s="249" t="s">
        <v>2511</v>
      </c>
      <c r="O438" s="263" t="s">
        <v>197</v>
      </c>
    </row>
    <row r="439" spans="1:17" ht="12.75" customHeight="1" x14ac:dyDescent="0.25">
      <c r="A439" s="325" t="s">
        <v>2510</v>
      </c>
      <c r="B439" s="16" t="s">
        <v>569</v>
      </c>
      <c r="C439" s="2" t="s">
        <v>1249</v>
      </c>
      <c r="D439" s="2">
        <v>5300</v>
      </c>
      <c r="E439" s="2">
        <v>50</v>
      </c>
      <c r="F439" s="60">
        <v>94</v>
      </c>
      <c r="G439" s="303">
        <f t="shared" si="86"/>
        <v>4700</v>
      </c>
      <c r="H439" s="60">
        <v>9</v>
      </c>
      <c r="I439" s="316"/>
      <c r="J439" s="316"/>
      <c r="K439" s="316"/>
      <c r="L439" s="60">
        <f t="shared" si="87"/>
        <v>9</v>
      </c>
      <c r="M439" s="299">
        <f t="shared" si="88"/>
        <v>4709</v>
      </c>
      <c r="N439" s="249" t="s">
        <v>2511</v>
      </c>
      <c r="O439" s="263" t="s">
        <v>197</v>
      </c>
    </row>
    <row r="440" spans="1:17" ht="12.75" customHeight="1" x14ac:dyDescent="0.25">
      <c r="A440" s="325" t="s">
        <v>2510</v>
      </c>
      <c r="B440" s="16" t="s">
        <v>569</v>
      </c>
      <c r="C440" s="2" t="s">
        <v>1249</v>
      </c>
      <c r="D440" s="2">
        <v>5300</v>
      </c>
      <c r="E440" s="2">
        <v>300</v>
      </c>
      <c r="F440" s="60">
        <v>111.45</v>
      </c>
      <c r="G440" s="303">
        <f t="shared" si="86"/>
        <v>33435</v>
      </c>
      <c r="H440" s="60">
        <v>54</v>
      </c>
      <c r="I440" s="224">
        <v>13.09</v>
      </c>
      <c r="J440" s="224">
        <v>37.090000000000003</v>
      </c>
      <c r="K440" s="247">
        <v>4</v>
      </c>
      <c r="L440" s="60">
        <f t="shared" si="87"/>
        <v>108.18</v>
      </c>
      <c r="M440" s="299">
        <f t="shared" si="88"/>
        <v>33543.18</v>
      </c>
      <c r="N440" s="249" t="s">
        <v>2511</v>
      </c>
      <c r="O440" s="263" t="s">
        <v>197</v>
      </c>
    </row>
    <row r="441" spans="1:17" ht="13.2" x14ac:dyDescent="0.25">
      <c r="A441" s="325" t="s">
        <v>2512</v>
      </c>
      <c r="B441" s="325" t="s">
        <v>569</v>
      </c>
      <c r="C441" s="16" t="s">
        <v>1245</v>
      </c>
      <c r="D441" s="2">
        <v>5400</v>
      </c>
      <c r="E441" s="2">
        <v>300</v>
      </c>
      <c r="F441" s="60">
        <v>154.9</v>
      </c>
      <c r="G441" s="303">
        <f t="shared" si="86"/>
        <v>46470</v>
      </c>
      <c r="H441" s="60">
        <v>54</v>
      </c>
      <c r="I441" s="393"/>
      <c r="J441" s="307"/>
      <c r="K441" s="312"/>
      <c r="L441" s="60">
        <f t="shared" si="87"/>
        <v>54</v>
      </c>
      <c r="M441" s="299">
        <f t="shared" si="88"/>
        <v>46524</v>
      </c>
      <c r="N441" s="263" t="s">
        <v>2513</v>
      </c>
      <c r="O441" s="304" t="s">
        <v>197</v>
      </c>
      <c r="Q441" s="247"/>
    </row>
    <row r="442" spans="1:17" ht="13.2" x14ac:dyDescent="0.25">
      <c r="A442" s="325" t="s">
        <v>2512</v>
      </c>
      <c r="B442" s="325" t="s">
        <v>569</v>
      </c>
      <c r="C442" s="16" t="s">
        <v>1245</v>
      </c>
      <c r="D442" s="2">
        <v>5400</v>
      </c>
      <c r="E442" s="2">
        <v>50</v>
      </c>
      <c r="F442" s="60">
        <v>149.6</v>
      </c>
      <c r="G442" s="303">
        <f t="shared" si="86"/>
        <v>7480</v>
      </c>
      <c r="H442" s="60">
        <v>9</v>
      </c>
      <c r="I442" s="393"/>
      <c r="J442" s="307"/>
      <c r="K442" s="312"/>
      <c r="L442" s="60">
        <f t="shared" si="87"/>
        <v>9</v>
      </c>
      <c r="M442" s="299">
        <f t="shared" si="88"/>
        <v>7489</v>
      </c>
      <c r="N442" s="263" t="s">
        <v>2513</v>
      </c>
      <c r="O442" s="304" t="s">
        <v>197</v>
      </c>
      <c r="Q442" s="247"/>
    </row>
    <row r="443" spans="1:17" ht="12.75" customHeight="1" x14ac:dyDescent="0.25">
      <c r="A443" s="325" t="s">
        <v>2512</v>
      </c>
      <c r="B443" s="325" t="s">
        <v>569</v>
      </c>
      <c r="C443" s="16" t="s">
        <v>1245</v>
      </c>
      <c r="D443" s="2">
        <v>5400</v>
      </c>
      <c r="E443" s="2">
        <v>50</v>
      </c>
      <c r="F443" s="60">
        <v>149.6</v>
      </c>
      <c r="G443" s="303">
        <f t="shared" si="86"/>
        <v>7480</v>
      </c>
      <c r="H443" s="60">
        <v>9</v>
      </c>
      <c r="I443" s="393"/>
      <c r="J443" s="307"/>
      <c r="K443" s="312"/>
      <c r="L443" s="60">
        <f t="shared" si="87"/>
        <v>9</v>
      </c>
      <c r="M443" s="299">
        <f t="shared" si="88"/>
        <v>7489</v>
      </c>
      <c r="N443" s="263" t="s">
        <v>2513</v>
      </c>
      <c r="O443" s="304" t="s">
        <v>197</v>
      </c>
    </row>
    <row r="444" spans="1:17" ht="12.75" customHeight="1" x14ac:dyDescent="0.25">
      <c r="A444" s="325" t="s">
        <v>2512</v>
      </c>
      <c r="B444" s="16" t="s">
        <v>569</v>
      </c>
      <c r="C444" s="2" t="s">
        <v>1245</v>
      </c>
      <c r="D444" s="2">
        <v>5400</v>
      </c>
      <c r="E444" s="2">
        <v>50</v>
      </c>
      <c r="F444" s="60">
        <v>149.6</v>
      </c>
      <c r="G444" s="303">
        <f t="shared" si="86"/>
        <v>7480</v>
      </c>
      <c r="H444" s="60">
        <v>9</v>
      </c>
      <c r="I444" s="393"/>
      <c r="J444" s="307"/>
      <c r="K444" s="312"/>
      <c r="L444" s="60">
        <f t="shared" si="87"/>
        <v>9</v>
      </c>
      <c r="M444" s="299">
        <f t="shared" si="88"/>
        <v>7489</v>
      </c>
      <c r="N444" s="263" t="s">
        <v>2513</v>
      </c>
      <c r="O444" s="304" t="s">
        <v>197</v>
      </c>
    </row>
    <row r="445" spans="1:17" ht="13.2" x14ac:dyDescent="0.25">
      <c r="A445" s="325" t="s">
        <v>2512</v>
      </c>
      <c r="B445" s="16" t="s">
        <v>569</v>
      </c>
      <c r="C445" s="2" t="s">
        <v>1245</v>
      </c>
      <c r="D445" s="2">
        <v>5400</v>
      </c>
      <c r="E445" s="2">
        <v>50</v>
      </c>
      <c r="F445" s="60">
        <v>149.6</v>
      </c>
      <c r="G445" s="303">
        <f t="shared" si="86"/>
        <v>7480</v>
      </c>
      <c r="H445" s="60">
        <v>9</v>
      </c>
      <c r="I445" s="393"/>
      <c r="J445" s="307"/>
      <c r="K445" s="312"/>
      <c r="L445" s="60">
        <f t="shared" si="87"/>
        <v>9</v>
      </c>
      <c r="M445" s="299">
        <f t="shared" si="88"/>
        <v>7489</v>
      </c>
      <c r="N445" s="263" t="s">
        <v>2513</v>
      </c>
      <c r="O445" s="304" t="s">
        <v>197</v>
      </c>
      <c r="Q445" s="247"/>
    </row>
    <row r="446" spans="1:17" ht="13.2" x14ac:dyDescent="0.25">
      <c r="A446" s="325" t="s">
        <v>2522</v>
      </c>
      <c r="B446" s="16" t="s">
        <v>569</v>
      </c>
      <c r="C446" s="2" t="s">
        <v>1245</v>
      </c>
      <c r="D446" s="2">
        <v>5200</v>
      </c>
      <c r="E446" s="2">
        <v>50</v>
      </c>
      <c r="F446" s="60">
        <v>33</v>
      </c>
      <c r="G446" s="303">
        <f t="shared" si="86"/>
        <v>1650</v>
      </c>
      <c r="H446" s="60">
        <v>9</v>
      </c>
      <c r="I446" s="312"/>
      <c r="J446" s="312"/>
      <c r="K446" s="312"/>
      <c r="L446" s="60">
        <f t="shared" si="87"/>
        <v>9</v>
      </c>
      <c r="M446" s="299">
        <f t="shared" si="88"/>
        <v>1659</v>
      </c>
      <c r="N446" s="304" t="s">
        <v>2519</v>
      </c>
      <c r="O446" s="304" t="s">
        <v>197</v>
      </c>
      <c r="Q446" s="247"/>
    </row>
    <row r="447" spans="1:17" ht="13.2" x14ac:dyDescent="0.25">
      <c r="A447" s="325" t="s">
        <v>2522</v>
      </c>
      <c r="B447" s="16" t="s">
        <v>569</v>
      </c>
      <c r="C447" s="2" t="s">
        <v>1245</v>
      </c>
      <c r="D447" s="2">
        <v>5200</v>
      </c>
      <c r="E447" s="2">
        <v>50</v>
      </c>
      <c r="F447" s="60">
        <v>33</v>
      </c>
      <c r="G447" s="303">
        <f t="shared" si="86"/>
        <v>1650</v>
      </c>
      <c r="H447" s="60">
        <v>9</v>
      </c>
      <c r="I447" s="315"/>
      <c r="J447" s="315"/>
      <c r="K447" s="316"/>
      <c r="L447" s="60">
        <f t="shared" si="87"/>
        <v>9</v>
      </c>
      <c r="M447" s="299">
        <f t="shared" si="88"/>
        <v>1659</v>
      </c>
      <c r="N447" s="304" t="s">
        <v>2519</v>
      </c>
      <c r="O447" s="304" t="s">
        <v>197</v>
      </c>
      <c r="Q447" s="247"/>
    </row>
    <row r="448" spans="1:17" ht="13.2" x14ac:dyDescent="0.25">
      <c r="A448" s="325" t="s">
        <v>2522</v>
      </c>
      <c r="B448" s="16" t="s">
        <v>569</v>
      </c>
      <c r="C448" s="2" t="s">
        <v>1245</v>
      </c>
      <c r="D448" s="2">
        <v>5200</v>
      </c>
      <c r="E448" s="2">
        <v>200</v>
      </c>
      <c r="F448" s="60">
        <v>33</v>
      </c>
      <c r="G448" s="303">
        <f t="shared" si="86"/>
        <v>6600</v>
      </c>
      <c r="H448" s="60">
        <v>36</v>
      </c>
      <c r="I448" s="247">
        <v>6.28</v>
      </c>
      <c r="J448" s="247">
        <v>7.03</v>
      </c>
      <c r="K448" s="247">
        <v>1</v>
      </c>
      <c r="L448" s="60">
        <f t="shared" si="87"/>
        <v>50.31</v>
      </c>
      <c r="M448" s="299">
        <f t="shared" si="88"/>
        <v>6650.31</v>
      </c>
      <c r="N448" s="304" t="s">
        <v>2519</v>
      </c>
      <c r="O448" s="263" t="s">
        <v>197</v>
      </c>
      <c r="Q448" s="247"/>
    </row>
    <row r="449" spans="1:17" ht="12.75" customHeight="1" x14ac:dyDescent="0.25">
      <c r="A449" s="325" t="s">
        <v>2521</v>
      </c>
      <c r="B449" s="16" t="s">
        <v>569</v>
      </c>
      <c r="C449" s="2" t="s">
        <v>1249</v>
      </c>
      <c r="D449" s="2">
        <v>5400</v>
      </c>
      <c r="E449" s="2">
        <v>200</v>
      </c>
      <c r="F449" s="60">
        <v>50.7</v>
      </c>
      <c r="G449" s="303">
        <f t="shared" si="86"/>
        <v>10140</v>
      </c>
      <c r="H449" s="60">
        <v>36</v>
      </c>
      <c r="I449" s="312"/>
      <c r="J449" s="312"/>
      <c r="K449" s="312"/>
      <c r="L449" s="60">
        <f t="shared" si="87"/>
        <v>36</v>
      </c>
      <c r="M449" s="299">
        <f t="shared" si="88"/>
        <v>10176</v>
      </c>
      <c r="N449" s="249" t="s">
        <v>2520</v>
      </c>
      <c r="O449" s="263" t="s">
        <v>197</v>
      </c>
    </row>
    <row r="450" spans="1:17" ht="12.75" customHeight="1" x14ac:dyDescent="0.25">
      <c r="A450" s="325" t="s">
        <v>2521</v>
      </c>
      <c r="B450" s="16" t="s">
        <v>569</v>
      </c>
      <c r="C450" s="2" t="s">
        <v>1249</v>
      </c>
      <c r="D450" s="2">
        <v>5400</v>
      </c>
      <c r="E450" s="2">
        <v>300</v>
      </c>
      <c r="F450" s="60">
        <v>50.7</v>
      </c>
      <c r="G450" s="303">
        <f t="shared" si="86"/>
        <v>15210</v>
      </c>
      <c r="H450" s="60">
        <v>54</v>
      </c>
      <c r="I450" s="312"/>
      <c r="J450" s="312"/>
      <c r="K450" s="312"/>
      <c r="L450" s="60">
        <f t="shared" si="87"/>
        <v>54</v>
      </c>
      <c r="M450" s="299">
        <f t="shared" si="88"/>
        <v>15264</v>
      </c>
      <c r="N450" s="249" t="s">
        <v>2520</v>
      </c>
      <c r="O450" s="263" t="s">
        <v>197</v>
      </c>
    </row>
    <row r="451" spans="1:17" ht="12.75" customHeight="1" x14ac:dyDescent="0.25">
      <c r="A451" s="325" t="s">
        <v>2521</v>
      </c>
      <c r="B451" s="16" t="s">
        <v>569</v>
      </c>
      <c r="C451" s="2" t="s">
        <v>1249</v>
      </c>
      <c r="D451" s="2">
        <v>5400</v>
      </c>
      <c r="E451" s="2">
        <v>200</v>
      </c>
      <c r="F451" s="60">
        <v>42.4</v>
      </c>
      <c r="G451" s="303">
        <f t="shared" si="86"/>
        <v>8480</v>
      </c>
      <c r="H451" s="60">
        <v>36</v>
      </c>
      <c r="I451" s="312"/>
      <c r="J451" s="312"/>
      <c r="K451" s="312"/>
      <c r="L451" s="60">
        <f t="shared" si="87"/>
        <v>36</v>
      </c>
      <c r="M451" s="299">
        <f t="shared" si="88"/>
        <v>8516</v>
      </c>
      <c r="N451" s="249" t="s">
        <v>2520</v>
      </c>
      <c r="O451" s="263" t="s">
        <v>197</v>
      </c>
    </row>
    <row r="452" spans="1:17" ht="12.75" customHeight="1" x14ac:dyDescent="0.25">
      <c r="A452" s="325" t="s">
        <v>1637</v>
      </c>
      <c r="B452" s="16" t="s">
        <v>569</v>
      </c>
      <c r="C452" s="2" t="s">
        <v>1249</v>
      </c>
      <c r="D452" s="2">
        <v>5300</v>
      </c>
      <c r="E452" s="2">
        <v>100</v>
      </c>
      <c r="F452" s="60">
        <v>47.45</v>
      </c>
      <c r="G452" s="303">
        <f>E452*F452</f>
        <v>4745</v>
      </c>
      <c r="H452" s="60">
        <v>18</v>
      </c>
      <c r="I452" s="312"/>
      <c r="J452" s="312"/>
      <c r="K452" s="312"/>
      <c r="L452" s="60">
        <f>SUM(H452:K452)</f>
        <v>18</v>
      </c>
      <c r="M452" s="299">
        <f t="shared" si="88"/>
        <v>4763</v>
      </c>
      <c r="N452" s="263" t="s">
        <v>1638</v>
      </c>
      <c r="O452" s="263" t="s">
        <v>197</v>
      </c>
    </row>
    <row r="453" spans="1:17" ht="12.75" customHeight="1" x14ac:dyDescent="0.25">
      <c r="A453" s="325" t="s">
        <v>1637</v>
      </c>
      <c r="B453" s="16" t="s">
        <v>569</v>
      </c>
      <c r="C453" s="2" t="s">
        <v>1245</v>
      </c>
      <c r="D453" s="2">
        <v>5200</v>
      </c>
      <c r="E453" s="2">
        <v>500</v>
      </c>
      <c r="F453" s="60">
        <v>36</v>
      </c>
      <c r="G453" s="303">
        <f>E453*F453</f>
        <v>18000</v>
      </c>
      <c r="H453" s="60">
        <v>90</v>
      </c>
      <c r="I453" s="312"/>
      <c r="J453" s="312"/>
      <c r="K453" s="312"/>
      <c r="L453" s="60">
        <f>SUM(H453:K453)</f>
        <v>90</v>
      </c>
      <c r="M453" s="299">
        <f t="shared" si="88"/>
        <v>18090</v>
      </c>
      <c r="N453" s="263" t="s">
        <v>1638</v>
      </c>
      <c r="O453" s="263" t="s">
        <v>197</v>
      </c>
    </row>
    <row r="454" spans="1:17" ht="13.2" x14ac:dyDescent="0.25">
      <c r="A454" s="325" t="s">
        <v>1637</v>
      </c>
      <c r="B454" s="16" t="s">
        <v>569</v>
      </c>
      <c r="C454" s="2" t="s">
        <v>1249</v>
      </c>
      <c r="D454" s="2">
        <v>5300</v>
      </c>
      <c r="E454" s="2">
        <v>300</v>
      </c>
      <c r="F454" s="60">
        <v>52</v>
      </c>
      <c r="G454" s="303">
        <f>E454*F454</f>
        <v>15600</v>
      </c>
      <c r="H454" s="60">
        <v>54</v>
      </c>
      <c r="I454" s="307"/>
      <c r="J454" s="311"/>
      <c r="K454" s="312"/>
      <c r="L454" s="60">
        <f>SUM(H454:K454)</f>
        <v>54</v>
      </c>
      <c r="M454" s="299">
        <f t="shared" si="88"/>
        <v>15654</v>
      </c>
      <c r="N454" s="263" t="s">
        <v>1638</v>
      </c>
      <c r="O454" s="304" t="s">
        <v>197</v>
      </c>
      <c r="Q454" s="247"/>
    </row>
    <row r="455" spans="1:17" ht="13.2" x14ac:dyDescent="0.25">
      <c r="A455" s="325" t="s">
        <v>1640</v>
      </c>
      <c r="B455" s="16" t="s">
        <v>569</v>
      </c>
      <c r="C455" s="2" t="s">
        <v>1249</v>
      </c>
      <c r="D455" s="2">
        <v>5300</v>
      </c>
      <c r="E455" s="2">
        <v>100</v>
      </c>
      <c r="F455" s="60">
        <v>24</v>
      </c>
      <c r="G455" s="303">
        <f>E455*F455</f>
        <v>2400</v>
      </c>
      <c r="H455" s="60">
        <v>18</v>
      </c>
      <c r="I455" s="405">
        <v>2.0299999999999998</v>
      </c>
      <c r="J455" s="247">
        <v>1.7</v>
      </c>
      <c r="K455" s="247">
        <v>1</v>
      </c>
      <c r="L455" s="60">
        <f>SUM(H455:K455)</f>
        <v>22.73</v>
      </c>
      <c r="M455" s="299">
        <f t="shared" si="88"/>
        <v>2422.73</v>
      </c>
      <c r="N455" s="304" t="s">
        <v>1639</v>
      </c>
      <c r="O455" s="304" t="s">
        <v>197</v>
      </c>
      <c r="Q455" s="247"/>
    </row>
    <row r="456" spans="1:17" ht="13.2" x14ac:dyDescent="0.25">
      <c r="A456" s="325" t="s">
        <v>386</v>
      </c>
      <c r="B456" s="16" t="s">
        <v>569</v>
      </c>
      <c r="C456" s="2" t="s">
        <v>1249</v>
      </c>
      <c r="D456" s="2">
        <v>5200</v>
      </c>
      <c r="E456" s="2">
        <v>200</v>
      </c>
      <c r="F456" s="60">
        <v>8.5</v>
      </c>
      <c r="G456" s="303">
        <f>E456*F456</f>
        <v>1700</v>
      </c>
      <c r="H456" s="60">
        <v>36</v>
      </c>
      <c r="I456" s="320">
        <v>3.83</v>
      </c>
      <c r="J456" s="2">
        <v>1.21</v>
      </c>
      <c r="K456" s="247">
        <v>1</v>
      </c>
      <c r="L456" s="60">
        <f>SUM(H456:K456)</f>
        <v>42.04</v>
      </c>
      <c r="M456" s="299">
        <f>G456+L456</f>
        <v>1742.04</v>
      </c>
      <c r="N456" s="304" t="s">
        <v>387</v>
      </c>
      <c r="O456" s="304" t="s">
        <v>197</v>
      </c>
      <c r="Q456" s="247"/>
    </row>
    <row r="457" spans="1:17" ht="12.75" customHeight="1" x14ac:dyDescent="0.25">
      <c r="A457" s="325"/>
      <c r="B457" s="16"/>
      <c r="C457" s="2"/>
      <c r="D457" s="2"/>
      <c r="E457" s="2"/>
      <c r="F457" s="60"/>
      <c r="G457" s="303"/>
      <c r="H457" s="60"/>
      <c r="I457" s="16"/>
      <c r="J457" s="2"/>
    </row>
    <row r="458" spans="1:17" ht="12.75" customHeight="1" x14ac:dyDescent="0.25">
      <c r="A458" s="16"/>
      <c r="B458" s="2"/>
      <c r="C458" s="2"/>
      <c r="D458" s="2"/>
      <c r="E458" s="2"/>
      <c r="F458" s="60"/>
      <c r="G458" s="303"/>
      <c r="H458" s="60"/>
      <c r="I458" s="16"/>
    </row>
    <row r="459" spans="1:17" ht="13.2" x14ac:dyDescent="0.25">
      <c r="A459" s="16"/>
      <c r="B459" s="2"/>
      <c r="C459" s="2"/>
      <c r="D459" s="2"/>
      <c r="E459" s="2"/>
      <c r="F459" s="60"/>
      <c r="G459" s="303"/>
      <c r="H459" s="60"/>
      <c r="I459" s="16"/>
      <c r="L459" s="60"/>
      <c r="M459" s="303"/>
      <c r="N459" s="304"/>
      <c r="O459" s="304"/>
      <c r="Q459" s="247"/>
    </row>
    <row r="460" spans="1:17" ht="13.2" x14ac:dyDescent="0.25">
      <c r="B460" s="16"/>
      <c r="C460" s="2"/>
      <c r="D460" s="2"/>
      <c r="E460" s="2"/>
      <c r="F460" s="60"/>
      <c r="G460" s="303"/>
      <c r="H460" s="60"/>
      <c r="L460" s="60"/>
      <c r="M460" s="303"/>
      <c r="N460" s="304"/>
      <c r="O460" s="304"/>
      <c r="Q460" s="247"/>
    </row>
    <row r="461" spans="1:17" ht="12.75" customHeight="1" x14ac:dyDescent="0.25">
      <c r="A461" s="16"/>
      <c r="B461" s="2"/>
      <c r="C461" s="2"/>
      <c r="D461" s="2"/>
      <c r="E461" s="2"/>
      <c r="F461" s="60"/>
      <c r="G461" s="303"/>
      <c r="H461" s="60"/>
      <c r="I461" s="299"/>
      <c r="J461" s="299"/>
      <c r="L461" s="60"/>
      <c r="M461" s="299"/>
      <c r="O461" s="263"/>
    </row>
    <row r="462" spans="1:17" ht="13.2" x14ac:dyDescent="0.25">
      <c r="A462" s="16"/>
      <c r="B462" s="2"/>
      <c r="C462" s="2"/>
      <c r="D462" s="2"/>
      <c r="E462" s="60"/>
      <c r="F462" s="299"/>
      <c r="G462" s="299"/>
      <c r="H462" s="60"/>
      <c r="I462" s="60"/>
      <c r="J462" s="263"/>
      <c r="K462" s="60"/>
      <c r="L462" s="60"/>
      <c r="M462" s="299"/>
      <c r="N462" s="304"/>
      <c r="O462" s="263"/>
    </row>
    <row r="463" spans="1:17" ht="12.75" customHeight="1" x14ac:dyDescent="0.25">
      <c r="A463" s="16"/>
      <c r="B463" s="2"/>
      <c r="C463" s="2"/>
      <c r="D463" s="2"/>
      <c r="E463" s="2"/>
      <c r="F463" s="60"/>
      <c r="G463" s="303"/>
      <c r="H463" s="60"/>
      <c r="I463" s="299"/>
      <c r="J463" s="299"/>
      <c r="L463" s="60"/>
      <c r="M463" s="299"/>
      <c r="O463" s="263"/>
    </row>
    <row r="464" spans="1:17" ht="12.75" customHeight="1" x14ac:dyDescent="0.25">
      <c r="A464" s="16"/>
      <c r="B464" s="2"/>
      <c r="C464" s="2"/>
      <c r="D464" s="2"/>
      <c r="E464" s="2"/>
      <c r="F464" s="60"/>
      <c r="G464" s="303"/>
      <c r="H464" s="60"/>
      <c r="I464" s="299"/>
      <c r="J464" s="299"/>
      <c r="L464" s="60"/>
      <c r="M464" s="299"/>
      <c r="O464" s="263"/>
    </row>
    <row r="465" spans="1:19" ht="12.75" customHeight="1" x14ac:dyDescent="0.25">
      <c r="A465" s="16"/>
      <c r="B465" s="2"/>
      <c r="C465" s="2"/>
      <c r="D465" s="2"/>
      <c r="E465" s="2"/>
      <c r="F465" s="60"/>
      <c r="G465" s="303"/>
      <c r="H465" s="60"/>
      <c r="I465" s="299"/>
      <c r="J465" s="299"/>
      <c r="L465" s="60"/>
      <c r="M465" s="299"/>
      <c r="O465" s="263"/>
    </row>
    <row r="466" spans="1:19" ht="13.2" x14ac:dyDescent="0.25">
      <c r="A466" s="16"/>
      <c r="B466" s="2"/>
      <c r="C466" s="2"/>
      <c r="D466" s="2"/>
      <c r="E466" s="60"/>
      <c r="F466" s="299"/>
      <c r="G466" s="299"/>
      <c r="H466" s="60"/>
      <c r="I466" s="60"/>
      <c r="J466" s="263"/>
      <c r="K466" s="60"/>
      <c r="L466" s="60"/>
      <c r="M466" s="299"/>
      <c r="N466" s="304"/>
      <c r="O466" s="263"/>
    </row>
    <row r="467" spans="1:19" ht="12.75" customHeight="1" x14ac:dyDescent="0.25">
      <c r="B467" s="2"/>
      <c r="C467" s="2"/>
      <c r="D467" s="2"/>
      <c r="E467" s="60"/>
      <c r="F467" s="299"/>
      <c r="G467" s="299"/>
      <c r="H467" s="60"/>
      <c r="L467" s="257" t="s">
        <v>2121</v>
      </c>
      <c r="M467" s="257">
        <f>SUM(M39:M466)</f>
        <v>3395250.6200000015</v>
      </c>
    </row>
    <row r="468" spans="1:19" ht="12.75" customHeight="1" x14ac:dyDescent="0.25">
      <c r="B468" s="2"/>
      <c r="C468" s="2"/>
      <c r="D468" s="2"/>
      <c r="E468" s="60"/>
      <c r="F468" s="299"/>
      <c r="G468" s="299"/>
      <c r="H468" s="60"/>
      <c r="L468" s="257"/>
      <c r="M468" s="262"/>
      <c r="R468" s="247"/>
    </row>
    <row r="469" spans="1:19" ht="12.75" customHeight="1" x14ac:dyDescent="0.25">
      <c r="H469" s="235"/>
      <c r="L469" s="260"/>
      <c r="M469" s="260"/>
    </row>
    <row r="470" spans="1:19" ht="12.75" customHeight="1" x14ac:dyDescent="0.25">
      <c r="A470" s="296" t="s">
        <v>184</v>
      </c>
      <c r="B470" s="171" t="s">
        <v>2079</v>
      </c>
      <c r="C470" s="171" t="s">
        <v>1258</v>
      </c>
      <c r="D470" s="221" t="s">
        <v>1257</v>
      </c>
      <c r="E470" s="171" t="s">
        <v>469</v>
      </c>
      <c r="F470" s="221" t="s">
        <v>188</v>
      </c>
      <c r="G470" s="221" t="s">
        <v>470</v>
      </c>
      <c r="H470" s="221" t="s">
        <v>1839</v>
      </c>
      <c r="I470" s="221" t="s">
        <v>1840</v>
      </c>
      <c r="J470" s="221" t="s">
        <v>1251</v>
      </c>
      <c r="K470" s="221" t="s">
        <v>720</v>
      </c>
      <c r="L470" s="221" t="s">
        <v>1216</v>
      </c>
      <c r="M470" s="221" t="s">
        <v>667</v>
      </c>
      <c r="N470" s="204" t="s">
        <v>1212</v>
      </c>
      <c r="O470" s="204" t="s">
        <v>186</v>
      </c>
    </row>
    <row r="471" spans="1:19" ht="12.75" customHeight="1" x14ac:dyDescent="0.25">
      <c r="A471" s="16" t="s">
        <v>1243</v>
      </c>
      <c r="B471" s="2" t="s">
        <v>1241</v>
      </c>
      <c r="C471" s="2" t="s">
        <v>1242</v>
      </c>
      <c r="D471" s="2">
        <v>5500</v>
      </c>
      <c r="E471" s="2">
        <v>50</v>
      </c>
      <c r="F471" s="60">
        <v>70.5</v>
      </c>
      <c r="G471" s="303">
        <f t="shared" ref="G471:G519" si="89">E471*F471</f>
        <v>3525</v>
      </c>
      <c r="H471" s="60">
        <v>9</v>
      </c>
      <c r="I471" s="60">
        <v>1.1399999999999999</v>
      </c>
      <c r="J471" s="60">
        <v>2.12</v>
      </c>
      <c r="K471" s="60">
        <v>1</v>
      </c>
      <c r="L471" s="60">
        <f t="shared" ref="L471:L480" si="90">SUM(H471:K471)</f>
        <v>13.260000000000002</v>
      </c>
      <c r="M471" s="303">
        <f t="shared" ref="M471:M483" si="91">G471-L471</f>
        <v>3511.74</v>
      </c>
      <c r="N471" s="304" t="s">
        <v>1252</v>
      </c>
      <c r="O471" s="304" t="s">
        <v>369</v>
      </c>
    </row>
    <row r="472" spans="1:19" ht="12.75" customHeight="1" x14ac:dyDescent="0.25">
      <c r="A472" s="16" t="s">
        <v>1246</v>
      </c>
      <c r="B472" s="2" t="s">
        <v>1247</v>
      </c>
      <c r="C472" s="2" t="s">
        <v>1242</v>
      </c>
      <c r="D472" s="2">
        <v>560</v>
      </c>
      <c r="E472" s="2">
        <v>500</v>
      </c>
      <c r="F472" s="60">
        <v>7.1</v>
      </c>
      <c r="G472" s="303">
        <f t="shared" si="89"/>
        <v>3550</v>
      </c>
      <c r="H472" s="60">
        <v>9</v>
      </c>
      <c r="I472" s="60">
        <v>1.24</v>
      </c>
      <c r="J472" s="60">
        <v>3.03</v>
      </c>
      <c r="K472" s="60">
        <v>1</v>
      </c>
      <c r="L472" s="60">
        <f t="shared" si="90"/>
        <v>14.27</v>
      </c>
      <c r="M472" s="303">
        <f t="shared" si="91"/>
        <v>3535.73</v>
      </c>
      <c r="N472" s="304" t="s">
        <v>1254</v>
      </c>
      <c r="O472" s="304" t="s">
        <v>369</v>
      </c>
    </row>
    <row r="473" spans="1:19" ht="12.75" customHeight="1" x14ac:dyDescent="0.25">
      <c r="A473" s="16" t="s">
        <v>2432</v>
      </c>
      <c r="B473" s="2" t="s">
        <v>2428</v>
      </c>
      <c r="C473" s="2" t="s">
        <v>1245</v>
      </c>
      <c r="D473" s="2">
        <v>5300</v>
      </c>
      <c r="E473" s="2">
        <v>100</v>
      </c>
      <c r="F473" s="60">
        <v>12.85</v>
      </c>
      <c r="G473" s="303">
        <f t="shared" si="89"/>
        <v>1285</v>
      </c>
      <c r="H473" s="60">
        <v>18</v>
      </c>
      <c r="I473" s="60">
        <v>1.94</v>
      </c>
      <c r="J473" s="60">
        <v>0.91</v>
      </c>
      <c r="K473" s="60">
        <v>1</v>
      </c>
      <c r="L473" s="60">
        <f t="shared" si="90"/>
        <v>21.85</v>
      </c>
      <c r="M473" s="303">
        <f t="shared" si="91"/>
        <v>1263.1500000000001</v>
      </c>
      <c r="N473" s="304" t="s">
        <v>2429</v>
      </c>
      <c r="O473" s="304" t="s">
        <v>369</v>
      </c>
    </row>
    <row r="474" spans="1:19" ht="12.75" customHeight="1" x14ac:dyDescent="0.25">
      <c r="A474" s="16" t="s">
        <v>2298</v>
      </c>
      <c r="B474" s="2" t="s">
        <v>2431</v>
      </c>
      <c r="C474" s="2" t="s">
        <v>1245</v>
      </c>
      <c r="D474" s="2">
        <v>5300</v>
      </c>
      <c r="E474" s="2">
        <v>100</v>
      </c>
      <c r="F474" s="60">
        <v>28.6</v>
      </c>
      <c r="G474" s="303">
        <f t="shared" si="89"/>
        <v>2860</v>
      </c>
      <c r="H474" s="60">
        <v>18</v>
      </c>
      <c r="I474" s="60">
        <v>2.06</v>
      </c>
      <c r="J474" s="60">
        <v>2.0299999999999998</v>
      </c>
      <c r="K474" s="60">
        <v>1</v>
      </c>
      <c r="L474" s="60">
        <f t="shared" si="90"/>
        <v>23.09</v>
      </c>
      <c r="M474" s="303">
        <f t="shared" si="91"/>
        <v>2836.91</v>
      </c>
      <c r="N474" s="304" t="s">
        <v>2296</v>
      </c>
      <c r="O474" s="304" t="s">
        <v>369</v>
      </c>
    </row>
    <row r="475" spans="1:19" ht="12.75" customHeight="1" x14ac:dyDescent="0.25">
      <c r="A475" s="16" t="s">
        <v>1722</v>
      </c>
      <c r="B475" s="2" t="s">
        <v>2430</v>
      </c>
      <c r="C475" s="2" t="s">
        <v>1245</v>
      </c>
      <c r="D475" s="2">
        <v>5200</v>
      </c>
      <c r="E475" s="2">
        <v>100</v>
      </c>
      <c r="F475" s="60">
        <v>59.35</v>
      </c>
      <c r="G475" s="303">
        <f t="shared" si="89"/>
        <v>5935</v>
      </c>
      <c r="H475" s="60">
        <v>18</v>
      </c>
      <c r="I475" s="60">
        <v>2.2799999999999998</v>
      </c>
      <c r="J475" s="60">
        <v>4.21</v>
      </c>
      <c r="K475" s="60">
        <v>2</v>
      </c>
      <c r="L475" s="60">
        <f t="shared" si="90"/>
        <v>26.490000000000002</v>
      </c>
      <c r="M475" s="303">
        <f t="shared" si="91"/>
        <v>5908.51</v>
      </c>
      <c r="N475" s="304" t="s">
        <v>1714</v>
      </c>
      <c r="O475" s="304" t="s">
        <v>369</v>
      </c>
    </row>
    <row r="476" spans="1:19" ht="13.2" x14ac:dyDescent="0.25">
      <c r="A476" s="16" t="s">
        <v>1723</v>
      </c>
      <c r="B476" s="2" t="s">
        <v>2431</v>
      </c>
      <c r="C476" s="2" t="s">
        <v>1245</v>
      </c>
      <c r="D476" s="2">
        <v>5400</v>
      </c>
      <c r="E476" s="2">
        <v>100</v>
      </c>
      <c r="F476" s="60">
        <v>88</v>
      </c>
      <c r="G476" s="303">
        <f t="shared" si="89"/>
        <v>8800</v>
      </c>
      <c r="H476" s="60">
        <v>18</v>
      </c>
      <c r="I476" s="60">
        <v>4.7699999999999996</v>
      </c>
      <c r="J476" s="60">
        <v>10.33</v>
      </c>
      <c r="K476" s="60">
        <v>3</v>
      </c>
      <c r="L476" s="60">
        <f t="shared" si="90"/>
        <v>36.1</v>
      </c>
      <c r="M476" s="303">
        <f t="shared" si="91"/>
        <v>8763.9</v>
      </c>
      <c r="N476" s="304" t="s">
        <v>1720</v>
      </c>
      <c r="O476" s="304" t="s">
        <v>369</v>
      </c>
    </row>
    <row r="477" spans="1:19" ht="13.2" x14ac:dyDescent="0.25">
      <c r="A477" s="16" t="s">
        <v>1721</v>
      </c>
      <c r="B477" s="2" t="s">
        <v>2428</v>
      </c>
      <c r="C477" s="2" t="s">
        <v>1249</v>
      </c>
      <c r="D477" s="2">
        <v>5600</v>
      </c>
      <c r="E477" s="2">
        <v>100</v>
      </c>
      <c r="F477" s="60">
        <v>74.05</v>
      </c>
      <c r="G477" s="303">
        <f t="shared" si="89"/>
        <v>7405</v>
      </c>
      <c r="H477" s="60">
        <v>18</v>
      </c>
      <c r="I477" s="60">
        <v>2.39</v>
      </c>
      <c r="J477" s="60">
        <v>5.26</v>
      </c>
      <c r="K477" s="60">
        <v>2</v>
      </c>
      <c r="L477" s="60">
        <f t="shared" si="90"/>
        <v>27.65</v>
      </c>
      <c r="M477" s="303">
        <f t="shared" si="91"/>
        <v>7377.35</v>
      </c>
      <c r="N477" s="304" t="s">
        <v>898</v>
      </c>
      <c r="O477" s="304" t="s">
        <v>369</v>
      </c>
      <c r="Q477" s="247"/>
      <c r="S477" s="247"/>
    </row>
    <row r="478" spans="1:19" ht="12.75" customHeight="1" x14ac:dyDescent="0.25">
      <c r="A478" s="16" t="s">
        <v>37</v>
      </c>
      <c r="B478" s="2" t="s">
        <v>2430</v>
      </c>
      <c r="C478" s="2" t="s">
        <v>1245</v>
      </c>
      <c r="D478" s="2">
        <v>5600</v>
      </c>
      <c r="E478" s="2">
        <v>100</v>
      </c>
      <c r="F478" s="60">
        <v>410</v>
      </c>
      <c r="G478" s="303">
        <f t="shared" si="89"/>
        <v>41000</v>
      </c>
      <c r="H478" s="60">
        <v>18</v>
      </c>
      <c r="I478" s="60">
        <v>4.8499999999999996</v>
      </c>
      <c r="J478" s="60">
        <v>29.11</v>
      </c>
      <c r="K478" s="60">
        <v>8</v>
      </c>
      <c r="L478" s="60">
        <f t="shared" si="90"/>
        <v>59.96</v>
      </c>
      <c r="M478" s="303">
        <f t="shared" si="91"/>
        <v>40940.04</v>
      </c>
      <c r="N478" s="304" t="s">
        <v>32</v>
      </c>
      <c r="O478" s="304" t="s">
        <v>369</v>
      </c>
    </row>
    <row r="479" spans="1:19" ht="12.75" customHeight="1" x14ac:dyDescent="0.25">
      <c r="A479" s="16" t="s">
        <v>36</v>
      </c>
      <c r="B479" s="2" t="s">
        <v>2431</v>
      </c>
      <c r="C479" s="2" t="s">
        <v>1249</v>
      </c>
      <c r="D479" s="2">
        <v>5300</v>
      </c>
      <c r="E479" s="2">
        <v>150</v>
      </c>
      <c r="F479" s="60">
        <v>51</v>
      </c>
      <c r="G479" s="303">
        <f t="shared" si="89"/>
        <v>7650</v>
      </c>
      <c r="H479" s="60">
        <v>27</v>
      </c>
      <c r="I479" s="302"/>
      <c r="J479" s="302"/>
      <c r="K479" s="302"/>
      <c r="L479" s="60">
        <f>SUM(H479:K479)</f>
        <v>27</v>
      </c>
      <c r="M479" s="303">
        <f t="shared" si="91"/>
        <v>7623</v>
      </c>
      <c r="N479" s="304" t="s">
        <v>34</v>
      </c>
      <c r="O479" s="304" t="s">
        <v>369</v>
      </c>
    </row>
    <row r="480" spans="1:19" ht="12.75" customHeight="1" x14ac:dyDescent="0.25">
      <c r="A480" s="16" t="s">
        <v>1438</v>
      </c>
      <c r="B480" s="2" t="s">
        <v>2431</v>
      </c>
      <c r="C480" s="2" t="s">
        <v>1249</v>
      </c>
      <c r="D480" s="2">
        <v>5300</v>
      </c>
      <c r="E480" s="2">
        <v>200</v>
      </c>
      <c r="F480" s="60">
        <v>25.7</v>
      </c>
      <c r="G480" s="303">
        <f t="shared" si="89"/>
        <v>5140</v>
      </c>
      <c r="H480" s="60">
        <v>36</v>
      </c>
      <c r="I480" s="60">
        <v>5.14</v>
      </c>
      <c r="J480" s="60">
        <v>4.9000000000000004</v>
      </c>
      <c r="K480" s="60">
        <v>2</v>
      </c>
      <c r="L480" s="60">
        <f t="shared" si="90"/>
        <v>48.04</v>
      </c>
      <c r="M480" s="303">
        <f t="shared" si="91"/>
        <v>5091.96</v>
      </c>
      <c r="N480" s="305" t="s">
        <v>1437</v>
      </c>
      <c r="O480" s="304" t="s">
        <v>369</v>
      </c>
    </row>
    <row r="481" spans="1:18" ht="13.2" x14ac:dyDescent="0.25">
      <c r="A481" s="16" t="s">
        <v>690</v>
      </c>
      <c r="B481" s="2" t="s">
        <v>2431</v>
      </c>
      <c r="C481" s="2" t="s">
        <v>1249</v>
      </c>
      <c r="D481" s="2">
        <v>5100</v>
      </c>
      <c r="E481" s="2">
        <v>50</v>
      </c>
      <c r="F481" s="60">
        <v>64.7</v>
      </c>
      <c r="G481" s="303">
        <f t="shared" si="89"/>
        <v>3235</v>
      </c>
      <c r="H481" s="60">
        <v>9</v>
      </c>
      <c r="I481" s="302"/>
      <c r="J481" s="302"/>
      <c r="K481" s="302"/>
      <c r="L481" s="60">
        <f t="shared" ref="L481:L489" si="92">SUM(H481:K481)</f>
        <v>9</v>
      </c>
      <c r="M481" s="303">
        <f t="shared" si="91"/>
        <v>3226</v>
      </c>
      <c r="N481" s="305" t="s">
        <v>691</v>
      </c>
      <c r="O481" s="304" t="s">
        <v>369</v>
      </c>
      <c r="Q481" s="247"/>
    </row>
    <row r="482" spans="1:18" ht="13.2" x14ac:dyDescent="0.25">
      <c r="A482" s="16" t="s">
        <v>690</v>
      </c>
      <c r="B482" s="2" t="s">
        <v>2431</v>
      </c>
      <c r="C482" s="2" t="s">
        <v>1249</v>
      </c>
      <c r="D482" s="2">
        <v>5100</v>
      </c>
      <c r="E482" s="2">
        <v>50</v>
      </c>
      <c r="F482" s="60">
        <v>64.650000000000006</v>
      </c>
      <c r="G482" s="303">
        <f t="shared" si="89"/>
        <v>3232.5000000000005</v>
      </c>
      <c r="H482" s="60">
        <v>9</v>
      </c>
      <c r="I482" s="60">
        <v>2.3199999999999998</v>
      </c>
      <c r="J482" s="60">
        <v>4.59</v>
      </c>
      <c r="K482" s="60">
        <v>2</v>
      </c>
      <c r="L482" s="60">
        <f t="shared" si="92"/>
        <v>17.91</v>
      </c>
      <c r="M482" s="303">
        <f t="shared" si="91"/>
        <v>3214.5900000000006</v>
      </c>
      <c r="N482" s="305" t="s">
        <v>691</v>
      </c>
      <c r="O482" s="304" t="s">
        <v>369</v>
      </c>
      <c r="Q482" s="247"/>
    </row>
    <row r="483" spans="1:18" ht="13.2" x14ac:dyDescent="0.25">
      <c r="A483" s="16" t="s">
        <v>695</v>
      </c>
      <c r="B483" s="2" t="s">
        <v>2431</v>
      </c>
      <c r="C483" s="2" t="s">
        <v>1249</v>
      </c>
      <c r="D483" s="2">
        <v>5000</v>
      </c>
      <c r="E483" s="2">
        <v>200</v>
      </c>
      <c r="F483" s="60">
        <v>28.2</v>
      </c>
      <c r="G483" s="303">
        <f t="shared" si="89"/>
        <v>5640</v>
      </c>
      <c r="H483" s="60">
        <v>36</v>
      </c>
      <c r="I483" s="302"/>
      <c r="J483" s="302"/>
      <c r="K483" s="302"/>
      <c r="L483" s="60">
        <f t="shared" si="92"/>
        <v>36</v>
      </c>
      <c r="M483" s="303">
        <f t="shared" si="91"/>
        <v>5604</v>
      </c>
      <c r="N483" s="304" t="s">
        <v>696</v>
      </c>
      <c r="O483" s="304" t="s">
        <v>369</v>
      </c>
      <c r="Q483" s="247"/>
    </row>
    <row r="484" spans="1:18" ht="13.2" x14ac:dyDescent="0.25">
      <c r="A484" s="16" t="s">
        <v>2472</v>
      </c>
      <c r="B484" s="2" t="s">
        <v>2430</v>
      </c>
      <c r="C484" s="2" t="s">
        <v>1249</v>
      </c>
      <c r="D484" s="2">
        <v>5200</v>
      </c>
      <c r="E484" s="2">
        <v>250</v>
      </c>
      <c r="F484" s="2">
        <v>31.4</v>
      </c>
      <c r="G484" s="303">
        <f t="shared" si="89"/>
        <v>7850</v>
      </c>
      <c r="H484" s="60">
        <v>45</v>
      </c>
      <c r="I484" s="302"/>
      <c r="J484" s="302"/>
      <c r="K484" s="302"/>
      <c r="L484" s="60">
        <f t="shared" si="92"/>
        <v>45</v>
      </c>
      <c r="M484" s="303">
        <f t="shared" ref="M484:M497" si="93">G484-L484</f>
        <v>7805</v>
      </c>
      <c r="N484" s="304" t="s">
        <v>2473</v>
      </c>
      <c r="O484" s="304" t="s">
        <v>369</v>
      </c>
      <c r="Q484" s="247"/>
    </row>
    <row r="485" spans="1:18" ht="13.2" x14ac:dyDescent="0.25">
      <c r="A485" s="16" t="s">
        <v>2472</v>
      </c>
      <c r="B485" s="2" t="s">
        <v>2430</v>
      </c>
      <c r="C485" s="2" t="s">
        <v>1249</v>
      </c>
      <c r="D485" s="2">
        <v>5200</v>
      </c>
      <c r="E485" s="2">
        <v>100</v>
      </c>
      <c r="F485" s="2">
        <v>31.4</v>
      </c>
      <c r="G485" s="303">
        <f t="shared" si="89"/>
        <v>3140</v>
      </c>
      <c r="H485" s="60">
        <v>18</v>
      </c>
      <c r="I485" s="302"/>
      <c r="J485" s="302"/>
      <c r="K485" s="302"/>
      <c r="L485" s="60">
        <f t="shared" si="92"/>
        <v>18</v>
      </c>
      <c r="M485" s="303">
        <f t="shared" si="93"/>
        <v>3122</v>
      </c>
      <c r="N485" s="304" t="s">
        <v>2473</v>
      </c>
      <c r="O485" s="304" t="s">
        <v>369</v>
      </c>
      <c r="Q485" s="247"/>
    </row>
    <row r="486" spans="1:18" ht="13.2" x14ac:dyDescent="0.25">
      <c r="A486" s="16" t="s">
        <v>2472</v>
      </c>
      <c r="B486" s="2" t="s">
        <v>2430</v>
      </c>
      <c r="C486" s="2" t="s">
        <v>1249</v>
      </c>
      <c r="D486" s="2">
        <v>5200</v>
      </c>
      <c r="E486" s="2">
        <v>200</v>
      </c>
      <c r="F486" s="60">
        <v>23.05</v>
      </c>
      <c r="G486" s="303">
        <f t="shared" si="89"/>
        <v>4610</v>
      </c>
      <c r="H486" s="60">
        <v>36</v>
      </c>
      <c r="I486" s="60">
        <v>21.71</v>
      </c>
      <c r="J486" s="60">
        <v>21.79</v>
      </c>
      <c r="K486" s="60">
        <v>4</v>
      </c>
      <c r="L486" s="60">
        <f t="shared" si="92"/>
        <v>83.5</v>
      </c>
      <c r="M486" s="303">
        <f t="shared" si="93"/>
        <v>4526.5</v>
      </c>
      <c r="N486" s="304" t="s">
        <v>2473</v>
      </c>
      <c r="O486" s="304" t="s">
        <v>369</v>
      </c>
      <c r="Q486" s="247"/>
      <c r="R486" s="247"/>
    </row>
    <row r="487" spans="1:18" ht="13.2" x14ac:dyDescent="0.25">
      <c r="A487" s="16" t="s">
        <v>2474</v>
      </c>
      <c r="B487" s="2" t="s">
        <v>2430</v>
      </c>
      <c r="C487" s="2" t="s">
        <v>1249</v>
      </c>
      <c r="D487" s="2">
        <v>5100</v>
      </c>
      <c r="E487" s="2">
        <v>150</v>
      </c>
      <c r="F487" s="60">
        <v>64.099999999999994</v>
      </c>
      <c r="G487" s="303">
        <f t="shared" si="89"/>
        <v>9615</v>
      </c>
      <c r="H487" s="60">
        <v>27</v>
      </c>
      <c r="I487" s="60">
        <v>3.48</v>
      </c>
      <c r="J487" s="60">
        <v>6.83</v>
      </c>
      <c r="K487" s="60">
        <v>3</v>
      </c>
      <c r="L487" s="60">
        <f t="shared" si="92"/>
        <v>40.31</v>
      </c>
      <c r="M487" s="303">
        <f t="shared" si="93"/>
        <v>9574.69</v>
      </c>
      <c r="N487" s="304" t="s">
        <v>2477</v>
      </c>
      <c r="O487" s="304" t="s">
        <v>369</v>
      </c>
      <c r="Q487" s="247"/>
      <c r="R487" s="247"/>
    </row>
    <row r="488" spans="1:18" ht="13.2" x14ac:dyDescent="0.25">
      <c r="A488" s="16" t="s">
        <v>2766</v>
      </c>
      <c r="B488" s="2" t="s">
        <v>2430</v>
      </c>
      <c r="C488" s="2" t="s">
        <v>1249</v>
      </c>
      <c r="D488" s="2">
        <v>5100</v>
      </c>
      <c r="E488" s="2">
        <v>150</v>
      </c>
      <c r="F488" s="60">
        <v>90</v>
      </c>
      <c r="G488" s="303">
        <f t="shared" si="89"/>
        <v>13500</v>
      </c>
      <c r="H488" s="60">
        <v>27</v>
      </c>
      <c r="I488" s="60">
        <v>3.77</v>
      </c>
      <c r="J488" s="60">
        <v>9.59</v>
      </c>
      <c r="K488" s="60">
        <v>3</v>
      </c>
      <c r="L488" s="60">
        <f t="shared" si="92"/>
        <v>43.36</v>
      </c>
      <c r="M488" s="303">
        <f t="shared" si="93"/>
        <v>13456.64</v>
      </c>
      <c r="N488" s="304" t="s">
        <v>2478</v>
      </c>
      <c r="O488" s="304" t="s">
        <v>369</v>
      </c>
      <c r="Q488" s="247"/>
      <c r="R488" s="247"/>
    </row>
    <row r="489" spans="1:18" ht="13.2" x14ac:dyDescent="0.25">
      <c r="A489" s="16" t="s">
        <v>1845</v>
      </c>
      <c r="B489" s="2" t="s">
        <v>2430</v>
      </c>
      <c r="C489" s="2" t="s">
        <v>1245</v>
      </c>
      <c r="D489" s="2">
        <v>4800</v>
      </c>
      <c r="E489" s="2">
        <v>100</v>
      </c>
      <c r="F489" s="60">
        <v>78.599999999999994</v>
      </c>
      <c r="G489" s="303">
        <f t="shared" si="89"/>
        <v>7859.9999999999991</v>
      </c>
      <c r="H489" s="60">
        <v>18</v>
      </c>
      <c r="I489" s="2">
        <v>5.89</v>
      </c>
      <c r="J489" s="60">
        <v>12.18</v>
      </c>
      <c r="K489" s="60">
        <v>2</v>
      </c>
      <c r="L489" s="60">
        <f t="shared" si="92"/>
        <v>38.07</v>
      </c>
      <c r="M489" s="303">
        <f t="shared" si="93"/>
        <v>7821.9299999999994</v>
      </c>
      <c r="N489" s="304" t="s">
        <v>1846</v>
      </c>
      <c r="O489" s="304" t="s">
        <v>369</v>
      </c>
      <c r="Q489" s="247"/>
      <c r="R489" s="247"/>
    </row>
    <row r="490" spans="1:18" ht="13.2" x14ac:dyDescent="0.25">
      <c r="A490" s="16" t="s">
        <v>1847</v>
      </c>
      <c r="B490" s="2" t="s">
        <v>2430</v>
      </c>
      <c r="C490" s="2" t="s">
        <v>1249</v>
      </c>
      <c r="D490" s="2">
        <v>5200</v>
      </c>
      <c r="E490" s="2">
        <v>50</v>
      </c>
      <c r="F490" s="60">
        <v>84</v>
      </c>
      <c r="G490" s="303">
        <f t="shared" si="89"/>
        <v>4200</v>
      </c>
      <c r="H490" s="60">
        <v>9</v>
      </c>
      <c r="I490" s="307"/>
      <c r="J490" s="302"/>
      <c r="K490" s="302"/>
      <c r="L490" s="60">
        <f t="shared" ref="L490:L500" si="94">SUM(H490:K490)</f>
        <v>9</v>
      </c>
      <c r="M490" s="303">
        <f t="shared" si="93"/>
        <v>4191</v>
      </c>
      <c r="N490" s="263" t="s">
        <v>1848</v>
      </c>
      <c r="O490" s="304" t="s">
        <v>369</v>
      </c>
      <c r="Q490" s="247"/>
      <c r="R490" s="247"/>
    </row>
    <row r="491" spans="1:18" ht="13.2" x14ac:dyDescent="0.25">
      <c r="A491" s="16" t="s">
        <v>1847</v>
      </c>
      <c r="B491" s="2" t="s">
        <v>2430</v>
      </c>
      <c r="C491" s="2" t="s">
        <v>1249</v>
      </c>
      <c r="D491" s="2">
        <v>5200</v>
      </c>
      <c r="E491" s="2">
        <v>100</v>
      </c>
      <c r="F491" s="60">
        <v>84</v>
      </c>
      <c r="G491" s="303">
        <f t="shared" si="89"/>
        <v>8400</v>
      </c>
      <c r="H491" s="60">
        <v>18</v>
      </c>
      <c r="I491" s="307"/>
      <c r="J491" s="302"/>
      <c r="K491" s="302"/>
      <c r="L491" s="60">
        <f t="shared" si="94"/>
        <v>18</v>
      </c>
      <c r="M491" s="303">
        <f t="shared" si="93"/>
        <v>8382</v>
      </c>
      <c r="N491" s="263" t="s">
        <v>1848</v>
      </c>
      <c r="O491" s="304" t="s">
        <v>369</v>
      </c>
      <c r="Q491" s="247"/>
      <c r="R491" s="247"/>
    </row>
    <row r="492" spans="1:18" ht="13.2" x14ac:dyDescent="0.25">
      <c r="A492" s="16" t="s">
        <v>1847</v>
      </c>
      <c r="B492" s="2" t="s">
        <v>2430</v>
      </c>
      <c r="C492" s="2" t="s">
        <v>1245</v>
      </c>
      <c r="D492" s="2">
        <v>5100</v>
      </c>
      <c r="E492" s="2">
        <v>100</v>
      </c>
      <c r="F492" s="60">
        <v>132.30000000000001</v>
      </c>
      <c r="G492" s="303">
        <f t="shared" si="89"/>
        <v>13230.000000000002</v>
      </c>
      <c r="H492" s="60">
        <v>18</v>
      </c>
      <c r="I492" s="307"/>
      <c r="J492" s="302"/>
      <c r="K492" s="302"/>
      <c r="L492" s="60">
        <f t="shared" si="94"/>
        <v>18</v>
      </c>
      <c r="M492" s="303">
        <f t="shared" si="93"/>
        <v>13212.000000000002</v>
      </c>
      <c r="N492" s="263" t="s">
        <v>1848</v>
      </c>
      <c r="O492" s="304" t="s">
        <v>369</v>
      </c>
      <c r="Q492" s="247"/>
      <c r="R492" s="247"/>
    </row>
    <row r="493" spans="1:18" ht="12.75" customHeight="1" x14ac:dyDescent="0.25">
      <c r="A493" s="16" t="s">
        <v>1121</v>
      </c>
      <c r="B493" s="2" t="s">
        <v>2430</v>
      </c>
      <c r="C493" s="2" t="s">
        <v>1249</v>
      </c>
      <c r="D493" s="2">
        <v>5100</v>
      </c>
      <c r="E493" s="2">
        <v>100</v>
      </c>
      <c r="F493" s="60">
        <v>60.75</v>
      </c>
      <c r="G493" s="303">
        <f t="shared" si="89"/>
        <v>6075</v>
      </c>
      <c r="H493" s="60">
        <v>18</v>
      </c>
      <c r="I493" s="302"/>
      <c r="J493" s="302"/>
      <c r="K493" s="302"/>
      <c r="L493" s="60">
        <f t="shared" si="94"/>
        <v>18</v>
      </c>
      <c r="M493" s="303">
        <f t="shared" si="93"/>
        <v>6057</v>
      </c>
      <c r="N493" s="304" t="s">
        <v>1126</v>
      </c>
      <c r="O493" s="304" t="s">
        <v>369</v>
      </c>
    </row>
    <row r="494" spans="1:18" ht="12.75" customHeight="1" x14ac:dyDescent="0.25">
      <c r="A494" s="16" t="s">
        <v>1121</v>
      </c>
      <c r="B494" s="2" t="s">
        <v>2430</v>
      </c>
      <c r="C494" s="2" t="s">
        <v>1249</v>
      </c>
      <c r="D494" s="2">
        <v>5100</v>
      </c>
      <c r="E494" s="2">
        <v>50</v>
      </c>
      <c r="F494" s="60">
        <v>60.75</v>
      </c>
      <c r="G494" s="303">
        <f t="shared" si="89"/>
        <v>3037.5</v>
      </c>
      <c r="H494" s="60">
        <v>9</v>
      </c>
      <c r="I494" s="302"/>
      <c r="J494" s="302"/>
      <c r="K494" s="302"/>
      <c r="L494" s="60">
        <f t="shared" si="94"/>
        <v>9</v>
      </c>
      <c r="M494" s="303">
        <f t="shared" si="93"/>
        <v>3028.5</v>
      </c>
      <c r="N494" s="304" t="s">
        <v>1126</v>
      </c>
      <c r="O494" s="304" t="s">
        <v>369</v>
      </c>
    </row>
    <row r="495" spans="1:18" ht="12.75" customHeight="1" x14ac:dyDescent="0.25">
      <c r="A495" s="16" t="s">
        <v>1121</v>
      </c>
      <c r="B495" s="2" t="s">
        <v>2430</v>
      </c>
      <c r="C495" s="2" t="s">
        <v>1249</v>
      </c>
      <c r="D495" s="2">
        <v>5100</v>
      </c>
      <c r="E495" s="2">
        <v>150</v>
      </c>
      <c r="F495" s="60">
        <v>60.75</v>
      </c>
      <c r="G495" s="303">
        <f t="shared" si="89"/>
        <v>9112.5</v>
      </c>
      <c r="H495" s="60">
        <v>27</v>
      </c>
      <c r="I495" s="60">
        <v>11.35</v>
      </c>
      <c r="J495" s="60">
        <v>20.149999999999999</v>
      </c>
      <c r="K495" s="60">
        <v>4</v>
      </c>
      <c r="L495" s="60">
        <f t="shared" si="94"/>
        <v>62.5</v>
      </c>
      <c r="M495" s="303">
        <f t="shared" si="93"/>
        <v>9050</v>
      </c>
      <c r="N495" s="304" t="s">
        <v>1126</v>
      </c>
      <c r="O495" s="304" t="s">
        <v>369</v>
      </c>
    </row>
    <row r="496" spans="1:18" ht="12.75" customHeight="1" x14ac:dyDescent="0.25">
      <c r="A496" s="16" t="s">
        <v>1125</v>
      </c>
      <c r="B496" s="2" t="s">
        <v>2430</v>
      </c>
      <c r="C496" s="2" t="s">
        <v>1249</v>
      </c>
      <c r="D496" s="2">
        <v>5100</v>
      </c>
      <c r="E496" s="2">
        <v>150</v>
      </c>
      <c r="F496" s="60">
        <v>48.55</v>
      </c>
      <c r="G496" s="303">
        <f t="shared" si="89"/>
        <v>7282.5</v>
      </c>
      <c r="H496" s="60">
        <v>27</v>
      </c>
      <c r="I496" s="302"/>
      <c r="J496" s="302"/>
      <c r="K496" s="302"/>
      <c r="L496" s="60">
        <f t="shared" si="94"/>
        <v>27</v>
      </c>
      <c r="M496" s="303">
        <f t="shared" si="93"/>
        <v>7255.5</v>
      </c>
      <c r="N496" s="304" t="s">
        <v>1130</v>
      </c>
      <c r="O496" s="304" t="s">
        <v>369</v>
      </c>
    </row>
    <row r="497" spans="1:18" ht="12.75" customHeight="1" x14ac:dyDescent="0.25">
      <c r="A497" s="16" t="s">
        <v>1125</v>
      </c>
      <c r="B497" s="2" t="s">
        <v>2430</v>
      </c>
      <c r="C497" s="2" t="s">
        <v>1249</v>
      </c>
      <c r="D497" s="2">
        <v>5100</v>
      </c>
      <c r="E497" s="2">
        <v>50</v>
      </c>
      <c r="F497" s="60">
        <v>48.55</v>
      </c>
      <c r="G497" s="303">
        <f t="shared" si="89"/>
        <v>2427.5</v>
      </c>
      <c r="H497" s="60">
        <v>9</v>
      </c>
      <c r="I497" s="302"/>
      <c r="J497" s="302"/>
      <c r="K497" s="302"/>
      <c r="L497" s="60">
        <f t="shared" si="94"/>
        <v>9</v>
      </c>
      <c r="M497" s="303">
        <f t="shared" si="93"/>
        <v>2418.5</v>
      </c>
      <c r="N497" s="304" t="s">
        <v>1130</v>
      </c>
      <c r="O497" s="304" t="s">
        <v>369</v>
      </c>
    </row>
    <row r="498" spans="1:18" ht="12.75" customHeight="1" x14ac:dyDescent="0.25">
      <c r="A498" s="16" t="s">
        <v>1125</v>
      </c>
      <c r="B498" s="2" t="s">
        <v>2430</v>
      </c>
      <c r="C498" s="2" t="s">
        <v>1249</v>
      </c>
      <c r="D498" s="2">
        <v>5100</v>
      </c>
      <c r="E498" s="2">
        <v>100</v>
      </c>
      <c r="F498" s="60">
        <v>71.900000000000006</v>
      </c>
      <c r="G498" s="303">
        <f t="shared" si="89"/>
        <v>7190.0000000000009</v>
      </c>
      <c r="H498" s="60">
        <v>18</v>
      </c>
      <c r="I498" s="60">
        <v>9.1999999999999993</v>
      </c>
      <c r="J498" s="304">
        <v>17.32</v>
      </c>
      <c r="K498" s="60">
        <v>4</v>
      </c>
      <c r="L498" s="60">
        <f t="shared" si="94"/>
        <v>48.519999999999996</v>
      </c>
      <c r="M498" s="303">
        <f t="shared" ref="M498:M517" si="95">G498-L498</f>
        <v>7141.4800000000005</v>
      </c>
      <c r="N498" s="304" t="s">
        <v>1130</v>
      </c>
      <c r="O498" s="304" t="s">
        <v>369</v>
      </c>
    </row>
    <row r="499" spans="1:18" ht="12.75" customHeight="1" x14ac:dyDescent="0.25">
      <c r="A499" s="16" t="s">
        <v>1131</v>
      </c>
      <c r="B499" s="2" t="s">
        <v>2430</v>
      </c>
      <c r="C499" s="2" t="s">
        <v>1249</v>
      </c>
      <c r="D499" s="2">
        <v>5200</v>
      </c>
      <c r="E499" s="2">
        <v>200</v>
      </c>
      <c r="F499" s="60">
        <v>60.3</v>
      </c>
      <c r="G499" s="303">
        <f t="shared" si="89"/>
        <v>12060</v>
      </c>
      <c r="H499" s="60">
        <v>36</v>
      </c>
      <c r="I499" s="307"/>
      <c r="J499" s="311"/>
      <c r="K499" s="302"/>
      <c r="L499" s="60">
        <f t="shared" si="94"/>
        <v>36</v>
      </c>
      <c r="M499" s="303">
        <f t="shared" si="95"/>
        <v>12024</v>
      </c>
      <c r="N499" s="304" t="s">
        <v>343</v>
      </c>
      <c r="O499" s="304" t="s">
        <v>369</v>
      </c>
    </row>
    <row r="500" spans="1:18" ht="12.75" customHeight="1" x14ac:dyDescent="0.25">
      <c r="A500" s="16" t="s">
        <v>1131</v>
      </c>
      <c r="B500" s="2" t="s">
        <v>2430</v>
      </c>
      <c r="C500" s="2" t="s">
        <v>1245</v>
      </c>
      <c r="D500" s="2">
        <v>5000</v>
      </c>
      <c r="E500" s="2">
        <v>200</v>
      </c>
      <c r="F500" s="60">
        <v>64</v>
      </c>
      <c r="G500" s="303">
        <f t="shared" si="89"/>
        <v>12800</v>
      </c>
      <c r="H500" s="60">
        <v>36</v>
      </c>
      <c r="I500" s="307"/>
      <c r="J500" s="311"/>
      <c r="K500" s="302"/>
      <c r="L500" s="60">
        <f t="shared" si="94"/>
        <v>36</v>
      </c>
      <c r="M500" s="303">
        <f t="shared" si="95"/>
        <v>12764</v>
      </c>
      <c r="N500" s="304" t="s">
        <v>343</v>
      </c>
      <c r="O500" s="304" t="s">
        <v>369</v>
      </c>
    </row>
    <row r="501" spans="1:18" ht="12.75" customHeight="1" x14ac:dyDescent="0.25">
      <c r="A501" s="16" t="s">
        <v>2054</v>
      </c>
      <c r="B501" s="2" t="s">
        <v>2430</v>
      </c>
      <c r="C501" s="2" t="s">
        <v>1249</v>
      </c>
      <c r="D501" s="2">
        <v>5200</v>
      </c>
      <c r="E501" s="2">
        <v>50</v>
      </c>
      <c r="F501" s="60">
        <v>29.75</v>
      </c>
      <c r="G501" s="303">
        <f t="shared" si="89"/>
        <v>1487.5</v>
      </c>
      <c r="H501" s="60">
        <v>9</v>
      </c>
      <c r="I501" s="307"/>
      <c r="J501" s="311"/>
      <c r="K501" s="302"/>
      <c r="L501" s="60">
        <f t="shared" ref="L501:L506" si="96">SUM(H501:K501)</f>
        <v>9</v>
      </c>
      <c r="M501" s="303">
        <f t="shared" si="95"/>
        <v>1478.5</v>
      </c>
      <c r="N501" s="304" t="s">
        <v>2057</v>
      </c>
      <c r="O501" s="304" t="s">
        <v>369</v>
      </c>
    </row>
    <row r="502" spans="1:18" ht="12.75" customHeight="1" x14ac:dyDescent="0.25">
      <c r="A502" s="16" t="s">
        <v>2054</v>
      </c>
      <c r="B502" s="2" t="s">
        <v>2430</v>
      </c>
      <c r="C502" s="2" t="s">
        <v>1249</v>
      </c>
      <c r="D502" s="2">
        <v>5200</v>
      </c>
      <c r="E502" s="2">
        <v>50</v>
      </c>
      <c r="F502" s="60">
        <v>29.65</v>
      </c>
      <c r="G502" s="303">
        <f t="shared" si="89"/>
        <v>1482.5</v>
      </c>
      <c r="H502" s="60">
        <v>9</v>
      </c>
      <c r="I502" s="307"/>
      <c r="J502" s="311"/>
      <c r="K502" s="302"/>
      <c r="L502" s="60">
        <f t="shared" si="96"/>
        <v>9</v>
      </c>
      <c r="M502" s="303">
        <f t="shared" si="95"/>
        <v>1473.5</v>
      </c>
      <c r="N502" s="304" t="s">
        <v>2057</v>
      </c>
      <c r="O502" s="304" t="s">
        <v>369</v>
      </c>
    </row>
    <row r="503" spans="1:18" ht="12.75" customHeight="1" x14ac:dyDescent="0.25">
      <c r="A503" s="16" t="s">
        <v>2054</v>
      </c>
      <c r="B503" s="2" t="s">
        <v>2430</v>
      </c>
      <c r="C503" s="2" t="s">
        <v>1249</v>
      </c>
      <c r="D503" s="2">
        <v>5200</v>
      </c>
      <c r="E503" s="2">
        <v>100</v>
      </c>
      <c r="F503" s="60">
        <v>29.65</v>
      </c>
      <c r="G503" s="303">
        <f t="shared" si="89"/>
        <v>2965</v>
      </c>
      <c r="H503" s="60">
        <v>18</v>
      </c>
      <c r="I503" s="312"/>
      <c r="J503" s="312"/>
      <c r="K503" s="302"/>
      <c r="L503" s="60">
        <f t="shared" si="96"/>
        <v>18</v>
      </c>
      <c r="M503" s="303">
        <f t="shared" si="95"/>
        <v>2947</v>
      </c>
      <c r="N503" s="304" t="s">
        <v>2057</v>
      </c>
      <c r="O503" s="304" t="s">
        <v>369</v>
      </c>
    </row>
    <row r="504" spans="1:18" ht="12.75" customHeight="1" x14ac:dyDescent="0.25">
      <c r="A504" s="16" t="s">
        <v>2054</v>
      </c>
      <c r="B504" s="2" t="s">
        <v>2430</v>
      </c>
      <c r="C504" s="2" t="s">
        <v>1245</v>
      </c>
      <c r="D504" s="2">
        <v>5000</v>
      </c>
      <c r="E504" s="2">
        <v>50</v>
      </c>
      <c r="F504" s="60">
        <v>72.650000000000006</v>
      </c>
      <c r="G504" s="303">
        <f t="shared" si="89"/>
        <v>3632.5000000000005</v>
      </c>
      <c r="H504" s="60">
        <v>9</v>
      </c>
      <c r="I504" s="312"/>
      <c r="J504" s="312"/>
      <c r="K504" s="302"/>
      <c r="L504" s="60">
        <f t="shared" si="96"/>
        <v>9</v>
      </c>
      <c r="M504" s="303">
        <f t="shared" si="95"/>
        <v>3623.5000000000005</v>
      </c>
      <c r="N504" s="304" t="s">
        <v>2057</v>
      </c>
      <c r="O504" s="304" t="s">
        <v>369</v>
      </c>
    </row>
    <row r="505" spans="1:18" ht="12.75" customHeight="1" x14ac:dyDescent="0.25">
      <c r="A505" s="16" t="s">
        <v>2054</v>
      </c>
      <c r="B505" s="2" t="s">
        <v>2430</v>
      </c>
      <c r="C505" s="2" t="s">
        <v>1245</v>
      </c>
      <c r="D505" s="2">
        <v>5000</v>
      </c>
      <c r="E505" s="2">
        <v>50</v>
      </c>
      <c r="F505" s="60">
        <v>72.599999999999994</v>
      </c>
      <c r="G505" s="303">
        <f t="shared" si="89"/>
        <v>3629.9999999999995</v>
      </c>
      <c r="H505" s="60">
        <v>9</v>
      </c>
      <c r="I505" s="312"/>
      <c r="J505" s="312"/>
      <c r="K505" s="302"/>
      <c r="L505" s="60">
        <f t="shared" si="96"/>
        <v>9</v>
      </c>
      <c r="M505" s="303">
        <f t="shared" si="95"/>
        <v>3620.9999999999995</v>
      </c>
      <c r="N505" s="304" t="s">
        <v>2057</v>
      </c>
      <c r="O505" s="304" t="s">
        <v>369</v>
      </c>
    </row>
    <row r="506" spans="1:18" ht="12.75" customHeight="1" x14ac:dyDescent="0.25">
      <c r="A506" s="16" t="s">
        <v>2054</v>
      </c>
      <c r="B506" s="2" t="s">
        <v>2430</v>
      </c>
      <c r="C506" s="2" t="s">
        <v>1249</v>
      </c>
      <c r="D506" s="2">
        <v>5200</v>
      </c>
      <c r="E506" s="2">
        <v>100</v>
      </c>
      <c r="F506" s="60">
        <v>28.8</v>
      </c>
      <c r="G506" s="303">
        <f t="shared" si="89"/>
        <v>2880</v>
      </c>
      <c r="H506" s="60">
        <v>18</v>
      </c>
      <c r="I506" s="312"/>
      <c r="J506" s="312"/>
      <c r="K506" s="302"/>
      <c r="L506" s="60">
        <f t="shared" si="96"/>
        <v>18</v>
      </c>
      <c r="M506" s="303">
        <f t="shared" si="95"/>
        <v>2862</v>
      </c>
      <c r="N506" s="304" t="s">
        <v>2057</v>
      </c>
      <c r="O506" s="304" t="s">
        <v>369</v>
      </c>
    </row>
    <row r="507" spans="1:18" ht="12.75" customHeight="1" x14ac:dyDescent="0.25">
      <c r="A507" s="16" t="s">
        <v>2059</v>
      </c>
      <c r="B507" s="2" t="s">
        <v>2430</v>
      </c>
      <c r="C507" s="2" t="s">
        <v>1249</v>
      </c>
      <c r="D507" s="2">
        <v>5100</v>
      </c>
      <c r="E507" s="2">
        <v>100</v>
      </c>
      <c r="F507" s="60">
        <v>105</v>
      </c>
      <c r="G507" s="303">
        <f t="shared" si="89"/>
        <v>10500</v>
      </c>
      <c r="H507" s="60">
        <v>18</v>
      </c>
      <c r="I507" s="312"/>
      <c r="J507" s="312"/>
      <c r="K507" s="302"/>
      <c r="L507" s="60">
        <f t="shared" ref="L507:L517" si="97">SUM(H507:K507)</f>
        <v>18</v>
      </c>
      <c r="M507" s="303">
        <f t="shared" si="95"/>
        <v>10482</v>
      </c>
      <c r="N507" s="304" t="s">
        <v>2060</v>
      </c>
      <c r="O507" s="304" t="s">
        <v>369</v>
      </c>
    </row>
    <row r="508" spans="1:18" ht="12.75" customHeight="1" x14ac:dyDescent="0.25">
      <c r="A508" s="16" t="s">
        <v>2059</v>
      </c>
      <c r="B508" s="2" t="s">
        <v>2430</v>
      </c>
      <c r="C508" s="2" t="s">
        <v>1249</v>
      </c>
      <c r="D508" s="2">
        <v>5200</v>
      </c>
      <c r="E508" s="2">
        <v>200</v>
      </c>
      <c r="F508" s="60">
        <v>52.55</v>
      </c>
      <c r="G508" s="303">
        <f t="shared" si="89"/>
        <v>10510</v>
      </c>
      <c r="H508" s="60">
        <v>36</v>
      </c>
      <c r="I508" s="315"/>
      <c r="J508" s="315"/>
      <c r="K508" s="302"/>
      <c r="L508" s="60">
        <f t="shared" si="97"/>
        <v>36</v>
      </c>
      <c r="M508" s="303">
        <f t="shared" si="95"/>
        <v>10474</v>
      </c>
      <c r="N508" s="304" t="s">
        <v>2060</v>
      </c>
      <c r="O508" s="304" t="s">
        <v>369</v>
      </c>
    </row>
    <row r="509" spans="1:18" ht="12.75" customHeight="1" x14ac:dyDescent="0.25">
      <c r="A509" s="16" t="s">
        <v>2059</v>
      </c>
      <c r="B509" s="2" t="s">
        <v>2430</v>
      </c>
      <c r="C509" s="2" t="s">
        <v>1245</v>
      </c>
      <c r="D509" s="2">
        <v>5100</v>
      </c>
      <c r="E509" s="2">
        <v>50</v>
      </c>
      <c r="F509" s="60">
        <v>62.1</v>
      </c>
      <c r="G509" s="303">
        <f t="shared" si="89"/>
        <v>3105</v>
      </c>
      <c r="H509" s="60">
        <v>9</v>
      </c>
      <c r="I509" s="312"/>
      <c r="J509" s="312"/>
      <c r="K509" s="312"/>
      <c r="L509" s="60">
        <f t="shared" si="97"/>
        <v>9</v>
      </c>
      <c r="M509" s="303">
        <f t="shared" si="95"/>
        <v>3096</v>
      </c>
      <c r="N509" s="304" t="s">
        <v>2060</v>
      </c>
      <c r="O509" s="304" t="s">
        <v>369</v>
      </c>
    </row>
    <row r="510" spans="1:18" ht="12.75" customHeight="1" x14ac:dyDescent="0.25">
      <c r="A510" s="16" t="s">
        <v>2059</v>
      </c>
      <c r="B510" s="2" t="s">
        <v>2430</v>
      </c>
      <c r="C510" s="2" t="s">
        <v>1245</v>
      </c>
      <c r="D510" s="2">
        <v>5100</v>
      </c>
      <c r="E510" s="2">
        <v>50</v>
      </c>
      <c r="F510" s="60">
        <v>62.1</v>
      </c>
      <c r="G510" s="303">
        <f t="shared" si="89"/>
        <v>3105</v>
      </c>
      <c r="H510" s="60">
        <v>9</v>
      </c>
      <c r="I510" s="312"/>
      <c r="J510" s="312"/>
      <c r="K510" s="312"/>
      <c r="L510" s="60">
        <f t="shared" si="97"/>
        <v>9</v>
      </c>
      <c r="M510" s="303">
        <f t="shared" si="95"/>
        <v>3096</v>
      </c>
      <c r="N510" s="304" t="s">
        <v>2060</v>
      </c>
      <c r="O510" s="304" t="s">
        <v>369</v>
      </c>
    </row>
    <row r="511" spans="1:18" ht="13.2" x14ac:dyDescent="0.25">
      <c r="A511" s="16" t="s">
        <v>2059</v>
      </c>
      <c r="B511" s="2" t="s">
        <v>2430</v>
      </c>
      <c r="C511" s="2" t="s">
        <v>1249</v>
      </c>
      <c r="D511" s="2">
        <v>5200</v>
      </c>
      <c r="E511" s="2">
        <v>200</v>
      </c>
      <c r="F511" s="60">
        <v>46.05</v>
      </c>
      <c r="G511" s="303">
        <f t="shared" si="89"/>
        <v>9210</v>
      </c>
      <c r="H511" s="60">
        <v>36</v>
      </c>
      <c r="I511" s="312"/>
      <c r="J511" s="312"/>
      <c r="K511" s="312"/>
      <c r="L511" s="60">
        <f t="shared" si="97"/>
        <v>36</v>
      </c>
      <c r="M511" s="303">
        <f t="shared" si="95"/>
        <v>9174</v>
      </c>
      <c r="N511" s="304" t="s">
        <v>2060</v>
      </c>
      <c r="O511" s="304" t="s">
        <v>369</v>
      </c>
      <c r="Q511" s="247"/>
      <c r="R511" s="247"/>
    </row>
    <row r="512" spans="1:18" ht="13.2" x14ac:dyDescent="0.25">
      <c r="A512" s="16" t="s">
        <v>2058</v>
      </c>
      <c r="B512" s="2" t="s">
        <v>2430</v>
      </c>
      <c r="C512" s="2" t="s">
        <v>1245</v>
      </c>
      <c r="D512" s="2">
        <v>5100</v>
      </c>
      <c r="E512" s="2">
        <v>100</v>
      </c>
      <c r="F512" s="60">
        <v>101.5</v>
      </c>
      <c r="G512" s="303">
        <f t="shared" si="89"/>
        <v>10150</v>
      </c>
      <c r="H512" s="60">
        <v>18</v>
      </c>
      <c r="I512" s="312"/>
      <c r="J512" s="312"/>
      <c r="K512" s="312"/>
      <c r="L512" s="60">
        <f t="shared" si="97"/>
        <v>18</v>
      </c>
      <c r="M512" s="303">
        <f t="shared" si="95"/>
        <v>10132</v>
      </c>
      <c r="N512" s="304" t="s">
        <v>2062</v>
      </c>
      <c r="O512" s="304" t="s">
        <v>369</v>
      </c>
      <c r="Q512" s="247"/>
    </row>
    <row r="513" spans="1:18" ht="12.75" customHeight="1" x14ac:dyDescent="0.25">
      <c r="A513" s="16" t="s">
        <v>2061</v>
      </c>
      <c r="B513" s="2" t="s">
        <v>2430</v>
      </c>
      <c r="C513" s="2" t="s">
        <v>1249</v>
      </c>
      <c r="D513" s="2">
        <v>5100</v>
      </c>
      <c r="E513" s="2">
        <v>650</v>
      </c>
      <c r="F513" s="60">
        <v>15.3</v>
      </c>
      <c r="G513" s="303">
        <f t="shared" si="89"/>
        <v>9945</v>
      </c>
      <c r="H513" s="60">
        <v>117</v>
      </c>
      <c r="I513" s="312"/>
      <c r="J513" s="312"/>
      <c r="K513" s="312"/>
      <c r="L513" s="60">
        <f t="shared" si="97"/>
        <v>117</v>
      </c>
      <c r="M513" s="303">
        <f t="shared" si="95"/>
        <v>9828</v>
      </c>
      <c r="N513" s="304" t="s">
        <v>2064</v>
      </c>
      <c r="O513" s="304" t="s">
        <v>369</v>
      </c>
    </row>
    <row r="514" spans="1:18" ht="12.75" customHeight="1" x14ac:dyDescent="0.25">
      <c r="A514" s="16" t="s">
        <v>2061</v>
      </c>
      <c r="B514" s="2" t="s">
        <v>2430</v>
      </c>
      <c r="C514" s="2" t="s">
        <v>1249</v>
      </c>
      <c r="D514" s="2">
        <v>5100</v>
      </c>
      <c r="E514" s="2">
        <v>50</v>
      </c>
      <c r="F514" s="60">
        <v>15.3</v>
      </c>
      <c r="G514" s="303">
        <f t="shared" si="89"/>
        <v>765</v>
      </c>
      <c r="H514" s="60">
        <v>9</v>
      </c>
      <c r="I514" s="312"/>
      <c r="J514" s="312"/>
      <c r="K514" s="302"/>
      <c r="L514" s="60">
        <f t="shared" si="97"/>
        <v>9</v>
      </c>
      <c r="M514" s="303">
        <f t="shared" si="95"/>
        <v>756</v>
      </c>
      <c r="N514" s="304" t="s">
        <v>2064</v>
      </c>
      <c r="O514" s="304" t="s">
        <v>369</v>
      </c>
    </row>
    <row r="515" spans="1:18" ht="12.75" customHeight="1" x14ac:dyDescent="0.25">
      <c r="A515" s="16" t="s">
        <v>2063</v>
      </c>
      <c r="B515" s="2" t="s">
        <v>2430</v>
      </c>
      <c r="C515" s="2" t="s">
        <v>1249</v>
      </c>
      <c r="D515" s="2">
        <v>4900</v>
      </c>
      <c r="E515" s="2">
        <v>50</v>
      </c>
      <c r="F515" s="60">
        <v>28.6</v>
      </c>
      <c r="G515" s="303">
        <f t="shared" si="89"/>
        <v>1430</v>
      </c>
      <c r="H515" s="60">
        <v>9</v>
      </c>
      <c r="I515" s="312"/>
      <c r="J515" s="312"/>
      <c r="K515" s="302"/>
      <c r="L515" s="60">
        <f t="shared" si="97"/>
        <v>9</v>
      </c>
      <c r="M515" s="303">
        <f t="shared" si="95"/>
        <v>1421</v>
      </c>
      <c r="N515" s="304" t="s">
        <v>2067</v>
      </c>
      <c r="O515" s="304" t="s">
        <v>369</v>
      </c>
    </row>
    <row r="516" spans="1:18" ht="12.75" customHeight="1" x14ac:dyDescent="0.25">
      <c r="A516" s="16" t="s">
        <v>2063</v>
      </c>
      <c r="B516" s="2" t="s">
        <v>2430</v>
      </c>
      <c r="C516" s="2" t="s">
        <v>1249</v>
      </c>
      <c r="D516" s="2">
        <v>4900</v>
      </c>
      <c r="E516" s="2">
        <v>250</v>
      </c>
      <c r="F516" s="60">
        <v>28.55</v>
      </c>
      <c r="G516" s="303">
        <f t="shared" si="89"/>
        <v>7137.5</v>
      </c>
      <c r="H516" s="60">
        <v>45</v>
      </c>
      <c r="I516" s="317"/>
      <c r="J516" s="317"/>
      <c r="K516" s="302"/>
      <c r="L516" s="60">
        <f t="shared" si="97"/>
        <v>45</v>
      </c>
      <c r="M516" s="303">
        <f t="shared" si="95"/>
        <v>7092.5</v>
      </c>
      <c r="N516" s="304" t="s">
        <v>2067</v>
      </c>
      <c r="O516" s="304" t="s">
        <v>369</v>
      </c>
    </row>
    <row r="517" spans="1:18" ht="12.75" customHeight="1" x14ac:dyDescent="0.25">
      <c r="A517" s="16" t="s">
        <v>2063</v>
      </c>
      <c r="B517" s="2" t="s">
        <v>2068</v>
      </c>
      <c r="C517" s="2" t="s">
        <v>1249</v>
      </c>
      <c r="D517" s="2">
        <v>4900</v>
      </c>
      <c r="E517" s="2">
        <v>100</v>
      </c>
      <c r="F517" s="60">
        <v>150</v>
      </c>
      <c r="G517" s="303">
        <f t="shared" si="89"/>
        <v>15000</v>
      </c>
      <c r="H517" s="60">
        <v>18</v>
      </c>
      <c r="I517" s="315"/>
      <c r="J517" s="315"/>
      <c r="K517" s="302"/>
      <c r="L517" s="60">
        <f t="shared" si="97"/>
        <v>18</v>
      </c>
      <c r="M517" s="303">
        <f t="shared" si="95"/>
        <v>14982</v>
      </c>
      <c r="N517" s="304" t="s">
        <v>2067</v>
      </c>
      <c r="O517" s="304" t="s">
        <v>369</v>
      </c>
    </row>
    <row r="518" spans="1:18" ht="12.75" customHeight="1" x14ac:dyDescent="0.25">
      <c r="A518" s="16" t="s">
        <v>1365</v>
      </c>
      <c r="B518" s="2" t="s">
        <v>2430</v>
      </c>
      <c r="C518" s="2" t="s">
        <v>1245</v>
      </c>
      <c r="D518" s="2">
        <v>4900</v>
      </c>
      <c r="E518" s="2">
        <v>100</v>
      </c>
      <c r="F518" s="60">
        <v>20</v>
      </c>
      <c r="G518" s="303">
        <f t="shared" si="89"/>
        <v>2000</v>
      </c>
      <c r="H518" s="60">
        <v>18</v>
      </c>
      <c r="I518" s="307"/>
      <c r="J518" s="311"/>
      <c r="K518" s="302"/>
      <c r="L518" s="60">
        <f t="shared" ref="L518:L526" si="98">SUM(H518:K518)</f>
        <v>18</v>
      </c>
      <c r="M518" s="303">
        <f t="shared" ref="M518:M526" si="99">G518-L518</f>
        <v>1982</v>
      </c>
      <c r="N518" s="304" t="s">
        <v>1366</v>
      </c>
      <c r="O518" s="304" t="s">
        <v>369</v>
      </c>
    </row>
    <row r="519" spans="1:18" ht="12.75" customHeight="1" x14ac:dyDescent="0.25">
      <c r="A519" s="16" t="s">
        <v>1365</v>
      </c>
      <c r="B519" s="2" t="s">
        <v>2430</v>
      </c>
      <c r="C519" s="2" t="s">
        <v>1249</v>
      </c>
      <c r="D519" s="2">
        <v>4900</v>
      </c>
      <c r="E519" s="2">
        <v>200</v>
      </c>
      <c r="F519" s="60">
        <v>75.3</v>
      </c>
      <c r="G519" s="303">
        <f t="shared" si="89"/>
        <v>15060</v>
      </c>
      <c r="H519" s="60">
        <v>36</v>
      </c>
      <c r="I519" s="60">
        <v>8.7899999999999991</v>
      </c>
      <c r="J519" s="304">
        <v>13.3</v>
      </c>
      <c r="K519" s="60">
        <v>4</v>
      </c>
      <c r="L519" s="60">
        <f t="shared" si="98"/>
        <v>62.09</v>
      </c>
      <c r="M519" s="303">
        <f t="shared" si="99"/>
        <v>14997.91</v>
      </c>
      <c r="N519" s="304" t="s">
        <v>1366</v>
      </c>
      <c r="O519" s="304" t="s">
        <v>369</v>
      </c>
    </row>
    <row r="520" spans="1:18" ht="12.75" customHeight="1" x14ac:dyDescent="0.25">
      <c r="A520" s="16" t="s">
        <v>1367</v>
      </c>
      <c r="B520" s="2" t="s">
        <v>2430</v>
      </c>
      <c r="C520" s="2" t="s">
        <v>1245</v>
      </c>
      <c r="D520" s="2">
        <v>4900</v>
      </c>
      <c r="E520" s="2">
        <v>100</v>
      </c>
      <c r="F520" s="60">
        <v>3.65</v>
      </c>
      <c r="G520" s="303">
        <f t="shared" ref="G520:G557" si="100">E520*F520</f>
        <v>365</v>
      </c>
      <c r="H520" s="60">
        <v>18</v>
      </c>
      <c r="I520" s="60">
        <v>3.84</v>
      </c>
      <c r="J520" s="304">
        <v>1.25</v>
      </c>
      <c r="K520" s="60">
        <v>1</v>
      </c>
      <c r="L520" s="60">
        <f t="shared" si="98"/>
        <v>24.09</v>
      </c>
      <c r="M520" s="303">
        <f t="shared" si="99"/>
        <v>340.91</v>
      </c>
      <c r="N520" s="304" t="s">
        <v>1368</v>
      </c>
      <c r="O520" s="304" t="s">
        <v>369</v>
      </c>
    </row>
    <row r="521" spans="1:18" ht="12.75" customHeight="1" x14ac:dyDescent="0.25">
      <c r="A521" s="16" t="s">
        <v>521</v>
      </c>
      <c r="B521" s="2" t="s">
        <v>2068</v>
      </c>
      <c r="C521" s="2" t="s">
        <v>1249</v>
      </c>
      <c r="D521" s="2">
        <v>5100</v>
      </c>
      <c r="E521" s="2">
        <v>50</v>
      </c>
      <c r="F521" s="60">
        <v>74</v>
      </c>
      <c r="G521" s="303">
        <f t="shared" si="100"/>
        <v>3700</v>
      </c>
      <c r="H521" s="60">
        <v>9</v>
      </c>
      <c r="I521" s="312"/>
      <c r="J521" s="312"/>
      <c r="K521" s="302"/>
      <c r="L521" s="60">
        <f t="shared" si="98"/>
        <v>9</v>
      </c>
      <c r="M521" s="303">
        <f t="shared" si="99"/>
        <v>3691</v>
      </c>
      <c r="N521" s="304" t="s">
        <v>522</v>
      </c>
      <c r="O521" s="304" t="s">
        <v>369</v>
      </c>
    </row>
    <row r="522" spans="1:18" ht="13.2" x14ac:dyDescent="0.25">
      <c r="A522" s="16" t="s">
        <v>521</v>
      </c>
      <c r="B522" s="2" t="s">
        <v>2068</v>
      </c>
      <c r="C522" s="2" t="s">
        <v>1249</v>
      </c>
      <c r="D522" s="2">
        <v>5100</v>
      </c>
      <c r="E522" s="2">
        <v>150</v>
      </c>
      <c r="F522" s="60">
        <v>74</v>
      </c>
      <c r="G522" s="303">
        <f t="shared" si="100"/>
        <v>11100</v>
      </c>
      <c r="H522" s="60">
        <v>27</v>
      </c>
      <c r="I522" s="247">
        <v>13.19</v>
      </c>
      <c r="J522" s="304">
        <v>38.020000000000003</v>
      </c>
      <c r="K522" s="60">
        <v>5</v>
      </c>
      <c r="L522" s="60">
        <f t="shared" si="98"/>
        <v>83.210000000000008</v>
      </c>
      <c r="M522" s="303">
        <f t="shared" si="99"/>
        <v>11016.79</v>
      </c>
      <c r="N522" s="304" t="s">
        <v>522</v>
      </c>
      <c r="O522" s="304" t="s">
        <v>369</v>
      </c>
      <c r="Q522" s="247"/>
      <c r="R522" s="247"/>
    </row>
    <row r="523" spans="1:18" ht="13.2" x14ac:dyDescent="0.25">
      <c r="A523" s="16" t="s">
        <v>2279</v>
      </c>
      <c r="B523" s="2" t="s">
        <v>2068</v>
      </c>
      <c r="C523" s="2" t="s">
        <v>1249</v>
      </c>
      <c r="D523" s="2">
        <v>4800</v>
      </c>
      <c r="E523" s="2">
        <v>100</v>
      </c>
      <c r="F523" s="60">
        <v>159.5</v>
      </c>
      <c r="G523" s="303">
        <f t="shared" si="100"/>
        <v>15950</v>
      </c>
      <c r="H523" s="60">
        <v>18</v>
      </c>
      <c r="I523" s="60">
        <v>5.99</v>
      </c>
      <c r="J523" s="304">
        <v>22.11</v>
      </c>
      <c r="K523" s="60">
        <v>4</v>
      </c>
      <c r="L523" s="60">
        <f t="shared" si="98"/>
        <v>50.1</v>
      </c>
      <c r="M523" s="303">
        <f t="shared" si="99"/>
        <v>15899.9</v>
      </c>
      <c r="N523" s="304" t="s">
        <v>2280</v>
      </c>
      <c r="O523" s="304" t="s">
        <v>369</v>
      </c>
      <c r="Q523" s="247"/>
    </row>
    <row r="524" spans="1:18" ht="12.75" customHeight="1" x14ac:dyDescent="0.25">
      <c r="A524" s="16" t="s">
        <v>2282</v>
      </c>
      <c r="B524" s="2" t="s">
        <v>2068</v>
      </c>
      <c r="C524" s="2" t="s">
        <v>1249</v>
      </c>
      <c r="D524" s="2">
        <v>4800</v>
      </c>
      <c r="E524" s="2">
        <v>200</v>
      </c>
      <c r="F524" s="60">
        <v>210</v>
      </c>
      <c r="G524" s="303">
        <f t="shared" si="100"/>
        <v>42000</v>
      </c>
      <c r="H524" s="60">
        <v>36</v>
      </c>
      <c r="I524" s="60">
        <v>10.99</v>
      </c>
      <c r="J524" s="304">
        <v>43.69</v>
      </c>
      <c r="K524" s="60">
        <v>9</v>
      </c>
      <c r="L524" s="60">
        <f t="shared" si="98"/>
        <v>99.68</v>
      </c>
      <c r="M524" s="303">
        <f t="shared" si="99"/>
        <v>41900.32</v>
      </c>
      <c r="N524" s="304" t="s">
        <v>2283</v>
      </c>
      <c r="O524" s="304" t="s">
        <v>369</v>
      </c>
    </row>
    <row r="525" spans="1:18" ht="12.75" customHeight="1" x14ac:dyDescent="0.25">
      <c r="A525" s="16" t="s">
        <v>2284</v>
      </c>
      <c r="B525" s="2" t="s">
        <v>2068</v>
      </c>
      <c r="C525" s="2" t="s">
        <v>1249</v>
      </c>
      <c r="D525" s="2">
        <v>4900</v>
      </c>
      <c r="E525" s="2">
        <v>150</v>
      </c>
      <c r="F525" s="60">
        <v>146.55000000000001</v>
      </c>
      <c r="G525" s="303">
        <f t="shared" si="100"/>
        <v>21982.5</v>
      </c>
      <c r="H525" s="60">
        <v>27</v>
      </c>
      <c r="I525" s="312"/>
      <c r="J525" s="317"/>
      <c r="K525" s="302"/>
      <c r="L525" s="60">
        <f t="shared" si="98"/>
        <v>27</v>
      </c>
      <c r="M525" s="303">
        <f t="shared" si="99"/>
        <v>21955.5</v>
      </c>
      <c r="N525" s="304" t="s">
        <v>2285</v>
      </c>
      <c r="O525" s="304" t="s">
        <v>369</v>
      </c>
    </row>
    <row r="526" spans="1:18" ht="12.75" customHeight="1" x14ac:dyDescent="0.25">
      <c r="A526" s="16" t="s">
        <v>2284</v>
      </c>
      <c r="B526" s="2" t="s">
        <v>2068</v>
      </c>
      <c r="C526" s="2" t="s">
        <v>1245</v>
      </c>
      <c r="D526" s="2">
        <v>4900</v>
      </c>
      <c r="E526" s="2">
        <v>100</v>
      </c>
      <c r="F526" s="60">
        <v>99.1</v>
      </c>
      <c r="G526" s="303">
        <f t="shared" si="100"/>
        <v>9910</v>
      </c>
      <c r="H526" s="60">
        <v>18</v>
      </c>
      <c r="I526" s="312"/>
      <c r="J526" s="317"/>
      <c r="K526" s="302"/>
      <c r="L526" s="60">
        <f t="shared" si="98"/>
        <v>18</v>
      </c>
      <c r="M526" s="303">
        <f t="shared" si="99"/>
        <v>9892</v>
      </c>
      <c r="N526" s="304" t="s">
        <v>2285</v>
      </c>
      <c r="O526" s="304" t="s">
        <v>369</v>
      </c>
    </row>
    <row r="527" spans="1:18" ht="12.75" customHeight="1" x14ac:dyDescent="0.25">
      <c r="A527" s="16" t="s">
        <v>1567</v>
      </c>
      <c r="B527" s="2" t="s">
        <v>2068</v>
      </c>
      <c r="C527" s="2" t="s">
        <v>1249</v>
      </c>
      <c r="D527" s="2">
        <v>4900</v>
      </c>
      <c r="E527" s="2">
        <v>50</v>
      </c>
      <c r="F527" s="60">
        <v>200.3</v>
      </c>
      <c r="G527" s="303">
        <f t="shared" si="100"/>
        <v>10015</v>
      </c>
      <c r="H527" s="60">
        <v>9</v>
      </c>
      <c r="I527" s="312"/>
      <c r="J527" s="312"/>
      <c r="K527" s="302"/>
      <c r="L527" s="60">
        <f t="shared" ref="L527:L535" si="101">SUM(H527:K527)</f>
        <v>9</v>
      </c>
      <c r="M527" s="303">
        <f t="shared" ref="M527:M535" si="102">G527-L527</f>
        <v>10006</v>
      </c>
      <c r="N527" s="304" t="s">
        <v>1569</v>
      </c>
      <c r="O527" s="304" t="s">
        <v>369</v>
      </c>
    </row>
    <row r="528" spans="1:18" ht="12.75" customHeight="1" x14ac:dyDescent="0.25">
      <c r="A528" s="16" t="s">
        <v>1567</v>
      </c>
      <c r="B528" s="2" t="s">
        <v>2068</v>
      </c>
      <c r="C528" s="2" t="s">
        <v>1249</v>
      </c>
      <c r="D528" s="2">
        <v>4900</v>
      </c>
      <c r="E528" s="2">
        <v>100</v>
      </c>
      <c r="F528" s="60">
        <v>180.55</v>
      </c>
      <c r="G528" s="303">
        <f t="shared" si="100"/>
        <v>18055</v>
      </c>
      <c r="H528" s="60">
        <v>18</v>
      </c>
      <c r="I528" s="307"/>
      <c r="J528" s="311"/>
      <c r="K528" s="302"/>
      <c r="L528" s="60">
        <f t="shared" si="101"/>
        <v>18</v>
      </c>
      <c r="M528" s="303">
        <f t="shared" si="102"/>
        <v>18037</v>
      </c>
      <c r="N528" s="304" t="s">
        <v>1569</v>
      </c>
      <c r="O528" s="304" t="s">
        <v>369</v>
      </c>
    </row>
    <row r="529" spans="1:18" ht="12.75" customHeight="1" x14ac:dyDescent="0.25">
      <c r="A529" s="16" t="s">
        <v>1567</v>
      </c>
      <c r="B529" s="2" t="s">
        <v>2068</v>
      </c>
      <c r="C529" s="2" t="s">
        <v>1249</v>
      </c>
      <c r="D529" s="2">
        <v>5100</v>
      </c>
      <c r="E529" s="2">
        <v>100</v>
      </c>
      <c r="F529" s="60">
        <v>64</v>
      </c>
      <c r="G529" s="303">
        <f t="shared" si="100"/>
        <v>6400</v>
      </c>
      <c r="H529" s="60">
        <v>18</v>
      </c>
      <c r="I529" s="315"/>
      <c r="J529" s="315"/>
      <c r="K529" s="302"/>
      <c r="L529" s="60">
        <f t="shared" si="101"/>
        <v>18</v>
      </c>
      <c r="M529" s="303">
        <f t="shared" si="102"/>
        <v>6382</v>
      </c>
      <c r="N529" s="304" t="s">
        <v>1569</v>
      </c>
      <c r="O529" s="304" t="s">
        <v>369</v>
      </c>
    </row>
    <row r="530" spans="1:18" ht="12.75" customHeight="1" x14ac:dyDescent="0.25">
      <c r="A530" s="16" t="s">
        <v>1573</v>
      </c>
      <c r="B530" s="2" t="s">
        <v>2068</v>
      </c>
      <c r="C530" s="2" t="s">
        <v>1249</v>
      </c>
      <c r="D530" s="2">
        <v>4900</v>
      </c>
      <c r="E530" s="2">
        <v>200</v>
      </c>
      <c r="F530" s="60">
        <v>240.5</v>
      </c>
      <c r="G530" s="303">
        <f t="shared" si="100"/>
        <v>48100</v>
      </c>
      <c r="H530" s="60">
        <v>36</v>
      </c>
      <c r="I530" s="312"/>
      <c r="J530" s="312"/>
      <c r="K530" s="302"/>
      <c r="L530" s="60">
        <f t="shared" si="101"/>
        <v>36</v>
      </c>
      <c r="M530" s="303">
        <f t="shared" si="102"/>
        <v>48064</v>
      </c>
      <c r="N530" s="304" t="s">
        <v>1575</v>
      </c>
      <c r="O530" s="304" t="s">
        <v>369</v>
      </c>
    </row>
    <row r="531" spans="1:18" ht="12.75" customHeight="1" x14ac:dyDescent="0.25">
      <c r="A531" s="16" t="s">
        <v>1576</v>
      </c>
      <c r="B531" s="2" t="s">
        <v>2068</v>
      </c>
      <c r="C531" s="2" t="s">
        <v>1249</v>
      </c>
      <c r="D531" s="2">
        <v>5200</v>
      </c>
      <c r="E531" s="2">
        <v>50</v>
      </c>
      <c r="F531" s="60">
        <v>45</v>
      </c>
      <c r="G531" s="303">
        <f t="shared" si="100"/>
        <v>2250</v>
      </c>
      <c r="H531" s="60">
        <v>9</v>
      </c>
      <c r="I531" s="312"/>
      <c r="J531" s="312"/>
      <c r="K531" s="302"/>
      <c r="L531" s="60">
        <f t="shared" si="101"/>
        <v>9</v>
      </c>
      <c r="M531" s="303">
        <f t="shared" si="102"/>
        <v>2241</v>
      </c>
      <c r="N531" s="304" t="s">
        <v>1581</v>
      </c>
      <c r="O531" s="304" t="s">
        <v>369</v>
      </c>
    </row>
    <row r="532" spans="1:18" ht="12.75" customHeight="1" x14ac:dyDescent="0.25">
      <c r="A532" s="16" t="s">
        <v>1576</v>
      </c>
      <c r="B532" s="2" t="s">
        <v>2068</v>
      </c>
      <c r="C532" s="2" t="s">
        <v>1249</v>
      </c>
      <c r="D532" s="2">
        <v>5200</v>
      </c>
      <c r="E532" s="2">
        <v>100</v>
      </c>
      <c r="F532" s="60">
        <v>45</v>
      </c>
      <c r="G532" s="303">
        <f t="shared" si="100"/>
        <v>4500</v>
      </c>
      <c r="H532" s="60">
        <v>18</v>
      </c>
      <c r="I532" s="312"/>
      <c r="J532" s="312"/>
      <c r="K532" s="302"/>
      <c r="L532" s="60">
        <f t="shared" si="101"/>
        <v>18</v>
      </c>
      <c r="M532" s="303">
        <f t="shared" si="102"/>
        <v>4482</v>
      </c>
      <c r="N532" s="304" t="s">
        <v>1581</v>
      </c>
      <c r="O532" s="304" t="s">
        <v>369</v>
      </c>
    </row>
    <row r="533" spans="1:18" ht="12.75" customHeight="1" x14ac:dyDescent="0.25">
      <c r="A533" s="16" t="s">
        <v>1576</v>
      </c>
      <c r="B533" s="2" t="s">
        <v>2068</v>
      </c>
      <c r="C533" s="2" t="s">
        <v>1245</v>
      </c>
      <c r="D533" s="2">
        <v>5000</v>
      </c>
      <c r="E533" s="2">
        <v>100</v>
      </c>
      <c r="F533" s="60">
        <v>39</v>
      </c>
      <c r="G533" s="303">
        <f t="shared" si="100"/>
        <v>3900</v>
      </c>
      <c r="H533" s="60">
        <v>18</v>
      </c>
      <c r="I533" s="312"/>
      <c r="J533" s="315"/>
      <c r="K533" s="302"/>
      <c r="L533" s="60">
        <f t="shared" si="101"/>
        <v>18</v>
      </c>
      <c r="M533" s="303">
        <f t="shared" si="102"/>
        <v>3882</v>
      </c>
      <c r="N533" s="304" t="s">
        <v>1581</v>
      </c>
      <c r="O533" s="304" t="s">
        <v>369</v>
      </c>
    </row>
    <row r="534" spans="1:18" ht="13.2" x14ac:dyDescent="0.25">
      <c r="A534" s="16" t="s">
        <v>1582</v>
      </c>
      <c r="B534" s="2" t="s">
        <v>2068</v>
      </c>
      <c r="C534" s="2" t="s">
        <v>1249</v>
      </c>
      <c r="D534" s="2">
        <v>5200</v>
      </c>
      <c r="E534" s="2">
        <v>200</v>
      </c>
      <c r="F534" s="60">
        <v>40.15</v>
      </c>
      <c r="G534" s="303">
        <f t="shared" si="100"/>
        <v>8030</v>
      </c>
      <c r="H534" s="60">
        <v>36</v>
      </c>
      <c r="I534" s="60">
        <v>4.3</v>
      </c>
      <c r="J534" s="319">
        <v>5.7</v>
      </c>
      <c r="K534" s="60">
        <v>2</v>
      </c>
      <c r="L534" s="60">
        <f t="shared" si="101"/>
        <v>48</v>
      </c>
      <c r="M534" s="303">
        <f t="shared" si="102"/>
        <v>7982</v>
      </c>
      <c r="N534" s="304" t="s">
        <v>1580</v>
      </c>
      <c r="O534" s="304" t="s">
        <v>369</v>
      </c>
      <c r="Q534" s="247"/>
      <c r="R534" s="247"/>
    </row>
    <row r="535" spans="1:18" ht="13.2" x14ac:dyDescent="0.25">
      <c r="A535" s="16" t="s">
        <v>1583</v>
      </c>
      <c r="B535" s="2" t="s">
        <v>2068</v>
      </c>
      <c r="C535" s="2" t="s">
        <v>1249</v>
      </c>
      <c r="D535" s="2">
        <v>5100</v>
      </c>
      <c r="E535" s="2">
        <v>200</v>
      </c>
      <c r="F535" s="60">
        <v>33.799999999999997</v>
      </c>
      <c r="G535" s="303">
        <f t="shared" si="100"/>
        <v>6759.9999999999991</v>
      </c>
      <c r="H535" s="60">
        <v>36</v>
      </c>
      <c r="I535" s="307"/>
      <c r="J535" s="323"/>
      <c r="K535" s="302"/>
      <c r="L535" s="60">
        <f t="shared" si="101"/>
        <v>36</v>
      </c>
      <c r="M535" s="303">
        <f t="shared" si="102"/>
        <v>6723.9999999999991</v>
      </c>
      <c r="N535" s="304" t="s">
        <v>1584</v>
      </c>
      <c r="O535" s="304" t="s">
        <v>369</v>
      </c>
      <c r="Q535" s="247"/>
    </row>
    <row r="536" spans="1:18" ht="12.75" customHeight="1" x14ac:dyDescent="0.25">
      <c r="A536" s="16" t="s">
        <v>718</v>
      </c>
      <c r="B536" s="2" t="s">
        <v>2068</v>
      </c>
      <c r="C536" s="2" t="s">
        <v>1249</v>
      </c>
      <c r="D536" s="2">
        <v>5100</v>
      </c>
      <c r="E536" s="2">
        <v>50</v>
      </c>
      <c r="F536" s="60">
        <v>45.4</v>
      </c>
      <c r="G536" s="303">
        <f t="shared" si="100"/>
        <v>2270</v>
      </c>
      <c r="H536" s="60">
        <v>9</v>
      </c>
      <c r="I536" s="307"/>
      <c r="J536" s="323"/>
      <c r="K536" s="302"/>
      <c r="L536" s="60">
        <f t="shared" ref="L536:L560" si="103">SUM(H536:K536)</f>
        <v>9</v>
      </c>
      <c r="M536" s="303">
        <f t="shared" ref="M536:M560" si="104">G536-L536</f>
        <v>2261</v>
      </c>
      <c r="N536" s="304" t="s">
        <v>719</v>
      </c>
      <c r="O536" s="304" t="s">
        <v>369</v>
      </c>
    </row>
    <row r="537" spans="1:18" ht="12.75" customHeight="1" x14ac:dyDescent="0.25">
      <c r="A537" s="16" t="s">
        <v>718</v>
      </c>
      <c r="B537" s="2" t="s">
        <v>2068</v>
      </c>
      <c r="C537" s="2" t="s">
        <v>1249</v>
      </c>
      <c r="D537" s="2">
        <v>5100</v>
      </c>
      <c r="E537" s="2">
        <v>100</v>
      </c>
      <c r="F537" s="60">
        <v>45.35</v>
      </c>
      <c r="G537" s="303">
        <f t="shared" si="100"/>
        <v>4535</v>
      </c>
      <c r="H537" s="60">
        <v>18</v>
      </c>
      <c r="I537" s="312"/>
      <c r="J537" s="312"/>
      <c r="K537" s="302"/>
      <c r="L537" s="60">
        <f t="shared" si="103"/>
        <v>18</v>
      </c>
      <c r="M537" s="303">
        <f t="shared" si="104"/>
        <v>4517</v>
      </c>
      <c r="N537" s="304" t="s">
        <v>719</v>
      </c>
      <c r="O537" s="304" t="s">
        <v>369</v>
      </c>
    </row>
    <row r="538" spans="1:18" ht="12.75" customHeight="1" x14ac:dyDescent="0.25">
      <c r="A538" s="16" t="s">
        <v>718</v>
      </c>
      <c r="B538" s="2" t="s">
        <v>2068</v>
      </c>
      <c r="C538" s="2" t="s">
        <v>1249</v>
      </c>
      <c r="D538" s="2">
        <v>5100</v>
      </c>
      <c r="E538" s="2">
        <v>200</v>
      </c>
      <c r="F538" s="60">
        <v>35.299999999999997</v>
      </c>
      <c r="G538" s="303">
        <f t="shared" si="100"/>
        <v>7059.9999999999991</v>
      </c>
      <c r="H538" s="60">
        <v>36</v>
      </c>
      <c r="I538" s="312"/>
      <c r="J538" s="312"/>
      <c r="K538" s="302"/>
      <c r="L538" s="60">
        <f t="shared" si="103"/>
        <v>36</v>
      </c>
      <c r="M538" s="303">
        <f t="shared" si="104"/>
        <v>7023.9999999999991</v>
      </c>
      <c r="N538" s="304" t="s">
        <v>719</v>
      </c>
      <c r="O538" s="304" t="s">
        <v>369</v>
      </c>
    </row>
    <row r="539" spans="1:18" ht="12.75" customHeight="1" x14ac:dyDescent="0.25">
      <c r="A539" s="16" t="s">
        <v>718</v>
      </c>
      <c r="B539" s="2" t="s">
        <v>2068</v>
      </c>
      <c r="C539" s="2" t="s">
        <v>1249</v>
      </c>
      <c r="D539" s="2">
        <v>5100</v>
      </c>
      <c r="E539" s="2">
        <v>100</v>
      </c>
      <c r="F539" s="60">
        <v>53</v>
      </c>
      <c r="G539" s="303">
        <f t="shared" si="100"/>
        <v>5300</v>
      </c>
      <c r="H539" s="60">
        <v>18</v>
      </c>
      <c r="I539" s="247">
        <v>22.18</v>
      </c>
      <c r="J539" s="247">
        <v>26.29</v>
      </c>
      <c r="K539" s="60">
        <v>4</v>
      </c>
      <c r="L539" s="60">
        <f t="shared" si="103"/>
        <v>70.47</v>
      </c>
      <c r="M539" s="303">
        <f t="shared" si="104"/>
        <v>5229.53</v>
      </c>
      <c r="N539" s="304" t="s">
        <v>719</v>
      </c>
      <c r="O539" s="304" t="s">
        <v>369</v>
      </c>
    </row>
    <row r="540" spans="1:18" ht="12.75" customHeight="1" x14ac:dyDescent="0.25">
      <c r="A540" s="16" t="s">
        <v>721</v>
      </c>
      <c r="B540" s="2" t="s">
        <v>2068</v>
      </c>
      <c r="C540" s="2" t="s">
        <v>1249</v>
      </c>
      <c r="D540" s="2">
        <v>5200</v>
      </c>
      <c r="E540" s="2">
        <v>300</v>
      </c>
      <c r="F540" s="60">
        <v>18</v>
      </c>
      <c r="G540" s="303">
        <f t="shared" si="100"/>
        <v>5400</v>
      </c>
      <c r="H540" s="60">
        <v>54</v>
      </c>
      <c r="I540" s="312"/>
      <c r="J540" s="312"/>
      <c r="K540" s="302"/>
      <c r="L540" s="60">
        <f t="shared" si="103"/>
        <v>54</v>
      </c>
      <c r="M540" s="303">
        <f t="shared" si="104"/>
        <v>5346</v>
      </c>
      <c r="N540" s="304" t="s">
        <v>722</v>
      </c>
      <c r="O540" s="304" t="s">
        <v>369</v>
      </c>
    </row>
    <row r="541" spans="1:18" ht="12.75" customHeight="1" x14ac:dyDescent="0.25">
      <c r="A541" s="16" t="s">
        <v>723</v>
      </c>
      <c r="B541" s="2" t="s">
        <v>2068</v>
      </c>
      <c r="C541" s="2" t="s">
        <v>1249</v>
      </c>
      <c r="D541" s="2">
        <v>5100</v>
      </c>
      <c r="E541" s="2">
        <v>150</v>
      </c>
      <c r="F541" s="60">
        <v>70</v>
      </c>
      <c r="G541" s="303">
        <f t="shared" si="100"/>
        <v>10500</v>
      </c>
      <c r="H541" s="60">
        <v>27</v>
      </c>
      <c r="I541" s="307"/>
      <c r="J541" s="307"/>
      <c r="K541" s="302"/>
      <c r="L541" s="60">
        <f t="shared" si="103"/>
        <v>27</v>
      </c>
      <c r="M541" s="303">
        <f t="shared" si="104"/>
        <v>10473</v>
      </c>
      <c r="N541" s="304" t="s">
        <v>724</v>
      </c>
      <c r="O541" s="304" t="s">
        <v>369</v>
      </c>
    </row>
    <row r="542" spans="1:18" ht="12.75" customHeight="1" x14ac:dyDescent="0.25">
      <c r="A542" s="16" t="s">
        <v>723</v>
      </c>
      <c r="B542" s="2" t="s">
        <v>2068</v>
      </c>
      <c r="C542" s="2" t="s">
        <v>1249</v>
      </c>
      <c r="D542" s="2">
        <v>5100</v>
      </c>
      <c r="E542" s="2">
        <v>50</v>
      </c>
      <c r="F542" s="60">
        <v>70</v>
      </c>
      <c r="G542" s="303">
        <f t="shared" si="100"/>
        <v>3500</v>
      </c>
      <c r="H542" s="60">
        <v>9</v>
      </c>
      <c r="I542" s="247">
        <v>4.7300000000000004</v>
      </c>
      <c r="J542" s="320">
        <v>9.94</v>
      </c>
      <c r="K542" s="60">
        <v>3</v>
      </c>
      <c r="L542" s="60">
        <f t="shared" si="103"/>
        <v>26.67</v>
      </c>
      <c r="M542" s="303">
        <f t="shared" si="104"/>
        <v>3473.33</v>
      </c>
      <c r="N542" s="304" t="s">
        <v>724</v>
      </c>
      <c r="O542" s="304" t="s">
        <v>369</v>
      </c>
    </row>
    <row r="543" spans="1:18" ht="12.75" customHeight="1" x14ac:dyDescent="0.25">
      <c r="A543" s="16" t="s">
        <v>728</v>
      </c>
      <c r="B543" s="16" t="s">
        <v>2068</v>
      </c>
      <c r="C543" s="2" t="s">
        <v>1245</v>
      </c>
      <c r="D543" s="2">
        <v>5100</v>
      </c>
      <c r="E543" s="2">
        <v>50</v>
      </c>
      <c r="F543" s="60">
        <v>6.6</v>
      </c>
      <c r="G543" s="303">
        <f t="shared" si="100"/>
        <v>330</v>
      </c>
      <c r="H543" s="60">
        <v>9</v>
      </c>
      <c r="I543" s="312"/>
      <c r="J543" s="307"/>
      <c r="K543" s="302"/>
      <c r="L543" s="60">
        <f t="shared" si="103"/>
        <v>9</v>
      </c>
      <c r="M543" s="303">
        <f t="shared" si="104"/>
        <v>321</v>
      </c>
      <c r="N543" s="304" t="s">
        <v>729</v>
      </c>
      <c r="O543" s="304" t="s">
        <v>369</v>
      </c>
    </row>
    <row r="544" spans="1:18" ht="12.75" customHeight="1" x14ac:dyDescent="0.25">
      <c r="A544" s="16" t="s">
        <v>728</v>
      </c>
      <c r="B544" s="16" t="s">
        <v>2068</v>
      </c>
      <c r="C544" s="2" t="s">
        <v>1245</v>
      </c>
      <c r="D544" s="2">
        <v>5100</v>
      </c>
      <c r="E544" s="2">
        <v>150</v>
      </c>
      <c r="F544" s="60">
        <v>6.55</v>
      </c>
      <c r="G544" s="303">
        <f t="shared" si="100"/>
        <v>982.5</v>
      </c>
      <c r="H544" s="60">
        <v>27</v>
      </c>
      <c r="I544" s="307"/>
      <c r="J544" s="307"/>
      <c r="K544" s="302"/>
      <c r="L544" s="60">
        <f t="shared" si="103"/>
        <v>27</v>
      </c>
      <c r="M544" s="303">
        <f t="shared" si="104"/>
        <v>955.5</v>
      </c>
      <c r="N544" s="304" t="s">
        <v>729</v>
      </c>
      <c r="O544" s="304" t="s">
        <v>369</v>
      </c>
    </row>
    <row r="545" spans="1:18" ht="13.2" x14ac:dyDescent="0.25">
      <c r="A545" s="16" t="s">
        <v>728</v>
      </c>
      <c r="B545" s="16" t="s">
        <v>2068</v>
      </c>
      <c r="C545" s="2" t="s">
        <v>1245</v>
      </c>
      <c r="D545" s="2">
        <v>5100</v>
      </c>
      <c r="E545" s="2">
        <v>100</v>
      </c>
      <c r="F545" s="60">
        <v>18.25</v>
      </c>
      <c r="G545" s="303">
        <f t="shared" si="100"/>
        <v>1825</v>
      </c>
      <c r="H545" s="60">
        <v>18</v>
      </c>
      <c r="I545" s="320">
        <v>11.71</v>
      </c>
      <c r="J545" s="320">
        <v>5.76</v>
      </c>
      <c r="K545" s="60">
        <v>3</v>
      </c>
      <c r="L545" s="60">
        <f t="shared" si="103"/>
        <v>38.47</v>
      </c>
      <c r="M545" s="303">
        <f t="shared" si="104"/>
        <v>1786.53</v>
      </c>
      <c r="N545" s="319" t="s">
        <v>729</v>
      </c>
      <c r="O545" s="304" t="s">
        <v>369</v>
      </c>
      <c r="Q545" s="247"/>
      <c r="R545" s="247"/>
    </row>
    <row r="546" spans="1:18" ht="13.2" x14ac:dyDescent="0.25">
      <c r="A546" s="16" t="s">
        <v>731</v>
      </c>
      <c r="B546" s="2" t="s">
        <v>1572</v>
      </c>
      <c r="C546" s="2" t="s">
        <v>1245</v>
      </c>
      <c r="D546" s="2">
        <v>5000</v>
      </c>
      <c r="E546" s="2">
        <v>150</v>
      </c>
      <c r="F546" s="60">
        <v>21.55</v>
      </c>
      <c r="G546" s="303">
        <f t="shared" si="100"/>
        <v>3232.5</v>
      </c>
      <c r="H546" s="60">
        <v>27</v>
      </c>
      <c r="I546" s="307"/>
      <c r="J546" s="307"/>
      <c r="K546" s="316"/>
      <c r="L546" s="60">
        <f t="shared" si="103"/>
        <v>27</v>
      </c>
      <c r="M546" s="303">
        <f t="shared" si="104"/>
        <v>3205.5</v>
      </c>
      <c r="N546" s="304" t="s">
        <v>734</v>
      </c>
      <c r="O546" s="304" t="s">
        <v>369</v>
      </c>
      <c r="Q546" s="247"/>
    </row>
    <row r="547" spans="1:18" ht="12.75" customHeight="1" x14ac:dyDescent="0.25">
      <c r="A547" s="16" t="s">
        <v>731</v>
      </c>
      <c r="B547" s="2" t="s">
        <v>1572</v>
      </c>
      <c r="C547" s="2" t="s">
        <v>1245</v>
      </c>
      <c r="D547" s="2">
        <v>5000</v>
      </c>
      <c r="E547" s="2">
        <v>50</v>
      </c>
      <c r="F547" s="60">
        <v>21.55</v>
      </c>
      <c r="G547" s="303">
        <f t="shared" si="100"/>
        <v>1077.5</v>
      </c>
      <c r="H547" s="60">
        <v>9</v>
      </c>
      <c r="I547" s="312"/>
      <c r="J547" s="312"/>
      <c r="K547" s="302"/>
      <c r="L547" s="60">
        <f t="shared" si="103"/>
        <v>9</v>
      </c>
      <c r="M547" s="303">
        <f t="shared" si="104"/>
        <v>1068.5</v>
      </c>
      <c r="N547" s="304" t="s">
        <v>734</v>
      </c>
      <c r="O547" s="304" t="s">
        <v>369</v>
      </c>
    </row>
    <row r="548" spans="1:18" ht="12.75" customHeight="1" x14ac:dyDescent="0.25">
      <c r="A548" s="16" t="s">
        <v>731</v>
      </c>
      <c r="B548" s="2" t="s">
        <v>1572</v>
      </c>
      <c r="C548" s="2" t="s">
        <v>1245</v>
      </c>
      <c r="D548" s="2">
        <v>5000</v>
      </c>
      <c r="E548" s="2">
        <v>100</v>
      </c>
      <c r="F548" s="60">
        <v>21.55</v>
      </c>
      <c r="G548" s="303">
        <f t="shared" si="100"/>
        <v>2155</v>
      </c>
      <c r="H548" s="60">
        <v>18</v>
      </c>
      <c r="I548" s="307"/>
      <c r="J548" s="312"/>
      <c r="K548" s="302"/>
      <c r="L548" s="60">
        <f t="shared" si="103"/>
        <v>18</v>
      </c>
      <c r="M548" s="303">
        <f t="shared" si="104"/>
        <v>2137</v>
      </c>
      <c r="N548" s="304" t="s">
        <v>734</v>
      </c>
      <c r="O548" s="304" t="s">
        <v>369</v>
      </c>
    </row>
    <row r="549" spans="1:18" ht="12.75" customHeight="1" x14ac:dyDescent="0.25">
      <c r="A549" s="16" t="s">
        <v>731</v>
      </c>
      <c r="B549" s="2" t="s">
        <v>1572</v>
      </c>
      <c r="C549" s="2" t="s">
        <v>1245</v>
      </c>
      <c r="D549" s="2">
        <v>5300</v>
      </c>
      <c r="E549" s="2">
        <v>100</v>
      </c>
      <c r="F549" s="60">
        <v>82.2</v>
      </c>
      <c r="G549" s="303">
        <f t="shared" si="100"/>
        <v>8220</v>
      </c>
      <c r="H549" s="60">
        <v>18</v>
      </c>
      <c r="I549" s="247">
        <v>10.95</v>
      </c>
      <c r="J549" s="247">
        <v>16.329999999999998</v>
      </c>
      <c r="K549" s="60">
        <v>4</v>
      </c>
      <c r="L549" s="60">
        <f t="shared" si="103"/>
        <v>49.28</v>
      </c>
      <c r="M549" s="303">
        <f t="shared" si="104"/>
        <v>8170.72</v>
      </c>
      <c r="N549" s="304" t="s">
        <v>734</v>
      </c>
      <c r="O549" s="304" t="s">
        <v>369</v>
      </c>
    </row>
    <row r="550" spans="1:18" ht="12.75" customHeight="1" x14ac:dyDescent="0.25">
      <c r="A550" s="325" t="s">
        <v>736</v>
      </c>
      <c r="B550" s="16" t="s">
        <v>735</v>
      </c>
      <c r="C550" s="2" t="s">
        <v>1245</v>
      </c>
      <c r="D550" s="2">
        <v>184</v>
      </c>
      <c r="E550" s="2">
        <v>2500</v>
      </c>
      <c r="F550" s="60">
        <v>4.2</v>
      </c>
      <c r="G550" s="303">
        <f t="shared" si="100"/>
        <v>10500</v>
      </c>
      <c r="H550" s="60">
        <v>18</v>
      </c>
      <c r="I550" s="307"/>
      <c r="J550" s="307"/>
      <c r="K550" s="302"/>
      <c r="L550" s="60">
        <f t="shared" si="103"/>
        <v>18</v>
      </c>
      <c r="M550" s="303">
        <f t="shared" si="104"/>
        <v>10482</v>
      </c>
      <c r="N550" s="319" t="s">
        <v>737</v>
      </c>
      <c r="O550" s="304" t="s">
        <v>369</v>
      </c>
    </row>
    <row r="551" spans="1:18" ht="12.75" customHeight="1" x14ac:dyDescent="0.25">
      <c r="A551" s="325" t="s">
        <v>736</v>
      </c>
      <c r="B551" s="16" t="s">
        <v>1572</v>
      </c>
      <c r="C551" s="2" t="s">
        <v>1245</v>
      </c>
      <c r="D551" s="2">
        <v>5200</v>
      </c>
      <c r="E551" s="2">
        <v>300</v>
      </c>
      <c r="F551" s="60">
        <v>56</v>
      </c>
      <c r="G551" s="303">
        <f t="shared" si="100"/>
        <v>16800</v>
      </c>
      <c r="H551" s="60">
        <v>54</v>
      </c>
      <c r="I551" s="320">
        <v>23.22</v>
      </c>
      <c r="J551" s="320">
        <v>45.44</v>
      </c>
      <c r="K551" s="60">
        <v>7</v>
      </c>
      <c r="L551" s="60">
        <f t="shared" si="103"/>
        <v>129.66</v>
      </c>
      <c r="M551" s="303">
        <f t="shared" si="104"/>
        <v>16670.34</v>
      </c>
      <c r="N551" s="319" t="s">
        <v>737</v>
      </c>
      <c r="O551" s="304" t="s">
        <v>369</v>
      </c>
    </row>
    <row r="552" spans="1:18" ht="12.75" customHeight="1" x14ac:dyDescent="0.25">
      <c r="A552" s="16" t="s">
        <v>738</v>
      </c>
      <c r="B552" s="2" t="s">
        <v>1572</v>
      </c>
      <c r="C552" s="2" t="s">
        <v>1249</v>
      </c>
      <c r="D552" s="2">
        <v>5500</v>
      </c>
      <c r="E552" s="2">
        <v>150</v>
      </c>
      <c r="F552" s="60">
        <v>38.4</v>
      </c>
      <c r="G552" s="303">
        <f t="shared" si="100"/>
        <v>5760</v>
      </c>
      <c r="H552" s="60">
        <v>27</v>
      </c>
      <c r="J552" s="16"/>
      <c r="K552" s="60"/>
      <c r="L552" s="60">
        <f t="shared" si="103"/>
        <v>27</v>
      </c>
      <c r="M552" s="303">
        <f t="shared" si="104"/>
        <v>5733</v>
      </c>
      <c r="N552" s="304" t="s">
        <v>739</v>
      </c>
      <c r="O552" s="304" t="s">
        <v>369</v>
      </c>
    </row>
    <row r="553" spans="1:18" ht="12.75" customHeight="1" x14ac:dyDescent="0.25">
      <c r="A553" s="16" t="s">
        <v>738</v>
      </c>
      <c r="B553" s="2" t="s">
        <v>1572</v>
      </c>
      <c r="C553" s="2" t="s">
        <v>1249</v>
      </c>
      <c r="D553" s="2">
        <v>5500</v>
      </c>
      <c r="E553" s="2">
        <v>50</v>
      </c>
      <c r="F553" s="60">
        <v>38.4</v>
      </c>
      <c r="G553" s="303">
        <f t="shared" si="100"/>
        <v>1920</v>
      </c>
      <c r="H553" s="60">
        <v>9</v>
      </c>
      <c r="I553" s="247">
        <v>11.46</v>
      </c>
      <c r="J553" s="320">
        <v>21.22</v>
      </c>
      <c r="K553" s="60">
        <v>2</v>
      </c>
      <c r="L553" s="60">
        <f t="shared" si="103"/>
        <v>43.68</v>
      </c>
      <c r="M553" s="303">
        <f t="shared" si="104"/>
        <v>1876.32</v>
      </c>
      <c r="N553" s="304" t="s">
        <v>739</v>
      </c>
      <c r="O553" s="304" t="s">
        <v>369</v>
      </c>
    </row>
    <row r="554" spans="1:18" ht="12.75" customHeight="1" x14ac:dyDescent="0.25">
      <c r="A554" s="16" t="s">
        <v>740</v>
      </c>
      <c r="B554" s="2" t="s">
        <v>735</v>
      </c>
      <c r="C554" s="2" t="s">
        <v>1245</v>
      </c>
      <c r="D554" s="2">
        <v>184</v>
      </c>
      <c r="E554" s="2">
        <v>2500</v>
      </c>
      <c r="F554" s="60">
        <v>5.75</v>
      </c>
      <c r="G554" s="303">
        <f t="shared" si="100"/>
        <v>14375</v>
      </c>
      <c r="H554" s="60">
        <v>18</v>
      </c>
      <c r="I554" s="312"/>
      <c r="J554" s="307"/>
      <c r="K554" s="302"/>
      <c r="L554" s="60">
        <f t="shared" si="103"/>
        <v>18</v>
      </c>
      <c r="M554" s="303">
        <f t="shared" si="104"/>
        <v>14357</v>
      </c>
      <c r="N554" s="304" t="s">
        <v>741</v>
      </c>
      <c r="O554" s="304" t="s">
        <v>369</v>
      </c>
    </row>
    <row r="555" spans="1:18" ht="12.75" customHeight="1" x14ac:dyDescent="0.25">
      <c r="A555" s="16" t="s">
        <v>740</v>
      </c>
      <c r="B555" s="2" t="s">
        <v>1572</v>
      </c>
      <c r="C555" s="2" t="s">
        <v>1245</v>
      </c>
      <c r="D555" s="2">
        <v>5200</v>
      </c>
      <c r="E555" s="2">
        <v>50</v>
      </c>
      <c r="F555" s="60">
        <v>69.3</v>
      </c>
      <c r="G555" s="303">
        <f t="shared" si="100"/>
        <v>3465</v>
      </c>
      <c r="H555" s="60">
        <v>9</v>
      </c>
      <c r="I555" s="312"/>
      <c r="J555" s="307"/>
      <c r="K555" s="316"/>
      <c r="L555" s="60">
        <f t="shared" si="103"/>
        <v>9</v>
      </c>
      <c r="M555" s="303">
        <f t="shared" si="104"/>
        <v>3456</v>
      </c>
      <c r="N555" s="304" t="s">
        <v>741</v>
      </c>
      <c r="O555" s="304" t="s">
        <v>369</v>
      </c>
    </row>
    <row r="556" spans="1:18" ht="13.2" x14ac:dyDescent="0.25">
      <c r="A556" s="16" t="s">
        <v>740</v>
      </c>
      <c r="B556" s="2" t="s">
        <v>1572</v>
      </c>
      <c r="C556" s="2" t="s">
        <v>1245</v>
      </c>
      <c r="D556" s="2">
        <v>5200</v>
      </c>
      <c r="E556" s="2">
        <v>150</v>
      </c>
      <c r="F556" s="60">
        <v>69.25</v>
      </c>
      <c r="G556" s="303">
        <f t="shared" si="100"/>
        <v>10387.5</v>
      </c>
      <c r="H556" s="60">
        <v>27</v>
      </c>
      <c r="I556" s="312"/>
      <c r="J556" s="307"/>
      <c r="K556" s="302"/>
      <c r="L556" s="60">
        <f t="shared" si="103"/>
        <v>27</v>
      </c>
      <c r="M556" s="303">
        <f t="shared" si="104"/>
        <v>10360.5</v>
      </c>
      <c r="N556" s="304" t="s">
        <v>741</v>
      </c>
      <c r="O556" s="304" t="s">
        <v>369</v>
      </c>
      <c r="Q556" s="247"/>
      <c r="R556" s="247"/>
    </row>
    <row r="557" spans="1:18" ht="13.2" x14ac:dyDescent="0.25">
      <c r="A557" s="16" t="s">
        <v>740</v>
      </c>
      <c r="B557" s="2" t="s">
        <v>1572</v>
      </c>
      <c r="C557" s="2" t="s">
        <v>1249</v>
      </c>
      <c r="D557" s="2">
        <v>5400</v>
      </c>
      <c r="E557" s="2">
        <v>100</v>
      </c>
      <c r="F557" s="60">
        <v>61.6</v>
      </c>
      <c r="G557" s="303">
        <f t="shared" si="100"/>
        <v>6160</v>
      </c>
      <c r="H557" s="60">
        <v>18</v>
      </c>
      <c r="I557" s="312"/>
      <c r="J557" s="312"/>
      <c r="K557" s="312"/>
      <c r="L557" s="60">
        <f t="shared" si="103"/>
        <v>18</v>
      </c>
      <c r="M557" s="303">
        <f t="shared" si="104"/>
        <v>6142</v>
      </c>
      <c r="N557" s="304" t="s">
        <v>741</v>
      </c>
      <c r="O557" s="304" t="s">
        <v>369</v>
      </c>
      <c r="Q557" s="247"/>
    </row>
    <row r="558" spans="1:18" ht="12.75" customHeight="1" x14ac:dyDescent="0.25">
      <c r="A558" s="16" t="s">
        <v>743</v>
      </c>
      <c r="B558" s="2" t="s">
        <v>1572</v>
      </c>
      <c r="C558" s="2" t="s">
        <v>1245</v>
      </c>
      <c r="D558" s="2">
        <v>5100</v>
      </c>
      <c r="E558" s="2">
        <v>50</v>
      </c>
      <c r="F558" s="60">
        <v>57.1</v>
      </c>
      <c r="G558" s="303">
        <f>E558*F558</f>
        <v>2855</v>
      </c>
      <c r="H558" s="60">
        <v>9</v>
      </c>
      <c r="I558" s="312"/>
      <c r="J558" s="312"/>
      <c r="K558" s="312"/>
      <c r="L558" s="60">
        <f t="shared" si="103"/>
        <v>9</v>
      </c>
      <c r="M558" s="303">
        <f t="shared" si="104"/>
        <v>2846</v>
      </c>
      <c r="N558" s="304" t="s">
        <v>744</v>
      </c>
      <c r="O558" s="304" t="s">
        <v>369</v>
      </c>
    </row>
    <row r="559" spans="1:18" ht="12.75" customHeight="1" x14ac:dyDescent="0.25">
      <c r="A559" s="16" t="s">
        <v>743</v>
      </c>
      <c r="B559" s="2" t="s">
        <v>1572</v>
      </c>
      <c r="C559" s="2" t="s">
        <v>1245</v>
      </c>
      <c r="D559" s="2">
        <v>5100</v>
      </c>
      <c r="E559" s="2">
        <v>250</v>
      </c>
      <c r="F559" s="60">
        <v>57.1</v>
      </c>
      <c r="G559" s="303">
        <f>E559*F559</f>
        <v>14275</v>
      </c>
      <c r="H559" s="60">
        <v>45</v>
      </c>
      <c r="I559" s="312"/>
      <c r="J559" s="312"/>
      <c r="K559" s="302"/>
      <c r="L559" s="60">
        <f t="shared" si="103"/>
        <v>45</v>
      </c>
      <c r="M559" s="303">
        <f t="shared" si="104"/>
        <v>14230</v>
      </c>
      <c r="N559" s="304" t="s">
        <v>744</v>
      </c>
      <c r="O559" s="304" t="s">
        <v>369</v>
      </c>
    </row>
    <row r="560" spans="1:18" ht="12.75" customHeight="1" x14ac:dyDescent="0.25">
      <c r="A560" s="16" t="s">
        <v>743</v>
      </c>
      <c r="B560" s="2" t="s">
        <v>1572</v>
      </c>
      <c r="C560" s="2" t="s">
        <v>1245</v>
      </c>
      <c r="D560" s="2">
        <v>5100</v>
      </c>
      <c r="E560" s="2">
        <v>100</v>
      </c>
      <c r="F560" s="60">
        <v>57.05</v>
      </c>
      <c r="G560" s="303">
        <f>E560*F560</f>
        <v>5705</v>
      </c>
      <c r="H560" s="60">
        <v>18</v>
      </c>
      <c r="I560" s="320">
        <v>12.14</v>
      </c>
      <c r="J560" s="320">
        <v>27.86</v>
      </c>
      <c r="K560" s="60">
        <v>5</v>
      </c>
      <c r="L560" s="60">
        <f t="shared" si="103"/>
        <v>63</v>
      </c>
      <c r="M560" s="303">
        <f t="shared" si="104"/>
        <v>5642</v>
      </c>
      <c r="N560" s="304" t="s">
        <v>744</v>
      </c>
      <c r="O560" s="304" t="s">
        <v>369</v>
      </c>
    </row>
    <row r="561" spans="1:18" ht="12.75" customHeight="1" x14ac:dyDescent="0.25">
      <c r="A561" s="16" t="s">
        <v>2397</v>
      </c>
      <c r="B561" s="2" t="s">
        <v>742</v>
      </c>
      <c r="C561" s="2" t="s">
        <v>1249</v>
      </c>
      <c r="D561" s="2">
        <v>27.5</v>
      </c>
      <c r="E561" s="2">
        <v>8000</v>
      </c>
      <c r="F561" s="60">
        <v>0.75</v>
      </c>
      <c r="G561" s="303">
        <f t="shared" ref="G561:G618" si="105">E561*F561</f>
        <v>6000</v>
      </c>
      <c r="H561" s="60">
        <v>9</v>
      </c>
      <c r="I561" s="307"/>
      <c r="J561" s="307"/>
      <c r="K561" s="302"/>
      <c r="L561" s="60">
        <f t="shared" ref="L561:L573" si="106">SUM(H561:K561)</f>
        <v>9</v>
      </c>
      <c r="M561" s="303">
        <f t="shared" ref="M561:M573" si="107">G561-L561</f>
        <v>5991</v>
      </c>
      <c r="N561" s="304" t="s">
        <v>2398</v>
      </c>
      <c r="O561" s="304" t="s">
        <v>369</v>
      </c>
    </row>
    <row r="562" spans="1:18" ht="12.75" customHeight="1" x14ac:dyDescent="0.25">
      <c r="A562" s="16" t="s">
        <v>2397</v>
      </c>
      <c r="B562" s="2" t="s">
        <v>742</v>
      </c>
      <c r="C562" s="2" t="s">
        <v>1249</v>
      </c>
      <c r="D562" s="2">
        <v>27.5</v>
      </c>
      <c r="E562" s="2">
        <v>8000</v>
      </c>
      <c r="F562" s="60">
        <v>0.75</v>
      </c>
      <c r="G562" s="303">
        <f t="shared" si="105"/>
        <v>6000</v>
      </c>
      <c r="H562" s="60">
        <v>9</v>
      </c>
      <c r="I562" s="307"/>
      <c r="J562" s="307"/>
      <c r="K562" s="302"/>
      <c r="L562" s="60">
        <f t="shared" si="106"/>
        <v>9</v>
      </c>
      <c r="M562" s="303">
        <f t="shared" si="107"/>
        <v>5991</v>
      </c>
      <c r="N562" s="304" t="s">
        <v>2398</v>
      </c>
      <c r="O562" s="304" t="s">
        <v>369</v>
      </c>
    </row>
    <row r="563" spans="1:18" ht="12.75" customHeight="1" x14ac:dyDescent="0.25">
      <c r="A563" s="16" t="s">
        <v>2397</v>
      </c>
      <c r="B563" s="2" t="s">
        <v>1572</v>
      </c>
      <c r="C563" s="2" t="s">
        <v>1245</v>
      </c>
      <c r="D563" s="2">
        <v>5300</v>
      </c>
      <c r="E563" s="2">
        <v>50</v>
      </c>
      <c r="F563" s="60">
        <v>101.55</v>
      </c>
      <c r="G563" s="303">
        <f t="shared" si="105"/>
        <v>5077.5</v>
      </c>
      <c r="H563" s="60">
        <v>9</v>
      </c>
      <c r="I563" s="307"/>
      <c r="J563" s="307"/>
      <c r="K563" s="302"/>
      <c r="L563" s="60">
        <f t="shared" si="106"/>
        <v>9</v>
      </c>
      <c r="M563" s="303">
        <f t="shared" si="107"/>
        <v>5068.5</v>
      </c>
      <c r="N563" s="304" t="s">
        <v>2398</v>
      </c>
      <c r="O563" s="304" t="s">
        <v>369</v>
      </c>
    </row>
    <row r="564" spans="1:18" ht="12.75" customHeight="1" x14ac:dyDescent="0.25">
      <c r="A564" s="16" t="s">
        <v>2397</v>
      </c>
      <c r="B564" s="2" t="s">
        <v>1572</v>
      </c>
      <c r="C564" s="2" t="s">
        <v>1245</v>
      </c>
      <c r="D564" s="2">
        <v>5300</v>
      </c>
      <c r="E564" s="2">
        <v>50</v>
      </c>
      <c r="F564" s="60">
        <v>101.4</v>
      </c>
      <c r="G564" s="303">
        <f t="shared" si="105"/>
        <v>5070</v>
      </c>
      <c r="H564" s="60">
        <v>9</v>
      </c>
      <c r="I564" s="307"/>
      <c r="J564" s="307"/>
      <c r="K564" s="302"/>
      <c r="L564" s="60">
        <f t="shared" si="106"/>
        <v>9</v>
      </c>
      <c r="M564" s="303">
        <f t="shared" si="107"/>
        <v>5061</v>
      </c>
      <c r="N564" s="304" t="s">
        <v>2398</v>
      </c>
      <c r="O564" s="304" t="s">
        <v>369</v>
      </c>
    </row>
    <row r="565" spans="1:18" ht="12.75" customHeight="1" x14ac:dyDescent="0.25">
      <c r="A565" s="16" t="s">
        <v>2397</v>
      </c>
      <c r="B565" s="2" t="s">
        <v>1572</v>
      </c>
      <c r="C565" s="2" t="s">
        <v>1245</v>
      </c>
      <c r="D565" s="2">
        <v>5300</v>
      </c>
      <c r="E565" s="2">
        <v>150</v>
      </c>
      <c r="F565" s="60">
        <v>101.4</v>
      </c>
      <c r="G565" s="303">
        <f t="shared" si="105"/>
        <v>15210</v>
      </c>
      <c r="H565" s="60">
        <v>27</v>
      </c>
      <c r="I565" s="320">
        <v>20.58</v>
      </c>
      <c r="J565" s="320">
        <v>55.78</v>
      </c>
      <c r="K565" s="60">
        <v>8</v>
      </c>
      <c r="L565" s="60">
        <f t="shared" si="106"/>
        <v>111.36</v>
      </c>
      <c r="M565" s="303">
        <f t="shared" si="107"/>
        <v>15098.64</v>
      </c>
      <c r="N565" s="304" t="s">
        <v>2398</v>
      </c>
      <c r="O565" s="304" t="s">
        <v>369</v>
      </c>
    </row>
    <row r="566" spans="1:18" ht="13.2" x14ac:dyDescent="0.25">
      <c r="A566" s="16" t="s">
        <v>2405</v>
      </c>
      <c r="B566" s="2" t="s">
        <v>1572</v>
      </c>
      <c r="C566" s="2" t="s">
        <v>1245</v>
      </c>
      <c r="D566" s="2">
        <v>5300</v>
      </c>
      <c r="E566" s="2">
        <v>200</v>
      </c>
      <c r="F566" s="60">
        <v>125.5</v>
      </c>
      <c r="G566" s="303">
        <f t="shared" si="105"/>
        <v>25100</v>
      </c>
      <c r="H566" s="60">
        <v>36</v>
      </c>
      <c r="I566" s="224">
        <v>10.32</v>
      </c>
      <c r="J566" s="224">
        <v>28.18</v>
      </c>
      <c r="K566" s="60">
        <v>5</v>
      </c>
      <c r="L566" s="60">
        <f t="shared" si="106"/>
        <v>79.5</v>
      </c>
      <c r="M566" s="303">
        <f t="shared" si="107"/>
        <v>25020.5</v>
      </c>
      <c r="N566" s="304" t="s">
        <v>2402</v>
      </c>
      <c r="O566" s="304" t="s">
        <v>369</v>
      </c>
      <c r="Q566" s="247"/>
      <c r="R566" s="247"/>
    </row>
    <row r="567" spans="1:18" ht="13.2" x14ac:dyDescent="0.25">
      <c r="A567" s="16" t="s">
        <v>2405</v>
      </c>
      <c r="B567" s="2" t="s">
        <v>742</v>
      </c>
      <c r="C567" s="2" t="s">
        <v>1249</v>
      </c>
      <c r="D567" s="2">
        <v>27.5</v>
      </c>
      <c r="E567" s="2">
        <v>8000</v>
      </c>
      <c r="F567" s="60">
        <v>0.75</v>
      </c>
      <c r="G567" s="303">
        <f t="shared" si="105"/>
        <v>6000</v>
      </c>
      <c r="H567" s="60">
        <v>9</v>
      </c>
      <c r="I567" s="324"/>
      <c r="J567" s="324"/>
      <c r="K567" s="316"/>
      <c r="L567" s="60">
        <f t="shared" si="106"/>
        <v>9</v>
      </c>
      <c r="M567" s="303">
        <f t="shared" si="107"/>
        <v>5991</v>
      </c>
      <c r="N567" s="304" t="s">
        <v>2406</v>
      </c>
      <c r="O567" s="304" t="s">
        <v>369</v>
      </c>
      <c r="Q567" s="247"/>
    </row>
    <row r="568" spans="1:18" ht="12.75" customHeight="1" x14ac:dyDescent="0.25">
      <c r="A568" s="16" t="s">
        <v>2405</v>
      </c>
      <c r="B568" s="2" t="s">
        <v>1572</v>
      </c>
      <c r="C568" s="2" t="s">
        <v>1245</v>
      </c>
      <c r="D568" s="2">
        <v>5100</v>
      </c>
      <c r="E568" s="2">
        <v>150</v>
      </c>
      <c r="F568" s="60">
        <v>64</v>
      </c>
      <c r="G568" s="303">
        <f t="shared" si="105"/>
        <v>9600</v>
      </c>
      <c r="H568" s="60">
        <v>27</v>
      </c>
      <c r="I568" s="315"/>
      <c r="J568" s="315"/>
      <c r="K568" s="302"/>
      <c r="L568" s="60">
        <f t="shared" si="106"/>
        <v>27</v>
      </c>
      <c r="M568" s="303">
        <f t="shared" si="107"/>
        <v>9573</v>
      </c>
      <c r="N568" s="304" t="s">
        <v>2406</v>
      </c>
      <c r="O568" s="304" t="s">
        <v>369</v>
      </c>
    </row>
    <row r="569" spans="1:18" ht="12.75" customHeight="1" x14ac:dyDescent="0.25">
      <c r="A569" s="16" t="s">
        <v>2408</v>
      </c>
      <c r="B569" s="2" t="s">
        <v>1572</v>
      </c>
      <c r="C569" s="2" t="s">
        <v>1249</v>
      </c>
      <c r="D569" s="2">
        <v>5200</v>
      </c>
      <c r="E569" s="2">
        <v>450</v>
      </c>
      <c r="F569" s="60">
        <v>93</v>
      </c>
      <c r="G569" s="303">
        <f t="shared" si="105"/>
        <v>41850</v>
      </c>
      <c r="H569" s="60">
        <v>81</v>
      </c>
      <c r="I569" s="312"/>
      <c r="J569" s="312"/>
      <c r="K569" s="302"/>
      <c r="L569" s="60">
        <f t="shared" si="106"/>
        <v>81</v>
      </c>
      <c r="M569" s="303">
        <f t="shared" si="107"/>
        <v>41769</v>
      </c>
      <c r="N569" s="304" t="s">
        <v>2407</v>
      </c>
      <c r="O569" s="304" t="s">
        <v>369</v>
      </c>
    </row>
    <row r="570" spans="1:18" ht="12.75" customHeight="1" x14ac:dyDescent="0.25">
      <c r="A570" s="16" t="s">
        <v>2409</v>
      </c>
      <c r="B570" s="2" t="s">
        <v>1572</v>
      </c>
      <c r="C570" s="2" t="s">
        <v>1245</v>
      </c>
      <c r="D570" s="2">
        <v>5200</v>
      </c>
      <c r="E570" s="2">
        <v>500</v>
      </c>
      <c r="F570" s="60">
        <v>109</v>
      </c>
      <c r="G570" s="303">
        <f t="shared" si="105"/>
        <v>54500</v>
      </c>
      <c r="H570" s="60">
        <v>90</v>
      </c>
      <c r="I570" s="315"/>
      <c r="J570" s="315"/>
      <c r="K570" s="302"/>
      <c r="L570" s="60">
        <f t="shared" si="106"/>
        <v>90</v>
      </c>
      <c r="M570" s="303">
        <f t="shared" si="107"/>
        <v>54410</v>
      </c>
      <c r="N570" s="304" t="s">
        <v>2410</v>
      </c>
      <c r="O570" s="304" t="s">
        <v>369</v>
      </c>
    </row>
    <row r="571" spans="1:18" ht="12.75" customHeight="1" x14ac:dyDescent="0.25">
      <c r="A571" s="16" t="s">
        <v>2412</v>
      </c>
      <c r="B571" s="2" t="s">
        <v>1572</v>
      </c>
      <c r="C571" s="2" t="s">
        <v>1249</v>
      </c>
      <c r="D571" s="2">
        <v>5100</v>
      </c>
      <c r="E571" s="2">
        <v>50</v>
      </c>
      <c r="F571" s="60">
        <v>42.05</v>
      </c>
      <c r="G571" s="303">
        <f t="shared" si="105"/>
        <v>2102.5</v>
      </c>
      <c r="H571" s="60">
        <v>9</v>
      </c>
      <c r="I571" s="307"/>
      <c r="J571" s="307"/>
      <c r="K571" s="302"/>
      <c r="L571" s="60">
        <f t="shared" si="106"/>
        <v>9</v>
      </c>
      <c r="M571" s="303">
        <f t="shared" si="107"/>
        <v>2093.5</v>
      </c>
      <c r="N571" s="304" t="s">
        <v>2411</v>
      </c>
      <c r="O571" s="304" t="s">
        <v>369</v>
      </c>
    </row>
    <row r="572" spans="1:18" ht="12.75" customHeight="1" x14ac:dyDescent="0.25">
      <c r="A572" s="16" t="s">
        <v>2412</v>
      </c>
      <c r="B572" s="2" t="s">
        <v>1572</v>
      </c>
      <c r="C572" s="2" t="s">
        <v>1249</v>
      </c>
      <c r="D572" s="2">
        <v>5100</v>
      </c>
      <c r="E572" s="2">
        <v>300</v>
      </c>
      <c r="F572" s="60">
        <v>42</v>
      </c>
      <c r="G572" s="303">
        <f t="shared" si="105"/>
        <v>12600</v>
      </c>
      <c r="H572" s="60">
        <v>54</v>
      </c>
      <c r="I572" s="307"/>
      <c r="J572" s="307"/>
      <c r="K572" s="302"/>
      <c r="L572" s="60">
        <f t="shared" si="106"/>
        <v>54</v>
      </c>
      <c r="M572" s="303">
        <f t="shared" si="107"/>
        <v>12546</v>
      </c>
      <c r="N572" s="304" t="s">
        <v>2411</v>
      </c>
      <c r="O572" s="304" t="s">
        <v>369</v>
      </c>
    </row>
    <row r="573" spans="1:18" ht="12.75" customHeight="1" x14ac:dyDescent="0.25">
      <c r="A573" s="16" t="s">
        <v>2412</v>
      </c>
      <c r="B573" s="2" t="s">
        <v>1572</v>
      </c>
      <c r="C573" s="2" t="s">
        <v>1249</v>
      </c>
      <c r="D573" s="2">
        <v>5100</v>
      </c>
      <c r="E573" s="2">
        <v>50</v>
      </c>
      <c r="F573" s="60">
        <v>42</v>
      </c>
      <c r="G573" s="303">
        <f t="shared" si="105"/>
        <v>2100</v>
      </c>
      <c r="H573" s="60">
        <v>9</v>
      </c>
      <c r="I573" s="320">
        <v>21.47</v>
      </c>
      <c r="J573" s="320">
        <v>46.44</v>
      </c>
      <c r="K573" s="60">
        <v>5</v>
      </c>
      <c r="L573" s="60">
        <f t="shared" si="106"/>
        <v>81.91</v>
      </c>
      <c r="M573" s="303">
        <f t="shared" si="107"/>
        <v>2018.09</v>
      </c>
      <c r="N573" s="304" t="s">
        <v>2411</v>
      </c>
      <c r="O573" s="304" t="s">
        <v>369</v>
      </c>
    </row>
    <row r="574" spans="1:18" ht="13.2" x14ac:dyDescent="0.25">
      <c r="A574" s="16" t="s">
        <v>2414</v>
      </c>
      <c r="B574" s="2" t="s">
        <v>2413</v>
      </c>
      <c r="C574" s="2" t="s">
        <v>1245</v>
      </c>
      <c r="D574" s="2">
        <v>2750</v>
      </c>
      <c r="E574" s="2">
        <v>250</v>
      </c>
      <c r="F574" s="60">
        <v>29</v>
      </c>
      <c r="G574" s="303">
        <f t="shared" si="105"/>
        <v>7250</v>
      </c>
      <c r="H574" s="60">
        <v>18</v>
      </c>
      <c r="I574" s="307"/>
      <c r="J574" s="307"/>
      <c r="K574" s="302"/>
      <c r="L574" s="60">
        <f t="shared" ref="L574:L580" si="108">SUM(H574:K574)</f>
        <v>18</v>
      </c>
      <c r="M574" s="303">
        <f t="shared" ref="M574:M580" si="109">G574-L574</f>
        <v>7232</v>
      </c>
      <c r="N574" s="304" t="s">
        <v>2415</v>
      </c>
      <c r="O574" s="304" t="s">
        <v>369</v>
      </c>
      <c r="Q574" s="247"/>
      <c r="R574" s="247"/>
    </row>
    <row r="575" spans="1:18" ht="12.75" customHeight="1" x14ac:dyDescent="0.25">
      <c r="A575" s="16" t="s">
        <v>2414</v>
      </c>
      <c r="B575" s="2" t="s">
        <v>2413</v>
      </c>
      <c r="C575" s="2" t="s">
        <v>1245</v>
      </c>
      <c r="D575" s="2">
        <v>2750</v>
      </c>
      <c r="E575" s="2">
        <v>125</v>
      </c>
      <c r="F575" s="60">
        <v>29</v>
      </c>
      <c r="G575" s="303">
        <f t="shared" si="105"/>
        <v>3625</v>
      </c>
      <c r="H575" s="60">
        <v>9</v>
      </c>
      <c r="I575" s="307"/>
      <c r="J575" s="307"/>
      <c r="K575" s="302"/>
      <c r="L575" s="60">
        <f t="shared" si="108"/>
        <v>9</v>
      </c>
      <c r="M575" s="303">
        <f t="shared" si="109"/>
        <v>3616</v>
      </c>
      <c r="N575" s="304" t="s">
        <v>2415</v>
      </c>
      <c r="O575" s="304" t="s">
        <v>369</v>
      </c>
    </row>
    <row r="576" spans="1:18" ht="12.75" customHeight="1" x14ac:dyDescent="0.25">
      <c r="A576" s="16" t="s">
        <v>2414</v>
      </c>
      <c r="B576" s="2" t="s">
        <v>1572</v>
      </c>
      <c r="C576" s="2" t="s">
        <v>1249</v>
      </c>
      <c r="D576" s="2">
        <v>5100</v>
      </c>
      <c r="E576" s="2">
        <v>400</v>
      </c>
      <c r="F576" s="60">
        <v>24.35</v>
      </c>
      <c r="G576" s="303">
        <f t="shared" si="105"/>
        <v>9740</v>
      </c>
      <c r="H576" s="60">
        <v>72</v>
      </c>
      <c r="I576" s="307"/>
      <c r="J576" s="307"/>
      <c r="K576" s="302"/>
      <c r="L576" s="60">
        <f t="shared" si="108"/>
        <v>72</v>
      </c>
      <c r="M576" s="303">
        <f t="shared" si="109"/>
        <v>9668</v>
      </c>
      <c r="N576" s="304" t="s">
        <v>2415</v>
      </c>
      <c r="O576" s="304" t="s">
        <v>369</v>
      </c>
    </row>
    <row r="577" spans="1:18" ht="12.75" customHeight="1" x14ac:dyDescent="0.25">
      <c r="A577" s="16" t="s">
        <v>2414</v>
      </c>
      <c r="B577" s="2" t="s">
        <v>1572</v>
      </c>
      <c r="C577" s="2" t="s">
        <v>1249</v>
      </c>
      <c r="D577" s="2">
        <v>5100</v>
      </c>
      <c r="E577" s="2">
        <v>50</v>
      </c>
      <c r="F577" s="60">
        <v>24.3</v>
      </c>
      <c r="G577" s="303">
        <f t="shared" si="105"/>
        <v>1215</v>
      </c>
      <c r="H577" s="60">
        <v>9</v>
      </c>
      <c r="I577" s="307"/>
      <c r="J577" s="307"/>
      <c r="K577" s="302"/>
      <c r="L577" s="60">
        <f t="shared" si="108"/>
        <v>9</v>
      </c>
      <c r="M577" s="303">
        <f t="shared" si="109"/>
        <v>1206</v>
      </c>
      <c r="N577" s="304" t="s">
        <v>2415</v>
      </c>
      <c r="O577" s="304" t="s">
        <v>369</v>
      </c>
    </row>
    <row r="578" spans="1:18" ht="12.75" customHeight="1" x14ac:dyDescent="0.25">
      <c r="A578" s="16" t="s">
        <v>2414</v>
      </c>
      <c r="B578" s="2" t="s">
        <v>1572</v>
      </c>
      <c r="C578" s="2" t="s">
        <v>1249</v>
      </c>
      <c r="D578" s="2">
        <v>5100</v>
      </c>
      <c r="E578" s="2">
        <v>300</v>
      </c>
      <c r="F578" s="60">
        <v>24.3</v>
      </c>
      <c r="G578" s="303">
        <f t="shared" si="105"/>
        <v>7290</v>
      </c>
      <c r="H578" s="60">
        <v>54</v>
      </c>
      <c r="I578" s="307"/>
      <c r="J578" s="307"/>
      <c r="K578" s="302"/>
      <c r="L578" s="60">
        <f t="shared" si="108"/>
        <v>54</v>
      </c>
      <c r="M578" s="303">
        <f t="shared" si="109"/>
        <v>7236</v>
      </c>
      <c r="N578" s="304" t="s">
        <v>2415</v>
      </c>
      <c r="O578" s="304" t="s">
        <v>369</v>
      </c>
    </row>
    <row r="579" spans="1:18" ht="12.75" customHeight="1" x14ac:dyDescent="0.25">
      <c r="A579" s="16" t="s">
        <v>2414</v>
      </c>
      <c r="B579" s="2" t="s">
        <v>1572</v>
      </c>
      <c r="C579" s="2" t="s">
        <v>1249</v>
      </c>
      <c r="D579" s="2">
        <v>5100</v>
      </c>
      <c r="E579" s="2">
        <v>50</v>
      </c>
      <c r="F579" s="60">
        <v>24.25</v>
      </c>
      <c r="G579" s="303">
        <f t="shared" si="105"/>
        <v>1212.5</v>
      </c>
      <c r="H579" s="60">
        <v>9</v>
      </c>
      <c r="I579" s="312"/>
      <c r="J579" s="312"/>
      <c r="K579" s="302"/>
      <c r="L579" s="60">
        <f t="shared" si="108"/>
        <v>9</v>
      </c>
      <c r="M579" s="303">
        <f t="shared" si="109"/>
        <v>1203.5</v>
      </c>
      <c r="N579" s="304" t="s">
        <v>2415</v>
      </c>
      <c r="O579" s="304" t="s">
        <v>369</v>
      </c>
    </row>
    <row r="580" spans="1:18" ht="12.75" customHeight="1" x14ac:dyDescent="0.25">
      <c r="A580" s="16" t="s">
        <v>2414</v>
      </c>
      <c r="B580" s="2" t="s">
        <v>1572</v>
      </c>
      <c r="C580" s="2" t="s">
        <v>1249</v>
      </c>
      <c r="D580" s="2">
        <v>5000</v>
      </c>
      <c r="E580" s="2">
        <v>500</v>
      </c>
      <c r="F580" s="60">
        <v>80.150000000000006</v>
      </c>
      <c r="G580" s="303">
        <f t="shared" si="105"/>
        <v>40075</v>
      </c>
      <c r="H580" s="60">
        <v>90</v>
      </c>
      <c r="I580" s="247">
        <v>53.17</v>
      </c>
      <c r="J580" s="247">
        <v>84.21</v>
      </c>
      <c r="K580" s="60">
        <v>15</v>
      </c>
      <c r="L580" s="60">
        <f t="shared" si="108"/>
        <v>242.38</v>
      </c>
      <c r="M580" s="303">
        <f t="shared" si="109"/>
        <v>39832.620000000003</v>
      </c>
      <c r="N580" s="304" t="s">
        <v>2415</v>
      </c>
      <c r="O580" s="304" t="s">
        <v>369</v>
      </c>
    </row>
    <row r="581" spans="1:18" ht="13.2" x14ac:dyDescent="0.25">
      <c r="A581" s="16" t="s">
        <v>2422</v>
      </c>
      <c r="B581" s="2" t="s">
        <v>1572</v>
      </c>
      <c r="C581" s="2" t="s">
        <v>1249</v>
      </c>
      <c r="D581" s="2">
        <v>4700</v>
      </c>
      <c r="E581" s="2">
        <v>50</v>
      </c>
      <c r="F581" s="60">
        <v>140</v>
      </c>
      <c r="G581" s="303">
        <f t="shared" si="105"/>
        <v>7000</v>
      </c>
      <c r="H581" s="60">
        <v>9</v>
      </c>
      <c r="I581" s="312"/>
      <c r="J581" s="312"/>
      <c r="K581" s="302"/>
      <c r="L581" s="60">
        <f>SUM(H581:K581)</f>
        <v>9</v>
      </c>
      <c r="M581" s="303">
        <f>G581-L581</f>
        <v>6991</v>
      </c>
      <c r="N581" s="304" t="s">
        <v>2421</v>
      </c>
      <c r="O581" s="304" t="s">
        <v>369</v>
      </c>
      <c r="Q581" s="247"/>
      <c r="R581" s="247"/>
    </row>
    <row r="582" spans="1:18" ht="13.2" x14ac:dyDescent="0.25">
      <c r="A582" s="16" t="s">
        <v>2422</v>
      </c>
      <c r="B582" s="2" t="s">
        <v>1572</v>
      </c>
      <c r="C582" s="2" t="s">
        <v>1249</v>
      </c>
      <c r="D582" s="2">
        <v>4700</v>
      </c>
      <c r="E582" s="2">
        <v>100</v>
      </c>
      <c r="F582" s="60">
        <v>140</v>
      </c>
      <c r="G582" s="303">
        <f t="shared" si="105"/>
        <v>14000</v>
      </c>
      <c r="H582" s="60">
        <v>18</v>
      </c>
      <c r="I582" s="312"/>
      <c r="J582" s="312"/>
      <c r="K582" s="316"/>
      <c r="L582" s="60">
        <f>SUM(H582:K582)</f>
        <v>18</v>
      </c>
      <c r="M582" s="303">
        <f>G582-L582</f>
        <v>13982</v>
      </c>
      <c r="N582" s="304" t="s">
        <v>2421</v>
      </c>
      <c r="O582" s="304" t="s">
        <v>369</v>
      </c>
      <c r="Q582" s="247"/>
    </row>
    <row r="583" spans="1:18" ht="12.75" customHeight="1" x14ac:dyDescent="0.25">
      <c r="A583" s="16" t="s">
        <v>2422</v>
      </c>
      <c r="B583" s="2" t="s">
        <v>1572</v>
      </c>
      <c r="C583" s="2" t="s">
        <v>1249</v>
      </c>
      <c r="D583" s="2">
        <v>4700</v>
      </c>
      <c r="E583" s="2">
        <v>50</v>
      </c>
      <c r="F583" s="60">
        <v>140</v>
      </c>
      <c r="G583" s="303">
        <f t="shared" si="105"/>
        <v>7000</v>
      </c>
      <c r="H583" s="60">
        <v>9</v>
      </c>
      <c r="I583" s="316"/>
      <c r="J583" s="316"/>
      <c r="K583" s="302"/>
      <c r="L583" s="60">
        <f>SUM(H583:K583)</f>
        <v>9</v>
      </c>
      <c r="M583" s="303">
        <f>G583-L583</f>
        <v>6991</v>
      </c>
      <c r="N583" s="304" t="s">
        <v>2421</v>
      </c>
      <c r="O583" s="304" t="s">
        <v>369</v>
      </c>
    </row>
    <row r="584" spans="1:18" ht="12.75" customHeight="1" x14ac:dyDescent="0.25">
      <c r="A584" s="16" t="s">
        <v>1690</v>
      </c>
      <c r="B584" s="2" t="s">
        <v>1572</v>
      </c>
      <c r="C584" s="2" t="s">
        <v>1245</v>
      </c>
      <c r="D584" s="2">
        <v>4900</v>
      </c>
      <c r="E584" s="2">
        <v>200</v>
      </c>
      <c r="F584" s="60">
        <v>158</v>
      </c>
      <c r="G584" s="303">
        <f t="shared" si="105"/>
        <v>31600</v>
      </c>
      <c r="H584" s="60">
        <v>36</v>
      </c>
      <c r="I584" s="312"/>
      <c r="J584" s="312"/>
      <c r="K584" s="312"/>
      <c r="L584" s="60">
        <f t="shared" ref="L584:L591" si="110">SUM(H584:K584)</f>
        <v>36</v>
      </c>
      <c r="M584" s="303">
        <f t="shared" ref="M584:M591" si="111">G584-L584</f>
        <v>31564</v>
      </c>
      <c r="N584" s="304" t="s">
        <v>1692</v>
      </c>
      <c r="O584" s="304" t="s">
        <v>369</v>
      </c>
      <c r="P584" s="60"/>
    </row>
    <row r="585" spans="1:18" ht="12.75" customHeight="1" x14ac:dyDescent="0.25">
      <c r="A585" s="16" t="s">
        <v>1690</v>
      </c>
      <c r="B585" s="2" t="s">
        <v>1689</v>
      </c>
      <c r="C585" s="2" t="s">
        <v>1245</v>
      </c>
      <c r="D585" s="2">
        <v>4200</v>
      </c>
      <c r="E585" s="2">
        <v>100</v>
      </c>
      <c r="F585" s="60">
        <v>24.8</v>
      </c>
      <c r="G585" s="303">
        <f t="shared" si="105"/>
        <v>2480</v>
      </c>
      <c r="H585" s="60">
        <v>18</v>
      </c>
      <c r="I585" s="312"/>
      <c r="J585" s="312"/>
      <c r="K585" s="312"/>
      <c r="L585" s="60">
        <f t="shared" si="110"/>
        <v>18</v>
      </c>
      <c r="M585" s="303">
        <f t="shared" si="111"/>
        <v>2462</v>
      </c>
      <c r="N585" s="304" t="s">
        <v>1692</v>
      </c>
      <c r="O585" s="304" t="s">
        <v>369</v>
      </c>
      <c r="P585" s="60"/>
    </row>
    <row r="586" spans="1:18" ht="12.75" customHeight="1" x14ac:dyDescent="0.25">
      <c r="A586" s="16" t="s">
        <v>1690</v>
      </c>
      <c r="B586" s="2" t="s">
        <v>1689</v>
      </c>
      <c r="C586" s="2" t="s">
        <v>1245</v>
      </c>
      <c r="D586" s="2">
        <v>4200</v>
      </c>
      <c r="E586" s="2">
        <v>100</v>
      </c>
      <c r="F586" s="60">
        <v>24.8</v>
      </c>
      <c r="G586" s="303">
        <f t="shared" si="105"/>
        <v>2480</v>
      </c>
      <c r="H586" s="60">
        <v>18</v>
      </c>
      <c r="I586" s="312"/>
      <c r="J586" s="312"/>
      <c r="K586" s="312"/>
      <c r="L586" s="60">
        <f t="shared" si="110"/>
        <v>18</v>
      </c>
      <c r="M586" s="303">
        <f t="shared" si="111"/>
        <v>2462</v>
      </c>
      <c r="N586" s="304" t="s">
        <v>1692</v>
      </c>
      <c r="O586" s="304" t="s">
        <v>369</v>
      </c>
      <c r="P586" s="60"/>
    </row>
    <row r="587" spans="1:18" ht="12.75" customHeight="1" x14ac:dyDescent="0.25">
      <c r="A587" s="16" t="s">
        <v>1690</v>
      </c>
      <c r="B587" s="2" t="s">
        <v>1689</v>
      </c>
      <c r="C587" s="2" t="s">
        <v>1245</v>
      </c>
      <c r="D587" s="2">
        <v>4200</v>
      </c>
      <c r="E587" s="2">
        <v>50</v>
      </c>
      <c r="F587" s="60">
        <v>24.8</v>
      </c>
      <c r="G587" s="303">
        <f>E587*F587</f>
        <v>1240</v>
      </c>
      <c r="H587" s="60">
        <v>9</v>
      </c>
      <c r="I587" s="312"/>
      <c r="J587" s="312"/>
      <c r="K587" s="312"/>
      <c r="L587" s="60">
        <f t="shared" si="110"/>
        <v>9</v>
      </c>
      <c r="M587" s="303">
        <f t="shared" si="111"/>
        <v>1231</v>
      </c>
      <c r="N587" s="304" t="s">
        <v>1692</v>
      </c>
      <c r="O587" s="304" t="s">
        <v>369</v>
      </c>
      <c r="P587" s="60"/>
    </row>
    <row r="588" spans="1:18" ht="12.75" customHeight="1" x14ac:dyDescent="0.25">
      <c r="A588" s="16" t="s">
        <v>1690</v>
      </c>
      <c r="B588" s="2" t="s">
        <v>1572</v>
      </c>
      <c r="C588" s="2" t="s">
        <v>1249</v>
      </c>
      <c r="D588" s="2">
        <v>4800</v>
      </c>
      <c r="E588" s="2">
        <v>500</v>
      </c>
      <c r="F588" s="60">
        <v>6.9</v>
      </c>
      <c r="G588" s="303">
        <f t="shared" si="105"/>
        <v>3450</v>
      </c>
      <c r="H588" s="60">
        <v>90</v>
      </c>
      <c r="I588" s="312"/>
      <c r="J588" s="312"/>
      <c r="K588" s="312"/>
      <c r="L588" s="60">
        <f t="shared" si="110"/>
        <v>90</v>
      </c>
      <c r="M588" s="303">
        <f t="shared" si="111"/>
        <v>3360</v>
      </c>
      <c r="N588" s="304" t="s">
        <v>1692</v>
      </c>
      <c r="O588" s="304" t="s">
        <v>369</v>
      </c>
      <c r="P588" s="60"/>
    </row>
    <row r="589" spans="1:18" ht="12.75" customHeight="1" x14ac:dyDescent="0.25">
      <c r="A589" s="16" t="s">
        <v>1690</v>
      </c>
      <c r="B589" s="2" t="s">
        <v>1572</v>
      </c>
      <c r="C589" s="2" t="s">
        <v>1245</v>
      </c>
      <c r="D589" s="2">
        <v>4500</v>
      </c>
      <c r="E589" s="2">
        <v>50</v>
      </c>
      <c r="F589" s="60">
        <v>0.65</v>
      </c>
      <c r="G589" s="303">
        <f t="shared" si="105"/>
        <v>32.5</v>
      </c>
      <c r="H589" s="60">
        <v>9</v>
      </c>
      <c r="I589" s="247">
        <v>50.29</v>
      </c>
      <c r="J589" s="247">
        <v>47.33</v>
      </c>
      <c r="K589" s="247">
        <v>9</v>
      </c>
      <c r="L589" s="60">
        <f t="shared" si="110"/>
        <v>115.62</v>
      </c>
      <c r="M589" s="303">
        <f t="shared" si="111"/>
        <v>-83.12</v>
      </c>
      <c r="N589" s="304" t="s">
        <v>1692</v>
      </c>
      <c r="O589" s="304" t="s">
        <v>369</v>
      </c>
      <c r="P589" s="60"/>
    </row>
    <row r="590" spans="1:18" ht="12.75" customHeight="1" x14ac:dyDescent="0.25">
      <c r="A590" s="16" t="s">
        <v>1691</v>
      </c>
      <c r="B590" s="2" t="s">
        <v>1572</v>
      </c>
      <c r="C590" s="2" t="s">
        <v>1249</v>
      </c>
      <c r="D590" s="2">
        <v>4800</v>
      </c>
      <c r="E590" s="2">
        <v>500</v>
      </c>
      <c r="F590" s="60">
        <v>2.4</v>
      </c>
      <c r="G590" s="303">
        <f t="shared" si="105"/>
        <v>1200</v>
      </c>
      <c r="H590" s="60">
        <v>90</v>
      </c>
      <c r="I590" s="312"/>
      <c r="J590" s="312"/>
      <c r="K590" s="302"/>
      <c r="L590" s="60">
        <f t="shared" si="110"/>
        <v>90</v>
      </c>
      <c r="M590" s="303">
        <f t="shared" si="111"/>
        <v>1110</v>
      </c>
      <c r="N590" s="304" t="s">
        <v>1693</v>
      </c>
      <c r="O590" s="304" t="s">
        <v>369</v>
      </c>
      <c r="P590" s="60"/>
    </row>
    <row r="591" spans="1:18" ht="12.75" customHeight="1" x14ac:dyDescent="0.25">
      <c r="A591" s="16" t="s">
        <v>1691</v>
      </c>
      <c r="B591" s="2" t="s">
        <v>1572</v>
      </c>
      <c r="C591" s="2" t="s">
        <v>1249</v>
      </c>
      <c r="D591" s="2">
        <v>4700</v>
      </c>
      <c r="E591" s="2">
        <v>250</v>
      </c>
      <c r="F591" s="60">
        <v>30</v>
      </c>
      <c r="G591" s="303">
        <f t="shared" si="105"/>
        <v>7500</v>
      </c>
      <c r="H591" s="60">
        <v>45</v>
      </c>
      <c r="I591" s="247">
        <v>19.45</v>
      </c>
      <c r="J591" s="247">
        <v>8.7899999999999991</v>
      </c>
      <c r="K591" s="247">
        <v>2</v>
      </c>
      <c r="L591" s="60">
        <f t="shared" si="110"/>
        <v>75.240000000000009</v>
      </c>
      <c r="M591" s="303">
        <f t="shared" si="111"/>
        <v>7424.76</v>
      </c>
      <c r="N591" s="304" t="s">
        <v>1693</v>
      </c>
      <c r="O591" s="304" t="s">
        <v>369</v>
      </c>
      <c r="P591" s="60"/>
    </row>
    <row r="592" spans="1:18" ht="12.75" customHeight="1" x14ac:dyDescent="0.25">
      <c r="A592" s="16" t="s">
        <v>757</v>
      </c>
      <c r="B592" s="2" t="s">
        <v>1689</v>
      </c>
      <c r="C592" s="2" t="s">
        <v>1245</v>
      </c>
      <c r="D592" s="2">
        <v>4400</v>
      </c>
      <c r="E592" s="2">
        <v>100</v>
      </c>
      <c r="F592" s="60">
        <v>51.5</v>
      </c>
      <c r="G592" s="303">
        <f t="shared" si="105"/>
        <v>5150</v>
      </c>
      <c r="H592" s="60">
        <v>18</v>
      </c>
      <c r="I592" s="316"/>
      <c r="J592" s="316"/>
      <c r="K592" s="302"/>
      <c r="L592" s="60">
        <f>SUM(H592:K592)</f>
        <v>18</v>
      </c>
      <c r="M592" s="303">
        <f>G592-L592</f>
        <v>5132</v>
      </c>
      <c r="N592" s="304" t="s">
        <v>763</v>
      </c>
      <c r="O592" s="304" t="s">
        <v>369</v>
      </c>
    </row>
    <row r="593" spans="1:15" ht="12.75" customHeight="1" x14ac:dyDescent="0.25">
      <c r="A593" s="16" t="s">
        <v>757</v>
      </c>
      <c r="B593" s="2" t="s">
        <v>1689</v>
      </c>
      <c r="C593" s="2" t="s">
        <v>1245</v>
      </c>
      <c r="D593" s="2">
        <v>4400</v>
      </c>
      <c r="E593" s="2">
        <v>100</v>
      </c>
      <c r="F593" s="60">
        <v>49.1</v>
      </c>
      <c r="G593" s="303">
        <f t="shared" si="105"/>
        <v>4910</v>
      </c>
      <c r="H593" s="60">
        <v>18</v>
      </c>
      <c r="I593" s="224">
        <v>4.45</v>
      </c>
      <c r="J593" s="224">
        <v>7.14</v>
      </c>
      <c r="K593" s="60">
        <v>3</v>
      </c>
      <c r="L593" s="60">
        <f>SUM(H593:K593)</f>
        <v>32.590000000000003</v>
      </c>
      <c r="M593" s="303">
        <f>G593-L593</f>
        <v>4877.41</v>
      </c>
      <c r="N593" s="304" t="s">
        <v>763</v>
      </c>
      <c r="O593" s="304" t="s">
        <v>369</v>
      </c>
    </row>
    <row r="594" spans="1:15" ht="12.75" customHeight="1" x14ac:dyDescent="0.25">
      <c r="A594" s="16" t="s">
        <v>766</v>
      </c>
      <c r="B594" s="2" t="s">
        <v>1689</v>
      </c>
      <c r="C594" s="2" t="s">
        <v>1249</v>
      </c>
      <c r="D594" s="2">
        <v>5000</v>
      </c>
      <c r="E594" s="2">
        <v>50</v>
      </c>
      <c r="F594" s="60">
        <v>40.200000000000003</v>
      </c>
      <c r="G594" s="303">
        <f t="shared" si="105"/>
        <v>2010.0000000000002</v>
      </c>
      <c r="H594" s="60">
        <v>9</v>
      </c>
      <c r="I594" s="315"/>
      <c r="J594" s="315"/>
      <c r="K594" s="302"/>
      <c r="L594" s="60">
        <f t="shared" ref="L594:L600" si="112">SUM(H594:K594)</f>
        <v>9</v>
      </c>
      <c r="M594" s="303">
        <f t="shared" ref="M594:M600" si="113">G594-L594</f>
        <v>2001.0000000000002</v>
      </c>
      <c r="N594" s="304" t="s">
        <v>767</v>
      </c>
      <c r="O594" s="304" t="s">
        <v>369</v>
      </c>
    </row>
    <row r="595" spans="1:15" ht="12.75" customHeight="1" x14ac:dyDescent="0.25">
      <c r="A595" s="16" t="s">
        <v>766</v>
      </c>
      <c r="B595" s="2" t="s">
        <v>1689</v>
      </c>
      <c r="C595" s="2" t="s">
        <v>1249</v>
      </c>
      <c r="D595" s="2">
        <v>5000</v>
      </c>
      <c r="E595" s="2">
        <v>100</v>
      </c>
      <c r="F595" s="60">
        <v>40.1</v>
      </c>
      <c r="G595" s="303">
        <f t="shared" si="105"/>
        <v>4010</v>
      </c>
      <c r="H595" s="60">
        <v>18</v>
      </c>
      <c r="I595" s="315"/>
      <c r="J595" s="315"/>
      <c r="K595" s="312"/>
      <c r="L595" s="60">
        <f t="shared" si="112"/>
        <v>18</v>
      </c>
      <c r="M595" s="303">
        <f t="shared" si="113"/>
        <v>3992</v>
      </c>
      <c r="N595" s="304" t="s">
        <v>767</v>
      </c>
      <c r="O595" s="304" t="s">
        <v>369</v>
      </c>
    </row>
    <row r="596" spans="1:15" ht="12.75" customHeight="1" x14ac:dyDescent="0.25">
      <c r="A596" s="16" t="s">
        <v>766</v>
      </c>
      <c r="B596" s="2" t="s">
        <v>1689</v>
      </c>
      <c r="C596" s="2" t="s">
        <v>1249</v>
      </c>
      <c r="D596" s="2">
        <v>5000</v>
      </c>
      <c r="E596" s="2">
        <v>50</v>
      </c>
      <c r="F596" s="60">
        <v>40.1</v>
      </c>
      <c r="G596" s="303">
        <f t="shared" si="105"/>
        <v>2005</v>
      </c>
      <c r="H596" s="60">
        <v>9</v>
      </c>
      <c r="I596" s="315"/>
      <c r="J596" s="315"/>
      <c r="K596" s="312"/>
      <c r="L596" s="60">
        <f t="shared" si="112"/>
        <v>9</v>
      </c>
      <c r="M596" s="303">
        <f t="shared" si="113"/>
        <v>1996</v>
      </c>
      <c r="N596" s="304" t="s">
        <v>767</v>
      </c>
      <c r="O596" s="304" t="s">
        <v>369</v>
      </c>
    </row>
    <row r="597" spans="1:15" ht="12.75" customHeight="1" x14ac:dyDescent="0.25">
      <c r="A597" s="16" t="s">
        <v>766</v>
      </c>
      <c r="B597" s="2" t="s">
        <v>1689</v>
      </c>
      <c r="C597" s="2" t="s">
        <v>1249</v>
      </c>
      <c r="D597" s="2">
        <v>5000</v>
      </c>
      <c r="E597" s="2">
        <v>50</v>
      </c>
      <c r="F597" s="60">
        <v>40.1</v>
      </c>
      <c r="G597" s="303">
        <f t="shared" si="105"/>
        <v>2005</v>
      </c>
      <c r="H597" s="60">
        <v>9</v>
      </c>
      <c r="I597" s="315"/>
      <c r="J597" s="315"/>
      <c r="K597" s="312"/>
      <c r="L597" s="60">
        <f t="shared" si="112"/>
        <v>9</v>
      </c>
      <c r="M597" s="303">
        <f t="shared" si="113"/>
        <v>1996</v>
      </c>
      <c r="N597" s="304" t="s">
        <v>767</v>
      </c>
      <c r="O597" s="304" t="s">
        <v>369</v>
      </c>
    </row>
    <row r="598" spans="1:15" ht="12.75" customHeight="1" x14ac:dyDescent="0.25">
      <c r="A598" s="16" t="s">
        <v>766</v>
      </c>
      <c r="B598" s="2" t="s">
        <v>1689</v>
      </c>
      <c r="C598" s="2" t="s">
        <v>1249</v>
      </c>
      <c r="D598" s="2">
        <v>5000</v>
      </c>
      <c r="E598" s="2">
        <v>50</v>
      </c>
      <c r="F598" s="60">
        <v>40.1</v>
      </c>
      <c r="G598" s="303">
        <f t="shared" si="105"/>
        <v>2005</v>
      </c>
      <c r="H598" s="60">
        <v>9</v>
      </c>
      <c r="I598" s="315"/>
      <c r="J598" s="315"/>
      <c r="K598" s="312"/>
      <c r="L598" s="60">
        <f t="shared" si="112"/>
        <v>9</v>
      </c>
      <c r="M598" s="303">
        <f t="shared" si="113"/>
        <v>1996</v>
      </c>
      <c r="N598" s="304" t="s">
        <v>767</v>
      </c>
      <c r="O598" s="304" t="s">
        <v>369</v>
      </c>
    </row>
    <row r="599" spans="1:15" ht="12.75" customHeight="1" x14ac:dyDescent="0.25">
      <c r="A599" s="16" t="s">
        <v>766</v>
      </c>
      <c r="B599" s="2" t="s">
        <v>1689</v>
      </c>
      <c r="C599" s="2" t="s">
        <v>1245</v>
      </c>
      <c r="D599" s="2">
        <v>4600</v>
      </c>
      <c r="E599" s="2">
        <v>50</v>
      </c>
      <c r="F599" s="60">
        <v>67.599999999999994</v>
      </c>
      <c r="G599" s="303">
        <f t="shared" si="105"/>
        <v>3379.9999999999995</v>
      </c>
      <c r="H599" s="60">
        <v>9</v>
      </c>
      <c r="I599" s="315"/>
      <c r="J599" s="315"/>
      <c r="K599" s="312"/>
      <c r="L599" s="60">
        <f t="shared" si="112"/>
        <v>9</v>
      </c>
      <c r="M599" s="303">
        <f t="shared" si="113"/>
        <v>3370.9999999999995</v>
      </c>
      <c r="N599" s="304" t="s">
        <v>767</v>
      </c>
      <c r="O599" s="304" t="s">
        <v>369</v>
      </c>
    </row>
    <row r="600" spans="1:15" ht="12.75" customHeight="1" x14ac:dyDescent="0.25">
      <c r="A600" s="16" t="s">
        <v>766</v>
      </c>
      <c r="B600" s="2" t="s">
        <v>1689</v>
      </c>
      <c r="C600" s="2" t="s">
        <v>1245</v>
      </c>
      <c r="D600" s="2">
        <v>4600</v>
      </c>
      <c r="E600" s="2">
        <v>100</v>
      </c>
      <c r="F600" s="60">
        <v>67.599999999999994</v>
      </c>
      <c r="G600" s="303">
        <f t="shared" si="105"/>
        <v>6759.9999999999991</v>
      </c>
      <c r="H600" s="60">
        <v>18</v>
      </c>
      <c r="I600" s="299">
        <v>24.21</v>
      </c>
      <c r="J600" s="299">
        <v>46.01</v>
      </c>
      <c r="K600" s="247">
        <v>6</v>
      </c>
      <c r="L600" s="60">
        <f t="shared" si="112"/>
        <v>94.22</v>
      </c>
      <c r="M600" s="303">
        <f t="shared" si="113"/>
        <v>6665.7799999999988</v>
      </c>
      <c r="N600" s="304" t="s">
        <v>767</v>
      </c>
      <c r="O600" s="304" t="s">
        <v>369</v>
      </c>
    </row>
    <row r="601" spans="1:15" ht="12.75" customHeight="1" x14ac:dyDescent="0.25">
      <c r="A601" s="16" t="s">
        <v>770</v>
      </c>
      <c r="B601" s="16" t="s">
        <v>1689</v>
      </c>
      <c r="C601" s="2" t="s">
        <v>1249</v>
      </c>
      <c r="D601" s="2">
        <v>4900</v>
      </c>
      <c r="E601" s="2">
        <v>150</v>
      </c>
      <c r="F601" s="60">
        <v>215.1</v>
      </c>
      <c r="G601" s="303">
        <f t="shared" si="105"/>
        <v>32265</v>
      </c>
      <c r="H601" s="60">
        <v>27</v>
      </c>
      <c r="I601" s="307"/>
      <c r="J601" s="311"/>
      <c r="K601" s="312"/>
      <c r="L601" s="60">
        <f t="shared" ref="L601:L613" si="114">SUM(H601:K601)</f>
        <v>27</v>
      </c>
      <c r="M601" s="303">
        <f t="shared" ref="M601:M613" si="115">G601-L601</f>
        <v>32238</v>
      </c>
      <c r="N601" s="304" t="s">
        <v>772</v>
      </c>
      <c r="O601" s="304" t="s">
        <v>369</v>
      </c>
    </row>
    <row r="602" spans="1:15" ht="12.75" customHeight="1" x14ac:dyDescent="0.25">
      <c r="A602" s="16" t="s">
        <v>770</v>
      </c>
      <c r="B602" s="2" t="s">
        <v>1689</v>
      </c>
      <c r="C602" s="2" t="s">
        <v>1249</v>
      </c>
      <c r="D602" s="2">
        <v>5000</v>
      </c>
      <c r="E602" s="2">
        <v>300</v>
      </c>
      <c r="F602" s="60">
        <v>150.30000000000001</v>
      </c>
      <c r="G602" s="303">
        <f t="shared" si="105"/>
        <v>45090</v>
      </c>
      <c r="H602" s="60">
        <v>54</v>
      </c>
      <c r="I602" s="320">
        <v>36.07</v>
      </c>
      <c r="J602" s="2">
        <v>89.21</v>
      </c>
      <c r="K602" s="247">
        <v>16</v>
      </c>
      <c r="L602" s="60">
        <f t="shared" si="114"/>
        <v>195.27999999999997</v>
      </c>
      <c r="M602" s="303">
        <f t="shared" si="115"/>
        <v>44894.720000000001</v>
      </c>
      <c r="N602" s="304" t="s">
        <v>772</v>
      </c>
      <c r="O602" s="304" t="s">
        <v>369</v>
      </c>
    </row>
    <row r="603" spans="1:15" ht="12.75" customHeight="1" x14ac:dyDescent="0.25">
      <c r="A603" s="16" t="s">
        <v>773</v>
      </c>
      <c r="B603" s="2" t="s">
        <v>771</v>
      </c>
      <c r="C603" s="2" t="s">
        <v>1245</v>
      </c>
      <c r="D603" s="2">
        <v>4400</v>
      </c>
      <c r="E603" s="2">
        <v>500</v>
      </c>
      <c r="F603" s="60">
        <v>29.4</v>
      </c>
      <c r="G603" s="303">
        <f t="shared" si="105"/>
        <v>14700</v>
      </c>
      <c r="H603" s="60">
        <v>90</v>
      </c>
      <c r="I603" s="320">
        <v>20.66</v>
      </c>
      <c r="J603" s="2">
        <v>20.59</v>
      </c>
      <c r="K603" s="247">
        <v>4</v>
      </c>
      <c r="L603" s="60">
        <f t="shared" si="114"/>
        <v>135.25</v>
      </c>
      <c r="M603" s="303">
        <f t="shared" si="115"/>
        <v>14564.75</v>
      </c>
      <c r="N603" s="304" t="s">
        <v>774</v>
      </c>
      <c r="O603" s="304" t="s">
        <v>369</v>
      </c>
    </row>
    <row r="604" spans="1:15" ht="12.75" customHeight="1" x14ac:dyDescent="0.25">
      <c r="A604" s="16" t="s">
        <v>1615</v>
      </c>
      <c r="B604" s="2" t="s">
        <v>1689</v>
      </c>
      <c r="C604" s="2" t="s">
        <v>1249</v>
      </c>
      <c r="D604" s="2">
        <v>5300</v>
      </c>
      <c r="E604" s="2">
        <v>500</v>
      </c>
      <c r="F604" s="60">
        <v>25.15</v>
      </c>
      <c r="G604" s="303">
        <f t="shared" si="105"/>
        <v>12575</v>
      </c>
      <c r="H604" s="60">
        <v>90</v>
      </c>
      <c r="I604" s="299">
        <v>16.61</v>
      </c>
      <c r="J604" s="299">
        <v>17.29</v>
      </c>
      <c r="K604" s="247">
        <v>3</v>
      </c>
      <c r="L604" s="60">
        <f t="shared" si="114"/>
        <v>126.9</v>
      </c>
      <c r="M604" s="303">
        <f t="shared" si="115"/>
        <v>12448.1</v>
      </c>
      <c r="N604" s="304" t="s">
        <v>1614</v>
      </c>
      <c r="O604" s="304" t="s">
        <v>369</v>
      </c>
    </row>
    <row r="605" spans="1:15" ht="12.75" customHeight="1" x14ac:dyDescent="0.25">
      <c r="A605" s="16" t="s">
        <v>1621</v>
      </c>
      <c r="B605" s="2" t="s">
        <v>1689</v>
      </c>
      <c r="C605" s="2" t="s">
        <v>1249</v>
      </c>
      <c r="D605" s="2">
        <v>5200</v>
      </c>
      <c r="E605" s="2">
        <v>50</v>
      </c>
      <c r="F605" s="60">
        <v>23.15</v>
      </c>
      <c r="G605" s="303">
        <f t="shared" si="105"/>
        <v>1157.5</v>
      </c>
      <c r="H605" s="60">
        <v>9</v>
      </c>
      <c r="I605" s="312"/>
      <c r="J605" s="312"/>
      <c r="K605" s="312"/>
      <c r="L605" s="60">
        <f t="shared" si="114"/>
        <v>9</v>
      </c>
      <c r="M605" s="303">
        <f t="shared" si="115"/>
        <v>1148.5</v>
      </c>
      <c r="N605" s="304" t="s">
        <v>1622</v>
      </c>
      <c r="O605" s="304" t="s">
        <v>369</v>
      </c>
    </row>
    <row r="606" spans="1:15" ht="12.75" customHeight="1" x14ac:dyDescent="0.25">
      <c r="A606" s="16" t="s">
        <v>1621</v>
      </c>
      <c r="B606" s="2" t="s">
        <v>1689</v>
      </c>
      <c r="C606" s="2" t="s">
        <v>1249</v>
      </c>
      <c r="D606" s="2">
        <v>5200</v>
      </c>
      <c r="E606" s="2">
        <v>100</v>
      </c>
      <c r="F606" s="60">
        <v>23.15</v>
      </c>
      <c r="G606" s="303">
        <f t="shared" si="105"/>
        <v>2315</v>
      </c>
      <c r="H606" s="60">
        <v>18</v>
      </c>
      <c r="I606" s="312"/>
      <c r="J606" s="312"/>
      <c r="K606" s="302"/>
      <c r="L606" s="60">
        <f t="shared" si="114"/>
        <v>18</v>
      </c>
      <c r="M606" s="303">
        <f t="shared" si="115"/>
        <v>2297</v>
      </c>
      <c r="N606" s="304" t="s">
        <v>1622</v>
      </c>
      <c r="O606" s="304" t="s">
        <v>369</v>
      </c>
    </row>
    <row r="607" spans="1:15" ht="12.75" customHeight="1" x14ac:dyDescent="0.25">
      <c r="A607" s="16" t="s">
        <v>1621</v>
      </c>
      <c r="B607" s="2" t="s">
        <v>1689</v>
      </c>
      <c r="C607" s="2" t="s">
        <v>1249</v>
      </c>
      <c r="D607" s="2">
        <v>5200</v>
      </c>
      <c r="E607" s="2">
        <v>50</v>
      </c>
      <c r="F607" s="60">
        <v>23.1</v>
      </c>
      <c r="G607" s="303">
        <f t="shared" si="105"/>
        <v>1155</v>
      </c>
      <c r="H607" s="60">
        <v>9</v>
      </c>
      <c r="I607" s="316"/>
      <c r="J607" s="316"/>
      <c r="K607" s="302"/>
      <c r="L607" s="60">
        <f t="shared" si="114"/>
        <v>9</v>
      </c>
      <c r="M607" s="303">
        <f t="shared" si="115"/>
        <v>1146</v>
      </c>
      <c r="N607" s="304" t="s">
        <v>1622</v>
      </c>
      <c r="O607" s="304" t="s">
        <v>369</v>
      </c>
    </row>
    <row r="608" spans="1:15" ht="12.75" customHeight="1" x14ac:dyDescent="0.25">
      <c r="A608" s="16" t="s">
        <v>1621</v>
      </c>
      <c r="B608" s="2" t="s">
        <v>1689</v>
      </c>
      <c r="C608" s="2" t="s">
        <v>1249</v>
      </c>
      <c r="D608" s="2">
        <v>5200</v>
      </c>
      <c r="E608" s="2">
        <v>100</v>
      </c>
      <c r="F608" s="60">
        <v>23.1</v>
      </c>
      <c r="G608" s="303">
        <f t="shared" si="105"/>
        <v>2310</v>
      </c>
      <c r="H608" s="60">
        <v>18</v>
      </c>
      <c r="I608" s="224">
        <v>19.18</v>
      </c>
      <c r="J608" s="224">
        <v>24.21</v>
      </c>
      <c r="K608" s="247">
        <v>2</v>
      </c>
      <c r="L608" s="60">
        <f t="shared" si="114"/>
        <v>63.39</v>
      </c>
      <c r="M608" s="303">
        <f t="shared" si="115"/>
        <v>2246.61</v>
      </c>
      <c r="N608" s="304" t="s">
        <v>1622</v>
      </c>
      <c r="O608" s="304" t="s">
        <v>369</v>
      </c>
    </row>
    <row r="609" spans="1:15" ht="12.75" customHeight="1" x14ac:dyDescent="0.25">
      <c r="A609" s="16" t="s">
        <v>1624</v>
      </c>
      <c r="B609" s="2" t="s">
        <v>1689</v>
      </c>
      <c r="C609" s="2" t="s">
        <v>1249</v>
      </c>
      <c r="D609" s="2">
        <v>5100</v>
      </c>
      <c r="E609" s="2">
        <v>150</v>
      </c>
      <c r="F609" s="60">
        <v>42.7</v>
      </c>
      <c r="G609" s="303">
        <f t="shared" si="105"/>
        <v>6405</v>
      </c>
      <c r="H609" s="60">
        <v>27</v>
      </c>
      <c r="I609" s="324"/>
      <c r="J609" s="324"/>
      <c r="K609" s="312"/>
      <c r="L609" s="60">
        <f t="shared" si="114"/>
        <v>27</v>
      </c>
      <c r="M609" s="303">
        <f t="shared" si="115"/>
        <v>6378</v>
      </c>
      <c r="N609" s="304" t="s">
        <v>1623</v>
      </c>
      <c r="O609" s="304" t="s">
        <v>369</v>
      </c>
    </row>
    <row r="610" spans="1:15" ht="12.75" customHeight="1" x14ac:dyDescent="0.25">
      <c r="A610" s="16" t="s">
        <v>1624</v>
      </c>
      <c r="B610" s="2" t="s">
        <v>1689</v>
      </c>
      <c r="C610" s="2" t="s">
        <v>1249</v>
      </c>
      <c r="D610" s="2">
        <v>5100</v>
      </c>
      <c r="E610" s="2">
        <v>150</v>
      </c>
      <c r="F610" s="60">
        <v>42.7</v>
      </c>
      <c r="G610" s="303">
        <f t="shared" si="105"/>
        <v>6405</v>
      </c>
      <c r="H610" s="60">
        <v>27</v>
      </c>
      <c r="I610" s="249">
        <v>12.89</v>
      </c>
      <c r="J610" s="249">
        <v>17.16</v>
      </c>
      <c r="K610" s="247">
        <v>4</v>
      </c>
      <c r="L610" s="60">
        <f t="shared" si="114"/>
        <v>61.05</v>
      </c>
      <c r="M610" s="303">
        <f t="shared" si="115"/>
        <v>6343.95</v>
      </c>
      <c r="N610" s="304" t="s">
        <v>1623</v>
      </c>
      <c r="O610" s="304" t="s">
        <v>369</v>
      </c>
    </row>
    <row r="611" spans="1:15" ht="12.75" customHeight="1" x14ac:dyDescent="0.25">
      <c r="A611" s="16" t="s">
        <v>1625</v>
      </c>
      <c r="B611" s="2" t="s">
        <v>1689</v>
      </c>
      <c r="C611" s="2" t="s">
        <v>1245</v>
      </c>
      <c r="D611" s="2">
        <v>4600</v>
      </c>
      <c r="E611" s="2">
        <v>350</v>
      </c>
      <c r="F611" s="60">
        <v>50.15</v>
      </c>
      <c r="G611" s="303">
        <f t="shared" si="105"/>
        <v>17552.5</v>
      </c>
      <c r="H611" s="60">
        <v>63</v>
      </c>
      <c r="I611" s="312"/>
      <c r="J611" s="312"/>
      <c r="K611" s="312"/>
      <c r="L611" s="60">
        <f t="shared" si="114"/>
        <v>63</v>
      </c>
      <c r="M611" s="303">
        <f t="shared" si="115"/>
        <v>17489.5</v>
      </c>
      <c r="N611" s="304" t="s">
        <v>1626</v>
      </c>
      <c r="O611" s="304" t="s">
        <v>369</v>
      </c>
    </row>
    <row r="612" spans="1:15" ht="12.75" customHeight="1" x14ac:dyDescent="0.25">
      <c r="A612" s="16" t="s">
        <v>1625</v>
      </c>
      <c r="B612" s="2" t="s">
        <v>1689</v>
      </c>
      <c r="C612" s="2" t="s">
        <v>1245</v>
      </c>
      <c r="D612" s="2">
        <v>4600</v>
      </c>
      <c r="E612" s="2">
        <v>50</v>
      </c>
      <c r="F612" s="60">
        <v>50.15</v>
      </c>
      <c r="G612" s="303">
        <f t="shared" si="105"/>
        <v>2507.5</v>
      </c>
      <c r="H612" s="60">
        <v>9</v>
      </c>
      <c r="I612" s="312"/>
      <c r="J612" s="312"/>
      <c r="K612" s="312"/>
      <c r="L612" s="60">
        <f t="shared" si="114"/>
        <v>9</v>
      </c>
      <c r="M612" s="303">
        <f t="shared" si="115"/>
        <v>2498.5</v>
      </c>
      <c r="N612" s="304" t="s">
        <v>1626</v>
      </c>
      <c r="O612" s="304" t="s">
        <v>369</v>
      </c>
    </row>
    <row r="613" spans="1:15" ht="12.75" customHeight="1" x14ac:dyDescent="0.25">
      <c r="A613" s="16" t="s">
        <v>1625</v>
      </c>
      <c r="B613" s="2" t="s">
        <v>1689</v>
      </c>
      <c r="C613" s="2" t="s">
        <v>1245</v>
      </c>
      <c r="D613" s="2">
        <v>4600</v>
      </c>
      <c r="E613" s="2">
        <v>200</v>
      </c>
      <c r="F613" s="60">
        <v>50.15</v>
      </c>
      <c r="G613" s="303">
        <f t="shared" si="105"/>
        <v>10030</v>
      </c>
      <c r="H613" s="60">
        <v>36</v>
      </c>
      <c r="I613" s="247">
        <v>33.049999999999997</v>
      </c>
      <c r="J613" s="247">
        <v>50.9</v>
      </c>
      <c r="K613" s="247">
        <v>10</v>
      </c>
      <c r="L613" s="60">
        <f t="shared" si="114"/>
        <v>129.94999999999999</v>
      </c>
      <c r="M613" s="303">
        <f t="shared" si="115"/>
        <v>9900.0499999999993</v>
      </c>
      <c r="N613" s="304" t="s">
        <v>1626</v>
      </c>
      <c r="O613" s="304" t="s">
        <v>369</v>
      </c>
    </row>
    <row r="614" spans="1:15" ht="12.75" customHeight="1" x14ac:dyDescent="0.25">
      <c r="A614" s="16" t="s">
        <v>707</v>
      </c>
      <c r="B614" s="2" t="s">
        <v>1689</v>
      </c>
      <c r="C614" s="2" t="s">
        <v>1245</v>
      </c>
      <c r="D614" s="2">
        <v>4600</v>
      </c>
      <c r="E614" s="2">
        <v>850</v>
      </c>
      <c r="F614" s="60">
        <v>41</v>
      </c>
      <c r="G614" s="303">
        <f t="shared" si="105"/>
        <v>34850</v>
      </c>
      <c r="H614" s="60">
        <v>153</v>
      </c>
      <c r="I614" s="317"/>
      <c r="J614" s="317"/>
      <c r="K614" s="312"/>
      <c r="L614" s="60">
        <f t="shared" ref="L614:L619" si="116">SUM(H614:K614)</f>
        <v>153</v>
      </c>
      <c r="M614" s="303">
        <f t="shared" ref="M614:M619" si="117">G614-L614</f>
        <v>34697</v>
      </c>
      <c r="N614" s="263" t="s">
        <v>706</v>
      </c>
      <c r="O614" s="263" t="s">
        <v>369</v>
      </c>
    </row>
    <row r="615" spans="1:15" ht="12.75" customHeight="1" x14ac:dyDescent="0.25">
      <c r="A615" s="16" t="s">
        <v>707</v>
      </c>
      <c r="B615" s="2" t="s">
        <v>1689</v>
      </c>
      <c r="C615" s="2" t="s">
        <v>1245</v>
      </c>
      <c r="D615" s="2">
        <v>4600</v>
      </c>
      <c r="E615" s="2">
        <v>50</v>
      </c>
      <c r="F615" s="60">
        <v>41</v>
      </c>
      <c r="G615" s="303">
        <f t="shared" si="105"/>
        <v>2050</v>
      </c>
      <c r="H615" s="60">
        <v>9</v>
      </c>
      <c r="I615" s="317"/>
      <c r="J615" s="317"/>
      <c r="K615" s="312"/>
      <c r="L615" s="60">
        <f t="shared" si="116"/>
        <v>9</v>
      </c>
      <c r="M615" s="303">
        <f t="shared" si="117"/>
        <v>2041</v>
      </c>
      <c r="N615" s="263" t="s">
        <v>706</v>
      </c>
      <c r="O615" s="263" t="s">
        <v>369</v>
      </c>
    </row>
    <row r="616" spans="1:15" ht="12.75" customHeight="1" x14ac:dyDescent="0.25">
      <c r="A616" s="16" t="s">
        <v>707</v>
      </c>
      <c r="B616" s="2" t="s">
        <v>1689</v>
      </c>
      <c r="C616" s="2" t="s">
        <v>1245</v>
      </c>
      <c r="D616" s="2">
        <v>4600</v>
      </c>
      <c r="E616" s="2">
        <v>600</v>
      </c>
      <c r="F616" s="60">
        <v>41</v>
      </c>
      <c r="G616" s="303">
        <f t="shared" si="105"/>
        <v>24600</v>
      </c>
      <c r="H616" s="60">
        <v>108</v>
      </c>
      <c r="I616" s="317"/>
      <c r="J616" s="317"/>
      <c r="K616" s="312"/>
      <c r="L616" s="60">
        <f t="shared" si="116"/>
        <v>108</v>
      </c>
      <c r="M616" s="303">
        <f t="shared" si="117"/>
        <v>24492</v>
      </c>
      <c r="N616" s="263" t="s">
        <v>706</v>
      </c>
      <c r="O616" s="263" t="s">
        <v>369</v>
      </c>
    </row>
    <row r="617" spans="1:15" ht="12.75" customHeight="1" x14ac:dyDescent="0.25">
      <c r="A617" s="16" t="s">
        <v>707</v>
      </c>
      <c r="B617" s="2" t="s">
        <v>771</v>
      </c>
      <c r="C617" s="2" t="s">
        <v>1245</v>
      </c>
      <c r="D617" s="2">
        <v>4700</v>
      </c>
      <c r="E617" s="2">
        <v>700</v>
      </c>
      <c r="F617" s="60">
        <v>114</v>
      </c>
      <c r="G617" s="303">
        <f t="shared" si="105"/>
        <v>79800</v>
      </c>
      <c r="H617" s="60">
        <v>126</v>
      </c>
      <c r="I617" s="327"/>
      <c r="J617" s="328"/>
      <c r="K617" s="312"/>
      <c r="L617" s="60">
        <f t="shared" si="116"/>
        <v>126</v>
      </c>
      <c r="M617" s="303">
        <f t="shared" si="117"/>
        <v>79674</v>
      </c>
      <c r="N617" s="263" t="s">
        <v>706</v>
      </c>
      <c r="O617" s="263" t="s">
        <v>369</v>
      </c>
    </row>
    <row r="618" spans="1:15" ht="12.75" customHeight="1" x14ac:dyDescent="0.25">
      <c r="A618" s="16" t="s">
        <v>707</v>
      </c>
      <c r="B618" s="2" t="s">
        <v>771</v>
      </c>
      <c r="C618" s="2" t="s">
        <v>1245</v>
      </c>
      <c r="D618" s="2">
        <v>5000</v>
      </c>
      <c r="E618" s="2">
        <v>100</v>
      </c>
      <c r="F618" s="60">
        <v>279</v>
      </c>
      <c r="G618" s="303">
        <f t="shared" si="105"/>
        <v>27900</v>
      </c>
      <c r="H618" s="60">
        <v>18</v>
      </c>
      <c r="I618" s="329">
        <v>70.09</v>
      </c>
      <c r="J618" s="293">
        <v>158.47</v>
      </c>
      <c r="K618" s="247">
        <v>43</v>
      </c>
      <c r="L618" s="60">
        <f t="shared" si="116"/>
        <v>289.56</v>
      </c>
      <c r="M618" s="303">
        <f t="shared" si="117"/>
        <v>27610.44</v>
      </c>
      <c r="N618" s="263" t="s">
        <v>706</v>
      </c>
      <c r="O618" s="263" t="s">
        <v>369</v>
      </c>
    </row>
    <row r="619" spans="1:15" ht="12.75" customHeight="1" x14ac:dyDescent="0.25">
      <c r="A619" s="16" t="s">
        <v>710</v>
      </c>
      <c r="B619" s="2" t="s">
        <v>1689</v>
      </c>
      <c r="C619" s="2" t="s">
        <v>1249</v>
      </c>
      <c r="D619" s="2">
        <v>4800</v>
      </c>
      <c r="E619" s="2">
        <v>300</v>
      </c>
      <c r="F619" s="60">
        <v>42</v>
      </c>
      <c r="G619" s="303">
        <f>E619*F619</f>
        <v>12600</v>
      </c>
      <c r="H619" s="60">
        <v>54</v>
      </c>
      <c r="I619" s="324"/>
      <c r="J619" s="324"/>
      <c r="K619" s="312"/>
      <c r="L619" s="60">
        <f t="shared" si="116"/>
        <v>54</v>
      </c>
      <c r="M619" s="303">
        <f t="shared" si="117"/>
        <v>12546</v>
      </c>
      <c r="N619" s="263" t="s">
        <v>709</v>
      </c>
      <c r="O619" s="263" t="s">
        <v>369</v>
      </c>
    </row>
    <row r="620" spans="1:15" ht="12.75" customHeight="1" x14ac:dyDescent="0.25">
      <c r="A620" s="16" t="s">
        <v>711</v>
      </c>
      <c r="B620" s="2" t="s">
        <v>1689</v>
      </c>
      <c r="C620" s="2" t="s">
        <v>1245</v>
      </c>
      <c r="D620" s="2">
        <v>4800</v>
      </c>
      <c r="E620" s="2">
        <v>50</v>
      </c>
      <c r="F620" s="60">
        <v>61.75</v>
      </c>
      <c r="G620" s="303">
        <f t="shared" ref="G620:G628" si="118">E620*F620</f>
        <v>3087.5</v>
      </c>
      <c r="H620" s="60">
        <v>9</v>
      </c>
      <c r="I620" s="316"/>
      <c r="J620" s="316"/>
      <c r="K620" s="316"/>
      <c r="L620" s="60">
        <f t="shared" ref="L620:L628" si="119">SUM(H620:K620)</f>
        <v>9</v>
      </c>
      <c r="M620" s="303">
        <f t="shared" ref="M620:M628" si="120">G620-L620</f>
        <v>3078.5</v>
      </c>
      <c r="N620" s="263" t="s">
        <v>2071</v>
      </c>
      <c r="O620" s="263" t="s">
        <v>369</v>
      </c>
    </row>
    <row r="621" spans="1:15" ht="12.75" customHeight="1" x14ac:dyDescent="0.25">
      <c r="A621" s="16" t="s">
        <v>711</v>
      </c>
      <c r="B621" s="2" t="s">
        <v>1689</v>
      </c>
      <c r="C621" s="2" t="s">
        <v>1245</v>
      </c>
      <c r="D621" s="2">
        <v>4800</v>
      </c>
      <c r="E621" s="2">
        <v>100</v>
      </c>
      <c r="F621" s="60">
        <v>61.75</v>
      </c>
      <c r="G621" s="303">
        <f t="shared" si="118"/>
        <v>6175</v>
      </c>
      <c r="H621" s="60">
        <v>18</v>
      </c>
      <c r="I621" s="312"/>
      <c r="J621" s="312"/>
      <c r="K621" s="312"/>
      <c r="L621" s="60">
        <f t="shared" si="119"/>
        <v>18</v>
      </c>
      <c r="M621" s="303">
        <f t="shared" si="120"/>
        <v>6157</v>
      </c>
      <c r="N621" s="263" t="s">
        <v>2071</v>
      </c>
      <c r="O621" s="263" t="s">
        <v>369</v>
      </c>
    </row>
    <row r="622" spans="1:15" ht="12.75" customHeight="1" x14ac:dyDescent="0.25">
      <c r="A622" s="16" t="s">
        <v>711</v>
      </c>
      <c r="B622" s="2" t="s">
        <v>1689</v>
      </c>
      <c r="C622" s="2" t="s">
        <v>1245</v>
      </c>
      <c r="D622" s="2">
        <v>4800</v>
      </c>
      <c r="E622" s="2">
        <v>150</v>
      </c>
      <c r="F622" s="60">
        <v>61.7</v>
      </c>
      <c r="G622" s="303">
        <f t="shared" si="118"/>
        <v>9255</v>
      </c>
      <c r="H622" s="60">
        <v>27</v>
      </c>
      <c r="I622" s="317"/>
      <c r="J622" s="317"/>
      <c r="K622" s="312"/>
      <c r="L622" s="60">
        <f t="shared" si="119"/>
        <v>27</v>
      </c>
      <c r="M622" s="303">
        <f t="shared" si="120"/>
        <v>9228</v>
      </c>
      <c r="N622" s="263" t="s">
        <v>2071</v>
      </c>
      <c r="O622" s="263" t="s">
        <v>369</v>
      </c>
    </row>
    <row r="623" spans="1:15" ht="12.75" customHeight="1" x14ac:dyDescent="0.25">
      <c r="A623" s="16" t="s">
        <v>711</v>
      </c>
      <c r="B623" s="2" t="s">
        <v>708</v>
      </c>
      <c r="C623" s="2" t="s">
        <v>1245</v>
      </c>
      <c r="D623" s="2">
        <v>8300</v>
      </c>
      <c r="E623" s="2">
        <v>25</v>
      </c>
      <c r="F623" s="60">
        <v>85</v>
      </c>
      <c r="G623" s="303">
        <f t="shared" si="118"/>
        <v>2125</v>
      </c>
      <c r="H623" s="60">
        <v>9</v>
      </c>
      <c r="I623" s="317"/>
      <c r="J623" s="317"/>
      <c r="K623" s="312"/>
      <c r="L623" s="60">
        <f t="shared" si="119"/>
        <v>9</v>
      </c>
      <c r="M623" s="303">
        <f t="shared" si="120"/>
        <v>2116</v>
      </c>
      <c r="N623" s="263" t="s">
        <v>2071</v>
      </c>
      <c r="O623" s="263" t="s">
        <v>369</v>
      </c>
    </row>
    <row r="624" spans="1:15" ht="12.75" customHeight="1" x14ac:dyDescent="0.25">
      <c r="A624" s="16" t="s">
        <v>711</v>
      </c>
      <c r="B624" s="2" t="s">
        <v>708</v>
      </c>
      <c r="C624" s="2" t="s">
        <v>1245</v>
      </c>
      <c r="D624" s="2">
        <v>8300</v>
      </c>
      <c r="E624" s="2">
        <v>25</v>
      </c>
      <c r="F624" s="60">
        <v>85</v>
      </c>
      <c r="G624" s="303">
        <f t="shared" si="118"/>
        <v>2125</v>
      </c>
      <c r="H624" s="60">
        <v>9</v>
      </c>
      <c r="I624" s="317"/>
      <c r="J624" s="317"/>
      <c r="K624" s="312"/>
      <c r="L624" s="60">
        <f t="shared" si="119"/>
        <v>9</v>
      </c>
      <c r="M624" s="303">
        <f t="shared" si="120"/>
        <v>2116</v>
      </c>
      <c r="N624" s="263" t="s">
        <v>2071</v>
      </c>
      <c r="O624" s="263" t="s">
        <v>369</v>
      </c>
    </row>
    <row r="625" spans="1:15" ht="12.75" customHeight="1" x14ac:dyDescent="0.25">
      <c r="A625" s="16" t="s">
        <v>711</v>
      </c>
      <c r="B625" s="2" t="s">
        <v>708</v>
      </c>
      <c r="C625" s="2" t="s">
        <v>1245</v>
      </c>
      <c r="D625" s="2">
        <v>8300</v>
      </c>
      <c r="E625" s="2">
        <v>25</v>
      </c>
      <c r="F625" s="60">
        <v>85</v>
      </c>
      <c r="G625" s="303">
        <f t="shared" si="118"/>
        <v>2125</v>
      </c>
      <c r="H625" s="60">
        <v>9</v>
      </c>
      <c r="I625" s="317"/>
      <c r="J625" s="317"/>
      <c r="K625" s="312"/>
      <c r="L625" s="60">
        <f t="shared" si="119"/>
        <v>9</v>
      </c>
      <c r="M625" s="303">
        <f t="shared" si="120"/>
        <v>2116</v>
      </c>
      <c r="N625" s="263" t="s">
        <v>2071</v>
      </c>
      <c r="O625" s="263" t="s">
        <v>369</v>
      </c>
    </row>
    <row r="626" spans="1:15" ht="12.75" customHeight="1" x14ac:dyDescent="0.25">
      <c r="A626" s="16" t="s">
        <v>711</v>
      </c>
      <c r="B626" s="2" t="s">
        <v>708</v>
      </c>
      <c r="C626" s="2" t="s">
        <v>1245</v>
      </c>
      <c r="D626" s="2">
        <v>8300</v>
      </c>
      <c r="E626" s="2">
        <v>25</v>
      </c>
      <c r="F626" s="60">
        <v>85</v>
      </c>
      <c r="G626" s="303">
        <f t="shared" si="118"/>
        <v>2125</v>
      </c>
      <c r="H626" s="60">
        <v>9</v>
      </c>
      <c r="I626" s="317"/>
      <c r="J626" s="317"/>
      <c r="K626" s="312"/>
      <c r="L626" s="60">
        <f t="shared" si="119"/>
        <v>9</v>
      </c>
      <c r="M626" s="303">
        <f t="shared" si="120"/>
        <v>2116</v>
      </c>
      <c r="N626" s="263" t="s">
        <v>2071</v>
      </c>
      <c r="O626" s="263" t="s">
        <v>369</v>
      </c>
    </row>
    <row r="627" spans="1:15" ht="12.75" customHeight="1" x14ac:dyDescent="0.25">
      <c r="A627" s="16" t="s">
        <v>711</v>
      </c>
      <c r="B627" s="2" t="s">
        <v>771</v>
      </c>
      <c r="C627" s="2" t="s">
        <v>1245</v>
      </c>
      <c r="D627" s="2">
        <v>4700</v>
      </c>
      <c r="E627" s="2">
        <v>50</v>
      </c>
      <c r="F627" s="60">
        <v>98.1</v>
      </c>
      <c r="G627" s="303">
        <f t="shared" si="118"/>
        <v>4905</v>
      </c>
      <c r="H627" s="60">
        <v>9</v>
      </c>
      <c r="I627" s="317"/>
      <c r="J627" s="317"/>
      <c r="K627" s="312"/>
      <c r="L627" s="60">
        <f t="shared" si="119"/>
        <v>9</v>
      </c>
      <c r="M627" s="303">
        <f t="shared" si="120"/>
        <v>4896</v>
      </c>
      <c r="N627" s="263" t="s">
        <v>2071</v>
      </c>
      <c r="O627" s="263" t="s">
        <v>369</v>
      </c>
    </row>
    <row r="628" spans="1:15" ht="12.75" customHeight="1" x14ac:dyDescent="0.25">
      <c r="A628" s="16" t="s">
        <v>711</v>
      </c>
      <c r="B628" s="2" t="s">
        <v>771</v>
      </c>
      <c r="C628" s="2" t="s">
        <v>1245</v>
      </c>
      <c r="D628" s="2">
        <v>4700</v>
      </c>
      <c r="E628" s="2">
        <v>250</v>
      </c>
      <c r="F628" s="60">
        <v>97.85</v>
      </c>
      <c r="G628" s="303">
        <f t="shared" si="118"/>
        <v>24462.5</v>
      </c>
      <c r="H628" s="60">
        <v>45</v>
      </c>
      <c r="I628" s="326">
        <v>18.95</v>
      </c>
      <c r="J628" s="326">
        <v>40.03</v>
      </c>
      <c r="K628" s="247">
        <v>14</v>
      </c>
      <c r="L628" s="60">
        <f t="shared" si="119"/>
        <v>117.98</v>
      </c>
      <c r="M628" s="303">
        <f t="shared" si="120"/>
        <v>24344.52</v>
      </c>
      <c r="N628" s="263" t="s">
        <v>2071</v>
      </c>
      <c r="O628" s="263" t="s">
        <v>369</v>
      </c>
    </row>
    <row r="629" spans="1:15" ht="12.75" customHeight="1" x14ac:dyDescent="0.25">
      <c r="A629" s="16" t="s">
        <v>1478</v>
      </c>
      <c r="B629" s="2" t="s">
        <v>1689</v>
      </c>
      <c r="C629" s="2" t="s">
        <v>1249</v>
      </c>
      <c r="D629" s="2">
        <v>4800</v>
      </c>
      <c r="E629" s="2">
        <v>100</v>
      </c>
      <c r="F629" s="60">
        <v>23.75</v>
      </c>
      <c r="G629" s="303">
        <f>E629*F629</f>
        <v>2375</v>
      </c>
      <c r="H629" s="60">
        <v>18</v>
      </c>
      <c r="I629" s="317"/>
      <c r="J629" s="317"/>
      <c r="K629" s="312"/>
      <c r="L629" s="60">
        <f t="shared" ref="L629:L635" si="121">SUM(H629:K629)</f>
        <v>18</v>
      </c>
      <c r="M629" s="303">
        <f t="shared" ref="M629:M635" si="122">G629-L629</f>
        <v>2357</v>
      </c>
      <c r="N629" s="263" t="s">
        <v>1481</v>
      </c>
      <c r="O629" s="263" t="s">
        <v>369</v>
      </c>
    </row>
    <row r="630" spans="1:15" ht="12.75" customHeight="1" x14ac:dyDescent="0.25">
      <c r="A630" s="16" t="s">
        <v>1478</v>
      </c>
      <c r="B630" s="2" t="s">
        <v>1689</v>
      </c>
      <c r="C630" s="2" t="s">
        <v>1249</v>
      </c>
      <c r="D630" s="2">
        <v>4800</v>
      </c>
      <c r="E630" s="2">
        <v>100</v>
      </c>
      <c r="F630" s="60">
        <v>23.75</v>
      </c>
      <c r="G630" s="303">
        <f>E630*F630</f>
        <v>2375</v>
      </c>
      <c r="H630" s="60">
        <v>18</v>
      </c>
      <c r="I630" s="247">
        <v>17.989999999999998</v>
      </c>
      <c r="J630" s="247">
        <v>12.63</v>
      </c>
      <c r="K630" s="247">
        <v>3</v>
      </c>
      <c r="L630" s="60">
        <f t="shared" si="121"/>
        <v>51.62</v>
      </c>
      <c r="M630" s="303">
        <f t="shared" si="122"/>
        <v>2323.38</v>
      </c>
      <c r="N630" s="263" t="s">
        <v>1481</v>
      </c>
      <c r="O630" s="263" t="s">
        <v>369</v>
      </c>
    </row>
    <row r="631" spans="1:15" ht="12.75" customHeight="1" x14ac:dyDescent="0.25">
      <c r="A631" s="16" t="s">
        <v>1484</v>
      </c>
      <c r="B631" s="2" t="s">
        <v>1689</v>
      </c>
      <c r="C631" s="2" t="s">
        <v>1245</v>
      </c>
      <c r="D631" s="2">
        <v>4700</v>
      </c>
      <c r="E631" s="2">
        <v>200</v>
      </c>
      <c r="F631" s="60">
        <v>25.4</v>
      </c>
      <c r="G631" s="303">
        <f>E631*F631</f>
        <v>5080</v>
      </c>
      <c r="H631" s="60">
        <v>36</v>
      </c>
      <c r="I631" s="307"/>
      <c r="J631" s="311"/>
      <c r="K631" s="312"/>
      <c r="L631" s="60">
        <f t="shared" si="121"/>
        <v>36</v>
      </c>
      <c r="M631" s="303">
        <f t="shared" si="122"/>
        <v>5044</v>
      </c>
      <c r="N631" s="249" t="s">
        <v>1485</v>
      </c>
      <c r="O631" s="304" t="s">
        <v>369</v>
      </c>
    </row>
    <row r="632" spans="1:15" ht="12.75" customHeight="1" x14ac:dyDescent="0.25">
      <c r="A632" s="16" t="s">
        <v>1484</v>
      </c>
      <c r="B632" s="2" t="s">
        <v>1689</v>
      </c>
      <c r="C632" s="2" t="s">
        <v>1245</v>
      </c>
      <c r="D632" s="2">
        <v>4700</v>
      </c>
      <c r="E632" s="2">
        <v>100</v>
      </c>
      <c r="F632" s="60">
        <v>25.35</v>
      </c>
      <c r="G632" s="303">
        <f>E632*F632</f>
        <v>2535</v>
      </c>
      <c r="H632" s="60">
        <v>18</v>
      </c>
      <c r="I632" s="307"/>
      <c r="J632" s="311"/>
      <c r="K632" s="312"/>
      <c r="L632" s="60">
        <f t="shared" si="121"/>
        <v>18</v>
      </c>
      <c r="M632" s="303">
        <f t="shared" si="122"/>
        <v>2517</v>
      </c>
      <c r="N632" s="249" t="s">
        <v>1485</v>
      </c>
      <c r="O632" s="304" t="s">
        <v>369</v>
      </c>
    </row>
    <row r="633" spans="1:15" ht="12.75" customHeight="1" x14ac:dyDescent="0.25">
      <c r="A633" s="16" t="s">
        <v>1484</v>
      </c>
      <c r="B633" s="2" t="s">
        <v>1689</v>
      </c>
      <c r="C633" s="2" t="s">
        <v>1249</v>
      </c>
      <c r="D633" s="2">
        <v>4700</v>
      </c>
      <c r="E633" s="2">
        <v>150</v>
      </c>
      <c r="F633" s="60">
        <v>12.1</v>
      </c>
      <c r="G633" s="303">
        <f>E633*F633</f>
        <v>1815</v>
      </c>
      <c r="H633" s="60">
        <v>27</v>
      </c>
      <c r="I633" s="299">
        <v>12.92</v>
      </c>
      <c r="J633" s="299">
        <v>8.4700000000000006</v>
      </c>
      <c r="K633" s="247">
        <v>3</v>
      </c>
      <c r="L633" s="60">
        <f t="shared" si="121"/>
        <v>51.39</v>
      </c>
      <c r="M633" s="303">
        <f t="shared" si="122"/>
        <v>1763.61</v>
      </c>
      <c r="N633" s="249" t="s">
        <v>1485</v>
      </c>
      <c r="O633" s="304" t="s">
        <v>369</v>
      </c>
    </row>
    <row r="634" spans="1:15" ht="12.75" customHeight="1" x14ac:dyDescent="0.25">
      <c r="A634" s="352" t="s">
        <v>1501</v>
      </c>
      <c r="B634" s="331" t="s">
        <v>1689</v>
      </c>
      <c r="C634" s="332" t="s">
        <v>1249</v>
      </c>
      <c r="D634" s="332">
        <v>50</v>
      </c>
      <c r="E634" s="332">
        <v>0</v>
      </c>
      <c r="F634" s="333">
        <v>0</v>
      </c>
      <c r="G634" s="334">
        <v>0</v>
      </c>
      <c r="H634" s="333">
        <v>0</v>
      </c>
      <c r="I634" s="335">
        <v>0</v>
      </c>
      <c r="J634" s="335"/>
      <c r="K634" s="335"/>
      <c r="L634" s="333">
        <f t="shared" si="121"/>
        <v>0</v>
      </c>
      <c r="M634" s="334">
        <f t="shared" si="122"/>
        <v>0</v>
      </c>
      <c r="N634" s="336" t="s">
        <v>1502</v>
      </c>
      <c r="O634" s="330" t="s">
        <v>657</v>
      </c>
    </row>
    <row r="635" spans="1:15" ht="12.75" customHeight="1" x14ac:dyDescent="0.25">
      <c r="A635" s="352" t="s">
        <v>1501</v>
      </c>
      <c r="B635" s="331" t="s">
        <v>1689</v>
      </c>
      <c r="C635" s="332" t="s">
        <v>1245</v>
      </c>
      <c r="D635" s="336">
        <v>4700</v>
      </c>
      <c r="E635" s="332">
        <v>500</v>
      </c>
      <c r="F635" s="332">
        <v>53.75</v>
      </c>
      <c r="G635" s="334">
        <f>E635*F635</f>
        <v>26875</v>
      </c>
      <c r="H635" s="334">
        <v>90</v>
      </c>
      <c r="I635" s="335">
        <v>11.24</v>
      </c>
      <c r="J635" s="335">
        <v>19.079999999999998</v>
      </c>
      <c r="K635" s="335">
        <v>2906</v>
      </c>
      <c r="L635" s="333">
        <f t="shared" si="121"/>
        <v>3026.32</v>
      </c>
      <c r="M635" s="334">
        <f t="shared" si="122"/>
        <v>23848.68</v>
      </c>
      <c r="N635" s="336" t="s">
        <v>1502</v>
      </c>
      <c r="O635" s="330" t="s">
        <v>657</v>
      </c>
    </row>
    <row r="636" spans="1:15" ht="12.75" customHeight="1" x14ac:dyDescent="0.25">
      <c r="A636" s="16" t="s">
        <v>550</v>
      </c>
      <c r="B636" s="2" t="s">
        <v>771</v>
      </c>
      <c r="C636" s="2" t="s">
        <v>1245</v>
      </c>
      <c r="D636" s="2">
        <v>4700</v>
      </c>
      <c r="E636" s="2">
        <v>50</v>
      </c>
      <c r="F636" s="60">
        <v>150</v>
      </c>
      <c r="G636" s="303">
        <f>E636*F636</f>
        <v>7500</v>
      </c>
      <c r="H636" s="60">
        <v>9</v>
      </c>
      <c r="I636" s="307"/>
      <c r="J636" s="311"/>
      <c r="K636" s="312"/>
      <c r="L636" s="60">
        <f>SUM(H636:K636)</f>
        <v>9</v>
      </c>
      <c r="M636" s="303">
        <f>G636-L636</f>
        <v>7491</v>
      </c>
      <c r="N636" s="263" t="s">
        <v>551</v>
      </c>
      <c r="O636" s="304" t="s">
        <v>369</v>
      </c>
    </row>
    <row r="637" spans="1:15" ht="12.75" customHeight="1" x14ac:dyDescent="0.25">
      <c r="A637" s="16" t="s">
        <v>550</v>
      </c>
      <c r="B637" s="2" t="s">
        <v>771</v>
      </c>
      <c r="C637" s="2" t="s">
        <v>1245</v>
      </c>
      <c r="D637" s="2">
        <v>4700</v>
      </c>
      <c r="E637" s="2">
        <v>100</v>
      </c>
      <c r="F637" s="60">
        <v>150</v>
      </c>
      <c r="G637" s="303">
        <f>E637*F637</f>
        <v>15000</v>
      </c>
      <c r="H637" s="60">
        <v>18</v>
      </c>
      <c r="I637" s="307"/>
      <c r="J637" s="311"/>
      <c r="K637" s="312"/>
      <c r="L637" s="60">
        <f>SUM(H637:K637)</f>
        <v>18</v>
      </c>
      <c r="M637" s="303">
        <f>G637-L637</f>
        <v>14982</v>
      </c>
      <c r="N637" s="263" t="s">
        <v>551</v>
      </c>
      <c r="O637" s="304" t="s">
        <v>369</v>
      </c>
    </row>
    <row r="638" spans="1:15" ht="12.75" customHeight="1" x14ac:dyDescent="0.25">
      <c r="A638" s="16" t="s">
        <v>550</v>
      </c>
      <c r="B638" s="2" t="s">
        <v>771</v>
      </c>
      <c r="C638" s="2" t="s">
        <v>1245</v>
      </c>
      <c r="D638" s="2">
        <v>4700</v>
      </c>
      <c r="E638" s="2">
        <v>50</v>
      </c>
      <c r="F638" s="60">
        <v>150</v>
      </c>
      <c r="G638" s="303">
        <f>E638*F638</f>
        <v>7500</v>
      </c>
      <c r="H638" s="60">
        <v>9</v>
      </c>
      <c r="I638" s="307"/>
      <c r="J638" s="311"/>
      <c r="K638" s="312"/>
      <c r="L638" s="60">
        <f>SUM(H638:K638)</f>
        <v>9</v>
      </c>
      <c r="M638" s="303">
        <f>G638-L638</f>
        <v>7491</v>
      </c>
      <c r="N638" s="263" t="s">
        <v>551</v>
      </c>
      <c r="O638" s="304" t="s">
        <v>369</v>
      </c>
    </row>
    <row r="639" spans="1:15" ht="12.75" customHeight="1" x14ac:dyDescent="0.25">
      <c r="A639" s="16" t="s">
        <v>555</v>
      </c>
      <c r="B639" s="2" t="s">
        <v>771</v>
      </c>
      <c r="C639" s="2" t="s">
        <v>1249</v>
      </c>
      <c r="D639" s="2">
        <v>4900</v>
      </c>
      <c r="E639" s="2">
        <v>200</v>
      </c>
      <c r="F639" s="60">
        <v>50.3</v>
      </c>
      <c r="G639" s="303">
        <f t="shared" ref="G639:G653" si="123">E639*F639</f>
        <v>10060</v>
      </c>
      <c r="H639" s="60">
        <v>36</v>
      </c>
      <c r="I639" s="307"/>
      <c r="J639" s="311"/>
      <c r="K639" s="312"/>
      <c r="L639" s="60">
        <f t="shared" ref="L639:L646" si="124">SUM(H639:K639)</f>
        <v>36</v>
      </c>
      <c r="M639" s="303">
        <f t="shared" ref="M639:M646" si="125">G639-L639</f>
        <v>10024</v>
      </c>
      <c r="N639" s="263" t="s">
        <v>556</v>
      </c>
      <c r="O639" s="304" t="s">
        <v>369</v>
      </c>
    </row>
    <row r="640" spans="1:15" ht="12.75" customHeight="1" x14ac:dyDescent="0.25">
      <c r="A640" s="16" t="s">
        <v>555</v>
      </c>
      <c r="B640" s="2" t="s">
        <v>771</v>
      </c>
      <c r="C640" s="2" t="s">
        <v>1249</v>
      </c>
      <c r="D640" s="2">
        <v>4900</v>
      </c>
      <c r="E640" s="2">
        <v>50</v>
      </c>
      <c r="F640" s="60">
        <v>50.2</v>
      </c>
      <c r="G640" s="303">
        <f t="shared" si="123"/>
        <v>2510</v>
      </c>
      <c r="H640" s="60">
        <v>9</v>
      </c>
      <c r="I640" s="307"/>
      <c r="J640" s="311"/>
      <c r="K640" s="312"/>
      <c r="L640" s="60">
        <f t="shared" si="124"/>
        <v>9</v>
      </c>
      <c r="M640" s="303">
        <f t="shared" si="125"/>
        <v>2501</v>
      </c>
      <c r="N640" s="263" t="s">
        <v>556</v>
      </c>
      <c r="O640" s="304" t="s">
        <v>369</v>
      </c>
    </row>
    <row r="641" spans="1:18" ht="12.75" customHeight="1" x14ac:dyDescent="0.25">
      <c r="A641" s="16" t="s">
        <v>555</v>
      </c>
      <c r="B641" s="2" t="s">
        <v>771</v>
      </c>
      <c r="C641" s="2" t="s">
        <v>1249</v>
      </c>
      <c r="D641" s="2">
        <v>4900</v>
      </c>
      <c r="E641" s="2">
        <v>300</v>
      </c>
      <c r="F641" s="60">
        <v>50.2</v>
      </c>
      <c r="G641" s="303">
        <f t="shared" si="123"/>
        <v>15060</v>
      </c>
      <c r="H641" s="60">
        <v>54</v>
      </c>
      <c r="I641" s="307"/>
      <c r="J641" s="311"/>
      <c r="K641" s="312"/>
      <c r="L641" s="60">
        <f t="shared" si="124"/>
        <v>54</v>
      </c>
      <c r="M641" s="303">
        <f t="shared" si="125"/>
        <v>15006</v>
      </c>
      <c r="N641" s="263" t="s">
        <v>556</v>
      </c>
      <c r="O641" s="304" t="s">
        <v>369</v>
      </c>
    </row>
    <row r="642" spans="1:18" ht="12.75" customHeight="1" x14ac:dyDescent="0.25">
      <c r="A642" s="16" t="s">
        <v>555</v>
      </c>
      <c r="B642" s="2" t="s">
        <v>771</v>
      </c>
      <c r="C642" s="2" t="s">
        <v>1249</v>
      </c>
      <c r="D642" s="2">
        <v>4900</v>
      </c>
      <c r="E642" s="2">
        <v>450</v>
      </c>
      <c r="F642" s="60">
        <v>50.2</v>
      </c>
      <c r="G642" s="303">
        <f t="shared" si="123"/>
        <v>22590</v>
      </c>
      <c r="H642" s="60">
        <v>81</v>
      </c>
      <c r="I642" s="307"/>
      <c r="J642" s="311"/>
      <c r="K642" s="312"/>
      <c r="L642" s="60">
        <f t="shared" si="124"/>
        <v>81</v>
      </c>
      <c r="M642" s="303">
        <f t="shared" si="125"/>
        <v>22509</v>
      </c>
      <c r="N642" s="263" t="s">
        <v>556</v>
      </c>
      <c r="O642" s="304" t="s">
        <v>369</v>
      </c>
    </row>
    <row r="643" spans="1:18" ht="12.75" customHeight="1" x14ac:dyDescent="0.25">
      <c r="A643" s="16" t="s">
        <v>555</v>
      </c>
      <c r="B643" s="2" t="s">
        <v>771</v>
      </c>
      <c r="C643" s="2" t="s">
        <v>1249</v>
      </c>
      <c r="D643" s="2">
        <v>5000</v>
      </c>
      <c r="E643" s="2">
        <v>150</v>
      </c>
      <c r="F643" s="60">
        <v>25.15</v>
      </c>
      <c r="G643" s="303">
        <f t="shared" si="123"/>
        <v>3772.5</v>
      </c>
      <c r="H643" s="60">
        <v>27</v>
      </c>
      <c r="I643" s="307"/>
      <c r="J643" s="311"/>
      <c r="K643" s="312"/>
      <c r="L643" s="60">
        <f t="shared" si="124"/>
        <v>27</v>
      </c>
      <c r="M643" s="303">
        <f t="shared" si="125"/>
        <v>3745.5</v>
      </c>
      <c r="N643" s="263" t="s">
        <v>556</v>
      </c>
      <c r="O643" s="304" t="s">
        <v>369</v>
      </c>
    </row>
    <row r="644" spans="1:18" ht="12.75" customHeight="1" x14ac:dyDescent="0.25">
      <c r="A644" s="16" t="s">
        <v>555</v>
      </c>
      <c r="B644" s="2" t="s">
        <v>771</v>
      </c>
      <c r="C644" s="2" t="s">
        <v>1249</v>
      </c>
      <c r="D644" s="2">
        <v>5000</v>
      </c>
      <c r="E644" s="2">
        <v>50</v>
      </c>
      <c r="F644" s="60">
        <v>25.15</v>
      </c>
      <c r="G644" s="303">
        <f t="shared" si="123"/>
        <v>1257.5</v>
      </c>
      <c r="H644" s="60">
        <v>9</v>
      </c>
      <c r="I644" s="315"/>
      <c r="J644" s="315"/>
      <c r="K644" s="312"/>
      <c r="L644" s="60">
        <f t="shared" si="124"/>
        <v>9</v>
      </c>
      <c r="M644" s="303">
        <f t="shared" si="125"/>
        <v>1248.5</v>
      </c>
      <c r="N644" s="263" t="s">
        <v>556</v>
      </c>
      <c r="O644" s="304" t="s">
        <v>369</v>
      </c>
    </row>
    <row r="645" spans="1:18" ht="12.75" customHeight="1" x14ac:dyDescent="0.25">
      <c r="A645" s="16" t="s">
        <v>555</v>
      </c>
      <c r="B645" s="2" t="s">
        <v>771</v>
      </c>
      <c r="C645" s="2" t="s">
        <v>1249</v>
      </c>
      <c r="D645" s="2">
        <v>5000</v>
      </c>
      <c r="E645" s="2">
        <v>250</v>
      </c>
      <c r="F645" s="60">
        <v>25.1</v>
      </c>
      <c r="G645" s="303">
        <f t="shared" si="123"/>
        <v>6275</v>
      </c>
      <c r="H645" s="60">
        <v>45</v>
      </c>
      <c r="I645" s="307"/>
      <c r="J645" s="307"/>
      <c r="K645" s="302"/>
      <c r="L645" s="60">
        <f t="shared" si="124"/>
        <v>45</v>
      </c>
      <c r="M645" s="303">
        <f t="shared" si="125"/>
        <v>6230</v>
      </c>
      <c r="N645" s="263" t="s">
        <v>556</v>
      </c>
      <c r="O645" s="304" t="s">
        <v>369</v>
      </c>
    </row>
    <row r="646" spans="1:18" ht="12.75" customHeight="1" x14ac:dyDescent="0.25">
      <c r="A646" s="16" t="s">
        <v>555</v>
      </c>
      <c r="B646" s="2" t="s">
        <v>771</v>
      </c>
      <c r="C646" s="2" t="s">
        <v>1249</v>
      </c>
      <c r="D646" s="2">
        <v>5000</v>
      </c>
      <c r="E646" s="2">
        <v>550</v>
      </c>
      <c r="F646" s="60">
        <v>25.1</v>
      </c>
      <c r="G646" s="303">
        <f t="shared" si="123"/>
        <v>13805</v>
      </c>
      <c r="H646" s="60">
        <v>99</v>
      </c>
      <c r="I646" s="320">
        <v>54.61</v>
      </c>
      <c r="J646" s="320">
        <v>80.239999999999995</v>
      </c>
      <c r="K646" s="60">
        <v>20</v>
      </c>
      <c r="L646" s="60">
        <f t="shared" si="124"/>
        <v>253.85000000000002</v>
      </c>
      <c r="M646" s="303">
        <f t="shared" si="125"/>
        <v>13551.15</v>
      </c>
      <c r="N646" s="263" t="s">
        <v>556</v>
      </c>
      <c r="O646" s="304" t="s">
        <v>369</v>
      </c>
    </row>
    <row r="647" spans="1:18" ht="12.75" customHeight="1" x14ac:dyDescent="0.25">
      <c r="A647" s="16" t="s">
        <v>557</v>
      </c>
      <c r="B647" s="2" t="s">
        <v>771</v>
      </c>
      <c r="C647" s="2" t="s">
        <v>1245</v>
      </c>
      <c r="D647" s="2">
        <v>4700</v>
      </c>
      <c r="E647" s="2">
        <v>100</v>
      </c>
      <c r="F647" s="60">
        <v>79.75</v>
      </c>
      <c r="G647" s="303">
        <f t="shared" si="123"/>
        <v>7975</v>
      </c>
      <c r="H647" s="60">
        <v>18</v>
      </c>
      <c r="I647" s="312"/>
      <c r="J647" s="312"/>
      <c r="K647" s="312"/>
      <c r="L647" s="60">
        <f t="shared" ref="L647:L663" si="126">SUM(H647:K647)</f>
        <v>18</v>
      </c>
      <c r="M647" s="303">
        <f t="shared" ref="M647:M663" si="127">G647-L647</f>
        <v>7957</v>
      </c>
      <c r="N647" s="249" t="s">
        <v>558</v>
      </c>
      <c r="O647" s="263" t="s">
        <v>369</v>
      </c>
    </row>
    <row r="648" spans="1:18" ht="12.75" customHeight="1" x14ac:dyDescent="0.25">
      <c r="A648" s="16" t="s">
        <v>557</v>
      </c>
      <c r="B648" s="2" t="s">
        <v>771</v>
      </c>
      <c r="C648" s="2" t="s">
        <v>1245</v>
      </c>
      <c r="D648" s="2">
        <v>4700</v>
      </c>
      <c r="E648" s="2">
        <v>300</v>
      </c>
      <c r="F648" s="60">
        <v>79.75</v>
      </c>
      <c r="G648" s="303">
        <f t="shared" si="123"/>
        <v>23925</v>
      </c>
      <c r="H648" s="60">
        <v>54</v>
      </c>
      <c r="I648" s="312"/>
      <c r="J648" s="312"/>
      <c r="K648" s="312"/>
      <c r="L648" s="60">
        <f t="shared" si="126"/>
        <v>54</v>
      </c>
      <c r="M648" s="303">
        <f t="shared" si="127"/>
        <v>23871</v>
      </c>
      <c r="N648" s="249" t="s">
        <v>558</v>
      </c>
      <c r="O648" s="263" t="s">
        <v>369</v>
      </c>
    </row>
    <row r="649" spans="1:18" ht="13.2" x14ac:dyDescent="0.25">
      <c r="A649" s="16" t="s">
        <v>557</v>
      </c>
      <c r="B649" s="2" t="s">
        <v>771</v>
      </c>
      <c r="C649" s="2" t="s">
        <v>1245</v>
      </c>
      <c r="D649" s="2">
        <v>4700</v>
      </c>
      <c r="E649" s="2">
        <v>100</v>
      </c>
      <c r="F649" s="60">
        <v>79.75</v>
      </c>
      <c r="G649" s="303">
        <f t="shared" si="123"/>
        <v>7975</v>
      </c>
      <c r="H649" s="60">
        <v>18</v>
      </c>
      <c r="I649" s="312"/>
      <c r="J649" s="312"/>
      <c r="K649" s="312"/>
      <c r="L649" s="60">
        <f t="shared" si="126"/>
        <v>18</v>
      </c>
      <c r="M649" s="303">
        <f t="shared" si="127"/>
        <v>7957</v>
      </c>
      <c r="N649" s="249" t="s">
        <v>558</v>
      </c>
      <c r="O649" s="263" t="s">
        <v>369</v>
      </c>
      <c r="Q649" s="247"/>
      <c r="R649" s="247"/>
    </row>
    <row r="650" spans="1:18" ht="12.75" customHeight="1" x14ac:dyDescent="0.25">
      <c r="A650" s="16" t="s">
        <v>557</v>
      </c>
      <c r="B650" s="2" t="s">
        <v>552</v>
      </c>
      <c r="C650" s="2" t="s">
        <v>1245</v>
      </c>
      <c r="D650" s="2">
        <v>150</v>
      </c>
      <c r="E650" s="2">
        <v>1000</v>
      </c>
      <c r="F650" s="60">
        <v>2.0499999999999998</v>
      </c>
      <c r="G650" s="303">
        <f t="shared" si="123"/>
        <v>2050</v>
      </c>
      <c r="H650" s="60">
        <v>9</v>
      </c>
      <c r="I650" s="247">
        <v>13.27</v>
      </c>
      <c r="J650" s="247">
        <v>29.77</v>
      </c>
      <c r="K650" s="247">
        <v>10</v>
      </c>
      <c r="L650" s="60">
        <f t="shared" si="126"/>
        <v>62.04</v>
      </c>
      <c r="M650" s="303">
        <f t="shared" si="127"/>
        <v>1987.96</v>
      </c>
      <c r="N650" s="249" t="s">
        <v>558</v>
      </c>
      <c r="O650" s="263" t="s">
        <v>369</v>
      </c>
    </row>
    <row r="651" spans="1:18" ht="12.75" customHeight="1" x14ac:dyDescent="0.25">
      <c r="A651" s="16" t="s">
        <v>560</v>
      </c>
      <c r="B651" s="2" t="s">
        <v>771</v>
      </c>
      <c r="C651" s="2" t="s">
        <v>1245</v>
      </c>
      <c r="D651" s="2">
        <v>4600</v>
      </c>
      <c r="E651" s="2">
        <v>500</v>
      </c>
      <c r="F651" s="60">
        <v>46</v>
      </c>
      <c r="G651" s="303">
        <f t="shared" si="123"/>
        <v>23000</v>
      </c>
      <c r="H651" s="60">
        <v>90</v>
      </c>
      <c r="I651" s="307"/>
      <c r="J651" s="311"/>
      <c r="K651" s="312"/>
      <c r="L651" s="60">
        <f t="shared" si="126"/>
        <v>90</v>
      </c>
      <c r="M651" s="303">
        <f t="shared" si="127"/>
        <v>22910</v>
      </c>
      <c r="N651" s="263" t="s">
        <v>559</v>
      </c>
      <c r="O651" s="304" t="s">
        <v>369</v>
      </c>
    </row>
    <row r="652" spans="1:18" ht="12.75" customHeight="1" x14ac:dyDescent="0.25">
      <c r="A652" s="16" t="s">
        <v>583</v>
      </c>
      <c r="B652" s="2" t="s">
        <v>771</v>
      </c>
      <c r="C652" s="2" t="s">
        <v>1249</v>
      </c>
      <c r="D652" s="2">
        <v>5000</v>
      </c>
      <c r="E652" s="2">
        <v>150</v>
      </c>
      <c r="F652" s="60">
        <v>34.200000000000003</v>
      </c>
      <c r="G652" s="303">
        <f t="shared" si="123"/>
        <v>5130</v>
      </c>
      <c r="H652" s="60">
        <v>27</v>
      </c>
      <c r="I652" s="312"/>
      <c r="J652" s="312"/>
      <c r="K652" s="312"/>
      <c r="L652" s="60">
        <f t="shared" si="126"/>
        <v>27</v>
      </c>
      <c r="M652" s="303">
        <f t="shared" si="127"/>
        <v>5103</v>
      </c>
      <c r="N652" s="249" t="s">
        <v>584</v>
      </c>
      <c r="O652" s="263" t="s">
        <v>369</v>
      </c>
    </row>
    <row r="653" spans="1:18" ht="12.75" customHeight="1" x14ac:dyDescent="0.25">
      <c r="A653" s="16" t="s">
        <v>583</v>
      </c>
      <c r="B653" s="2" t="s">
        <v>771</v>
      </c>
      <c r="C653" s="2" t="s">
        <v>1249</v>
      </c>
      <c r="D653" s="2">
        <v>5000</v>
      </c>
      <c r="E653" s="2">
        <v>850</v>
      </c>
      <c r="F653" s="60">
        <v>34.200000000000003</v>
      </c>
      <c r="G653" s="303">
        <f t="shared" si="123"/>
        <v>29070.000000000004</v>
      </c>
      <c r="H653" s="60">
        <v>153</v>
      </c>
      <c r="I653" s="317"/>
      <c r="J653" s="317"/>
      <c r="K653" s="312"/>
      <c r="L653" s="60">
        <f t="shared" si="126"/>
        <v>153</v>
      </c>
      <c r="M653" s="303">
        <f t="shared" si="127"/>
        <v>28917.000000000004</v>
      </c>
      <c r="N653" s="249" t="s">
        <v>584</v>
      </c>
      <c r="O653" s="263" t="s">
        <v>369</v>
      </c>
    </row>
    <row r="654" spans="1:18" ht="12.75" customHeight="1" x14ac:dyDescent="0.25">
      <c r="A654" s="16" t="s">
        <v>589</v>
      </c>
      <c r="B654" s="2" t="s">
        <v>582</v>
      </c>
      <c r="C654" s="2" t="s">
        <v>1245</v>
      </c>
      <c r="D654" s="2">
        <v>4800</v>
      </c>
      <c r="E654" s="2">
        <v>250</v>
      </c>
      <c r="F654" s="60">
        <v>121</v>
      </c>
      <c r="G654" s="303">
        <f t="shared" ref="G654:G663" si="128">E654*F654</f>
        <v>30250</v>
      </c>
      <c r="H654" s="60">
        <v>45</v>
      </c>
      <c r="I654" s="326">
        <v>23.23</v>
      </c>
      <c r="J654" s="326">
        <v>54.55</v>
      </c>
      <c r="K654" s="247">
        <v>10</v>
      </c>
      <c r="L654" s="60">
        <f t="shared" si="126"/>
        <v>132.78</v>
      </c>
      <c r="M654" s="303">
        <f t="shared" si="127"/>
        <v>30117.22</v>
      </c>
      <c r="N654" s="249" t="s">
        <v>590</v>
      </c>
      <c r="O654" s="263" t="s">
        <v>369</v>
      </c>
    </row>
    <row r="655" spans="1:18" ht="12.75" customHeight="1" x14ac:dyDescent="0.25">
      <c r="A655" s="16" t="s">
        <v>594</v>
      </c>
      <c r="B655" s="2" t="s">
        <v>771</v>
      </c>
      <c r="C655" s="2" t="s">
        <v>1245</v>
      </c>
      <c r="D655" s="2">
        <v>4900</v>
      </c>
      <c r="E655" s="2">
        <v>50</v>
      </c>
      <c r="F655" s="60">
        <v>95.6</v>
      </c>
      <c r="G655" s="303">
        <f t="shared" si="128"/>
        <v>4780</v>
      </c>
      <c r="H655" s="60">
        <v>9</v>
      </c>
      <c r="I655" s="307"/>
      <c r="J655" s="311"/>
      <c r="K655" s="312"/>
      <c r="L655" s="60">
        <f t="shared" si="126"/>
        <v>9</v>
      </c>
      <c r="M655" s="303">
        <f t="shared" si="127"/>
        <v>4771</v>
      </c>
      <c r="N655" s="263" t="s">
        <v>593</v>
      </c>
      <c r="O655" s="304" t="s">
        <v>369</v>
      </c>
    </row>
    <row r="656" spans="1:18" ht="12.75" customHeight="1" x14ac:dyDescent="0.25">
      <c r="A656" s="16" t="s">
        <v>594</v>
      </c>
      <c r="B656" s="2" t="s">
        <v>771</v>
      </c>
      <c r="C656" s="2" t="s">
        <v>1245</v>
      </c>
      <c r="D656" s="2">
        <v>4900</v>
      </c>
      <c r="E656" s="2">
        <v>650</v>
      </c>
      <c r="F656" s="60">
        <v>95.55</v>
      </c>
      <c r="G656" s="303">
        <f t="shared" si="128"/>
        <v>62107.5</v>
      </c>
      <c r="H656" s="60">
        <v>117</v>
      </c>
      <c r="I656" s="307"/>
      <c r="J656" s="311"/>
      <c r="K656" s="312"/>
      <c r="L656" s="60">
        <f t="shared" si="126"/>
        <v>117</v>
      </c>
      <c r="M656" s="303">
        <f t="shared" si="127"/>
        <v>61990.5</v>
      </c>
      <c r="N656" s="263" t="s">
        <v>593</v>
      </c>
      <c r="O656" s="304" t="s">
        <v>369</v>
      </c>
    </row>
    <row r="657" spans="1:15" ht="12.75" customHeight="1" x14ac:dyDescent="0.25">
      <c r="A657" s="16" t="s">
        <v>594</v>
      </c>
      <c r="B657" s="2" t="s">
        <v>771</v>
      </c>
      <c r="C657" s="2" t="s">
        <v>1245</v>
      </c>
      <c r="D657" s="2">
        <v>4800</v>
      </c>
      <c r="E657" s="2">
        <v>700</v>
      </c>
      <c r="F657" s="60">
        <v>59.8</v>
      </c>
      <c r="G657" s="303">
        <f t="shared" si="128"/>
        <v>41860</v>
      </c>
      <c r="H657" s="60">
        <v>126</v>
      </c>
      <c r="I657" s="315"/>
      <c r="J657" s="315"/>
      <c r="K657" s="312"/>
      <c r="L657" s="60">
        <f t="shared" si="126"/>
        <v>126</v>
      </c>
      <c r="M657" s="303">
        <f t="shared" si="127"/>
        <v>41734</v>
      </c>
      <c r="N657" s="263" t="s">
        <v>593</v>
      </c>
      <c r="O657" s="304" t="s">
        <v>369</v>
      </c>
    </row>
    <row r="658" spans="1:15" ht="12.75" customHeight="1" x14ac:dyDescent="0.25">
      <c r="A658" s="16" t="s">
        <v>594</v>
      </c>
      <c r="B658" s="2" t="s">
        <v>582</v>
      </c>
      <c r="C658" s="2" t="s">
        <v>1245</v>
      </c>
      <c r="D658" s="2">
        <v>4800</v>
      </c>
      <c r="E658" s="2">
        <v>50</v>
      </c>
      <c r="F658" s="60">
        <v>112.1</v>
      </c>
      <c r="G658" s="303">
        <f t="shared" si="128"/>
        <v>5605</v>
      </c>
      <c r="H658" s="60">
        <v>9</v>
      </c>
      <c r="I658" s="315"/>
      <c r="J658" s="315"/>
      <c r="K658" s="312"/>
      <c r="L658" s="60">
        <f t="shared" si="126"/>
        <v>9</v>
      </c>
      <c r="M658" s="303">
        <f t="shared" si="127"/>
        <v>5596</v>
      </c>
      <c r="N658" s="263" t="s">
        <v>593</v>
      </c>
      <c r="O658" s="304" t="s">
        <v>369</v>
      </c>
    </row>
    <row r="659" spans="1:15" ht="12.75" customHeight="1" x14ac:dyDescent="0.25">
      <c r="A659" s="16" t="s">
        <v>594</v>
      </c>
      <c r="B659" s="2" t="s">
        <v>582</v>
      </c>
      <c r="C659" s="2" t="s">
        <v>1245</v>
      </c>
      <c r="D659" s="2">
        <v>4800</v>
      </c>
      <c r="E659" s="2">
        <v>200</v>
      </c>
      <c r="F659" s="60">
        <v>112</v>
      </c>
      <c r="G659" s="303">
        <f t="shared" si="128"/>
        <v>22400</v>
      </c>
      <c r="H659" s="60">
        <v>36</v>
      </c>
      <c r="I659" s="320">
        <v>70.069999999999993</v>
      </c>
      <c r="J659" s="320">
        <v>167.3</v>
      </c>
      <c r="K659" s="60">
        <v>38</v>
      </c>
      <c r="L659" s="60">
        <f t="shared" si="126"/>
        <v>311.37</v>
      </c>
      <c r="M659" s="303">
        <f t="shared" si="127"/>
        <v>22088.63</v>
      </c>
      <c r="N659" s="263" t="s">
        <v>593</v>
      </c>
      <c r="O659" s="304" t="s">
        <v>369</v>
      </c>
    </row>
    <row r="660" spans="1:15" ht="12.75" customHeight="1" x14ac:dyDescent="0.25">
      <c r="A660" s="16" t="s">
        <v>595</v>
      </c>
      <c r="B660" s="2" t="s">
        <v>771</v>
      </c>
      <c r="C660" s="2" t="s">
        <v>1249</v>
      </c>
      <c r="D660" s="2">
        <v>4900</v>
      </c>
      <c r="E660" s="2">
        <v>150</v>
      </c>
      <c r="F660" s="60">
        <v>55.05</v>
      </c>
      <c r="G660" s="303">
        <f t="shared" si="128"/>
        <v>8257.5</v>
      </c>
      <c r="H660" s="60">
        <v>27</v>
      </c>
      <c r="I660" s="318"/>
      <c r="J660" s="318"/>
      <c r="K660" s="316"/>
      <c r="L660" s="60">
        <f t="shared" si="126"/>
        <v>27</v>
      </c>
      <c r="M660" s="303">
        <f t="shared" si="127"/>
        <v>8230.5</v>
      </c>
      <c r="N660" s="249" t="s">
        <v>596</v>
      </c>
      <c r="O660" s="263" t="s">
        <v>369</v>
      </c>
    </row>
    <row r="661" spans="1:15" ht="12.75" customHeight="1" x14ac:dyDescent="0.25">
      <c r="A661" s="16" t="s">
        <v>595</v>
      </c>
      <c r="B661" s="2" t="s">
        <v>771</v>
      </c>
      <c r="C661" s="2" t="s">
        <v>1249</v>
      </c>
      <c r="D661" s="2">
        <v>4900</v>
      </c>
      <c r="E661" s="2">
        <v>100</v>
      </c>
      <c r="F661" s="60">
        <v>55.05</v>
      </c>
      <c r="G661" s="303">
        <f t="shared" si="128"/>
        <v>5505</v>
      </c>
      <c r="H661" s="60">
        <v>18</v>
      </c>
      <c r="I661" s="317"/>
      <c r="J661" s="317"/>
      <c r="K661" s="312"/>
      <c r="L661" s="60">
        <f t="shared" si="126"/>
        <v>18</v>
      </c>
      <c r="M661" s="303">
        <f t="shared" si="127"/>
        <v>5487</v>
      </c>
      <c r="N661" s="249" t="s">
        <v>596</v>
      </c>
      <c r="O661" s="263" t="s">
        <v>369</v>
      </c>
    </row>
    <row r="662" spans="1:15" ht="12.75" customHeight="1" x14ac:dyDescent="0.25">
      <c r="A662" s="16" t="s">
        <v>595</v>
      </c>
      <c r="B662" s="2" t="s">
        <v>771</v>
      </c>
      <c r="C662" s="2" t="s">
        <v>1249</v>
      </c>
      <c r="D662" s="2">
        <v>4900</v>
      </c>
      <c r="E662" s="2">
        <v>250</v>
      </c>
      <c r="F662" s="60">
        <v>55</v>
      </c>
      <c r="G662" s="303">
        <f t="shared" si="128"/>
        <v>13750</v>
      </c>
      <c r="H662" s="60">
        <v>45</v>
      </c>
      <c r="I662" s="326">
        <v>26.2</v>
      </c>
      <c r="J662" s="326">
        <v>56.38</v>
      </c>
      <c r="K662" s="247">
        <v>10</v>
      </c>
      <c r="L662" s="60">
        <f t="shared" si="126"/>
        <v>137.58000000000001</v>
      </c>
      <c r="M662" s="303">
        <f t="shared" si="127"/>
        <v>13612.42</v>
      </c>
      <c r="N662" s="249" t="s">
        <v>596</v>
      </c>
      <c r="O662" s="263" t="s">
        <v>369</v>
      </c>
    </row>
    <row r="663" spans="1:15" ht="12.75" customHeight="1" x14ac:dyDescent="0.25">
      <c r="A663" s="16" t="s">
        <v>597</v>
      </c>
      <c r="B663" s="2" t="s">
        <v>771</v>
      </c>
      <c r="C663" s="2" t="s">
        <v>1245</v>
      </c>
      <c r="D663" s="2">
        <v>4900</v>
      </c>
      <c r="E663" s="2">
        <v>600</v>
      </c>
      <c r="F663" s="60">
        <v>39.299999999999997</v>
      </c>
      <c r="G663" s="303">
        <f t="shared" si="128"/>
        <v>23580</v>
      </c>
      <c r="H663" s="60">
        <v>108</v>
      </c>
      <c r="I663" s="299">
        <v>34.82</v>
      </c>
      <c r="J663" s="299">
        <v>50.11</v>
      </c>
      <c r="K663" s="247">
        <v>9</v>
      </c>
      <c r="L663" s="60">
        <f t="shared" si="126"/>
        <v>201.93</v>
      </c>
      <c r="M663" s="303">
        <f t="shared" si="127"/>
        <v>23378.07</v>
      </c>
      <c r="N663" s="249" t="s">
        <v>598</v>
      </c>
      <c r="O663" s="263" t="s">
        <v>369</v>
      </c>
    </row>
    <row r="664" spans="1:15" ht="12.75" customHeight="1" x14ac:dyDescent="0.25">
      <c r="A664" s="16" t="s">
        <v>2158</v>
      </c>
      <c r="B664" s="2" t="s">
        <v>771</v>
      </c>
      <c r="C664" s="2" t="s">
        <v>1249</v>
      </c>
      <c r="D664" s="2">
        <v>5000</v>
      </c>
      <c r="E664" s="2">
        <v>200</v>
      </c>
      <c r="F664" s="60">
        <v>46.4</v>
      </c>
      <c r="G664" s="303">
        <f t="shared" ref="G664:G680" si="129">E664*F664</f>
        <v>9280</v>
      </c>
      <c r="H664" s="60">
        <v>36</v>
      </c>
      <c r="I664" s="302"/>
      <c r="J664" s="310"/>
      <c r="K664" s="302"/>
      <c r="L664" s="60">
        <f t="shared" ref="L664:L669" si="130">SUM(H664:K664)</f>
        <v>36</v>
      </c>
      <c r="M664" s="303">
        <f t="shared" ref="M664:M669" si="131">G664-L664</f>
        <v>9244</v>
      </c>
      <c r="N664" s="304" t="s">
        <v>2159</v>
      </c>
      <c r="O664" s="263" t="s">
        <v>369</v>
      </c>
    </row>
    <row r="665" spans="1:15" ht="12.75" customHeight="1" x14ac:dyDescent="0.25">
      <c r="A665" s="16" t="s">
        <v>2158</v>
      </c>
      <c r="B665" s="2" t="s">
        <v>771</v>
      </c>
      <c r="C665" s="2" t="s">
        <v>1249</v>
      </c>
      <c r="D665" s="2">
        <v>5000</v>
      </c>
      <c r="E665" s="2">
        <v>50</v>
      </c>
      <c r="F665" s="60">
        <v>46.4</v>
      </c>
      <c r="G665" s="303">
        <f t="shared" si="129"/>
        <v>2320</v>
      </c>
      <c r="H665" s="60">
        <v>9</v>
      </c>
      <c r="I665" s="315"/>
      <c r="J665" s="315"/>
      <c r="K665" s="312"/>
      <c r="L665" s="60">
        <f t="shared" si="130"/>
        <v>9</v>
      </c>
      <c r="M665" s="303">
        <f t="shared" si="131"/>
        <v>2311</v>
      </c>
      <c r="N665" s="304" t="s">
        <v>2159</v>
      </c>
      <c r="O665" s="263" t="s">
        <v>369</v>
      </c>
    </row>
    <row r="666" spans="1:15" ht="13.2" x14ac:dyDescent="0.25">
      <c r="A666" s="16" t="s">
        <v>2158</v>
      </c>
      <c r="B666" s="2" t="s">
        <v>771</v>
      </c>
      <c r="C666" s="2" t="s">
        <v>1249</v>
      </c>
      <c r="D666" s="2">
        <v>5000</v>
      </c>
      <c r="E666" s="2">
        <v>150</v>
      </c>
      <c r="F666" s="60">
        <v>46.4</v>
      </c>
      <c r="G666" s="303">
        <f t="shared" si="129"/>
        <v>6960</v>
      </c>
      <c r="H666" s="60">
        <v>27</v>
      </c>
      <c r="I666" s="315"/>
      <c r="J666" s="315"/>
      <c r="K666" s="312"/>
      <c r="L666" s="60">
        <f t="shared" si="130"/>
        <v>27</v>
      </c>
      <c r="M666" s="303">
        <f t="shared" si="131"/>
        <v>6933</v>
      </c>
      <c r="N666" s="304" t="s">
        <v>2159</v>
      </c>
      <c r="O666" s="263" t="s">
        <v>369</v>
      </c>
    </row>
    <row r="667" spans="1:15" ht="12.75" customHeight="1" x14ac:dyDescent="0.25">
      <c r="A667" s="16" t="s">
        <v>2158</v>
      </c>
      <c r="B667" s="2" t="s">
        <v>771</v>
      </c>
      <c r="C667" s="2" t="s">
        <v>1249</v>
      </c>
      <c r="D667" s="2">
        <v>5000</v>
      </c>
      <c r="E667" s="2">
        <v>200</v>
      </c>
      <c r="F667" s="60">
        <v>46.4</v>
      </c>
      <c r="G667" s="303">
        <f t="shared" si="129"/>
        <v>9280</v>
      </c>
      <c r="H667" s="60">
        <v>36</v>
      </c>
      <c r="I667" s="315"/>
      <c r="J667" s="315"/>
      <c r="K667" s="312"/>
      <c r="L667" s="60">
        <f t="shared" si="130"/>
        <v>36</v>
      </c>
      <c r="M667" s="303">
        <f t="shared" si="131"/>
        <v>9244</v>
      </c>
      <c r="N667" s="304" t="s">
        <v>2159</v>
      </c>
      <c r="O667" s="263" t="s">
        <v>369</v>
      </c>
    </row>
    <row r="668" spans="1:15" ht="12.75" customHeight="1" x14ac:dyDescent="0.25">
      <c r="A668" s="16" t="s">
        <v>2158</v>
      </c>
      <c r="B668" s="2" t="s">
        <v>771</v>
      </c>
      <c r="C668" s="2" t="s">
        <v>1249</v>
      </c>
      <c r="D668" s="2">
        <v>5000</v>
      </c>
      <c r="E668" s="2">
        <v>200</v>
      </c>
      <c r="F668" s="60">
        <v>46.4</v>
      </c>
      <c r="G668" s="303">
        <f t="shared" si="129"/>
        <v>9280</v>
      </c>
      <c r="H668" s="60">
        <v>36</v>
      </c>
      <c r="I668" s="302"/>
      <c r="J668" s="310"/>
      <c r="K668" s="302"/>
      <c r="L668" s="60">
        <f t="shared" si="130"/>
        <v>36</v>
      </c>
      <c r="M668" s="303">
        <f t="shared" si="131"/>
        <v>9244</v>
      </c>
      <c r="N668" s="304" t="s">
        <v>2159</v>
      </c>
      <c r="O668" s="263" t="s">
        <v>369</v>
      </c>
    </row>
    <row r="669" spans="1:15" ht="12.75" customHeight="1" x14ac:dyDescent="0.25">
      <c r="A669" s="16" t="s">
        <v>2158</v>
      </c>
      <c r="B669" s="2" t="s">
        <v>771</v>
      </c>
      <c r="C669" s="2" t="s">
        <v>1249</v>
      </c>
      <c r="D669" s="2">
        <v>5000</v>
      </c>
      <c r="E669" s="2">
        <v>200</v>
      </c>
      <c r="F669" s="60">
        <v>46.35</v>
      </c>
      <c r="G669" s="303">
        <f t="shared" si="129"/>
        <v>9270</v>
      </c>
      <c r="H669" s="60">
        <v>36</v>
      </c>
      <c r="I669" s="299">
        <v>26.22</v>
      </c>
      <c r="J669" s="299">
        <v>38.549999999999997</v>
      </c>
      <c r="K669" s="247">
        <v>12</v>
      </c>
      <c r="L669" s="60">
        <f t="shared" si="130"/>
        <v>112.77</v>
      </c>
      <c r="M669" s="303">
        <f t="shared" si="131"/>
        <v>9157.23</v>
      </c>
      <c r="N669" s="304" t="s">
        <v>2159</v>
      </c>
      <c r="O669" s="263" t="s">
        <v>369</v>
      </c>
    </row>
    <row r="670" spans="1:15" ht="12.75" customHeight="1" x14ac:dyDescent="0.25">
      <c r="A670" s="16" t="s">
        <v>2160</v>
      </c>
      <c r="B670" s="2" t="s">
        <v>771</v>
      </c>
      <c r="C670" s="2" t="s">
        <v>1245</v>
      </c>
      <c r="D670" s="2">
        <v>5100</v>
      </c>
      <c r="E670" s="2">
        <v>50</v>
      </c>
      <c r="F670" s="60">
        <v>92</v>
      </c>
      <c r="G670" s="303">
        <f t="shared" si="129"/>
        <v>4600</v>
      </c>
      <c r="H670" s="60">
        <v>9</v>
      </c>
      <c r="I670" s="315"/>
      <c r="J670" s="315"/>
      <c r="K670" s="312"/>
      <c r="L670" s="60">
        <f t="shared" ref="L670:L680" si="132">SUM(H670:K670)</f>
        <v>9</v>
      </c>
      <c r="M670" s="303">
        <f t="shared" ref="M670:M680" si="133">G670-L670</f>
        <v>4591</v>
      </c>
      <c r="N670" s="249" t="s">
        <v>2168</v>
      </c>
      <c r="O670" s="263" t="s">
        <v>369</v>
      </c>
    </row>
    <row r="671" spans="1:15" ht="12.75" customHeight="1" x14ac:dyDescent="0.25">
      <c r="A671" s="16" t="s">
        <v>2160</v>
      </c>
      <c r="B671" s="2" t="s">
        <v>2166</v>
      </c>
      <c r="C671" s="2" t="s">
        <v>1249</v>
      </c>
      <c r="D671" s="2">
        <v>35</v>
      </c>
      <c r="E671" s="2">
        <v>4000</v>
      </c>
      <c r="F671" s="60">
        <v>0.65</v>
      </c>
      <c r="G671" s="303">
        <f t="shared" si="129"/>
        <v>2600</v>
      </c>
      <c r="H671" s="60">
        <v>9</v>
      </c>
      <c r="I671" s="315"/>
      <c r="J671" s="312"/>
      <c r="K671" s="312"/>
      <c r="L671" s="60">
        <f t="shared" si="132"/>
        <v>9</v>
      </c>
      <c r="M671" s="303">
        <f t="shared" si="133"/>
        <v>2591</v>
      </c>
      <c r="N671" s="249" t="s">
        <v>2168</v>
      </c>
      <c r="O671" s="263" t="s">
        <v>369</v>
      </c>
    </row>
    <row r="672" spans="1:15" ht="12.75" customHeight="1" x14ac:dyDescent="0.25">
      <c r="A672" s="16" t="s">
        <v>2160</v>
      </c>
      <c r="B672" s="2" t="s">
        <v>2166</v>
      </c>
      <c r="C672" s="2" t="s">
        <v>1249</v>
      </c>
      <c r="D672" s="2">
        <v>35</v>
      </c>
      <c r="E672" s="2">
        <v>4000</v>
      </c>
      <c r="F672" s="60">
        <v>0.65</v>
      </c>
      <c r="G672" s="303">
        <f t="shared" si="129"/>
        <v>2600</v>
      </c>
      <c r="H672" s="60">
        <v>9</v>
      </c>
      <c r="I672" s="315"/>
      <c r="J672" s="312"/>
      <c r="K672" s="312"/>
      <c r="L672" s="60">
        <f t="shared" si="132"/>
        <v>9</v>
      </c>
      <c r="M672" s="303">
        <f t="shared" si="133"/>
        <v>2591</v>
      </c>
      <c r="N672" s="249" t="s">
        <v>2168</v>
      </c>
      <c r="O672" s="263" t="s">
        <v>369</v>
      </c>
    </row>
    <row r="673" spans="1:15" ht="12.75" customHeight="1" x14ac:dyDescent="0.25">
      <c r="A673" s="16" t="s">
        <v>2160</v>
      </c>
      <c r="B673" s="2" t="s">
        <v>2167</v>
      </c>
      <c r="C673" s="2" t="s">
        <v>1245</v>
      </c>
      <c r="D673" s="2">
        <v>340</v>
      </c>
      <c r="E673" s="2">
        <v>1000</v>
      </c>
      <c r="F673" s="60">
        <v>5.3</v>
      </c>
      <c r="G673" s="303">
        <f t="shared" si="129"/>
        <v>5300</v>
      </c>
      <c r="H673" s="60">
        <v>9</v>
      </c>
      <c r="I673" s="315"/>
      <c r="J673" s="312"/>
      <c r="K673" s="312"/>
      <c r="L673" s="60">
        <f t="shared" si="132"/>
        <v>9</v>
      </c>
      <c r="M673" s="303">
        <f t="shared" si="133"/>
        <v>5291</v>
      </c>
      <c r="N673" s="249" t="s">
        <v>2168</v>
      </c>
      <c r="O673" s="263" t="s">
        <v>369</v>
      </c>
    </row>
    <row r="674" spans="1:15" ht="12.75" customHeight="1" x14ac:dyDescent="0.25">
      <c r="A674" s="16" t="s">
        <v>2160</v>
      </c>
      <c r="B674" s="2" t="s">
        <v>2167</v>
      </c>
      <c r="C674" s="2" t="s">
        <v>1245</v>
      </c>
      <c r="D674" s="2">
        <v>340</v>
      </c>
      <c r="E674" s="2">
        <v>1000</v>
      </c>
      <c r="F674" s="60">
        <v>5.2</v>
      </c>
      <c r="G674" s="303">
        <f t="shared" si="129"/>
        <v>5200</v>
      </c>
      <c r="H674" s="60">
        <v>9</v>
      </c>
      <c r="I674" s="315"/>
      <c r="J674" s="312"/>
      <c r="K674" s="312"/>
      <c r="L674" s="60">
        <f t="shared" si="132"/>
        <v>9</v>
      </c>
      <c r="M674" s="303">
        <f t="shared" si="133"/>
        <v>5191</v>
      </c>
      <c r="N674" s="249" t="s">
        <v>2168</v>
      </c>
      <c r="O674" s="263" t="s">
        <v>369</v>
      </c>
    </row>
    <row r="675" spans="1:15" ht="12.75" customHeight="1" x14ac:dyDescent="0.25">
      <c r="A675" s="16" t="s">
        <v>2160</v>
      </c>
      <c r="B675" s="2" t="s">
        <v>771</v>
      </c>
      <c r="C675" s="2" t="s">
        <v>1245</v>
      </c>
      <c r="D675" s="2">
        <v>5100</v>
      </c>
      <c r="E675" s="2">
        <v>250</v>
      </c>
      <c r="F675" s="60">
        <v>92</v>
      </c>
      <c r="G675" s="303">
        <f t="shared" si="129"/>
        <v>23000</v>
      </c>
      <c r="H675" s="60">
        <v>45</v>
      </c>
      <c r="I675" s="315"/>
      <c r="J675" s="315"/>
      <c r="K675" s="312"/>
      <c r="L675" s="60">
        <f t="shared" si="132"/>
        <v>45</v>
      </c>
      <c r="M675" s="303">
        <f t="shared" si="133"/>
        <v>22955</v>
      </c>
      <c r="N675" s="249" t="s">
        <v>2168</v>
      </c>
      <c r="O675" s="263" t="s">
        <v>369</v>
      </c>
    </row>
    <row r="676" spans="1:15" ht="12.75" customHeight="1" x14ac:dyDescent="0.25">
      <c r="A676" s="16" t="s">
        <v>2160</v>
      </c>
      <c r="B676" s="2" t="s">
        <v>2165</v>
      </c>
      <c r="C676" s="2" t="s">
        <v>1249</v>
      </c>
      <c r="D676" s="2">
        <v>220</v>
      </c>
      <c r="E676" s="2">
        <v>2000</v>
      </c>
      <c r="F676" s="60">
        <v>3.9</v>
      </c>
      <c r="G676" s="303">
        <f t="shared" si="129"/>
        <v>7800</v>
      </c>
      <c r="H676" s="60">
        <v>9</v>
      </c>
      <c r="I676" s="315"/>
      <c r="J676" s="315"/>
      <c r="K676" s="312"/>
      <c r="L676" s="60">
        <f t="shared" si="132"/>
        <v>9</v>
      </c>
      <c r="M676" s="303">
        <f t="shared" si="133"/>
        <v>7791</v>
      </c>
      <c r="N676" s="249" t="s">
        <v>2168</v>
      </c>
      <c r="O676" s="263" t="s">
        <v>369</v>
      </c>
    </row>
    <row r="677" spans="1:15" ht="12.75" customHeight="1" x14ac:dyDescent="0.25">
      <c r="A677" s="16" t="s">
        <v>2160</v>
      </c>
      <c r="B677" s="2" t="s">
        <v>2164</v>
      </c>
      <c r="C677" s="2" t="s">
        <v>1245</v>
      </c>
      <c r="D677" s="2">
        <v>270</v>
      </c>
      <c r="E677" s="2">
        <v>1000</v>
      </c>
      <c r="F677" s="60">
        <v>8.3000000000000007</v>
      </c>
      <c r="G677" s="303">
        <f t="shared" si="129"/>
        <v>8300</v>
      </c>
      <c r="H677" s="60">
        <v>9</v>
      </c>
      <c r="I677" s="315"/>
      <c r="J677" s="315"/>
      <c r="K677" s="312"/>
      <c r="L677" s="60">
        <f t="shared" si="132"/>
        <v>9</v>
      </c>
      <c r="M677" s="303">
        <f t="shared" si="133"/>
        <v>8291</v>
      </c>
      <c r="N677" s="249" t="s">
        <v>2168</v>
      </c>
      <c r="O677" s="263" t="s">
        <v>369</v>
      </c>
    </row>
    <row r="678" spans="1:15" ht="12.75" customHeight="1" x14ac:dyDescent="0.25">
      <c r="A678" s="16" t="s">
        <v>2160</v>
      </c>
      <c r="B678" s="2" t="s">
        <v>2163</v>
      </c>
      <c r="C678" s="2" t="s">
        <v>1245</v>
      </c>
      <c r="D678" s="2">
        <v>2600</v>
      </c>
      <c r="E678" s="2">
        <v>125</v>
      </c>
      <c r="F678" s="60">
        <v>38.65</v>
      </c>
      <c r="G678" s="303">
        <f t="shared" si="129"/>
        <v>4831.25</v>
      </c>
      <c r="H678" s="60">
        <v>9</v>
      </c>
      <c r="I678" s="315"/>
      <c r="J678" s="312"/>
      <c r="K678" s="312"/>
      <c r="L678" s="60">
        <f t="shared" si="132"/>
        <v>9</v>
      </c>
      <c r="M678" s="303">
        <f t="shared" si="133"/>
        <v>4822.25</v>
      </c>
      <c r="N678" s="249" t="s">
        <v>2168</v>
      </c>
      <c r="O678" s="263" t="s">
        <v>369</v>
      </c>
    </row>
    <row r="679" spans="1:15" ht="12.75" customHeight="1" x14ac:dyDescent="0.25">
      <c r="A679" s="16" t="s">
        <v>2160</v>
      </c>
      <c r="B679" s="2" t="s">
        <v>2163</v>
      </c>
      <c r="C679" s="2" t="s">
        <v>1245</v>
      </c>
      <c r="D679" s="2">
        <v>2600</v>
      </c>
      <c r="E679" s="2">
        <v>125</v>
      </c>
      <c r="F679" s="60">
        <v>40.700000000000003</v>
      </c>
      <c r="G679" s="303">
        <f t="shared" si="129"/>
        <v>5087.5</v>
      </c>
      <c r="H679" s="60">
        <v>9</v>
      </c>
      <c r="I679" s="315"/>
      <c r="J679" s="312"/>
      <c r="K679" s="312"/>
      <c r="L679" s="60">
        <f t="shared" si="132"/>
        <v>9</v>
      </c>
      <c r="M679" s="303">
        <f t="shared" si="133"/>
        <v>5078.5</v>
      </c>
      <c r="N679" s="249" t="s">
        <v>2168</v>
      </c>
      <c r="O679" s="263" t="s">
        <v>369</v>
      </c>
    </row>
    <row r="680" spans="1:15" ht="12.75" customHeight="1" x14ac:dyDescent="0.25">
      <c r="A680" s="16" t="s">
        <v>2160</v>
      </c>
      <c r="B680" s="2" t="s">
        <v>2164</v>
      </c>
      <c r="C680" s="2" t="s">
        <v>1245</v>
      </c>
      <c r="D680" s="2">
        <v>270</v>
      </c>
      <c r="E680" s="2">
        <v>1000</v>
      </c>
      <c r="F680" s="60">
        <v>6.65</v>
      </c>
      <c r="G680" s="303">
        <f t="shared" si="129"/>
        <v>6650</v>
      </c>
      <c r="H680" s="60">
        <v>9</v>
      </c>
      <c r="I680" s="299">
        <v>43.61</v>
      </c>
      <c r="J680" s="247">
        <v>117.39</v>
      </c>
      <c r="K680" s="247">
        <v>23</v>
      </c>
      <c r="L680" s="60">
        <f t="shared" si="132"/>
        <v>193</v>
      </c>
      <c r="M680" s="303">
        <f t="shared" si="133"/>
        <v>6457</v>
      </c>
      <c r="N680" s="249" t="s">
        <v>2168</v>
      </c>
      <c r="O680" s="263" t="s">
        <v>369</v>
      </c>
    </row>
    <row r="681" spans="1:15" ht="12.75" customHeight="1" x14ac:dyDescent="0.25">
      <c r="A681" s="325" t="s">
        <v>1311</v>
      </c>
      <c r="B681" s="249" t="s">
        <v>2157</v>
      </c>
      <c r="C681" s="249" t="s">
        <v>1245</v>
      </c>
      <c r="D681" s="224">
        <v>1800</v>
      </c>
      <c r="E681" s="224">
        <v>1000</v>
      </c>
      <c r="F681" s="224">
        <v>7.45</v>
      </c>
      <c r="G681" s="303">
        <f t="shared" ref="G681:G701" si="134">E681*F681</f>
        <v>7450</v>
      </c>
      <c r="H681" s="60">
        <v>72</v>
      </c>
      <c r="I681" s="224">
        <v>19.43</v>
      </c>
      <c r="J681" s="224">
        <v>26.59</v>
      </c>
      <c r="K681" s="247">
        <v>4</v>
      </c>
      <c r="L681" s="60">
        <f>SUM(H681:K681)</f>
        <v>122.02000000000001</v>
      </c>
      <c r="M681" s="303">
        <f>G681-L681</f>
        <v>7327.98</v>
      </c>
      <c r="N681" s="263" t="s">
        <v>1312</v>
      </c>
      <c r="O681" s="263" t="s">
        <v>369</v>
      </c>
    </row>
    <row r="682" spans="1:15" ht="12.75" customHeight="1" x14ac:dyDescent="0.25">
      <c r="A682" s="16" t="s">
        <v>1316</v>
      </c>
      <c r="B682" s="2" t="s">
        <v>771</v>
      </c>
      <c r="C682" s="2" t="s">
        <v>1249</v>
      </c>
      <c r="D682" s="2">
        <v>5000</v>
      </c>
      <c r="E682" s="2">
        <v>500</v>
      </c>
      <c r="F682" s="60">
        <v>73.099999999999994</v>
      </c>
      <c r="G682" s="303">
        <f t="shared" si="134"/>
        <v>36550</v>
      </c>
      <c r="H682" s="60">
        <v>90</v>
      </c>
      <c r="I682" s="312"/>
      <c r="J682" s="312"/>
      <c r="K682" s="312"/>
      <c r="L682" s="60">
        <f>SUM(H682:K682)</f>
        <v>90</v>
      </c>
      <c r="M682" s="303">
        <f>G682-L682</f>
        <v>36460</v>
      </c>
      <c r="N682" s="249" t="s">
        <v>1317</v>
      </c>
      <c r="O682" s="263" t="s">
        <v>369</v>
      </c>
    </row>
    <row r="683" spans="1:15" ht="12.75" customHeight="1" x14ac:dyDescent="0.25">
      <c r="A683" s="16" t="s">
        <v>1316</v>
      </c>
      <c r="B683" s="2" t="s">
        <v>771</v>
      </c>
      <c r="C683" s="2" t="s">
        <v>1245</v>
      </c>
      <c r="D683" s="2">
        <v>4900</v>
      </c>
      <c r="E683" s="2">
        <v>100</v>
      </c>
      <c r="F683" s="60">
        <v>3.45</v>
      </c>
      <c r="G683" s="303">
        <f t="shared" si="134"/>
        <v>345</v>
      </c>
      <c r="H683" s="60">
        <v>18</v>
      </c>
      <c r="I683" s="316"/>
      <c r="J683" s="316"/>
      <c r="K683" s="316"/>
      <c r="L683" s="60">
        <f>SUM(H683:K683)</f>
        <v>18</v>
      </c>
      <c r="M683" s="303">
        <f>G683-L683</f>
        <v>327</v>
      </c>
      <c r="N683" s="249" t="s">
        <v>1317</v>
      </c>
      <c r="O683" s="263" t="s">
        <v>369</v>
      </c>
    </row>
    <row r="684" spans="1:15" ht="12.75" customHeight="1" x14ac:dyDescent="0.25">
      <c r="A684" s="16" t="s">
        <v>1318</v>
      </c>
      <c r="B684" s="2" t="s">
        <v>771</v>
      </c>
      <c r="C684" s="2" t="s">
        <v>1249</v>
      </c>
      <c r="D684" s="2">
        <v>5100</v>
      </c>
      <c r="E684" s="2">
        <v>300</v>
      </c>
      <c r="F684" s="60">
        <v>20.7</v>
      </c>
      <c r="G684" s="303">
        <f t="shared" si="134"/>
        <v>6210</v>
      </c>
      <c r="H684" s="60">
        <v>54</v>
      </c>
      <c r="I684" s="316"/>
      <c r="J684" s="316"/>
      <c r="K684" s="316"/>
      <c r="L684" s="60">
        <f t="shared" ref="L684:L693" si="135">SUM(H684:K684)</f>
        <v>54</v>
      </c>
      <c r="M684" s="303">
        <f t="shared" ref="M684:M693" si="136">G684-L684</f>
        <v>6156</v>
      </c>
      <c r="N684" s="263" t="s">
        <v>1319</v>
      </c>
      <c r="O684" s="263" t="s">
        <v>369</v>
      </c>
    </row>
    <row r="685" spans="1:15" ht="12.75" customHeight="1" x14ac:dyDescent="0.25">
      <c r="A685" s="16" t="s">
        <v>1318</v>
      </c>
      <c r="B685" s="2" t="s">
        <v>771</v>
      </c>
      <c r="C685" s="2" t="s">
        <v>1249</v>
      </c>
      <c r="D685" s="2">
        <v>5100</v>
      </c>
      <c r="E685" s="2">
        <v>200</v>
      </c>
      <c r="F685" s="60">
        <v>20.7</v>
      </c>
      <c r="G685" s="303">
        <f t="shared" si="134"/>
        <v>4140</v>
      </c>
      <c r="H685" s="60">
        <v>36</v>
      </c>
      <c r="I685" s="316"/>
      <c r="J685" s="316"/>
      <c r="K685" s="316"/>
      <c r="L685" s="60">
        <f t="shared" si="135"/>
        <v>36</v>
      </c>
      <c r="M685" s="303">
        <f t="shared" si="136"/>
        <v>4104</v>
      </c>
      <c r="N685" s="263" t="s">
        <v>1319</v>
      </c>
      <c r="O685" s="263" t="s">
        <v>369</v>
      </c>
    </row>
    <row r="686" spans="1:15" ht="12.75" customHeight="1" x14ac:dyDescent="0.25">
      <c r="A686" s="16" t="s">
        <v>1318</v>
      </c>
      <c r="B686" s="2" t="s">
        <v>771</v>
      </c>
      <c r="C686" s="2" t="s">
        <v>1249</v>
      </c>
      <c r="D686" s="2">
        <v>5100</v>
      </c>
      <c r="E686" s="2">
        <v>300</v>
      </c>
      <c r="F686" s="60">
        <v>20.7</v>
      </c>
      <c r="G686" s="303">
        <f t="shared" si="134"/>
        <v>6210</v>
      </c>
      <c r="H686" s="60">
        <v>54</v>
      </c>
      <c r="I686" s="316"/>
      <c r="J686" s="316"/>
      <c r="K686" s="316"/>
      <c r="L686" s="60">
        <f t="shared" si="135"/>
        <v>54</v>
      </c>
      <c r="M686" s="303">
        <f t="shared" si="136"/>
        <v>6156</v>
      </c>
      <c r="N686" s="263" t="s">
        <v>1319</v>
      </c>
      <c r="O686" s="263" t="s">
        <v>369</v>
      </c>
    </row>
    <row r="687" spans="1:15" ht="12.75" customHeight="1" x14ac:dyDescent="0.25">
      <c r="A687" s="16" t="s">
        <v>1318</v>
      </c>
      <c r="B687" s="2" t="s">
        <v>771</v>
      </c>
      <c r="C687" s="2" t="s">
        <v>1249</v>
      </c>
      <c r="D687" s="2">
        <v>5100</v>
      </c>
      <c r="E687" s="2">
        <v>150</v>
      </c>
      <c r="F687" s="60">
        <v>20.7</v>
      </c>
      <c r="G687" s="303">
        <f t="shared" si="134"/>
        <v>3105</v>
      </c>
      <c r="H687" s="60">
        <v>27</v>
      </c>
      <c r="I687" s="316"/>
      <c r="J687" s="316"/>
      <c r="K687" s="316"/>
      <c r="L687" s="60">
        <f t="shared" si="135"/>
        <v>27</v>
      </c>
      <c r="M687" s="303">
        <f t="shared" si="136"/>
        <v>3078</v>
      </c>
      <c r="N687" s="263" t="s">
        <v>1319</v>
      </c>
      <c r="O687" s="263" t="s">
        <v>369</v>
      </c>
    </row>
    <row r="688" spans="1:15" ht="12.75" customHeight="1" x14ac:dyDescent="0.25">
      <c r="A688" s="16" t="s">
        <v>1318</v>
      </c>
      <c r="B688" s="2" t="s">
        <v>771</v>
      </c>
      <c r="C688" s="2" t="s">
        <v>1249</v>
      </c>
      <c r="D688" s="2">
        <v>5100</v>
      </c>
      <c r="E688" s="2">
        <v>50</v>
      </c>
      <c r="F688" s="60">
        <v>20.7</v>
      </c>
      <c r="G688" s="303">
        <f t="shared" si="134"/>
        <v>1035</v>
      </c>
      <c r="H688" s="60">
        <v>9</v>
      </c>
      <c r="I688" s="316"/>
      <c r="J688" s="316"/>
      <c r="K688" s="316"/>
      <c r="L688" s="60">
        <f t="shared" si="135"/>
        <v>9</v>
      </c>
      <c r="M688" s="303">
        <f t="shared" si="136"/>
        <v>1026</v>
      </c>
      <c r="N688" s="263" t="s">
        <v>1319</v>
      </c>
      <c r="O688" s="263" t="s">
        <v>369</v>
      </c>
    </row>
    <row r="689" spans="1:18" ht="12.75" customHeight="1" x14ac:dyDescent="0.25">
      <c r="A689" s="16" t="s">
        <v>1318</v>
      </c>
      <c r="B689" s="2" t="s">
        <v>2157</v>
      </c>
      <c r="C689" s="2" t="s">
        <v>1245</v>
      </c>
      <c r="D689" s="2">
        <v>1900</v>
      </c>
      <c r="E689" s="2">
        <v>250</v>
      </c>
      <c r="F689" s="60">
        <v>8</v>
      </c>
      <c r="G689" s="303">
        <f t="shared" si="134"/>
        <v>2000</v>
      </c>
      <c r="H689" s="60">
        <v>18</v>
      </c>
      <c r="I689" s="306"/>
      <c r="J689" s="312"/>
      <c r="K689" s="316"/>
      <c r="L689" s="60">
        <f t="shared" si="135"/>
        <v>18</v>
      </c>
      <c r="M689" s="303">
        <f t="shared" si="136"/>
        <v>1982</v>
      </c>
      <c r="N689" s="263" t="s">
        <v>1319</v>
      </c>
      <c r="O689" s="263" t="s">
        <v>369</v>
      </c>
    </row>
    <row r="690" spans="1:18" ht="13.2" x14ac:dyDescent="0.25">
      <c r="A690" s="16" t="s">
        <v>1318</v>
      </c>
      <c r="B690" s="2" t="s">
        <v>2157</v>
      </c>
      <c r="C690" s="2" t="s">
        <v>1249</v>
      </c>
      <c r="D690" s="2">
        <v>1950</v>
      </c>
      <c r="E690" s="2">
        <v>125</v>
      </c>
      <c r="F690" s="60">
        <v>44</v>
      </c>
      <c r="G690" s="303">
        <f t="shared" si="134"/>
        <v>5500</v>
      </c>
      <c r="H690" s="60">
        <v>9</v>
      </c>
      <c r="I690" s="312"/>
      <c r="J690" s="312"/>
      <c r="K690" s="312"/>
      <c r="L690" s="60">
        <f t="shared" si="135"/>
        <v>9</v>
      </c>
      <c r="M690" s="303">
        <f t="shared" si="136"/>
        <v>5491</v>
      </c>
      <c r="N690" s="263" t="s">
        <v>1319</v>
      </c>
      <c r="O690" s="263" t="s">
        <v>369</v>
      </c>
    </row>
    <row r="691" spans="1:18" ht="13.2" x14ac:dyDescent="0.25">
      <c r="A691" s="16" t="s">
        <v>1318</v>
      </c>
      <c r="B691" s="2" t="s">
        <v>2157</v>
      </c>
      <c r="C691" s="2" t="s">
        <v>1249</v>
      </c>
      <c r="D691" s="2">
        <v>1950</v>
      </c>
      <c r="E691" s="2">
        <v>125</v>
      </c>
      <c r="F691" s="60">
        <v>44</v>
      </c>
      <c r="G691" s="303">
        <f t="shared" si="134"/>
        <v>5500</v>
      </c>
      <c r="H691" s="60">
        <v>9</v>
      </c>
      <c r="I691" s="312"/>
      <c r="J691" s="312"/>
      <c r="K691" s="312"/>
      <c r="L691" s="60">
        <f t="shared" si="135"/>
        <v>9</v>
      </c>
      <c r="M691" s="303">
        <f t="shared" si="136"/>
        <v>5491</v>
      </c>
      <c r="N691" s="263" t="s">
        <v>1319</v>
      </c>
      <c r="O691" s="263" t="s">
        <v>369</v>
      </c>
      <c r="Q691" s="247"/>
    </row>
    <row r="692" spans="1:18" ht="12.75" customHeight="1" x14ac:dyDescent="0.25">
      <c r="A692" s="16" t="s">
        <v>1318</v>
      </c>
      <c r="B692" s="2" t="s">
        <v>2157</v>
      </c>
      <c r="C692" s="2" t="s">
        <v>1249</v>
      </c>
      <c r="D692" s="2">
        <v>1950</v>
      </c>
      <c r="E692" s="2">
        <v>250</v>
      </c>
      <c r="F692" s="60">
        <v>44</v>
      </c>
      <c r="G692" s="303">
        <f t="shared" si="134"/>
        <v>11000</v>
      </c>
      <c r="H692" s="60">
        <v>18</v>
      </c>
      <c r="I692" s="312"/>
      <c r="J692" s="312"/>
      <c r="K692" s="316"/>
      <c r="L692" s="60">
        <f t="shared" si="135"/>
        <v>18</v>
      </c>
      <c r="M692" s="303">
        <f t="shared" si="136"/>
        <v>10982</v>
      </c>
      <c r="N692" s="263" t="s">
        <v>1319</v>
      </c>
      <c r="O692" s="263" t="s">
        <v>369</v>
      </c>
    </row>
    <row r="693" spans="1:18" ht="12.75" customHeight="1" x14ac:dyDescent="0.25">
      <c r="A693" s="16" t="s">
        <v>1318</v>
      </c>
      <c r="B693" s="2" t="s">
        <v>771</v>
      </c>
      <c r="C693" s="2" t="s">
        <v>1245</v>
      </c>
      <c r="D693" s="2">
        <v>5100</v>
      </c>
      <c r="E693" s="2">
        <v>500</v>
      </c>
      <c r="F693" s="60">
        <v>21</v>
      </c>
      <c r="G693" s="303">
        <f t="shared" si="134"/>
        <v>10500</v>
      </c>
      <c r="H693" s="60">
        <v>90</v>
      </c>
      <c r="I693" s="60">
        <v>54.68</v>
      </c>
      <c r="J693" s="60">
        <v>62.9</v>
      </c>
      <c r="K693" s="60">
        <v>15</v>
      </c>
      <c r="L693" s="60">
        <f t="shared" si="135"/>
        <v>222.58</v>
      </c>
      <c r="M693" s="303">
        <f t="shared" si="136"/>
        <v>10277.42</v>
      </c>
      <c r="N693" s="263" t="s">
        <v>1319</v>
      </c>
      <c r="O693" s="263" t="s">
        <v>369</v>
      </c>
    </row>
    <row r="694" spans="1:18" ht="12.75" customHeight="1" x14ac:dyDescent="0.25">
      <c r="A694" s="16" t="s">
        <v>1320</v>
      </c>
      <c r="B694" s="2" t="s">
        <v>582</v>
      </c>
      <c r="C694" s="2" t="s">
        <v>1249</v>
      </c>
      <c r="D694" s="2">
        <v>5300</v>
      </c>
      <c r="E694" s="2">
        <v>150</v>
      </c>
      <c r="F694" s="60">
        <v>70.599999999999994</v>
      </c>
      <c r="G694" s="303">
        <f t="shared" si="134"/>
        <v>10590</v>
      </c>
      <c r="H694" s="60">
        <v>27</v>
      </c>
      <c r="I694" s="324"/>
      <c r="J694" s="324"/>
      <c r="K694" s="316"/>
      <c r="L694" s="60">
        <f t="shared" ref="L694:L701" si="137">SUM(H694:K694)</f>
        <v>27</v>
      </c>
      <c r="M694" s="303">
        <f t="shared" ref="M694:M701" si="138">G694-L694</f>
        <v>10563</v>
      </c>
      <c r="N694" s="249" t="s">
        <v>1321</v>
      </c>
      <c r="O694" s="263" t="s">
        <v>369</v>
      </c>
    </row>
    <row r="695" spans="1:18" ht="12.75" customHeight="1" x14ac:dyDescent="0.25">
      <c r="A695" s="16" t="s">
        <v>1320</v>
      </c>
      <c r="B695" s="2" t="s">
        <v>582</v>
      </c>
      <c r="C695" s="2" t="s">
        <v>1249</v>
      </c>
      <c r="D695" s="2">
        <v>5300</v>
      </c>
      <c r="E695" s="2">
        <v>550</v>
      </c>
      <c r="F695" s="60">
        <v>70.5</v>
      </c>
      <c r="G695" s="303">
        <f t="shared" si="134"/>
        <v>38775</v>
      </c>
      <c r="H695" s="60">
        <v>99</v>
      </c>
      <c r="I695" s="60">
        <v>32.86</v>
      </c>
      <c r="J695" s="60">
        <v>67.03</v>
      </c>
      <c r="K695" s="60">
        <v>14</v>
      </c>
      <c r="L695" s="60">
        <f t="shared" si="137"/>
        <v>212.89000000000001</v>
      </c>
      <c r="M695" s="303">
        <f t="shared" si="138"/>
        <v>38562.11</v>
      </c>
      <c r="N695" s="249" t="s">
        <v>1321</v>
      </c>
      <c r="O695" s="263" t="s">
        <v>369</v>
      </c>
    </row>
    <row r="696" spans="1:18" ht="12.75" customHeight="1" x14ac:dyDescent="0.25">
      <c r="A696" s="16" t="s">
        <v>1324</v>
      </c>
      <c r="B696" s="2" t="s">
        <v>1326</v>
      </c>
      <c r="C696" s="2" t="s">
        <v>1249</v>
      </c>
      <c r="D696" s="2">
        <v>70</v>
      </c>
      <c r="E696" s="2">
        <v>4000</v>
      </c>
      <c r="F696" s="60">
        <v>4.55</v>
      </c>
      <c r="G696" s="303">
        <f t="shared" si="134"/>
        <v>18200</v>
      </c>
      <c r="H696" s="60">
        <v>9</v>
      </c>
      <c r="I696" s="315"/>
      <c r="J696" s="315"/>
      <c r="K696" s="312"/>
      <c r="L696" s="60">
        <f t="shared" si="137"/>
        <v>9</v>
      </c>
      <c r="M696" s="303">
        <f t="shared" si="138"/>
        <v>18191</v>
      </c>
      <c r="N696" s="263" t="s">
        <v>1327</v>
      </c>
      <c r="O696" s="263" t="s">
        <v>369</v>
      </c>
    </row>
    <row r="697" spans="1:18" ht="12.75" customHeight="1" x14ac:dyDescent="0.25">
      <c r="A697" s="16" t="s">
        <v>378</v>
      </c>
      <c r="B697" s="2" t="s">
        <v>582</v>
      </c>
      <c r="C697" s="2" t="s">
        <v>1245</v>
      </c>
      <c r="D697" s="2">
        <v>5000</v>
      </c>
      <c r="E697" s="2">
        <v>1000</v>
      </c>
      <c r="F697" s="60">
        <v>45</v>
      </c>
      <c r="G697" s="303">
        <f t="shared" si="134"/>
        <v>45000</v>
      </c>
      <c r="H697" s="60">
        <v>180</v>
      </c>
      <c r="I697" s="312"/>
      <c r="J697" s="312"/>
      <c r="K697" s="312"/>
      <c r="L697" s="60">
        <f t="shared" si="137"/>
        <v>180</v>
      </c>
      <c r="M697" s="303">
        <f t="shared" si="138"/>
        <v>44820</v>
      </c>
      <c r="N697" s="249" t="s">
        <v>379</v>
      </c>
      <c r="O697" s="304" t="s">
        <v>369</v>
      </c>
    </row>
    <row r="698" spans="1:18" ht="12.75" customHeight="1" x14ac:dyDescent="0.25">
      <c r="A698" s="16" t="s">
        <v>378</v>
      </c>
      <c r="B698" s="2" t="s">
        <v>582</v>
      </c>
      <c r="C698" s="2" t="s">
        <v>1249</v>
      </c>
      <c r="D698" s="2">
        <v>5200</v>
      </c>
      <c r="E698" s="2">
        <v>50</v>
      </c>
      <c r="F698" s="60">
        <v>145.5</v>
      </c>
      <c r="G698" s="303">
        <f t="shared" si="134"/>
        <v>7275</v>
      </c>
      <c r="H698" s="60">
        <v>9</v>
      </c>
      <c r="I698" s="315"/>
      <c r="J698" s="315"/>
      <c r="K698" s="312"/>
      <c r="L698" s="60">
        <f t="shared" si="137"/>
        <v>9</v>
      </c>
      <c r="M698" s="303">
        <f t="shared" si="138"/>
        <v>7266</v>
      </c>
      <c r="N698" s="249" t="s">
        <v>379</v>
      </c>
      <c r="O698" s="304" t="s">
        <v>369</v>
      </c>
    </row>
    <row r="699" spans="1:18" ht="12.75" customHeight="1" x14ac:dyDescent="0.25">
      <c r="A699" s="16" t="s">
        <v>378</v>
      </c>
      <c r="B699" s="2" t="s">
        <v>582</v>
      </c>
      <c r="C699" s="2" t="s">
        <v>1249</v>
      </c>
      <c r="D699" s="2">
        <v>5200</v>
      </c>
      <c r="E699" s="2">
        <v>200</v>
      </c>
      <c r="F699" s="60">
        <v>145.4</v>
      </c>
      <c r="G699" s="303">
        <f t="shared" si="134"/>
        <v>29080</v>
      </c>
      <c r="H699" s="60">
        <v>36</v>
      </c>
      <c r="I699" s="307"/>
      <c r="J699" s="307"/>
      <c r="K699" s="302"/>
      <c r="L699" s="60">
        <f t="shared" si="137"/>
        <v>36</v>
      </c>
      <c r="M699" s="303">
        <f t="shared" si="138"/>
        <v>29044</v>
      </c>
      <c r="N699" s="249" t="s">
        <v>379</v>
      </c>
      <c r="O699" s="304" t="s">
        <v>369</v>
      </c>
    </row>
    <row r="700" spans="1:18" ht="12.75" customHeight="1" x14ac:dyDescent="0.25">
      <c r="A700" s="16" t="s">
        <v>378</v>
      </c>
      <c r="B700" s="2" t="s">
        <v>582</v>
      </c>
      <c r="C700" s="2" t="s">
        <v>1249</v>
      </c>
      <c r="D700" s="2">
        <v>5200</v>
      </c>
      <c r="E700" s="2">
        <v>250</v>
      </c>
      <c r="F700" s="60">
        <v>145.35</v>
      </c>
      <c r="G700" s="303">
        <f t="shared" si="134"/>
        <v>36337.5</v>
      </c>
      <c r="H700" s="60">
        <v>45</v>
      </c>
      <c r="I700" s="307"/>
      <c r="J700" s="307"/>
      <c r="K700" s="302"/>
      <c r="L700" s="60">
        <f t="shared" si="137"/>
        <v>45</v>
      </c>
      <c r="M700" s="303">
        <f t="shared" si="138"/>
        <v>36292.5</v>
      </c>
      <c r="N700" s="249" t="s">
        <v>379</v>
      </c>
      <c r="O700" s="304" t="s">
        <v>369</v>
      </c>
    </row>
    <row r="701" spans="1:18" ht="13.2" x14ac:dyDescent="0.25">
      <c r="A701" s="16" t="s">
        <v>378</v>
      </c>
      <c r="B701" s="2" t="s">
        <v>582</v>
      </c>
      <c r="C701" s="2" t="s">
        <v>1249</v>
      </c>
      <c r="D701" s="2">
        <v>5200</v>
      </c>
      <c r="E701" s="2">
        <v>200</v>
      </c>
      <c r="F701" s="60">
        <v>145.30000000000001</v>
      </c>
      <c r="G701" s="303">
        <f t="shared" si="134"/>
        <v>29060.000000000004</v>
      </c>
      <c r="H701" s="60">
        <v>36</v>
      </c>
      <c r="I701" s="307"/>
      <c r="J701" s="307"/>
      <c r="K701" s="302"/>
      <c r="L701" s="60">
        <f t="shared" si="137"/>
        <v>36</v>
      </c>
      <c r="M701" s="303">
        <f t="shared" si="138"/>
        <v>29024.000000000004</v>
      </c>
      <c r="N701" s="249" t="s">
        <v>379</v>
      </c>
      <c r="O701" s="304" t="s">
        <v>369</v>
      </c>
      <c r="Q701" s="247"/>
      <c r="R701" s="247"/>
    </row>
    <row r="702" spans="1:18" ht="13.2" x14ac:dyDescent="0.25">
      <c r="A702" s="16" t="s">
        <v>382</v>
      </c>
      <c r="B702" s="2" t="s">
        <v>1326</v>
      </c>
      <c r="C702" s="2" t="s">
        <v>1249</v>
      </c>
      <c r="D702" s="2">
        <v>75</v>
      </c>
      <c r="E702" s="2">
        <v>4000</v>
      </c>
      <c r="F702" s="60">
        <v>4</v>
      </c>
      <c r="G702" s="303">
        <f t="shared" ref="G702:G731" si="139">E702*F702</f>
        <v>16000</v>
      </c>
      <c r="H702" s="60">
        <v>9</v>
      </c>
      <c r="I702" s="312"/>
      <c r="J702" s="312"/>
      <c r="K702" s="312"/>
      <c r="L702" s="60">
        <f>SUM(H702:K702)</f>
        <v>9</v>
      </c>
      <c r="M702" s="303">
        <f>G702-L702</f>
        <v>15991</v>
      </c>
      <c r="N702" s="249" t="s">
        <v>2792</v>
      </c>
      <c r="O702" s="263" t="s">
        <v>369</v>
      </c>
      <c r="Q702" s="247"/>
    </row>
    <row r="703" spans="1:18" ht="12.75" customHeight="1" x14ac:dyDescent="0.25">
      <c r="A703" s="16" t="s">
        <v>382</v>
      </c>
      <c r="B703" s="2" t="s">
        <v>582</v>
      </c>
      <c r="C703" s="2" t="s">
        <v>1245</v>
      </c>
      <c r="D703" s="2">
        <v>5100</v>
      </c>
      <c r="E703" s="2">
        <v>1000</v>
      </c>
      <c r="F703" s="60">
        <v>51</v>
      </c>
      <c r="G703" s="303">
        <f t="shared" si="139"/>
        <v>51000</v>
      </c>
      <c r="H703" s="60">
        <v>180</v>
      </c>
      <c r="I703" s="312"/>
      <c r="J703" s="312"/>
      <c r="K703" s="312"/>
      <c r="L703" s="60">
        <f>SUM(H703:K703)</f>
        <v>180</v>
      </c>
      <c r="M703" s="303">
        <f>G703-L703</f>
        <v>50820</v>
      </c>
      <c r="N703" s="249" t="s">
        <v>2792</v>
      </c>
      <c r="O703" s="263" t="s">
        <v>369</v>
      </c>
    </row>
    <row r="704" spans="1:18" ht="12.75" customHeight="1" x14ac:dyDescent="0.25">
      <c r="A704" s="16" t="s">
        <v>382</v>
      </c>
      <c r="B704" s="2" t="s">
        <v>1326</v>
      </c>
      <c r="C704" s="2" t="s">
        <v>1249</v>
      </c>
      <c r="D704" s="2">
        <v>75</v>
      </c>
      <c r="E704" s="2">
        <v>4000</v>
      </c>
      <c r="F704" s="60">
        <v>3.7</v>
      </c>
      <c r="G704" s="303">
        <f t="shared" si="139"/>
        <v>14800</v>
      </c>
      <c r="H704" s="60">
        <v>9</v>
      </c>
      <c r="I704" s="312"/>
      <c r="J704" s="312"/>
      <c r="K704" s="312"/>
      <c r="L704" s="60">
        <f>SUM(H704:K704)</f>
        <v>9</v>
      </c>
      <c r="M704" s="303">
        <f>G704-L704</f>
        <v>14791</v>
      </c>
      <c r="N704" s="249" t="s">
        <v>2792</v>
      </c>
      <c r="O704" s="263" t="s">
        <v>369</v>
      </c>
    </row>
    <row r="705" spans="1:18" ht="12.75" customHeight="1" x14ac:dyDescent="0.25">
      <c r="A705" s="16" t="s">
        <v>54</v>
      </c>
      <c r="B705" s="2" t="s">
        <v>582</v>
      </c>
      <c r="C705" s="2" t="s">
        <v>1249</v>
      </c>
      <c r="D705" s="2">
        <v>5500</v>
      </c>
      <c r="E705" s="2">
        <v>50</v>
      </c>
      <c r="F705" s="60">
        <v>51.5</v>
      </c>
      <c r="G705" s="303">
        <f t="shared" si="139"/>
        <v>2575</v>
      </c>
      <c r="H705" s="60">
        <v>9</v>
      </c>
      <c r="I705" s="312"/>
      <c r="J705" s="312"/>
      <c r="K705" s="312"/>
      <c r="L705" s="60">
        <f t="shared" ref="L705:L713" si="140">SUM(H705:K705)</f>
        <v>9</v>
      </c>
      <c r="M705" s="303">
        <f t="shared" ref="M705:M713" si="141">G705-L705</f>
        <v>2566</v>
      </c>
      <c r="N705" s="249" t="s">
        <v>55</v>
      </c>
      <c r="O705" s="263" t="s">
        <v>369</v>
      </c>
    </row>
    <row r="706" spans="1:18" ht="13.2" x14ac:dyDescent="0.25">
      <c r="A706" s="16" t="s">
        <v>54</v>
      </c>
      <c r="B706" s="2" t="s">
        <v>582</v>
      </c>
      <c r="C706" s="2" t="s">
        <v>1249</v>
      </c>
      <c r="D706" s="2">
        <v>5500</v>
      </c>
      <c r="E706" s="2">
        <v>100</v>
      </c>
      <c r="F706" s="60">
        <v>51.5</v>
      </c>
      <c r="G706" s="303">
        <f t="shared" si="139"/>
        <v>5150</v>
      </c>
      <c r="H706" s="60">
        <v>18</v>
      </c>
      <c r="I706" s="312"/>
      <c r="J706" s="312"/>
      <c r="K706" s="312"/>
      <c r="L706" s="60">
        <f t="shared" si="140"/>
        <v>18</v>
      </c>
      <c r="M706" s="303">
        <f t="shared" si="141"/>
        <v>5132</v>
      </c>
      <c r="N706" s="249" t="s">
        <v>55</v>
      </c>
      <c r="O706" s="263" t="s">
        <v>369</v>
      </c>
      <c r="Q706" s="247"/>
    </row>
    <row r="707" spans="1:18" ht="12.75" customHeight="1" x14ac:dyDescent="0.25">
      <c r="A707" s="16" t="s">
        <v>54</v>
      </c>
      <c r="B707" s="2" t="s">
        <v>582</v>
      </c>
      <c r="C707" s="2" t="s">
        <v>1249</v>
      </c>
      <c r="D707" s="2">
        <v>5500</v>
      </c>
      <c r="E707" s="2">
        <v>200</v>
      </c>
      <c r="F707" s="60">
        <v>51.5</v>
      </c>
      <c r="G707" s="303">
        <f t="shared" si="139"/>
        <v>10300</v>
      </c>
      <c r="H707" s="60">
        <v>36</v>
      </c>
      <c r="I707" s="312"/>
      <c r="J707" s="312"/>
      <c r="K707" s="312"/>
      <c r="L707" s="60">
        <f t="shared" si="140"/>
        <v>36</v>
      </c>
      <c r="M707" s="303">
        <f t="shared" si="141"/>
        <v>10264</v>
      </c>
      <c r="N707" s="249" t="s">
        <v>55</v>
      </c>
      <c r="O707" s="263" t="s">
        <v>369</v>
      </c>
    </row>
    <row r="708" spans="1:18" ht="12.75" customHeight="1" x14ac:dyDescent="0.25">
      <c r="A708" s="16" t="s">
        <v>54</v>
      </c>
      <c r="B708" s="2" t="s">
        <v>582</v>
      </c>
      <c r="C708" s="2" t="s">
        <v>1249</v>
      </c>
      <c r="D708" s="2">
        <v>5500</v>
      </c>
      <c r="E708" s="2">
        <v>100</v>
      </c>
      <c r="F708" s="60">
        <v>51.5</v>
      </c>
      <c r="G708" s="303">
        <f t="shared" si="139"/>
        <v>5150</v>
      </c>
      <c r="H708" s="60">
        <v>18</v>
      </c>
      <c r="I708" s="312"/>
      <c r="J708" s="312"/>
      <c r="K708" s="312"/>
      <c r="L708" s="60">
        <f t="shared" si="140"/>
        <v>18</v>
      </c>
      <c r="M708" s="303">
        <f t="shared" si="141"/>
        <v>5132</v>
      </c>
      <c r="N708" s="249" t="s">
        <v>55</v>
      </c>
      <c r="O708" s="263" t="s">
        <v>369</v>
      </c>
    </row>
    <row r="709" spans="1:18" ht="13.2" x14ac:dyDescent="0.25">
      <c r="A709" s="16" t="s">
        <v>54</v>
      </c>
      <c r="B709" s="2" t="s">
        <v>582</v>
      </c>
      <c r="C709" s="2" t="s">
        <v>1249</v>
      </c>
      <c r="D709" s="2">
        <v>5500</v>
      </c>
      <c r="E709" s="2">
        <v>550</v>
      </c>
      <c r="F709" s="60">
        <v>51.5</v>
      </c>
      <c r="G709" s="303">
        <f t="shared" si="139"/>
        <v>28325</v>
      </c>
      <c r="H709" s="60">
        <v>99</v>
      </c>
      <c r="I709" s="312"/>
      <c r="J709" s="312"/>
      <c r="K709" s="312"/>
      <c r="L709" s="60">
        <f t="shared" si="140"/>
        <v>99</v>
      </c>
      <c r="M709" s="303">
        <f t="shared" si="141"/>
        <v>28226</v>
      </c>
      <c r="N709" s="249" t="s">
        <v>55</v>
      </c>
      <c r="O709" s="263" t="s">
        <v>369</v>
      </c>
      <c r="Q709" s="247"/>
      <c r="R709" s="247"/>
    </row>
    <row r="710" spans="1:18" ht="12.75" customHeight="1" x14ac:dyDescent="0.25">
      <c r="A710" s="16" t="s">
        <v>54</v>
      </c>
      <c r="B710" s="2" t="s">
        <v>582</v>
      </c>
      <c r="C710" s="2" t="s">
        <v>1249</v>
      </c>
      <c r="D710" s="2">
        <v>5500</v>
      </c>
      <c r="E710" s="2">
        <v>50</v>
      </c>
      <c r="F710" s="60">
        <v>39.700000000000003</v>
      </c>
      <c r="G710" s="303">
        <f t="shared" si="139"/>
        <v>1985.0000000000002</v>
      </c>
      <c r="H710" s="60">
        <v>9</v>
      </c>
      <c r="I710" s="316"/>
      <c r="J710" s="316"/>
      <c r="K710" s="316"/>
      <c r="L710" s="60">
        <f t="shared" si="140"/>
        <v>9</v>
      </c>
      <c r="M710" s="303">
        <f t="shared" si="141"/>
        <v>1976.0000000000002</v>
      </c>
      <c r="N710" s="249" t="s">
        <v>55</v>
      </c>
      <c r="O710" s="263" t="s">
        <v>369</v>
      </c>
    </row>
    <row r="711" spans="1:18" ht="12.75" customHeight="1" x14ac:dyDescent="0.25">
      <c r="A711" s="16" t="s">
        <v>54</v>
      </c>
      <c r="B711" s="2" t="s">
        <v>582</v>
      </c>
      <c r="C711" s="2" t="s">
        <v>1249</v>
      </c>
      <c r="D711" s="2">
        <v>5500</v>
      </c>
      <c r="E711" s="2">
        <v>50</v>
      </c>
      <c r="F711" s="60">
        <v>39.700000000000003</v>
      </c>
      <c r="G711" s="303">
        <f t="shared" si="139"/>
        <v>1985.0000000000002</v>
      </c>
      <c r="H711" s="60">
        <v>9</v>
      </c>
      <c r="I711" s="316"/>
      <c r="J711" s="316"/>
      <c r="K711" s="316"/>
      <c r="L711" s="60">
        <f t="shared" si="140"/>
        <v>9</v>
      </c>
      <c r="M711" s="303">
        <f t="shared" si="141"/>
        <v>1976.0000000000002</v>
      </c>
      <c r="N711" s="249" t="s">
        <v>55</v>
      </c>
      <c r="O711" s="263" t="s">
        <v>369</v>
      </c>
    </row>
    <row r="712" spans="1:18" ht="13.2" x14ac:dyDescent="0.25">
      <c r="A712" s="16" t="s">
        <v>54</v>
      </c>
      <c r="B712" s="2" t="s">
        <v>582</v>
      </c>
      <c r="C712" s="2" t="s">
        <v>1249</v>
      </c>
      <c r="D712" s="2">
        <v>5500</v>
      </c>
      <c r="E712" s="2">
        <v>400</v>
      </c>
      <c r="F712" s="60">
        <v>39.700000000000003</v>
      </c>
      <c r="G712" s="303">
        <f t="shared" si="139"/>
        <v>15880.000000000002</v>
      </c>
      <c r="H712" s="60">
        <v>72</v>
      </c>
      <c r="I712" s="316"/>
      <c r="J712" s="316"/>
      <c r="K712" s="316"/>
      <c r="L712" s="60">
        <f t="shared" si="140"/>
        <v>72</v>
      </c>
      <c r="M712" s="303">
        <f t="shared" si="141"/>
        <v>15808.000000000002</v>
      </c>
      <c r="N712" s="249" t="s">
        <v>55</v>
      </c>
      <c r="O712" s="263" t="s">
        <v>369</v>
      </c>
      <c r="Q712" s="247"/>
      <c r="R712" s="247"/>
    </row>
    <row r="713" spans="1:18" ht="12.75" customHeight="1" x14ac:dyDescent="0.25">
      <c r="A713" s="16" t="s">
        <v>54</v>
      </c>
      <c r="B713" s="2" t="s">
        <v>2791</v>
      </c>
      <c r="C713" s="2" t="s">
        <v>1249</v>
      </c>
      <c r="D713" s="2">
        <v>55</v>
      </c>
      <c r="E713" s="2">
        <v>8000</v>
      </c>
      <c r="F713" s="60">
        <v>3.7</v>
      </c>
      <c r="G713" s="303">
        <f t="shared" si="139"/>
        <v>29600</v>
      </c>
      <c r="H713" s="60">
        <v>18</v>
      </c>
      <c r="I713" s="247">
        <v>48.77</v>
      </c>
      <c r="J713" s="247">
        <v>113.47</v>
      </c>
      <c r="K713" s="247">
        <v>27</v>
      </c>
      <c r="L713" s="60">
        <f t="shared" si="140"/>
        <v>207.24</v>
      </c>
      <c r="M713" s="303">
        <f t="shared" si="141"/>
        <v>29392.76</v>
      </c>
      <c r="N713" s="249" t="s">
        <v>55</v>
      </c>
      <c r="O713" s="263" t="s">
        <v>369</v>
      </c>
    </row>
    <row r="714" spans="1:18" ht="12.75" customHeight="1" x14ac:dyDescent="0.25">
      <c r="A714" s="16" t="s">
        <v>58</v>
      </c>
      <c r="B714" s="2" t="s">
        <v>582</v>
      </c>
      <c r="C714" s="2" t="s">
        <v>1245</v>
      </c>
      <c r="D714" s="2">
        <v>5400</v>
      </c>
      <c r="E714" s="2">
        <v>250</v>
      </c>
      <c r="F714" s="60">
        <v>95.05</v>
      </c>
      <c r="G714" s="303">
        <f t="shared" si="139"/>
        <v>23762.5</v>
      </c>
      <c r="H714" s="60">
        <v>45</v>
      </c>
      <c r="I714" s="312"/>
      <c r="J714" s="312"/>
      <c r="K714" s="312"/>
      <c r="L714" s="60">
        <f>SUM(H714:K714)</f>
        <v>45</v>
      </c>
      <c r="M714" s="303">
        <f>G714-L714</f>
        <v>23717.5</v>
      </c>
      <c r="N714" s="249" t="s">
        <v>61</v>
      </c>
      <c r="O714" s="263" t="s">
        <v>369</v>
      </c>
    </row>
    <row r="715" spans="1:18" ht="13.2" x14ac:dyDescent="0.25">
      <c r="A715" s="16" t="s">
        <v>58</v>
      </c>
      <c r="B715" s="2" t="s">
        <v>582</v>
      </c>
      <c r="C715" s="2" t="s">
        <v>1245</v>
      </c>
      <c r="D715" s="2">
        <v>5400</v>
      </c>
      <c r="E715" s="2">
        <v>50</v>
      </c>
      <c r="F715" s="60">
        <v>95</v>
      </c>
      <c r="G715" s="303">
        <f t="shared" si="139"/>
        <v>4750</v>
      </c>
      <c r="H715" s="60">
        <v>9</v>
      </c>
      <c r="I715" s="312"/>
      <c r="J715" s="312"/>
      <c r="K715" s="312"/>
      <c r="L715" s="60">
        <f>SUM(H715:K715)</f>
        <v>9</v>
      </c>
      <c r="M715" s="303">
        <f>G715-L715</f>
        <v>4741</v>
      </c>
      <c r="N715" s="249" t="s">
        <v>61</v>
      </c>
      <c r="O715" s="263" t="s">
        <v>369</v>
      </c>
      <c r="Q715" s="247"/>
    </row>
    <row r="716" spans="1:18" ht="13.2" x14ac:dyDescent="0.25">
      <c r="A716" s="16" t="s">
        <v>62</v>
      </c>
      <c r="B716" s="2" t="s">
        <v>582</v>
      </c>
      <c r="C716" s="2" t="s">
        <v>1249</v>
      </c>
      <c r="D716" s="2">
        <v>5500</v>
      </c>
      <c r="E716" s="2">
        <v>1500</v>
      </c>
      <c r="F716" s="60">
        <v>36.5</v>
      </c>
      <c r="G716" s="303">
        <f t="shared" si="139"/>
        <v>54750</v>
      </c>
      <c r="H716" s="60">
        <v>270</v>
      </c>
      <c r="I716" s="312"/>
      <c r="J716" s="312"/>
      <c r="K716" s="312"/>
      <c r="L716" s="60">
        <f t="shared" ref="L716:L723" si="142">SUM(H716:K716)</f>
        <v>270</v>
      </c>
      <c r="M716" s="303">
        <f t="shared" ref="M716:M723" si="143">G716-L716</f>
        <v>54480</v>
      </c>
      <c r="N716" s="249" t="s">
        <v>63</v>
      </c>
      <c r="O716" s="263" t="s">
        <v>369</v>
      </c>
      <c r="Q716" s="247"/>
    </row>
    <row r="717" spans="1:18" ht="13.2" x14ac:dyDescent="0.25">
      <c r="A717" s="16" t="s">
        <v>62</v>
      </c>
      <c r="B717" s="2" t="s">
        <v>53</v>
      </c>
      <c r="C717" s="2" t="s">
        <v>1249</v>
      </c>
      <c r="D717" s="2">
        <v>50</v>
      </c>
      <c r="E717" s="2">
        <v>4000</v>
      </c>
      <c r="F717" s="60">
        <v>2</v>
      </c>
      <c r="G717" s="303">
        <f t="shared" si="139"/>
        <v>8000</v>
      </c>
      <c r="H717" s="60">
        <v>9</v>
      </c>
      <c r="I717" s="312"/>
      <c r="J717" s="312"/>
      <c r="K717" s="312"/>
      <c r="L717" s="60">
        <f t="shared" si="142"/>
        <v>9</v>
      </c>
      <c r="M717" s="303">
        <f t="shared" si="143"/>
        <v>7991</v>
      </c>
      <c r="N717" s="249" t="s">
        <v>63</v>
      </c>
      <c r="O717" s="263" t="s">
        <v>369</v>
      </c>
      <c r="Q717" s="247"/>
    </row>
    <row r="718" spans="1:18" ht="12.75" customHeight="1" x14ac:dyDescent="0.25">
      <c r="A718" s="16" t="s">
        <v>62</v>
      </c>
      <c r="B718" s="2" t="s">
        <v>582</v>
      </c>
      <c r="C718" s="2" t="s">
        <v>1245</v>
      </c>
      <c r="D718" s="2">
        <v>5400</v>
      </c>
      <c r="E718" s="2">
        <v>400</v>
      </c>
      <c r="F718" s="60">
        <v>66.099999999999994</v>
      </c>
      <c r="G718" s="303">
        <f t="shared" si="139"/>
        <v>26439.999999999996</v>
      </c>
      <c r="H718" s="60">
        <v>72</v>
      </c>
      <c r="I718" s="312"/>
      <c r="J718" s="312"/>
      <c r="K718" s="312"/>
      <c r="L718" s="60">
        <f t="shared" si="142"/>
        <v>72</v>
      </c>
      <c r="M718" s="303">
        <f t="shared" si="143"/>
        <v>26367.999999999996</v>
      </c>
      <c r="N718" s="249" t="s">
        <v>63</v>
      </c>
      <c r="O718" s="263" t="s">
        <v>369</v>
      </c>
    </row>
    <row r="719" spans="1:18" ht="12.75" customHeight="1" x14ac:dyDescent="0.25">
      <c r="A719" s="16" t="s">
        <v>62</v>
      </c>
      <c r="B719" s="2" t="s">
        <v>582</v>
      </c>
      <c r="C719" s="2" t="s">
        <v>1245</v>
      </c>
      <c r="D719" s="2">
        <v>5400</v>
      </c>
      <c r="E719" s="2">
        <v>100</v>
      </c>
      <c r="F719" s="60">
        <v>66.05</v>
      </c>
      <c r="G719" s="303">
        <f t="shared" si="139"/>
        <v>6605</v>
      </c>
      <c r="H719" s="60">
        <v>18</v>
      </c>
      <c r="I719" s="312"/>
      <c r="J719" s="312"/>
      <c r="K719" s="312"/>
      <c r="L719" s="60">
        <f t="shared" si="142"/>
        <v>18</v>
      </c>
      <c r="M719" s="303">
        <f t="shared" si="143"/>
        <v>6587</v>
      </c>
      <c r="N719" s="249" t="s">
        <v>63</v>
      </c>
      <c r="O719" s="263" t="s">
        <v>369</v>
      </c>
    </row>
    <row r="720" spans="1:18" ht="12.75" customHeight="1" x14ac:dyDescent="0.25">
      <c r="A720" s="16" t="s">
        <v>62</v>
      </c>
      <c r="B720" s="2" t="s">
        <v>582</v>
      </c>
      <c r="C720" s="2" t="s">
        <v>1245</v>
      </c>
      <c r="D720" s="2">
        <v>5400</v>
      </c>
      <c r="E720" s="2">
        <v>150</v>
      </c>
      <c r="F720" s="60">
        <v>66</v>
      </c>
      <c r="G720" s="303">
        <f t="shared" si="139"/>
        <v>9900</v>
      </c>
      <c r="H720" s="60">
        <v>27</v>
      </c>
      <c r="I720" s="312"/>
      <c r="J720" s="312"/>
      <c r="K720" s="312"/>
      <c r="L720" s="60">
        <f t="shared" si="142"/>
        <v>27</v>
      </c>
      <c r="M720" s="303">
        <f t="shared" si="143"/>
        <v>9873</v>
      </c>
      <c r="N720" s="249" t="s">
        <v>63</v>
      </c>
      <c r="O720" s="263" t="s">
        <v>369</v>
      </c>
    </row>
    <row r="721" spans="1:18" ht="12.75" customHeight="1" x14ac:dyDescent="0.25">
      <c r="A721" s="16" t="s">
        <v>62</v>
      </c>
      <c r="B721" s="2" t="s">
        <v>582</v>
      </c>
      <c r="C721" s="2" t="s">
        <v>1245</v>
      </c>
      <c r="D721" s="2">
        <v>5400</v>
      </c>
      <c r="E721" s="2">
        <v>50</v>
      </c>
      <c r="F721" s="60">
        <v>66</v>
      </c>
      <c r="G721" s="303">
        <f t="shared" si="139"/>
        <v>3300</v>
      </c>
      <c r="H721" s="60">
        <v>9</v>
      </c>
      <c r="I721" s="315"/>
      <c r="J721" s="315"/>
      <c r="K721" s="316"/>
      <c r="L721" s="60">
        <f t="shared" si="142"/>
        <v>9</v>
      </c>
      <c r="M721" s="303">
        <f t="shared" si="143"/>
        <v>3291</v>
      </c>
      <c r="N721" s="304" t="s">
        <v>63</v>
      </c>
      <c r="O721" s="263" t="s">
        <v>369</v>
      </c>
    </row>
    <row r="722" spans="1:18" ht="13.2" x14ac:dyDescent="0.25">
      <c r="A722" s="16" t="s">
        <v>62</v>
      </c>
      <c r="B722" s="2" t="s">
        <v>582</v>
      </c>
      <c r="C722" s="2" t="s">
        <v>1245</v>
      </c>
      <c r="D722" s="2">
        <v>5400</v>
      </c>
      <c r="E722" s="2">
        <v>100</v>
      </c>
      <c r="F722" s="60">
        <v>66</v>
      </c>
      <c r="G722" s="303">
        <f t="shared" si="139"/>
        <v>6600</v>
      </c>
      <c r="H722" s="60">
        <v>18</v>
      </c>
      <c r="I722" s="315"/>
      <c r="J722" s="315"/>
      <c r="K722" s="316"/>
      <c r="L722" s="60">
        <f t="shared" si="142"/>
        <v>18</v>
      </c>
      <c r="M722" s="303">
        <f t="shared" si="143"/>
        <v>6582</v>
      </c>
      <c r="N722" s="304" t="s">
        <v>63</v>
      </c>
      <c r="O722" s="263" t="s">
        <v>369</v>
      </c>
      <c r="Q722" s="247"/>
    </row>
    <row r="723" spans="1:18" ht="13.2" x14ac:dyDescent="0.25">
      <c r="A723" s="16" t="s">
        <v>62</v>
      </c>
      <c r="B723" s="2" t="s">
        <v>53</v>
      </c>
      <c r="C723" s="2" t="s">
        <v>1249</v>
      </c>
      <c r="D723" s="2">
        <v>50</v>
      </c>
      <c r="E723" s="2">
        <v>4000</v>
      </c>
      <c r="F723" s="60">
        <v>2.2999999999999998</v>
      </c>
      <c r="G723" s="303">
        <f t="shared" si="139"/>
        <v>9200</v>
      </c>
      <c r="H723" s="60">
        <v>9</v>
      </c>
      <c r="I723" s="312"/>
      <c r="J723" s="312"/>
      <c r="K723" s="312"/>
      <c r="L723" s="60">
        <f t="shared" si="142"/>
        <v>9</v>
      </c>
      <c r="M723" s="303">
        <f t="shared" si="143"/>
        <v>9191</v>
      </c>
      <c r="N723" s="249" t="s">
        <v>63</v>
      </c>
      <c r="O723" s="263" t="s">
        <v>369</v>
      </c>
      <c r="Q723" s="247"/>
    </row>
    <row r="724" spans="1:18" ht="12.75" customHeight="1" x14ac:dyDescent="0.25">
      <c r="A724" s="16" t="s">
        <v>68</v>
      </c>
      <c r="B724" s="2" t="s">
        <v>582</v>
      </c>
      <c r="C724" s="2" t="s">
        <v>1249</v>
      </c>
      <c r="D724" s="2">
        <v>5500</v>
      </c>
      <c r="E724" s="2">
        <v>300</v>
      </c>
      <c r="F724" s="60">
        <v>51</v>
      </c>
      <c r="G724" s="303">
        <f t="shared" si="139"/>
        <v>15300</v>
      </c>
      <c r="H724" s="60">
        <v>54</v>
      </c>
      <c r="I724" s="307"/>
      <c r="J724" s="311"/>
      <c r="K724" s="312"/>
      <c r="L724" s="60">
        <f t="shared" ref="L724:L731" si="144">SUM(H724:K724)</f>
        <v>54</v>
      </c>
      <c r="M724" s="303">
        <f t="shared" ref="M724:M736" si="145">G724-L724</f>
        <v>15246</v>
      </c>
      <c r="N724" s="249" t="s">
        <v>69</v>
      </c>
      <c r="O724" s="263" t="s">
        <v>369</v>
      </c>
    </row>
    <row r="725" spans="1:18" ht="12.75" customHeight="1" x14ac:dyDescent="0.25">
      <c r="A725" s="16" t="s">
        <v>68</v>
      </c>
      <c r="B725" s="2" t="s">
        <v>582</v>
      </c>
      <c r="C725" s="2" t="s">
        <v>1249</v>
      </c>
      <c r="D725" s="2">
        <v>5500</v>
      </c>
      <c r="E725" s="2">
        <v>50</v>
      </c>
      <c r="F725" s="60">
        <v>51</v>
      </c>
      <c r="G725" s="303">
        <f t="shared" si="139"/>
        <v>2550</v>
      </c>
      <c r="H725" s="60">
        <v>9</v>
      </c>
      <c r="I725" s="307"/>
      <c r="J725" s="311"/>
      <c r="K725" s="312"/>
      <c r="L725" s="60">
        <f t="shared" si="144"/>
        <v>9</v>
      </c>
      <c r="M725" s="303">
        <f t="shared" si="145"/>
        <v>2541</v>
      </c>
      <c r="N725" s="249" t="s">
        <v>69</v>
      </c>
      <c r="O725" s="263" t="s">
        <v>369</v>
      </c>
    </row>
    <row r="726" spans="1:18" ht="12.75" customHeight="1" x14ac:dyDescent="0.25">
      <c r="A726" s="16" t="s">
        <v>68</v>
      </c>
      <c r="B726" s="2" t="s">
        <v>582</v>
      </c>
      <c r="C726" s="2" t="s">
        <v>1249</v>
      </c>
      <c r="D726" s="2">
        <v>5500</v>
      </c>
      <c r="E726" s="2">
        <v>650</v>
      </c>
      <c r="F726" s="60">
        <v>51</v>
      </c>
      <c r="G726" s="303">
        <f t="shared" si="139"/>
        <v>33150</v>
      </c>
      <c r="H726" s="60">
        <v>117</v>
      </c>
      <c r="I726" s="307"/>
      <c r="J726" s="311"/>
      <c r="K726" s="312"/>
      <c r="L726" s="60">
        <f t="shared" si="144"/>
        <v>117</v>
      </c>
      <c r="M726" s="303">
        <f t="shared" si="145"/>
        <v>33033</v>
      </c>
      <c r="N726" s="249" t="s">
        <v>69</v>
      </c>
      <c r="O726" s="263" t="s">
        <v>369</v>
      </c>
    </row>
    <row r="727" spans="1:18" ht="12.75" customHeight="1" x14ac:dyDescent="0.25">
      <c r="A727" s="16" t="s">
        <v>68</v>
      </c>
      <c r="B727" s="2" t="s">
        <v>53</v>
      </c>
      <c r="C727" s="2" t="s">
        <v>1249</v>
      </c>
      <c r="D727" s="2">
        <v>50</v>
      </c>
      <c r="E727" s="2">
        <v>4000</v>
      </c>
      <c r="F727" s="60">
        <v>1.4</v>
      </c>
      <c r="G727" s="303">
        <f t="shared" si="139"/>
        <v>5600</v>
      </c>
      <c r="H727" s="60">
        <v>9</v>
      </c>
      <c r="I727" s="307"/>
      <c r="J727" s="311"/>
      <c r="K727" s="312"/>
      <c r="L727" s="60">
        <f t="shared" si="144"/>
        <v>9</v>
      </c>
      <c r="M727" s="303">
        <f t="shared" si="145"/>
        <v>5591</v>
      </c>
      <c r="N727" s="249" t="s">
        <v>69</v>
      </c>
      <c r="O727" s="263" t="s">
        <v>369</v>
      </c>
    </row>
    <row r="728" spans="1:18" ht="13.2" x14ac:dyDescent="0.25">
      <c r="A728" s="16" t="s">
        <v>65</v>
      </c>
      <c r="B728" s="2" t="s">
        <v>64</v>
      </c>
      <c r="C728" s="2" t="s">
        <v>1245</v>
      </c>
      <c r="D728" s="2">
        <v>440</v>
      </c>
      <c r="E728" s="2">
        <v>500</v>
      </c>
      <c r="F728" s="60">
        <v>10.4</v>
      </c>
      <c r="G728" s="303">
        <f t="shared" si="139"/>
        <v>5200</v>
      </c>
      <c r="H728" s="60">
        <v>9</v>
      </c>
      <c r="I728" s="307"/>
      <c r="J728" s="312"/>
      <c r="K728" s="312"/>
      <c r="L728" s="60">
        <f t="shared" si="144"/>
        <v>9</v>
      </c>
      <c r="M728" s="303">
        <f t="shared" si="145"/>
        <v>5191</v>
      </c>
      <c r="N728" s="249" t="s">
        <v>66</v>
      </c>
      <c r="O728" s="263" t="s">
        <v>369</v>
      </c>
      <c r="Q728" s="247"/>
    </row>
    <row r="729" spans="1:18" ht="13.2" x14ac:dyDescent="0.25">
      <c r="A729" s="16" t="s">
        <v>72</v>
      </c>
      <c r="B729" s="2" t="s">
        <v>64</v>
      </c>
      <c r="C729" s="2" t="s">
        <v>1245</v>
      </c>
      <c r="D729" s="2">
        <v>440</v>
      </c>
      <c r="E729" s="2">
        <v>1000</v>
      </c>
      <c r="F729" s="60">
        <v>10.5</v>
      </c>
      <c r="G729" s="303">
        <f t="shared" si="139"/>
        <v>10500</v>
      </c>
      <c r="H729" s="60">
        <v>18</v>
      </c>
      <c r="I729" s="312"/>
      <c r="J729" s="312"/>
      <c r="K729" s="312"/>
      <c r="L729" s="60">
        <f t="shared" si="144"/>
        <v>18</v>
      </c>
      <c r="M729" s="303">
        <f t="shared" si="145"/>
        <v>10482</v>
      </c>
      <c r="N729" s="249" t="s">
        <v>71</v>
      </c>
      <c r="O729" s="263" t="s">
        <v>369</v>
      </c>
      <c r="Q729" s="247"/>
      <c r="R729" s="247"/>
    </row>
    <row r="730" spans="1:18" ht="12.75" customHeight="1" x14ac:dyDescent="0.25">
      <c r="A730" s="16" t="s">
        <v>72</v>
      </c>
      <c r="B730" s="2" t="s">
        <v>582</v>
      </c>
      <c r="C730" s="2" t="s">
        <v>1245</v>
      </c>
      <c r="D730" s="2">
        <v>5400</v>
      </c>
      <c r="E730" s="2">
        <v>150</v>
      </c>
      <c r="F730" s="60">
        <v>54</v>
      </c>
      <c r="G730" s="303">
        <f t="shared" si="139"/>
        <v>8100</v>
      </c>
      <c r="H730" s="60">
        <v>27</v>
      </c>
      <c r="I730" s="316"/>
      <c r="J730" s="316"/>
      <c r="K730" s="316"/>
      <c r="L730" s="60">
        <f t="shared" si="144"/>
        <v>27</v>
      </c>
      <c r="M730" s="303">
        <f t="shared" si="145"/>
        <v>8073</v>
      </c>
      <c r="N730" s="249" t="s">
        <v>71</v>
      </c>
      <c r="O730" s="263" t="s">
        <v>369</v>
      </c>
    </row>
    <row r="731" spans="1:18" ht="12.75" customHeight="1" x14ac:dyDescent="0.25">
      <c r="A731" s="16" t="s">
        <v>72</v>
      </c>
      <c r="B731" s="2" t="s">
        <v>582</v>
      </c>
      <c r="C731" s="2" t="s">
        <v>1245</v>
      </c>
      <c r="D731" s="2">
        <v>5400</v>
      </c>
      <c r="E731" s="2">
        <v>50</v>
      </c>
      <c r="F731" s="60">
        <v>54</v>
      </c>
      <c r="G731" s="303">
        <f t="shared" si="139"/>
        <v>2700</v>
      </c>
      <c r="H731" s="60">
        <v>9</v>
      </c>
      <c r="I731" s="247">
        <v>15.85</v>
      </c>
      <c r="J731" s="247">
        <v>27.9</v>
      </c>
      <c r="K731" s="247">
        <v>7</v>
      </c>
      <c r="L731" s="60">
        <f t="shared" si="144"/>
        <v>59.75</v>
      </c>
      <c r="M731" s="303">
        <f t="shared" si="145"/>
        <v>2640.25</v>
      </c>
      <c r="N731" s="249" t="s">
        <v>71</v>
      </c>
      <c r="O731" s="263" t="s">
        <v>369</v>
      </c>
    </row>
    <row r="732" spans="1:18" ht="12.75" customHeight="1" x14ac:dyDescent="0.25">
      <c r="A732" s="16" t="s">
        <v>561</v>
      </c>
      <c r="B732" s="2" t="s">
        <v>64</v>
      </c>
      <c r="C732" s="2" t="s">
        <v>1245</v>
      </c>
      <c r="D732" s="2">
        <v>440</v>
      </c>
      <c r="E732" s="2">
        <v>500</v>
      </c>
      <c r="F732" s="60">
        <v>5</v>
      </c>
      <c r="G732" s="303">
        <f t="shared" ref="G732:G757" si="146">E732*F732</f>
        <v>2500</v>
      </c>
      <c r="H732" s="60">
        <v>9</v>
      </c>
      <c r="I732" s="324"/>
      <c r="J732" s="324"/>
      <c r="K732" s="316"/>
      <c r="L732" s="60">
        <f t="shared" ref="L732:L739" si="147">SUM(H732:K732)</f>
        <v>9</v>
      </c>
      <c r="M732" s="303">
        <f t="shared" si="145"/>
        <v>2491</v>
      </c>
      <c r="N732" s="249" t="s">
        <v>562</v>
      </c>
      <c r="O732" s="263" t="s">
        <v>369</v>
      </c>
    </row>
    <row r="733" spans="1:18" ht="12.75" customHeight="1" x14ac:dyDescent="0.25">
      <c r="A733" s="16" t="s">
        <v>561</v>
      </c>
      <c r="B733" s="2" t="s">
        <v>582</v>
      </c>
      <c r="C733" s="2" t="s">
        <v>1249</v>
      </c>
      <c r="D733" s="2">
        <v>5500</v>
      </c>
      <c r="E733" s="2">
        <v>700</v>
      </c>
      <c r="F733" s="60">
        <v>65</v>
      </c>
      <c r="G733" s="303">
        <f t="shared" si="146"/>
        <v>45500</v>
      </c>
      <c r="H733" s="60">
        <v>126</v>
      </c>
      <c r="I733" s="307"/>
      <c r="J733" s="311"/>
      <c r="K733" s="312"/>
      <c r="L733" s="60">
        <f t="shared" si="147"/>
        <v>126</v>
      </c>
      <c r="M733" s="303">
        <f t="shared" si="145"/>
        <v>45374</v>
      </c>
      <c r="N733" s="249" t="s">
        <v>562</v>
      </c>
      <c r="O733" s="263" t="s">
        <v>369</v>
      </c>
    </row>
    <row r="734" spans="1:18" ht="13.2" x14ac:dyDescent="0.25">
      <c r="A734" s="16" t="s">
        <v>561</v>
      </c>
      <c r="B734" s="2" t="s">
        <v>582</v>
      </c>
      <c r="C734" s="2" t="s">
        <v>1249</v>
      </c>
      <c r="D734" s="2">
        <v>5500</v>
      </c>
      <c r="E734" s="2">
        <v>200</v>
      </c>
      <c r="F734" s="60">
        <v>65</v>
      </c>
      <c r="G734" s="303">
        <f t="shared" si="146"/>
        <v>13000</v>
      </c>
      <c r="H734" s="60">
        <v>36</v>
      </c>
      <c r="I734" s="307"/>
      <c r="J734" s="311"/>
      <c r="K734" s="312"/>
      <c r="L734" s="60">
        <f t="shared" si="147"/>
        <v>36</v>
      </c>
      <c r="M734" s="303">
        <f t="shared" si="145"/>
        <v>12964</v>
      </c>
      <c r="N734" s="249" t="s">
        <v>562</v>
      </c>
      <c r="O734" s="263" t="s">
        <v>369</v>
      </c>
      <c r="Q734" s="247"/>
    </row>
    <row r="735" spans="1:18" ht="13.2" x14ac:dyDescent="0.25">
      <c r="A735" s="16" t="s">
        <v>561</v>
      </c>
      <c r="B735" s="2" t="s">
        <v>582</v>
      </c>
      <c r="C735" s="2" t="s">
        <v>1249</v>
      </c>
      <c r="D735" s="2">
        <v>5500</v>
      </c>
      <c r="E735" s="2">
        <v>200</v>
      </c>
      <c r="F735" s="60">
        <v>65</v>
      </c>
      <c r="G735" s="303">
        <f t="shared" si="146"/>
        <v>13000</v>
      </c>
      <c r="H735" s="60">
        <v>36</v>
      </c>
      <c r="I735" s="307"/>
      <c r="J735" s="311"/>
      <c r="K735" s="312"/>
      <c r="L735" s="60">
        <f t="shared" si="147"/>
        <v>36</v>
      </c>
      <c r="M735" s="303">
        <f t="shared" si="145"/>
        <v>12964</v>
      </c>
      <c r="N735" s="249" t="s">
        <v>562</v>
      </c>
      <c r="O735" s="263" t="s">
        <v>369</v>
      </c>
      <c r="Q735" s="247"/>
    </row>
    <row r="736" spans="1:18" ht="12.75" customHeight="1" x14ac:dyDescent="0.25">
      <c r="A736" s="16" t="s">
        <v>561</v>
      </c>
      <c r="B736" s="2" t="s">
        <v>582</v>
      </c>
      <c r="C736" s="2" t="s">
        <v>1249</v>
      </c>
      <c r="D736" s="2">
        <v>5500</v>
      </c>
      <c r="E736" s="2">
        <v>100</v>
      </c>
      <c r="F736" s="60">
        <v>65</v>
      </c>
      <c r="G736" s="303">
        <f t="shared" si="146"/>
        <v>6500</v>
      </c>
      <c r="H736" s="60">
        <v>18</v>
      </c>
      <c r="I736" s="307"/>
      <c r="J736" s="315"/>
      <c r="K736" s="312"/>
      <c r="L736" s="60">
        <f t="shared" si="147"/>
        <v>18</v>
      </c>
      <c r="M736" s="303">
        <f t="shared" si="145"/>
        <v>6482</v>
      </c>
      <c r="N736" s="249" t="s">
        <v>562</v>
      </c>
      <c r="O736" s="263" t="s">
        <v>369</v>
      </c>
    </row>
    <row r="737" spans="1:17" ht="12.75" customHeight="1" x14ac:dyDescent="0.25">
      <c r="A737" s="16" t="s">
        <v>563</v>
      </c>
      <c r="B737" s="2" t="s">
        <v>582</v>
      </c>
      <c r="C737" s="2" t="s">
        <v>1245</v>
      </c>
      <c r="D737" s="2">
        <v>5600</v>
      </c>
      <c r="E737" s="2">
        <v>350</v>
      </c>
      <c r="F737" s="60">
        <v>49</v>
      </c>
      <c r="G737" s="303">
        <f t="shared" si="146"/>
        <v>17150</v>
      </c>
      <c r="H737" s="60">
        <v>63</v>
      </c>
      <c r="I737" s="315"/>
      <c r="J737" s="315"/>
      <c r="K737" s="312"/>
      <c r="L737" s="60">
        <f t="shared" si="147"/>
        <v>63</v>
      </c>
      <c r="M737" s="303">
        <f>G737-L737</f>
        <v>17087</v>
      </c>
      <c r="N737" s="249" t="s">
        <v>564</v>
      </c>
      <c r="O737" s="263" t="s">
        <v>369</v>
      </c>
    </row>
    <row r="738" spans="1:17" ht="13.2" x14ac:dyDescent="0.25">
      <c r="A738" s="16" t="s">
        <v>563</v>
      </c>
      <c r="B738" s="2" t="s">
        <v>582</v>
      </c>
      <c r="C738" s="2" t="s">
        <v>1245</v>
      </c>
      <c r="D738" s="2">
        <v>5600</v>
      </c>
      <c r="E738" s="2">
        <v>50</v>
      </c>
      <c r="F738" s="60">
        <v>49</v>
      </c>
      <c r="G738" s="303">
        <f t="shared" si="146"/>
        <v>2450</v>
      </c>
      <c r="H738" s="60">
        <v>9</v>
      </c>
      <c r="I738" s="315"/>
      <c r="J738" s="315"/>
      <c r="K738" s="312"/>
      <c r="L738" s="60">
        <f t="shared" si="147"/>
        <v>9</v>
      </c>
      <c r="M738" s="303">
        <f>G738-L738</f>
        <v>2441</v>
      </c>
      <c r="N738" s="249" t="s">
        <v>564</v>
      </c>
      <c r="O738" s="263" t="s">
        <v>369</v>
      </c>
      <c r="Q738" s="247"/>
    </row>
    <row r="739" spans="1:17" ht="12.75" customHeight="1" x14ac:dyDescent="0.25">
      <c r="A739" s="16" t="s">
        <v>563</v>
      </c>
      <c r="B739" s="2" t="s">
        <v>582</v>
      </c>
      <c r="C739" s="2" t="s">
        <v>1249</v>
      </c>
      <c r="D739" s="2">
        <v>5500</v>
      </c>
      <c r="E739" s="2">
        <v>200</v>
      </c>
      <c r="F739" s="60">
        <v>96</v>
      </c>
      <c r="G739" s="303">
        <f t="shared" si="146"/>
        <v>19200</v>
      </c>
      <c r="H739" s="60">
        <v>36</v>
      </c>
      <c r="I739" s="247">
        <v>19.2</v>
      </c>
      <c r="J739" s="249">
        <v>42.46</v>
      </c>
      <c r="K739" s="247">
        <v>11</v>
      </c>
      <c r="L739" s="60">
        <f t="shared" si="147"/>
        <v>108.66</v>
      </c>
      <c r="M739" s="303">
        <f>G739-L739</f>
        <v>19091.34</v>
      </c>
      <c r="N739" s="249" t="s">
        <v>564</v>
      </c>
      <c r="O739" s="263" t="s">
        <v>369</v>
      </c>
    </row>
    <row r="740" spans="1:17" ht="13.2" x14ac:dyDescent="0.25">
      <c r="A740" s="16" t="s">
        <v>566</v>
      </c>
      <c r="B740" s="2" t="s">
        <v>582</v>
      </c>
      <c r="C740" s="2" t="s">
        <v>1249</v>
      </c>
      <c r="D740" s="2">
        <v>5700</v>
      </c>
      <c r="E740" s="2">
        <v>500</v>
      </c>
      <c r="F740" s="60">
        <v>7</v>
      </c>
      <c r="G740" s="303">
        <f t="shared" si="146"/>
        <v>3500</v>
      </c>
      <c r="H740" s="60">
        <v>90</v>
      </c>
      <c r="I740" s="324"/>
      <c r="J740" s="324"/>
      <c r="K740" s="316"/>
      <c r="L740" s="60">
        <f t="shared" ref="L740:L749" si="148">SUM(H740:K740)</f>
        <v>90</v>
      </c>
      <c r="M740" s="303">
        <f t="shared" ref="M740:M750" si="149">G740-L740</f>
        <v>3410</v>
      </c>
      <c r="N740" s="304" t="s">
        <v>567</v>
      </c>
      <c r="O740" s="263" t="s">
        <v>369</v>
      </c>
      <c r="Q740" s="247"/>
    </row>
    <row r="741" spans="1:17" ht="13.2" x14ac:dyDescent="0.25">
      <c r="A741" s="16" t="s">
        <v>566</v>
      </c>
      <c r="B741" s="2" t="s">
        <v>582</v>
      </c>
      <c r="C741" s="2" t="s">
        <v>1249</v>
      </c>
      <c r="D741" s="2">
        <v>5600</v>
      </c>
      <c r="E741" s="2">
        <v>50</v>
      </c>
      <c r="F741" s="60">
        <v>19.100000000000001</v>
      </c>
      <c r="G741" s="303">
        <f t="shared" si="146"/>
        <v>955.00000000000011</v>
      </c>
      <c r="H741" s="60">
        <v>9</v>
      </c>
      <c r="I741" s="307"/>
      <c r="J741" s="311"/>
      <c r="K741" s="312"/>
      <c r="L741" s="60">
        <f t="shared" si="148"/>
        <v>9</v>
      </c>
      <c r="M741" s="303">
        <f t="shared" si="149"/>
        <v>946.00000000000011</v>
      </c>
      <c r="N741" s="304" t="s">
        <v>567</v>
      </c>
      <c r="O741" s="263" t="s">
        <v>369</v>
      </c>
      <c r="Q741" s="247"/>
    </row>
    <row r="742" spans="1:17" ht="13.2" x14ac:dyDescent="0.25">
      <c r="A742" s="16" t="s">
        <v>566</v>
      </c>
      <c r="B742" s="2" t="s">
        <v>582</v>
      </c>
      <c r="C742" s="2" t="s">
        <v>1249</v>
      </c>
      <c r="D742" s="2">
        <v>5600</v>
      </c>
      <c r="E742" s="2">
        <v>50</v>
      </c>
      <c r="F742" s="60">
        <v>19.100000000000001</v>
      </c>
      <c r="G742" s="303">
        <f t="shared" si="146"/>
        <v>955.00000000000011</v>
      </c>
      <c r="H742" s="60">
        <v>9</v>
      </c>
      <c r="I742" s="307"/>
      <c r="J742" s="311"/>
      <c r="K742" s="312"/>
      <c r="L742" s="60">
        <f t="shared" si="148"/>
        <v>9</v>
      </c>
      <c r="M742" s="303">
        <f t="shared" si="149"/>
        <v>946.00000000000011</v>
      </c>
      <c r="N742" s="304" t="s">
        <v>567</v>
      </c>
      <c r="O742" s="263" t="s">
        <v>369</v>
      </c>
      <c r="Q742" s="247"/>
    </row>
    <row r="743" spans="1:17" ht="12.75" customHeight="1" x14ac:dyDescent="0.25">
      <c r="A743" s="16" t="s">
        <v>566</v>
      </c>
      <c r="B743" s="2" t="s">
        <v>582</v>
      </c>
      <c r="C743" s="2" t="s">
        <v>1249</v>
      </c>
      <c r="D743" s="2">
        <v>5600</v>
      </c>
      <c r="E743" s="2">
        <v>150</v>
      </c>
      <c r="F743" s="60">
        <v>19.05</v>
      </c>
      <c r="G743" s="303">
        <f t="shared" si="146"/>
        <v>2857.5</v>
      </c>
      <c r="H743" s="60">
        <v>27</v>
      </c>
      <c r="I743" s="307"/>
      <c r="J743" s="315"/>
      <c r="K743" s="312"/>
      <c r="L743" s="60">
        <f t="shared" si="148"/>
        <v>27</v>
      </c>
      <c r="M743" s="303">
        <f t="shared" si="149"/>
        <v>2830.5</v>
      </c>
      <c r="N743" s="304" t="s">
        <v>567</v>
      </c>
      <c r="O743" s="263" t="s">
        <v>369</v>
      </c>
    </row>
    <row r="744" spans="1:17" ht="12.75" customHeight="1" x14ac:dyDescent="0.25">
      <c r="A744" s="16" t="s">
        <v>566</v>
      </c>
      <c r="B744" s="2" t="s">
        <v>582</v>
      </c>
      <c r="C744" s="2" t="s">
        <v>1249</v>
      </c>
      <c r="D744" s="2">
        <v>5600</v>
      </c>
      <c r="E744" s="2">
        <v>250</v>
      </c>
      <c r="F744" s="60">
        <v>19.05</v>
      </c>
      <c r="G744" s="303">
        <f t="shared" si="146"/>
        <v>4762.5</v>
      </c>
      <c r="H744" s="60">
        <v>45</v>
      </c>
      <c r="I744" s="307"/>
      <c r="J744" s="315"/>
      <c r="K744" s="312"/>
      <c r="L744" s="60">
        <f t="shared" si="148"/>
        <v>45</v>
      </c>
      <c r="M744" s="303">
        <f t="shared" si="149"/>
        <v>4717.5</v>
      </c>
      <c r="N744" s="304" t="s">
        <v>567</v>
      </c>
      <c r="O744" s="263" t="s">
        <v>369</v>
      </c>
    </row>
    <row r="745" spans="1:17" ht="12.75" customHeight="1" x14ac:dyDescent="0.25">
      <c r="A745" s="16" t="s">
        <v>566</v>
      </c>
      <c r="B745" s="2" t="s">
        <v>582</v>
      </c>
      <c r="C745" s="2" t="s">
        <v>1249</v>
      </c>
      <c r="D745" s="2">
        <v>5600</v>
      </c>
      <c r="E745" s="2">
        <v>200</v>
      </c>
      <c r="F745" s="60">
        <v>19.05</v>
      </c>
      <c r="G745" s="303">
        <f t="shared" si="146"/>
        <v>3810</v>
      </c>
      <c r="H745" s="60">
        <v>36</v>
      </c>
      <c r="I745" s="315"/>
      <c r="J745" s="315"/>
      <c r="K745" s="312"/>
      <c r="L745" s="60">
        <f t="shared" si="148"/>
        <v>36</v>
      </c>
      <c r="M745" s="303">
        <f t="shared" si="149"/>
        <v>3774</v>
      </c>
      <c r="N745" s="304" t="s">
        <v>567</v>
      </c>
      <c r="O745" s="263" t="s">
        <v>369</v>
      </c>
    </row>
    <row r="746" spans="1:17" ht="13.2" x14ac:dyDescent="0.25">
      <c r="A746" s="16" t="s">
        <v>566</v>
      </c>
      <c r="B746" s="2" t="s">
        <v>582</v>
      </c>
      <c r="C746" s="2" t="s">
        <v>1249</v>
      </c>
      <c r="D746" s="2">
        <v>5700</v>
      </c>
      <c r="E746" s="2">
        <v>450</v>
      </c>
      <c r="F746" s="60">
        <v>7</v>
      </c>
      <c r="G746" s="303">
        <f t="shared" si="146"/>
        <v>3150</v>
      </c>
      <c r="H746" s="60">
        <v>81</v>
      </c>
      <c r="I746" s="315"/>
      <c r="J746" s="315"/>
      <c r="K746" s="312"/>
      <c r="L746" s="60">
        <f t="shared" si="148"/>
        <v>81</v>
      </c>
      <c r="M746" s="303">
        <f t="shared" si="149"/>
        <v>3069</v>
      </c>
      <c r="N746" s="304" t="s">
        <v>567</v>
      </c>
      <c r="O746" s="263" t="s">
        <v>369</v>
      </c>
      <c r="Q746" s="247"/>
    </row>
    <row r="747" spans="1:17" ht="12.75" customHeight="1" x14ac:dyDescent="0.25">
      <c r="A747" s="16" t="s">
        <v>566</v>
      </c>
      <c r="B747" s="2" t="s">
        <v>582</v>
      </c>
      <c r="C747" s="2" t="s">
        <v>1249</v>
      </c>
      <c r="D747" s="2">
        <v>5700</v>
      </c>
      <c r="E747" s="2">
        <v>50</v>
      </c>
      <c r="F747" s="60">
        <v>7</v>
      </c>
      <c r="G747" s="303">
        <f t="shared" si="146"/>
        <v>350</v>
      </c>
      <c r="H747" s="60">
        <v>9</v>
      </c>
      <c r="I747" s="315"/>
      <c r="J747" s="315"/>
      <c r="K747" s="312"/>
      <c r="L747" s="60">
        <f t="shared" si="148"/>
        <v>9</v>
      </c>
      <c r="M747" s="303">
        <f t="shared" si="149"/>
        <v>341</v>
      </c>
      <c r="N747" s="304" t="s">
        <v>567</v>
      </c>
      <c r="O747" s="263" t="s">
        <v>369</v>
      </c>
    </row>
    <row r="748" spans="1:17" ht="13.2" x14ac:dyDescent="0.25">
      <c r="A748" s="16" t="s">
        <v>566</v>
      </c>
      <c r="B748" s="2" t="s">
        <v>582</v>
      </c>
      <c r="C748" s="2" t="s">
        <v>1245</v>
      </c>
      <c r="D748" s="2">
        <v>5600</v>
      </c>
      <c r="E748" s="2">
        <v>100</v>
      </c>
      <c r="F748" s="60">
        <v>22</v>
      </c>
      <c r="G748" s="303">
        <f t="shared" si="146"/>
        <v>2200</v>
      </c>
      <c r="H748" s="60">
        <v>18</v>
      </c>
      <c r="I748" s="307"/>
      <c r="J748" s="311"/>
      <c r="K748" s="312"/>
      <c r="L748" s="60">
        <f t="shared" si="148"/>
        <v>18</v>
      </c>
      <c r="M748" s="303">
        <f t="shared" si="149"/>
        <v>2182</v>
      </c>
      <c r="N748" s="304" t="s">
        <v>567</v>
      </c>
      <c r="O748" s="263" t="s">
        <v>369</v>
      </c>
      <c r="Q748" s="247"/>
    </row>
    <row r="749" spans="1:17" ht="12.75" customHeight="1" x14ac:dyDescent="0.25">
      <c r="A749" s="16" t="s">
        <v>566</v>
      </c>
      <c r="B749" s="2" t="s">
        <v>582</v>
      </c>
      <c r="C749" s="2" t="s">
        <v>1245</v>
      </c>
      <c r="D749" s="2">
        <v>5600</v>
      </c>
      <c r="E749" s="2">
        <v>50</v>
      </c>
      <c r="F749" s="60">
        <v>22</v>
      </c>
      <c r="G749" s="303">
        <f t="shared" si="146"/>
        <v>1100</v>
      </c>
      <c r="H749" s="60">
        <v>9</v>
      </c>
      <c r="I749" s="307"/>
      <c r="J749" s="315"/>
      <c r="K749" s="312"/>
      <c r="L749" s="60">
        <f t="shared" si="148"/>
        <v>9</v>
      </c>
      <c r="M749" s="303">
        <f t="shared" si="149"/>
        <v>1091</v>
      </c>
      <c r="N749" s="304" t="s">
        <v>567</v>
      </c>
      <c r="O749" s="263" t="s">
        <v>369</v>
      </c>
    </row>
    <row r="750" spans="1:17" ht="12.75" customHeight="1" x14ac:dyDescent="0.25">
      <c r="A750" s="16" t="s">
        <v>566</v>
      </c>
      <c r="B750" s="2" t="s">
        <v>582</v>
      </c>
      <c r="C750" s="2" t="s">
        <v>1245</v>
      </c>
      <c r="D750" s="2">
        <v>5600</v>
      </c>
      <c r="E750" s="2">
        <v>250</v>
      </c>
      <c r="F750" s="60">
        <v>22</v>
      </c>
      <c r="G750" s="303">
        <f t="shared" si="146"/>
        <v>5500</v>
      </c>
      <c r="H750" s="60">
        <v>45</v>
      </c>
      <c r="I750" s="320">
        <v>63.47</v>
      </c>
      <c r="J750" s="299">
        <v>40.22</v>
      </c>
      <c r="K750" s="247">
        <v>9</v>
      </c>
      <c r="L750" s="60">
        <f t="shared" ref="L750:L757" si="150">SUM(H750:K750)</f>
        <v>157.69</v>
      </c>
      <c r="M750" s="303">
        <f t="shared" si="149"/>
        <v>5342.31</v>
      </c>
      <c r="N750" s="304" t="s">
        <v>567</v>
      </c>
      <c r="O750" s="263" t="s">
        <v>369</v>
      </c>
    </row>
    <row r="751" spans="1:17" ht="12.75" customHeight="1" x14ac:dyDescent="0.25">
      <c r="A751" s="16" t="s">
        <v>570</v>
      </c>
      <c r="B751" s="2" t="s">
        <v>582</v>
      </c>
      <c r="C751" s="2" t="s">
        <v>1245</v>
      </c>
      <c r="D751" s="2">
        <v>5500</v>
      </c>
      <c r="E751" s="2">
        <v>600</v>
      </c>
      <c r="F751" s="60">
        <v>13.65</v>
      </c>
      <c r="G751" s="303">
        <f t="shared" si="146"/>
        <v>8190</v>
      </c>
      <c r="H751" s="60">
        <v>108</v>
      </c>
      <c r="I751" s="327"/>
      <c r="J751" s="317"/>
      <c r="K751" s="312"/>
      <c r="L751" s="60">
        <f t="shared" si="150"/>
        <v>108</v>
      </c>
      <c r="M751" s="303">
        <f t="shared" ref="M751:M757" si="151">G751-L751</f>
        <v>8082</v>
      </c>
      <c r="N751" s="249" t="s">
        <v>571</v>
      </c>
      <c r="O751" s="263" t="s">
        <v>369</v>
      </c>
    </row>
    <row r="752" spans="1:17" ht="12.75" customHeight="1" x14ac:dyDescent="0.25">
      <c r="A752" s="16" t="s">
        <v>570</v>
      </c>
      <c r="B752" s="2" t="s">
        <v>582</v>
      </c>
      <c r="C752" s="2" t="s">
        <v>1245</v>
      </c>
      <c r="D752" s="2">
        <v>5500</v>
      </c>
      <c r="E752" s="2">
        <v>200</v>
      </c>
      <c r="F752" s="60">
        <v>13.65</v>
      </c>
      <c r="G752" s="303">
        <f t="shared" si="146"/>
        <v>2730</v>
      </c>
      <c r="H752" s="60">
        <v>36</v>
      </c>
      <c r="I752" s="329">
        <v>43.57</v>
      </c>
      <c r="J752" s="326">
        <v>45.04</v>
      </c>
      <c r="K752" s="247">
        <v>6</v>
      </c>
      <c r="L752" s="60">
        <f t="shared" si="150"/>
        <v>130.60999999999999</v>
      </c>
      <c r="M752" s="303">
        <f t="shared" si="151"/>
        <v>2599.39</v>
      </c>
      <c r="N752" s="249" t="s">
        <v>571</v>
      </c>
      <c r="O752" s="304" t="s">
        <v>369</v>
      </c>
    </row>
    <row r="753" spans="1:17" ht="12.75" customHeight="1" x14ac:dyDescent="0.25">
      <c r="A753" s="16" t="s">
        <v>572</v>
      </c>
      <c r="B753" s="2" t="s">
        <v>569</v>
      </c>
      <c r="C753" s="2" t="s">
        <v>1245</v>
      </c>
      <c r="D753" s="2">
        <v>5300</v>
      </c>
      <c r="E753" s="2">
        <v>500</v>
      </c>
      <c r="F753" s="60">
        <v>85</v>
      </c>
      <c r="G753" s="303">
        <f t="shared" si="146"/>
        <v>42500</v>
      </c>
      <c r="H753" s="60">
        <v>90</v>
      </c>
      <c r="I753" s="320">
        <v>21.73</v>
      </c>
      <c r="J753" s="247">
        <v>48.93</v>
      </c>
      <c r="K753" s="247">
        <v>12</v>
      </c>
      <c r="L753" s="60">
        <f t="shared" si="150"/>
        <v>172.66</v>
      </c>
      <c r="M753" s="303">
        <f t="shared" si="151"/>
        <v>42327.34</v>
      </c>
      <c r="N753" s="263" t="s">
        <v>573</v>
      </c>
      <c r="O753" s="263" t="s">
        <v>369</v>
      </c>
    </row>
    <row r="754" spans="1:17" ht="12.75" customHeight="1" x14ac:dyDescent="0.25">
      <c r="A754" s="16" t="s">
        <v>578</v>
      </c>
      <c r="B754" s="2" t="s">
        <v>569</v>
      </c>
      <c r="C754" s="2" t="s">
        <v>1249</v>
      </c>
      <c r="D754" s="2">
        <v>5700</v>
      </c>
      <c r="E754" s="2">
        <v>50</v>
      </c>
      <c r="F754" s="60">
        <v>52</v>
      </c>
      <c r="G754" s="303">
        <f t="shared" si="146"/>
        <v>2600</v>
      </c>
      <c r="H754" s="60">
        <v>9</v>
      </c>
      <c r="I754" s="307"/>
      <c r="J754" s="317"/>
      <c r="K754" s="312"/>
      <c r="L754" s="60">
        <f t="shared" si="150"/>
        <v>9</v>
      </c>
      <c r="M754" s="303">
        <f t="shared" si="151"/>
        <v>2591</v>
      </c>
      <c r="N754" s="249" t="s">
        <v>577</v>
      </c>
      <c r="O754" s="263" t="s">
        <v>369</v>
      </c>
    </row>
    <row r="755" spans="1:17" ht="12.75" customHeight="1" x14ac:dyDescent="0.25">
      <c r="A755" s="16" t="s">
        <v>578</v>
      </c>
      <c r="B755" s="2" t="s">
        <v>569</v>
      </c>
      <c r="C755" s="2" t="s">
        <v>1249</v>
      </c>
      <c r="D755" s="2">
        <v>5700</v>
      </c>
      <c r="E755" s="2">
        <v>50</v>
      </c>
      <c r="F755" s="60">
        <v>52</v>
      </c>
      <c r="G755" s="303">
        <f t="shared" si="146"/>
        <v>2600</v>
      </c>
      <c r="H755" s="60">
        <v>9</v>
      </c>
      <c r="I755" s="307"/>
      <c r="J755" s="317"/>
      <c r="K755" s="312"/>
      <c r="L755" s="60">
        <f t="shared" si="150"/>
        <v>9</v>
      </c>
      <c r="M755" s="303">
        <f t="shared" si="151"/>
        <v>2591</v>
      </c>
      <c r="N755" s="249" t="s">
        <v>577</v>
      </c>
      <c r="O755" s="263" t="s">
        <v>369</v>
      </c>
    </row>
    <row r="756" spans="1:17" ht="12.75" customHeight="1" x14ac:dyDescent="0.25">
      <c r="A756" s="16" t="s">
        <v>578</v>
      </c>
      <c r="B756" s="2" t="s">
        <v>569</v>
      </c>
      <c r="C756" s="2" t="s">
        <v>1249</v>
      </c>
      <c r="D756" s="2">
        <v>5700</v>
      </c>
      <c r="E756" s="2">
        <v>250</v>
      </c>
      <c r="F756" s="60">
        <v>52</v>
      </c>
      <c r="G756" s="303">
        <f t="shared" si="146"/>
        <v>13000</v>
      </c>
      <c r="H756" s="60">
        <v>45</v>
      </c>
      <c r="I756" s="307"/>
      <c r="J756" s="317"/>
      <c r="K756" s="312"/>
      <c r="L756" s="60">
        <f t="shared" si="150"/>
        <v>45</v>
      </c>
      <c r="M756" s="303">
        <f t="shared" si="151"/>
        <v>12955</v>
      </c>
      <c r="N756" s="249" t="s">
        <v>577</v>
      </c>
      <c r="O756" s="263" t="s">
        <v>369</v>
      </c>
    </row>
    <row r="757" spans="1:17" ht="12.75" customHeight="1" x14ac:dyDescent="0.25">
      <c r="A757" s="16" t="s">
        <v>578</v>
      </c>
      <c r="B757" s="2" t="s">
        <v>569</v>
      </c>
      <c r="C757" s="2" t="s">
        <v>1249</v>
      </c>
      <c r="D757" s="2">
        <v>5700</v>
      </c>
      <c r="E757" s="2">
        <v>50</v>
      </c>
      <c r="F757" s="60">
        <v>52</v>
      </c>
      <c r="G757" s="303">
        <f t="shared" si="146"/>
        <v>2600</v>
      </c>
      <c r="H757" s="60">
        <v>9</v>
      </c>
      <c r="I757" s="320">
        <v>32.96</v>
      </c>
      <c r="J757" s="326">
        <v>67.95</v>
      </c>
      <c r="K757" s="247">
        <v>10</v>
      </c>
      <c r="L757" s="60">
        <f t="shared" si="150"/>
        <v>119.91</v>
      </c>
      <c r="M757" s="303">
        <f t="shared" si="151"/>
        <v>2480.09</v>
      </c>
      <c r="N757" s="249" t="s">
        <v>577</v>
      </c>
      <c r="O757" s="263" t="s">
        <v>369</v>
      </c>
    </row>
    <row r="758" spans="1:17" ht="12.75" customHeight="1" x14ac:dyDescent="0.25">
      <c r="A758" s="16" t="s">
        <v>2499</v>
      </c>
      <c r="B758" s="2" t="s">
        <v>569</v>
      </c>
      <c r="C758" s="2" t="s">
        <v>1249</v>
      </c>
      <c r="D758" s="2">
        <v>5600</v>
      </c>
      <c r="E758" s="2">
        <v>100</v>
      </c>
      <c r="F758" s="60">
        <v>60.95</v>
      </c>
      <c r="G758" s="303">
        <f t="shared" ref="G758:G769" si="152">E758*F758</f>
        <v>6095</v>
      </c>
      <c r="H758" s="60">
        <v>18</v>
      </c>
      <c r="I758" s="307"/>
      <c r="J758" s="311"/>
      <c r="K758" s="312"/>
      <c r="L758" s="60">
        <f t="shared" ref="L758:L764" si="153">SUM(H758:K758)</f>
        <v>18</v>
      </c>
      <c r="M758" s="303">
        <f t="shared" ref="M758:M764" si="154">G758-L758</f>
        <v>6077</v>
      </c>
      <c r="N758" s="249" t="s">
        <v>2500</v>
      </c>
      <c r="O758" s="263" t="s">
        <v>369</v>
      </c>
    </row>
    <row r="759" spans="1:17" ht="12.75" customHeight="1" x14ac:dyDescent="0.25">
      <c r="A759" s="16" t="s">
        <v>2499</v>
      </c>
      <c r="B759" s="2" t="s">
        <v>569</v>
      </c>
      <c r="C759" s="2" t="s">
        <v>1249</v>
      </c>
      <c r="D759" s="2">
        <v>5600</v>
      </c>
      <c r="E759" s="2">
        <v>200</v>
      </c>
      <c r="F759" s="60">
        <v>60.9</v>
      </c>
      <c r="G759" s="303">
        <f t="shared" si="152"/>
        <v>12180</v>
      </c>
      <c r="H759" s="60">
        <v>36</v>
      </c>
      <c r="I759" s="307"/>
      <c r="J759" s="311"/>
      <c r="K759" s="312"/>
      <c r="L759" s="60">
        <f t="shared" si="153"/>
        <v>36</v>
      </c>
      <c r="M759" s="303">
        <f t="shared" si="154"/>
        <v>12144</v>
      </c>
      <c r="N759" s="249" t="s">
        <v>2500</v>
      </c>
      <c r="O759" s="263" t="s">
        <v>369</v>
      </c>
    </row>
    <row r="760" spans="1:17" ht="12.75" customHeight="1" x14ac:dyDescent="0.25">
      <c r="A760" s="16" t="s">
        <v>2499</v>
      </c>
      <c r="B760" s="2" t="s">
        <v>569</v>
      </c>
      <c r="C760" s="2" t="s">
        <v>1249</v>
      </c>
      <c r="D760" s="2">
        <v>5600</v>
      </c>
      <c r="E760" s="2">
        <v>150</v>
      </c>
      <c r="F760" s="60">
        <v>60.85</v>
      </c>
      <c r="G760" s="303">
        <f t="shared" si="152"/>
        <v>9127.5</v>
      </c>
      <c r="H760" s="60">
        <v>27</v>
      </c>
      <c r="I760" s="307"/>
      <c r="J760" s="311"/>
      <c r="K760" s="312"/>
      <c r="L760" s="60">
        <f t="shared" si="153"/>
        <v>27</v>
      </c>
      <c r="M760" s="303">
        <f t="shared" si="154"/>
        <v>9100.5</v>
      </c>
      <c r="N760" s="249" t="s">
        <v>2500</v>
      </c>
      <c r="O760" s="263" t="s">
        <v>369</v>
      </c>
    </row>
    <row r="761" spans="1:17" ht="12.75" customHeight="1" x14ac:dyDescent="0.25">
      <c r="A761" s="16" t="s">
        <v>2499</v>
      </c>
      <c r="B761" s="2" t="s">
        <v>569</v>
      </c>
      <c r="C761" s="2" t="s">
        <v>1249</v>
      </c>
      <c r="D761" s="2">
        <v>5600</v>
      </c>
      <c r="E761" s="2">
        <v>50</v>
      </c>
      <c r="F761" s="60">
        <v>60.85</v>
      </c>
      <c r="G761" s="303">
        <f t="shared" si="152"/>
        <v>3042.5</v>
      </c>
      <c r="H761" s="60">
        <v>9</v>
      </c>
      <c r="I761" s="307"/>
      <c r="J761" s="311"/>
      <c r="K761" s="312"/>
      <c r="L761" s="60">
        <f t="shared" si="153"/>
        <v>9</v>
      </c>
      <c r="M761" s="303">
        <f t="shared" si="154"/>
        <v>3033.5</v>
      </c>
      <c r="N761" s="249" t="s">
        <v>2500</v>
      </c>
      <c r="O761" s="263" t="s">
        <v>369</v>
      </c>
    </row>
    <row r="762" spans="1:17" ht="12.75" customHeight="1" x14ac:dyDescent="0.25">
      <c r="A762" s="16" t="s">
        <v>2499</v>
      </c>
      <c r="B762" s="2" t="s">
        <v>569</v>
      </c>
      <c r="C762" s="2" t="s">
        <v>1249</v>
      </c>
      <c r="D762" s="2">
        <v>5600</v>
      </c>
      <c r="E762" s="2">
        <v>50</v>
      </c>
      <c r="F762" s="60">
        <v>60.85</v>
      </c>
      <c r="G762" s="303">
        <f t="shared" si="152"/>
        <v>3042.5</v>
      </c>
      <c r="H762" s="60">
        <v>9</v>
      </c>
      <c r="I762" s="307"/>
      <c r="J762" s="311"/>
      <c r="K762" s="312"/>
      <c r="L762" s="60">
        <f t="shared" si="153"/>
        <v>9</v>
      </c>
      <c r="M762" s="303">
        <f t="shared" si="154"/>
        <v>3033.5</v>
      </c>
      <c r="N762" s="249" t="s">
        <v>2500</v>
      </c>
      <c r="O762" s="263" t="s">
        <v>369</v>
      </c>
    </row>
    <row r="763" spans="1:17" ht="13.2" x14ac:dyDescent="0.25">
      <c r="A763" s="16" t="s">
        <v>2499</v>
      </c>
      <c r="B763" s="2" t="s">
        <v>569</v>
      </c>
      <c r="C763" s="2" t="s">
        <v>1249</v>
      </c>
      <c r="D763" s="2">
        <v>5600</v>
      </c>
      <c r="E763" s="2">
        <v>400</v>
      </c>
      <c r="F763" s="60">
        <v>60.85</v>
      </c>
      <c r="G763" s="303">
        <f t="shared" si="152"/>
        <v>24340</v>
      </c>
      <c r="H763" s="60">
        <v>72</v>
      </c>
      <c r="I763" s="307"/>
      <c r="J763" s="311"/>
      <c r="K763" s="312"/>
      <c r="L763" s="60">
        <f t="shared" si="153"/>
        <v>72</v>
      </c>
      <c r="M763" s="303">
        <f t="shared" si="154"/>
        <v>24268</v>
      </c>
      <c r="N763" s="249" t="s">
        <v>2500</v>
      </c>
      <c r="O763" s="263" t="s">
        <v>369</v>
      </c>
      <c r="Q763" s="247"/>
    </row>
    <row r="764" spans="1:17" ht="13.2" x14ac:dyDescent="0.25">
      <c r="A764" s="16" t="s">
        <v>2499</v>
      </c>
      <c r="B764" s="2" t="s">
        <v>569</v>
      </c>
      <c r="C764" s="2" t="s">
        <v>1249</v>
      </c>
      <c r="D764" s="2">
        <v>5600</v>
      </c>
      <c r="E764" s="2">
        <v>50</v>
      </c>
      <c r="F764" s="60">
        <v>60.8</v>
      </c>
      <c r="G764" s="303">
        <f t="shared" si="152"/>
        <v>3040</v>
      </c>
      <c r="H764" s="60">
        <v>9</v>
      </c>
      <c r="I764" s="307"/>
      <c r="J764" s="311"/>
      <c r="K764" s="312"/>
      <c r="L764" s="60">
        <f t="shared" si="153"/>
        <v>9</v>
      </c>
      <c r="M764" s="303">
        <f t="shared" si="154"/>
        <v>3031</v>
      </c>
      <c r="N764" s="249" t="s">
        <v>2500</v>
      </c>
      <c r="O764" s="263" t="s">
        <v>369</v>
      </c>
      <c r="Q764" s="247"/>
    </row>
    <row r="765" spans="1:17" ht="13.2" x14ac:dyDescent="0.25">
      <c r="A765" s="325" t="s">
        <v>2504</v>
      </c>
      <c r="B765" s="16" t="s">
        <v>569</v>
      </c>
      <c r="C765" s="2" t="s">
        <v>1245</v>
      </c>
      <c r="D765" s="2">
        <v>5300</v>
      </c>
      <c r="E765" s="2">
        <v>250</v>
      </c>
      <c r="F765" s="60">
        <v>150</v>
      </c>
      <c r="G765" s="303">
        <f t="shared" si="152"/>
        <v>37500</v>
      </c>
      <c r="H765" s="60">
        <v>45</v>
      </c>
      <c r="I765" s="312"/>
      <c r="J765" s="312"/>
      <c r="K765" s="312"/>
      <c r="L765" s="60">
        <f t="shared" ref="L765:L773" si="155">SUM(H765:K765)</f>
        <v>45</v>
      </c>
      <c r="M765" s="303">
        <f t="shared" ref="M765:M782" si="156">G765-L765</f>
        <v>37455</v>
      </c>
      <c r="N765" s="249" t="s">
        <v>2507</v>
      </c>
      <c r="O765" s="263" t="s">
        <v>369</v>
      </c>
      <c r="Q765" s="247"/>
    </row>
    <row r="766" spans="1:17" ht="13.2" x14ac:dyDescent="0.25">
      <c r="A766" s="325" t="s">
        <v>2504</v>
      </c>
      <c r="B766" s="16" t="s">
        <v>569</v>
      </c>
      <c r="C766" s="2" t="s">
        <v>1245</v>
      </c>
      <c r="D766" s="2">
        <v>5300</v>
      </c>
      <c r="E766" s="2">
        <v>50</v>
      </c>
      <c r="F766" s="60">
        <v>150</v>
      </c>
      <c r="G766" s="303">
        <f t="shared" si="152"/>
        <v>7500</v>
      </c>
      <c r="H766" s="60">
        <v>9</v>
      </c>
      <c r="I766" s="312"/>
      <c r="J766" s="312"/>
      <c r="K766" s="312"/>
      <c r="L766" s="60">
        <f t="shared" si="155"/>
        <v>9</v>
      </c>
      <c r="M766" s="303">
        <f t="shared" si="156"/>
        <v>7491</v>
      </c>
      <c r="N766" s="249" t="s">
        <v>2507</v>
      </c>
      <c r="O766" s="263" t="s">
        <v>369</v>
      </c>
      <c r="Q766" s="247"/>
    </row>
    <row r="767" spans="1:17" ht="13.2" x14ac:dyDescent="0.25">
      <c r="A767" s="16" t="s">
        <v>2504</v>
      </c>
      <c r="B767" s="2" t="s">
        <v>569</v>
      </c>
      <c r="C767" s="2" t="s">
        <v>1245</v>
      </c>
      <c r="D767" s="2">
        <v>5300</v>
      </c>
      <c r="E767" s="2">
        <v>200</v>
      </c>
      <c r="F767" s="60">
        <v>150</v>
      </c>
      <c r="G767" s="303">
        <f t="shared" si="152"/>
        <v>30000</v>
      </c>
      <c r="H767" s="60">
        <v>36</v>
      </c>
      <c r="I767" s="312"/>
      <c r="J767" s="312"/>
      <c r="K767" s="312"/>
      <c r="L767" s="60">
        <f t="shared" si="155"/>
        <v>36</v>
      </c>
      <c r="M767" s="303">
        <f t="shared" si="156"/>
        <v>29964</v>
      </c>
      <c r="N767" s="249" t="s">
        <v>2507</v>
      </c>
      <c r="O767" s="263" t="s">
        <v>369</v>
      </c>
      <c r="Q767" s="247"/>
    </row>
    <row r="768" spans="1:17" ht="12.75" customHeight="1" x14ac:dyDescent="0.25">
      <c r="A768" s="16" t="s">
        <v>2508</v>
      </c>
      <c r="B768" s="2" t="s">
        <v>569</v>
      </c>
      <c r="C768" s="2" t="s">
        <v>1249</v>
      </c>
      <c r="D768" s="2">
        <v>5500</v>
      </c>
      <c r="E768" s="2">
        <v>50</v>
      </c>
      <c r="F768" s="60">
        <v>55.3</v>
      </c>
      <c r="G768" s="303">
        <f t="shared" si="152"/>
        <v>2765</v>
      </c>
      <c r="H768" s="60">
        <v>9</v>
      </c>
      <c r="I768" s="307"/>
      <c r="J768" s="311"/>
      <c r="K768" s="312"/>
      <c r="L768" s="60">
        <f t="shared" si="155"/>
        <v>9</v>
      </c>
      <c r="M768" s="303">
        <f t="shared" si="156"/>
        <v>2756</v>
      </c>
      <c r="N768" s="249" t="s">
        <v>2509</v>
      </c>
      <c r="O768" s="263" t="s">
        <v>369</v>
      </c>
    </row>
    <row r="769" spans="1:17" ht="12.75" customHeight="1" x14ac:dyDescent="0.25">
      <c r="A769" s="16" t="s">
        <v>2508</v>
      </c>
      <c r="B769" s="2" t="s">
        <v>569</v>
      </c>
      <c r="C769" s="2" t="s">
        <v>1249</v>
      </c>
      <c r="D769" s="2">
        <v>5500</v>
      </c>
      <c r="E769" s="2">
        <v>950</v>
      </c>
      <c r="F769" s="60">
        <v>55.2</v>
      </c>
      <c r="G769" s="303">
        <f t="shared" si="152"/>
        <v>52440</v>
      </c>
      <c r="H769" s="60">
        <v>171</v>
      </c>
      <c r="I769" s="307"/>
      <c r="J769" s="311"/>
      <c r="K769" s="316"/>
      <c r="L769" s="60">
        <f t="shared" si="155"/>
        <v>171</v>
      </c>
      <c r="M769" s="303">
        <f t="shared" si="156"/>
        <v>52269</v>
      </c>
      <c r="N769" s="249" t="s">
        <v>2509</v>
      </c>
      <c r="O769" s="263" t="s">
        <v>369</v>
      </c>
    </row>
    <row r="770" spans="1:17" ht="13.2" x14ac:dyDescent="0.25">
      <c r="A770" s="325" t="s">
        <v>2512</v>
      </c>
      <c r="B770" s="325" t="s">
        <v>569</v>
      </c>
      <c r="C770" s="16" t="s">
        <v>1249</v>
      </c>
      <c r="D770" s="2">
        <v>5300</v>
      </c>
      <c r="E770" s="2">
        <v>50</v>
      </c>
      <c r="F770" s="60">
        <v>150</v>
      </c>
      <c r="G770" s="303">
        <f t="shared" ref="G770:G783" si="157">E770*F770</f>
        <v>7500</v>
      </c>
      <c r="H770" s="60">
        <v>9</v>
      </c>
      <c r="I770" s="393"/>
      <c r="J770" s="307"/>
      <c r="K770" s="312"/>
      <c r="L770" s="60">
        <f t="shared" si="155"/>
        <v>9</v>
      </c>
      <c r="M770" s="303">
        <f t="shared" si="156"/>
        <v>7491</v>
      </c>
      <c r="N770" s="263" t="s">
        <v>2513</v>
      </c>
      <c r="O770" s="263" t="s">
        <v>369</v>
      </c>
      <c r="Q770" s="247"/>
    </row>
    <row r="771" spans="1:17" ht="12.75" customHeight="1" x14ac:dyDescent="0.25">
      <c r="A771" s="16" t="s">
        <v>2512</v>
      </c>
      <c r="B771" s="2" t="s">
        <v>569</v>
      </c>
      <c r="C771" s="2" t="s">
        <v>1249</v>
      </c>
      <c r="D771" s="2">
        <v>5300</v>
      </c>
      <c r="E771" s="2">
        <v>100</v>
      </c>
      <c r="F771" s="60">
        <v>150</v>
      </c>
      <c r="G771" s="303">
        <f t="shared" si="157"/>
        <v>15000</v>
      </c>
      <c r="H771" s="60">
        <v>18</v>
      </c>
      <c r="I771" s="393"/>
      <c r="J771" s="307"/>
      <c r="K771" s="312"/>
      <c r="L771" s="60">
        <f t="shared" si="155"/>
        <v>18</v>
      </c>
      <c r="M771" s="303">
        <f t="shared" si="156"/>
        <v>14982</v>
      </c>
      <c r="N771" s="263" t="s">
        <v>2513</v>
      </c>
      <c r="O771" s="263" t="s">
        <v>369</v>
      </c>
    </row>
    <row r="772" spans="1:17" ht="12.75" customHeight="1" x14ac:dyDescent="0.25">
      <c r="A772" s="16" t="s">
        <v>2512</v>
      </c>
      <c r="B772" s="2" t="s">
        <v>569</v>
      </c>
      <c r="C772" s="2" t="s">
        <v>1249</v>
      </c>
      <c r="D772" s="2">
        <v>5300</v>
      </c>
      <c r="E772" s="2">
        <v>100</v>
      </c>
      <c r="F772" s="60">
        <v>150</v>
      </c>
      <c r="G772" s="303">
        <f t="shared" si="157"/>
        <v>15000</v>
      </c>
      <c r="H772" s="60">
        <v>18</v>
      </c>
      <c r="I772" s="393"/>
      <c r="J772" s="307"/>
      <c r="K772" s="316"/>
      <c r="L772" s="60">
        <f t="shared" si="155"/>
        <v>18</v>
      </c>
      <c r="M772" s="303">
        <f t="shared" si="156"/>
        <v>14982</v>
      </c>
      <c r="N772" s="263" t="s">
        <v>2513</v>
      </c>
      <c r="O772" s="263" t="s">
        <v>369</v>
      </c>
    </row>
    <row r="773" spans="1:17" ht="12.75" customHeight="1" x14ac:dyDescent="0.25">
      <c r="A773" s="16" t="s">
        <v>2512</v>
      </c>
      <c r="B773" s="2" t="s">
        <v>569</v>
      </c>
      <c r="C773" s="2" t="s">
        <v>1249</v>
      </c>
      <c r="D773" s="2">
        <v>5300</v>
      </c>
      <c r="E773" s="2">
        <v>250</v>
      </c>
      <c r="F773" s="60">
        <v>150</v>
      </c>
      <c r="G773" s="303">
        <f t="shared" si="157"/>
        <v>37500</v>
      </c>
      <c r="H773" s="60">
        <v>45</v>
      </c>
      <c r="I773" s="272">
        <v>29.61</v>
      </c>
      <c r="J773" s="320">
        <v>107.49</v>
      </c>
      <c r="K773" s="247">
        <v>23</v>
      </c>
      <c r="L773" s="60">
        <f t="shared" si="155"/>
        <v>205.1</v>
      </c>
      <c r="M773" s="303">
        <f t="shared" si="156"/>
        <v>37294.9</v>
      </c>
      <c r="N773" s="263" t="s">
        <v>2513</v>
      </c>
      <c r="O773" s="263" t="s">
        <v>369</v>
      </c>
    </row>
    <row r="774" spans="1:17" ht="12.75" customHeight="1" x14ac:dyDescent="0.25">
      <c r="A774" s="325" t="s">
        <v>2521</v>
      </c>
      <c r="B774" s="16" t="s">
        <v>569</v>
      </c>
      <c r="C774" s="2" t="s">
        <v>1245</v>
      </c>
      <c r="D774" s="2">
        <v>5200</v>
      </c>
      <c r="E774" s="2">
        <v>300</v>
      </c>
      <c r="F774" s="60">
        <v>13.15</v>
      </c>
      <c r="G774" s="303">
        <f t="shared" si="157"/>
        <v>3945</v>
      </c>
      <c r="H774" s="60">
        <v>54</v>
      </c>
      <c r="I774" s="312"/>
      <c r="J774" s="312"/>
      <c r="K774" s="312"/>
      <c r="L774" s="60">
        <f t="shared" ref="L774:L780" si="158">SUM(H774:K774)</f>
        <v>54</v>
      </c>
      <c r="M774" s="303">
        <f t="shared" si="156"/>
        <v>3891</v>
      </c>
      <c r="N774" s="249" t="s">
        <v>2520</v>
      </c>
      <c r="O774" s="263" t="s">
        <v>369</v>
      </c>
    </row>
    <row r="775" spans="1:17" ht="12.75" customHeight="1" x14ac:dyDescent="0.25">
      <c r="A775" s="325" t="s">
        <v>2521</v>
      </c>
      <c r="B775" s="16" t="s">
        <v>569</v>
      </c>
      <c r="C775" s="2" t="s">
        <v>1245</v>
      </c>
      <c r="D775" s="2">
        <v>5400</v>
      </c>
      <c r="E775" s="2">
        <v>500</v>
      </c>
      <c r="F775" s="60">
        <v>76</v>
      </c>
      <c r="G775" s="303">
        <f t="shared" si="157"/>
        <v>38000</v>
      </c>
      <c r="H775" s="60">
        <v>90</v>
      </c>
      <c r="I775" s="312"/>
      <c r="J775" s="312"/>
      <c r="K775" s="312"/>
      <c r="L775" s="60">
        <f t="shared" si="158"/>
        <v>90</v>
      </c>
      <c r="M775" s="303">
        <f t="shared" si="156"/>
        <v>37910</v>
      </c>
      <c r="N775" s="249" t="s">
        <v>2520</v>
      </c>
      <c r="O775" s="263" t="s">
        <v>369</v>
      </c>
    </row>
    <row r="776" spans="1:17" ht="13.2" x14ac:dyDescent="0.25">
      <c r="A776" s="325" t="s">
        <v>2521</v>
      </c>
      <c r="B776" s="16" t="s">
        <v>569</v>
      </c>
      <c r="C776" s="2" t="s">
        <v>1249</v>
      </c>
      <c r="D776" s="2">
        <v>5400</v>
      </c>
      <c r="E776" s="2">
        <v>150</v>
      </c>
      <c r="F776" s="60">
        <v>17.5</v>
      </c>
      <c r="G776" s="303">
        <f t="shared" si="157"/>
        <v>2625</v>
      </c>
      <c r="H776" s="60">
        <v>27</v>
      </c>
      <c r="I776" s="312"/>
      <c r="J776" s="312"/>
      <c r="K776" s="312"/>
      <c r="L776" s="60">
        <f t="shared" si="158"/>
        <v>27</v>
      </c>
      <c r="M776" s="303">
        <f t="shared" si="156"/>
        <v>2598</v>
      </c>
      <c r="N776" s="249" t="s">
        <v>2520</v>
      </c>
      <c r="O776" s="263" t="s">
        <v>369</v>
      </c>
      <c r="Q776" s="247"/>
    </row>
    <row r="777" spans="1:17" ht="13.2" x14ac:dyDescent="0.25">
      <c r="A777" s="325" t="s">
        <v>2521</v>
      </c>
      <c r="B777" s="16" t="s">
        <v>569</v>
      </c>
      <c r="C777" s="2" t="s">
        <v>1249</v>
      </c>
      <c r="D777" s="2">
        <v>5400</v>
      </c>
      <c r="E777" s="2">
        <v>150</v>
      </c>
      <c r="F777" s="60">
        <v>17.5</v>
      </c>
      <c r="G777" s="303">
        <f t="shared" si="157"/>
        <v>2625</v>
      </c>
      <c r="H777" s="60">
        <v>27</v>
      </c>
      <c r="I777" s="315"/>
      <c r="J777" s="315"/>
      <c r="K777" s="316"/>
      <c r="L777" s="60">
        <f t="shared" si="158"/>
        <v>27</v>
      </c>
      <c r="M777" s="303">
        <f t="shared" si="156"/>
        <v>2598</v>
      </c>
      <c r="N777" s="249" t="s">
        <v>2520</v>
      </c>
      <c r="O777" s="263" t="s">
        <v>369</v>
      </c>
      <c r="Q777" s="247"/>
    </row>
    <row r="778" spans="1:17" ht="13.2" x14ac:dyDescent="0.25">
      <c r="A778" s="325" t="s">
        <v>2521</v>
      </c>
      <c r="B778" s="16" t="s">
        <v>569</v>
      </c>
      <c r="C778" s="2" t="s">
        <v>1249</v>
      </c>
      <c r="D778" s="2">
        <v>5400</v>
      </c>
      <c r="E778" s="2">
        <v>50</v>
      </c>
      <c r="F778" s="60">
        <v>17.5</v>
      </c>
      <c r="G778" s="303">
        <f t="shared" si="157"/>
        <v>875</v>
      </c>
      <c r="H778" s="60">
        <v>9</v>
      </c>
      <c r="I778" s="312"/>
      <c r="J778" s="312"/>
      <c r="K778" s="312"/>
      <c r="L778" s="60">
        <f t="shared" si="158"/>
        <v>9</v>
      </c>
      <c r="M778" s="303">
        <f t="shared" si="156"/>
        <v>866</v>
      </c>
      <c r="N778" s="249" t="s">
        <v>2520</v>
      </c>
      <c r="O778" s="263" t="s">
        <v>369</v>
      </c>
      <c r="Q778" s="247"/>
    </row>
    <row r="779" spans="1:17" ht="12.75" customHeight="1" x14ac:dyDescent="0.25">
      <c r="A779" s="16" t="s">
        <v>2521</v>
      </c>
      <c r="B779" s="2" t="s">
        <v>569</v>
      </c>
      <c r="C779" s="2" t="s">
        <v>1249</v>
      </c>
      <c r="D779" s="2">
        <v>5400</v>
      </c>
      <c r="E779" s="2">
        <v>50</v>
      </c>
      <c r="F779" s="60">
        <v>17.5</v>
      </c>
      <c r="G779" s="303">
        <f t="shared" si="157"/>
        <v>875</v>
      </c>
      <c r="H779" s="60">
        <v>9</v>
      </c>
      <c r="I779" s="312"/>
      <c r="J779" s="312"/>
      <c r="K779" s="312"/>
      <c r="L779" s="60">
        <f t="shared" si="158"/>
        <v>9</v>
      </c>
      <c r="M779" s="303">
        <f t="shared" si="156"/>
        <v>866</v>
      </c>
      <c r="N779" s="249" t="s">
        <v>2520</v>
      </c>
      <c r="O779" s="263" t="s">
        <v>369</v>
      </c>
    </row>
    <row r="780" spans="1:17" ht="12.75" customHeight="1" x14ac:dyDescent="0.25">
      <c r="A780" s="325" t="s">
        <v>2521</v>
      </c>
      <c r="B780" s="325" t="s">
        <v>569</v>
      </c>
      <c r="C780" s="16" t="s">
        <v>1249</v>
      </c>
      <c r="D780" s="2">
        <v>5400</v>
      </c>
      <c r="E780" s="2">
        <v>300</v>
      </c>
      <c r="F780" s="60">
        <v>17.5</v>
      </c>
      <c r="G780" s="303">
        <f t="shared" si="157"/>
        <v>5250</v>
      </c>
      <c r="H780" s="60">
        <v>54</v>
      </c>
      <c r="I780" s="247">
        <v>47.23</v>
      </c>
      <c r="J780" s="247">
        <v>62.5</v>
      </c>
      <c r="K780" s="247">
        <v>15</v>
      </c>
      <c r="L780" s="60">
        <f t="shared" si="158"/>
        <v>178.73</v>
      </c>
      <c r="M780" s="303">
        <f t="shared" si="156"/>
        <v>5071.2700000000004</v>
      </c>
      <c r="N780" s="249" t="s">
        <v>2520</v>
      </c>
      <c r="O780" s="263" t="s">
        <v>369</v>
      </c>
    </row>
    <row r="781" spans="1:17" ht="12.75" customHeight="1" x14ac:dyDescent="0.25">
      <c r="A781" s="325" t="s">
        <v>1637</v>
      </c>
      <c r="B781" s="16" t="s">
        <v>569</v>
      </c>
      <c r="C781" s="2" t="s">
        <v>1245</v>
      </c>
      <c r="D781" s="2">
        <v>5200</v>
      </c>
      <c r="E781" s="2">
        <v>150</v>
      </c>
      <c r="F781" s="60">
        <v>42</v>
      </c>
      <c r="G781" s="303">
        <f t="shared" si="157"/>
        <v>6300</v>
      </c>
      <c r="H781" s="60">
        <v>27</v>
      </c>
      <c r="I781" s="312"/>
      <c r="J781" s="312"/>
      <c r="K781" s="312"/>
      <c r="L781" s="60">
        <f>SUM(H781:K781)</f>
        <v>27</v>
      </c>
      <c r="M781" s="303">
        <f t="shared" si="156"/>
        <v>6273</v>
      </c>
      <c r="N781" s="263" t="s">
        <v>1638</v>
      </c>
      <c r="O781" s="263" t="s">
        <v>369</v>
      </c>
    </row>
    <row r="782" spans="1:17" ht="12.75" customHeight="1" x14ac:dyDescent="0.25">
      <c r="A782" s="325" t="s">
        <v>1637</v>
      </c>
      <c r="B782" s="325" t="s">
        <v>569</v>
      </c>
      <c r="C782" s="325" t="s">
        <v>1245</v>
      </c>
      <c r="D782" s="2">
        <v>5200</v>
      </c>
      <c r="E782" s="2">
        <v>350</v>
      </c>
      <c r="F782" s="60">
        <v>42</v>
      </c>
      <c r="G782" s="303">
        <f t="shared" si="157"/>
        <v>14700</v>
      </c>
      <c r="H782" s="60">
        <v>63</v>
      </c>
      <c r="I782" s="247">
        <v>30.3</v>
      </c>
      <c r="J782" s="247">
        <v>42.13</v>
      </c>
      <c r="K782" s="247">
        <v>8</v>
      </c>
      <c r="L782" s="60">
        <f>SUM(H782:K782)</f>
        <v>143.43</v>
      </c>
      <c r="M782" s="303">
        <f t="shared" si="156"/>
        <v>14556.57</v>
      </c>
      <c r="N782" s="263" t="s">
        <v>1638</v>
      </c>
      <c r="O782" s="263" t="s">
        <v>369</v>
      </c>
    </row>
    <row r="783" spans="1:17" ht="13.2" x14ac:dyDescent="0.25">
      <c r="A783" s="325" t="s">
        <v>527</v>
      </c>
      <c r="B783" s="16" t="s">
        <v>569</v>
      </c>
      <c r="C783" s="2" t="s">
        <v>1249</v>
      </c>
      <c r="D783" s="2">
        <v>5300</v>
      </c>
      <c r="E783" s="2">
        <v>500</v>
      </c>
      <c r="F783" s="60">
        <v>5</v>
      </c>
      <c r="G783" s="303">
        <f t="shared" si="157"/>
        <v>2500</v>
      </c>
      <c r="H783" s="60">
        <v>90</v>
      </c>
      <c r="I783" s="320">
        <v>9.4499999999999993</v>
      </c>
      <c r="J783" s="2">
        <v>1.78</v>
      </c>
      <c r="K783" s="247">
        <v>1</v>
      </c>
      <c r="L783" s="60">
        <f>SUM(H783:K783)</f>
        <v>102.23</v>
      </c>
      <c r="M783" s="303">
        <f>G783-L783</f>
        <v>2397.77</v>
      </c>
      <c r="N783" s="304" t="s">
        <v>1643</v>
      </c>
      <c r="O783" s="304" t="s">
        <v>369</v>
      </c>
      <c r="Q783" s="247"/>
    </row>
    <row r="784" spans="1:17" ht="12.75" customHeight="1" x14ac:dyDescent="0.25">
      <c r="A784" s="16"/>
      <c r="B784" s="2"/>
      <c r="C784" s="2"/>
      <c r="D784" s="2"/>
      <c r="E784" s="2"/>
      <c r="F784" s="60"/>
      <c r="G784" s="303"/>
      <c r="H784" s="60"/>
      <c r="I784" s="16"/>
      <c r="J784" s="2"/>
    </row>
    <row r="785" spans="1:18" ht="12.75" customHeight="1" x14ac:dyDescent="0.25">
      <c r="A785" s="16"/>
      <c r="B785" s="2"/>
      <c r="C785" s="2"/>
      <c r="D785" s="2"/>
      <c r="E785" s="2"/>
      <c r="F785" s="60"/>
      <c r="G785" s="303"/>
      <c r="H785" s="60"/>
      <c r="I785" s="16"/>
    </row>
    <row r="786" spans="1:18" ht="13.2" x14ac:dyDescent="0.25">
      <c r="A786" s="16"/>
      <c r="B786" s="2"/>
      <c r="C786" s="2"/>
      <c r="D786" s="2"/>
      <c r="E786" s="2"/>
      <c r="F786" s="60"/>
      <c r="G786" s="303"/>
      <c r="H786" s="60"/>
      <c r="I786" s="16"/>
      <c r="L786" s="60"/>
      <c r="M786" s="303"/>
      <c r="N786" s="304"/>
      <c r="O786" s="304"/>
      <c r="Q786" s="247"/>
    </row>
    <row r="787" spans="1:18" ht="13.2" x14ac:dyDescent="0.25">
      <c r="B787" s="16"/>
      <c r="C787" s="2"/>
      <c r="D787" s="2"/>
      <c r="E787" s="2"/>
      <c r="F787" s="60"/>
      <c r="G787" s="303"/>
      <c r="H787" s="60"/>
      <c r="L787" s="60"/>
      <c r="M787" s="303"/>
      <c r="N787" s="304"/>
      <c r="O787" s="304"/>
      <c r="Q787" s="247"/>
    </row>
    <row r="788" spans="1:18" ht="13.2" x14ac:dyDescent="0.25">
      <c r="B788" s="16"/>
      <c r="C788" s="2"/>
      <c r="D788" s="2"/>
      <c r="E788" s="2"/>
      <c r="F788" s="60"/>
      <c r="G788" s="303"/>
      <c r="H788" s="60"/>
      <c r="I788" s="299"/>
      <c r="J788" s="299"/>
      <c r="K788" s="224"/>
      <c r="L788" s="60"/>
      <c r="M788" s="303"/>
      <c r="N788" s="304"/>
      <c r="O788" s="304"/>
      <c r="Q788" s="247"/>
    </row>
    <row r="789" spans="1:18" ht="12.75" customHeight="1" x14ac:dyDescent="0.25">
      <c r="A789" s="16"/>
      <c r="B789" s="2"/>
      <c r="C789" s="2"/>
      <c r="D789" s="2"/>
      <c r="E789" s="2"/>
      <c r="F789" s="60"/>
      <c r="G789" s="303"/>
      <c r="H789" s="60"/>
      <c r="I789" s="300"/>
      <c r="L789" s="257" t="s">
        <v>2127</v>
      </c>
      <c r="M789" s="257">
        <f>SUM(M471:M788)</f>
        <v>3339484.1399999987</v>
      </c>
    </row>
    <row r="790" spans="1:18" ht="12.75" customHeight="1" x14ac:dyDescent="0.25">
      <c r="A790" s="16"/>
      <c r="B790" s="2"/>
      <c r="C790" s="2"/>
      <c r="D790" s="2"/>
      <c r="E790" s="2"/>
      <c r="F790" s="60"/>
      <c r="G790" s="303"/>
      <c r="H790" s="60"/>
      <c r="L790" s="260"/>
      <c r="M790" s="255"/>
      <c r="R790" s="247"/>
    </row>
    <row r="791" spans="1:18" ht="12.75" customHeight="1" x14ac:dyDescent="0.25">
      <c r="A791" s="16"/>
      <c r="B791" s="2"/>
      <c r="C791" s="2"/>
      <c r="D791" s="2"/>
      <c r="E791" s="2"/>
      <c r="F791" s="60"/>
      <c r="G791" s="303"/>
      <c r="H791" s="60"/>
      <c r="I791" s="300"/>
      <c r="L791" s="257" t="s">
        <v>2139</v>
      </c>
      <c r="M791" s="257">
        <f>M789-M467</f>
        <v>-55766.480000002775</v>
      </c>
      <c r="O791" s="299"/>
    </row>
    <row r="792" spans="1:18" ht="12.75" customHeight="1" x14ac:dyDescent="0.25">
      <c r="A792" s="16"/>
      <c r="B792" s="2"/>
      <c r="C792" s="2"/>
      <c r="D792" s="2"/>
      <c r="E792" s="2"/>
      <c r="F792" s="60"/>
      <c r="G792" s="303"/>
      <c r="H792" s="60"/>
      <c r="I792" s="224"/>
      <c r="M792" s="255"/>
    </row>
    <row r="793" spans="1:18" ht="12.75" customHeight="1" x14ac:dyDescent="0.25">
      <c r="A793" s="16"/>
      <c r="B793" s="2"/>
      <c r="C793" s="2"/>
      <c r="D793" s="2"/>
      <c r="E793" s="2"/>
      <c r="F793" s="60"/>
      <c r="G793" s="303"/>
      <c r="H793" s="60"/>
      <c r="I793" s="300"/>
      <c r="J793" s="301"/>
      <c r="L793" s="257"/>
      <c r="M793" s="255"/>
      <c r="O793" s="299"/>
    </row>
    <row r="794" spans="1:18" ht="12.75" customHeight="1" x14ac:dyDescent="0.25">
      <c r="A794" s="16"/>
      <c r="B794" s="16"/>
      <c r="C794" s="2"/>
      <c r="D794" s="2"/>
      <c r="E794" s="2"/>
      <c r="F794" s="60"/>
      <c r="G794" s="303"/>
      <c r="H794" s="60"/>
      <c r="I794" s="300"/>
      <c r="J794" s="233"/>
    </row>
    <row r="795" spans="1:18" ht="12.75" customHeight="1" x14ac:dyDescent="0.25">
      <c r="A795" s="16"/>
      <c r="B795" s="2"/>
      <c r="C795" s="2"/>
      <c r="D795" s="2"/>
      <c r="E795" s="2"/>
      <c r="F795" s="60"/>
      <c r="G795" s="303"/>
      <c r="H795" s="60"/>
      <c r="I795" s="224"/>
      <c r="J795" s="233"/>
      <c r="K795" s="278"/>
      <c r="L795" s="283" t="s">
        <v>538</v>
      </c>
      <c r="M795" s="282" t="s">
        <v>537</v>
      </c>
    </row>
    <row r="796" spans="1:18" ht="12.75" customHeight="1" x14ac:dyDescent="0.25">
      <c r="A796" s="16"/>
      <c r="B796" s="16"/>
      <c r="C796" s="2"/>
      <c r="D796" s="2"/>
      <c r="E796" s="2"/>
      <c r="F796" s="60"/>
      <c r="G796" s="303"/>
      <c r="H796" s="60"/>
      <c r="I796" s="224"/>
      <c r="J796" s="233"/>
      <c r="K796" s="279" t="s">
        <v>1046</v>
      </c>
      <c r="L796" s="285">
        <f>M791</f>
        <v>-55766.480000002775</v>
      </c>
      <c r="M796" s="284">
        <f>L33</f>
        <v>-3934.1399999999849</v>
      </c>
    </row>
    <row r="797" spans="1:18" ht="12.75" customHeight="1" x14ac:dyDescent="0.25">
      <c r="A797" s="16"/>
      <c r="B797" s="2"/>
      <c r="C797" s="2"/>
      <c r="D797" s="2"/>
      <c r="E797" s="2"/>
      <c r="F797" s="60"/>
      <c r="G797" s="303"/>
      <c r="H797" s="60"/>
      <c r="I797" s="224"/>
      <c r="J797" s="233"/>
      <c r="K797" s="280" t="s">
        <v>1140</v>
      </c>
      <c r="L797" s="287">
        <f>E885*-1+E961*-1</f>
        <v>-3234.13</v>
      </c>
      <c r="M797" s="286">
        <f>E863*-1</f>
        <v>-628.73</v>
      </c>
    </row>
    <row r="798" spans="1:18" ht="12.75" customHeight="1" x14ac:dyDescent="0.25">
      <c r="A798" s="385"/>
      <c r="B798" s="385"/>
      <c r="C798" s="293"/>
      <c r="D798" s="293"/>
      <c r="E798" s="293"/>
      <c r="F798" s="294"/>
      <c r="G798" s="386"/>
      <c r="H798" s="60"/>
      <c r="I798" s="224"/>
      <c r="J798" s="1"/>
      <c r="K798" s="281" t="s">
        <v>1262</v>
      </c>
      <c r="L798" s="288">
        <f>SUM(L796:L797)</f>
        <v>-59000.610000002773</v>
      </c>
      <c r="M798" s="288">
        <f>SUM(M796:M797)</f>
        <v>-4562.8699999999844</v>
      </c>
    </row>
    <row r="799" spans="1:18" ht="12.75" customHeight="1" x14ac:dyDescent="0.25">
      <c r="A799" s="385"/>
      <c r="B799" s="293"/>
      <c r="C799" s="293"/>
      <c r="D799" s="293"/>
      <c r="E799" s="293"/>
      <c r="F799" s="294"/>
      <c r="G799" s="386"/>
      <c r="H799" s="60"/>
      <c r="I799" s="224"/>
      <c r="J799" s="1"/>
      <c r="L799" s="260"/>
      <c r="M799" s="255"/>
    </row>
    <row r="800" spans="1:18" ht="12.75" customHeight="1" thickBot="1" x14ac:dyDescent="0.3">
      <c r="A800" s="387"/>
      <c r="B800" s="225"/>
      <c r="C800" s="225"/>
      <c r="D800" s="225"/>
      <c r="E800" s="326"/>
      <c r="F800" s="326"/>
      <c r="G800" s="326"/>
      <c r="H800" s="1"/>
      <c r="I800" s="224"/>
      <c r="J800" s="1"/>
      <c r="L800" s="257"/>
      <c r="M800" s="257"/>
    </row>
    <row r="801" spans="1:17" ht="20.100000000000001" customHeight="1" thickBot="1" x14ac:dyDescent="0.3">
      <c r="A801" s="385"/>
      <c r="B801" s="225"/>
      <c r="C801" s="225"/>
      <c r="D801" s="293"/>
      <c r="E801" s="293"/>
      <c r="F801" s="293"/>
      <c r="G801" s="294"/>
      <c r="H801" s="1"/>
      <c r="I801" s="224"/>
      <c r="J801" s="1"/>
      <c r="K801" s="260"/>
      <c r="L801" s="255" t="s">
        <v>74</v>
      </c>
      <c r="M801" s="429">
        <f>M798+L798</f>
        <v>-63563.480000002761</v>
      </c>
      <c r="N801" s="263"/>
      <c r="O801" s="255"/>
    </row>
    <row r="802" spans="1:17" ht="12.75" customHeight="1" x14ac:dyDescent="0.25">
      <c r="H802" s="1"/>
      <c r="I802" s="224"/>
      <c r="J802" s="1"/>
      <c r="K802" s="260"/>
      <c r="L802" s="255"/>
      <c r="M802" s="255"/>
      <c r="N802" s="263"/>
      <c r="O802" s="263"/>
    </row>
    <row r="803" spans="1:17" ht="12.75" customHeight="1" x14ac:dyDescent="0.25">
      <c r="H803" s="1"/>
      <c r="I803" s="224"/>
      <c r="J803" s="1"/>
      <c r="K803" s="260"/>
      <c r="L803" s="255" t="s">
        <v>2141</v>
      </c>
      <c r="M803" s="383">
        <f>E851</f>
        <v>64525.99</v>
      </c>
      <c r="N803" s="263"/>
      <c r="O803" s="255"/>
    </row>
    <row r="804" spans="1:17" ht="12.75" customHeight="1" x14ac:dyDescent="0.25">
      <c r="A804" s="355"/>
      <c r="C804" s="250"/>
      <c r="D804" s="233"/>
      <c r="E804" s="233"/>
      <c r="F804" s="233"/>
      <c r="G804" s="233"/>
      <c r="H804" s="235"/>
      <c r="I804" s="224"/>
      <c r="K804" s="260"/>
      <c r="L804" s="255"/>
      <c r="M804" s="255"/>
      <c r="N804" s="263"/>
      <c r="O804" s="263"/>
    </row>
    <row r="805" spans="1:17" ht="12.75" customHeight="1" thickBot="1" x14ac:dyDescent="0.3">
      <c r="A805" s="354"/>
      <c r="C805" s="250"/>
      <c r="D805" s="250"/>
      <c r="E805" s="300"/>
      <c r="F805" s="300"/>
      <c r="G805" s="250"/>
      <c r="I805" s="224"/>
      <c r="K805" s="260"/>
      <c r="L805" s="290"/>
      <c r="M805" s="290" t="s">
        <v>539</v>
      </c>
      <c r="N805" s="263"/>
      <c r="O805" s="263"/>
    </row>
    <row r="806" spans="1:17" ht="12.75" customHeight="1" thickBot="1" x14ac:dyDescent="0.3">
      <c r="A806" s="354"/>
      <c r="C806" s="250"/>
      <c r="D806" s="250"/>
      <c r="E806" s="300"/>
      <c r="F806" s="300"/>
      <c r="G806" s="250"/>
      <c r="K806" s="260"/>
      <c r="L806" s="255" t="s">
        <v>1568</v>
      </c>
      <c r="M806" s="384">
        <f>SUM(M801:M805)</f>
        <v>962.50999999723717</v>
      </c>
      <c r="N806" s="263"/>
      <c r="O806" s="263" t="s">
        <v>947</v>
      </c>
    </row>
    <row r="807" spans="1:17" ht="12.75" customHeight="1" thickBot="1" x14ac:dyDescent="0.3">
      <c r="G807" s="224"/>
      <c r="L807" s="257"/>
      <c r="M807" s="257"/>
      <c r="P807" s="259"/>
    </row>
    <row r="808" spans="1:17" ht="12.75" customHeight="1" thickBot="1" x14ac:dyDescent="0.3">
      <c r="A808" s="351" t="s">
        <v>2143</v>
      </c>
      <c r="B808" s="251"/>
      <c r="C808" s="251"/>
      <c r="D808" s="251"/>
      <c r="E808" s="252"/>
      <c r="F808" s="223"/>
      <c r="G808" s="224"/>
      <c r="M808" s="247"/>
    </row>
    <row r="809" spans="1:17" ht="12.75" customHeight="1" x14ac:dyDescent="0.25">
      <c r="A809" s="356" t="s">
        <v>184</v>
      </c>
      <c r="B809" s="270" t="s">
        <v>2082</v>
      </c>
      <c r="C809" s="270" t="s">
        <v>2084</v>
      </c>
      <c r="D809" s="271" t="s">
        <v>667</v>
      </c>
      <c r="E809" s="271" t="s">
        <v>668</v>
      </c>
      <c r="F809" s="267"/>
      <c r="G809" s="224"/>
      <c r="L809" s="255" t="s">
        <v>458</v>
      </c>
      <c r="M809" s="298" t="s">
        <v>949</v>
      </c>
      <c r="N809" s="263"/>
      <c r="O809" s="337"/>
      <c r="Q809" s="247"/>
    </row>
    <row r="810" spans="1:17" ht="12.75" customHeight="1" x14ac:dyDescent="0.25">
      <c r="A810" s="325" t="s">
        <v>574</v>
      </c>
      <c r="B810" s="264" t="s">
        <v>1259</v>
      </c>
      <c r="C810" s="291">
        <v>7447</v>
      </c>
      <c r="D810" s="292"/>
      <c r="E810" s="292">
        <v>11000</v>
      </c>
      <c r="F810" s="267"/>
      <c r="G810" s="338"/>
      <c r="H810" s="260"/>
    </row>
    <row r="811" spans="1:17" ht="12.75" customHeight="1" x14ac:dyDescent="0.25">
      <c r="A811" s="249" t="s">
        <v>1220</v>
      </c>
      <c r="B811" s="264" t="s">
        <v>1260</v>
      </c>
      <c r="C811" s="272" t="s">
        <v>1231</v>
      </c>
      <c r="D811" s="292"/>
      <c r="E811" s="292">
        <v>39000</v>
      </c>
      <c r="F811" s="267"/>
      <c r="G811" s="224"/>
      <c r="H811" s="260"/>
      <c r="L811" s="257"/>
      <c r="M811" s="289"/>
    </row>
    <row r="812" spans="1:17" ht="12.75" customHeight="1" x14ac:dyDescent="0.25">
      <c r="A812" s="249" t="s">
        <v>1226</v>
      </c>
      <c r="B812" s="264" t="s">
        <v>1261</v>
      </c>
      <c r="C812" s="291">
        <v>8412</v>
      </c>
      <c r="D812" s="292"/>
      <c r="E812" s="292">
        <v>75000</v>
      </c>
      <c r="F812" s="267"/>
      <c r="G812" s="224"/>
      <c r="H812" s="260"/>
      <c r="K812" s="374"/>
      <c r="L812" s="375" t="s">
        <v>712</v>
      </c>
      <c r="M812" s="360">
        <v>-5474.91</v>
      </c>
      <c r="P812" s="247"/>
      <c r="Q812" s="247"/>
    </row>
    <row r="813" spans="1:17" ht="12.75" customHeight="1" x14ac:dyDescent="0.25">
      <c r="A813" s="249" t="s">
        <v>2392</v>
      </c>
      <c r="B813" s="264" t="s">
        <v>2394</v>
      </c>
      <c r="C813" s="293">
        <v>5036</v>
      </c>
      <c r="D813" s="294"/>
      <c r="E813" s="292">
        <v>5000</v>
      </c>
      <c r="F813" s="224"/>
      <c r="G813" s="224"/>
      <c r="H813" s="260"/>
      <c r="K813" s="361"/>
      <c r="L813" s="362" t="s">
        <v>1503</v>
      </c>
      <c r="M813" s="366">
        <f>M803-M812</f>
        <v>70000.899999999994</v>
      </c>
      <c r="N813" s="368" t="s">
        <v>73</v>
      </c>
      <c r="O813" s="366">
        <f>M803</f>
        <v>64525.99</v>
      </c>
      <c r="Q813" s="247"/>
    </row>
    <row r="814" spans="1:17" ht="12.75" customHeight="1" x14ac:dyDescent="0.25">
      <c r="A814" s="249" t="s">
        <v>2395</v>
      </c>
      <c r="B814" s="1" t="s">
        <v>2423</v>
      </c>
      <c r="C814" s="293">
        <v>8250</v>
      </c>
      <c r="D814" s="293"/>
      <c r="E814" s="292">
        <v>5000</v>
      </c>
      <c r="F814" s="1"/>
      <c r="G814" s="224"/>
      <c r="H814" s="260"/>
      <c r="K814" s="363"/>
      <c r="L814" s="364" t="s">
        <v>1504</v>
      </c>
      <c r="M814" s="367">
        <v>0</v>
      </c>
      <c r="N814" s="369" t="s">
        <v>1504</v>
      </c>
      <c r="O814" s="371">
        <f>M814</f>
        <v>0</v>
      </c>
    </row>
    <row r="815" spans="1:17" ht="13.2" x14ac:dyDescent="0.25">
      <c r="A815" s="249" t="s">
        <v>2424</v>
      </c>
      <c r="B815" s="1" t="s">
        <v>2425</v>
      </c>
      <c r="C815" s="293">
        <v>9023</v>
      </c>
      <c r="D815" s="293"/>
      <c r="E815" s="292">
        <v>45000</v>
      </c>
      <c r="F815" s="1"/>
      <c r="G815" s="224"/>
      <c r="H815" s="260"/>
      <c r="K815" s="363"/>
      <c r="L815" s="365"/>
      <c r="M815" s="373"/>
      <c r="N815" s="370"/>
      <c r="O815" s="372"/>
    </row>
    <row r="816" spans="1:17" ht="13.2" x14ac:dyDescent="0.25">
      <c r="A816" s="249" t="s">
        <v>2432</v>
      </c>
      <c r="B816" s="62" t="s">
        <v>2427</v>
      </c>
      <c r="C816" s="272" t="s">
        <v>1231</v>
      </c>
      <c r="D816" s="62"/>
      <c r="E816" s="292">
        <v>5000</v>
      </c>
      <c r="F816" s="1"/>
      <c r="G816" s="224"/>
      <c r="H816" s="260"/>
      <c r="K816" s="379"/>
      <c r="L816" s="380" t="s">
        <v>948</v>
      </c>
      <c r="M816" s="381">
        <f>M814+M806-M813</f>
        <v>-69038.39000000275</v>
      </c>
      <c r="N816" s="382" t="s">
        <v>383</v>
      </c>
      <c r="O816" s="381">
        <f>O814+M806-O813</f>
        <v>-63563.480000002761</v>
      </c>
      <c r="Q816" s="247"/>
    </row>
    <row r="817" spans="1:17" ht="13.2" x14ac:dyDescent="0.25">
      <c r="A817" s="249" t="s">
        <v>2298</v>
      </c>
      <c r="B817" s="250" t="s">
        <v>2297</v>
      </c>
      <c r="C817" s="293">
        <v>3676</v>
      </c>
      <c r="D817" s="250"/>
      <c r="E817" s="292">
        <v>5000</v>
      </c>
      <c r="G817" s="224"/>
      <c r="H817" s="260"/>
      <c r="Q817" s="247"/>
    </row>
    <row r="818" spans="1:17" ht="13.2" x14ac:dyDescent="0.25">
      <c r="A818" s="249" t="s">
        <v>1722</v>
      </c>
      <c r="B818" s="250" t="s">
        <v>1715</v>
      </c>
      <c r="C818" s="293">
        <v>8402</v>
      </c>
      <c r="D818" s="250"/>
      <c r="E818" s="292">
        <v>1000</v>
      </c>
      <c r="G818" s="224"/>
      <c r="H818" s="260"/>
    </row>
    <row r="819" spans="1:17" ht="12.75" customHeight="1" x14ac:dyDescent="0.25">
      <c r="A819" s="249" t="s">
        <v>28</v>
      </c>
      <c r="B819" s="250" t="s">
        <v>29</v>
      </c>
      <c r="C819" s="250" t="s">
        <v>1231</v>
      </c>
      <c r="D819" s="224"/>
      <c r="E819" s="292">
        <v>5000</v>
      </c>
      <c r="G819" s="224"/>
    </row>
    <row r="820" spans="1:17" ht="12.75" customHeight="1" x14ac:dyDescent="0.25">
      <c r="A820" s="249" t="s">
        <v>35</v>
      </c>
      <c r="B820" s="250" t="s">
        <v>31</v>
      </c>
      <c r="C820" s="293">
        <v>3317</v>
      </c>
      <c r="D820" s="250"/>
      <c r="E820" s="292">
        <v>5000</v>
      </c>
      <c r="G820" s="224"/>
      <c r="K820" s="374"/>
      <c r="L820" s="375" t="s">
        <v>1505</v>
      </c>
      <c r="M820" s="377">
        <v>99921.29</v>
      </c>
      <c r="N820" s="376" t="s">
        <v>2169</v>
      </c>
      <c r="O820" s="378">
        <f>M820-M816</f>
        <v>168959.68000000273</v>
      </c>
      <c r="P820" s="259"/>
    </row>
    <row r="821" spans="1:17" ht="12.75" customHeight="1" x14ac:dyDescent="0.25">
      <c r="A821" s="249" t="s">
        <v>692</v>
      </c>
      <c r="B821" s="250" t="s">
        <v>694</v>
      </c>
      <c r="C821" s="293" t="s">
        <v>1231</v>
      </c>
      <c r="D821" s="250"/>
      <c r="E821" s="292">
        <v>5000</v>
      </c>
      <c r="F821" s="300"/>
      <c r="G821" s="224"/>
    </row>
    <row r="822" spans="1:17" ht="12.75" customHeight="1" x14ac:dyDescent="0.25">
      <c r="A822" s="249" t="s">
        <v>697</v>
      </c>
      <c r="B822" s="250" t="s">
        <v>698</v>
      </c>
      <c r="C822" s="293">
        <v>12001</v>
      </c>
      <c r="D822" s="250"/>
      <c r="E822" s="292">
        <v>5000</v>
      </c>
      <c r="F822" s="300"/>
      <c r="G822" s="224"/>
    </row>
    <row r="823" spans="1:17" ht="13.2" x14ac:dyDescent="0.25">
      <c r="A823" s="249" t="s">
        <v>2469</v>
      </c>
      <c r="B823" s="250" t="s">
        <v>2471</v>
      </c>
      <c r="C823" s="293">
        <v>6826</v>
      </c>
      <c r="D823" s="250"/>
      <c r="E823" s="292">
        <v>10000</v>
      </c>
      <c r="F823" s="1"/>
      <c r="G823" s="224"/>
      <c r="H823" s="260"/>
    </row>
    <row r="824" spans="1:17" ht="12.75" customHeight="1" x14ac:dyDescent="0.25">
      <c r="A824" s="299" t="s">
        <v>2474</v>
      </c>
      <c r="B824" s="250" t="s">
        <v>2476</v>
      </c>
      <c r="C824" s="224"/>
      <c r="D824" s="224"/>
      <c r="E824" s="292">
        <v>5000</v>
      </c>
      <c r="F824" s="224"/>
      <c r="G824" s="300"/>
    </row>
    <row r="825" spans="1:17" ht="12.75" customHeight="1" x14ac:dyDescent="0.25">
      <c r="A825" s="299" t="s">
        <v>2278</v>
      </c>
      <c r="B825" s="250" t="s">
        <v>2277</v>
      </c>
      <c r="C825" s="293">
        <v>847</v>
      </c>
      <c r="D825" s="250"/>
      <c r="E825" s="292">
        <v>15000</v>
      </c>
      <c r="F825" s="224"/>
      <c r="G825" s="300"/>
    </row>
    <row r="826" spans="1:17" ht="12.75" customHeight="1" x14ac:dyDescent="0.25">
      <c r="A826" s="299" t="s">
        <v>1627</v>
      </c>
      <c r="B826" s="250" t="s">
        <v>1628</v>
      </c>
      <c r="D826" s="224"/>
      <c r="E826" s="292">
        <v>10000</v>
      </c>
      <c r="F826" s="224"/>
      <c r="G826" s="300"/>
    </row>
    <row r="827" spans="1:17" ht="12.75" customHeight="1" x14ac:dyDescent="0.25">
      <c r="A827" s="299" t="s">
        <v>704</v>
      </c>
      <c r="B827" s="250" t="s">
        <v>705</v>
      </c>
      <c r="C827" s="249">
        <v>5529</v>
      </c>
      <c r="D827" s="235"/>
      <c r="E827" s="292">
        <v>10000</v>
      </c>
      <c r="G827" s="300"/>
    </row>
    <row r="828" spans="1:17" ht="12.75" customHeight="1" x14ac:dyDescent="0.25">
      <c r="A828" s="299" t="s">
        <v>1324</v>
      </c>
      <c r="B828" s="250" t="s">
        <v>1325</v>
      </c>
      <c r="C828" s="224"/>
      <c r="E828" s="292">
        <v>25000</v>
      </c>
      <c r="F828" s="224"/>
      <c r="G828" s="300"/>
    </row>
    <row r="829" spans="1:17" ht="12.75" customHeight="1" x14ac:dyDescent="0.25">
      <c r="A829" s="299" t="s">
        <v>378</v>
      </c>
      <c r="B829" s="224" t="s">
        <v>70</v>
      </c>
      <c r="C829" s="224"/>
      <c r="D829" s="224"/>
      <c r="E829" s="292">
        <v>10000</v>
      </c>
      <c r="F829" s="224"/>
      <c r="G829" s="300"/>
    </row>
    <row r="830" spans="1:17" ht="12.75" customHeight="1" x14ac:dyDescent="0.25">
      <c r="A830" s="387" t="s">
        <v>578</v>
      </c>
      <c r="B830" s="225" t="s">
        <v>581</v>
      </c>
      <c r="C830" s="224"/>
      <c r="D830" s="225"/>
      <c r="E830" s="326">
        <v>20000</v>
      </c>
      <c r="F830" s="326"/>
      <c r="G830" s="300"/>
    </row>
    <row r="831" spans="1:17" ht="12.75" customHeight="1" x14ac:dyDescent="0.25">
      <c r="A831" s="300" t="s">
        <v>2516</v>
      </c>
      <c r="B831" s="250" t="s">
        <v>2517</v>
      </c>
      <c r="D831" s="2"/>
      <c r="E831" s="326">
        <v>10000</v>
      </c>
      <c r="G831" s="300"/>
    </row>
    <row r="832" spans="1:17" ht="12.75" customHeight="1" x14ac:dyDescent="0.25">
      <c r="A832" s="263"/>
      <c r="B832" s="253"/>
      <c r="C832" s="253"/>
      <c r="D832" s="255"/>
      <c r="E832" s="255"/>
      <c r="F832" s="267"/>
      <c r="G832" s="224"/>
      <c r="H832" s="260"/>
    </row>
    <row r="833" spans="1:9" ht="12.75" customHeight="1" x14ac:dyDescent="0.25">
      <c r="A833" s="325" t="s">
        <v>575</v>
      </c>
      <c r="B833" s="268" t="s">
        <v>2170</v>
      </c>
      <c r="C833" s="263">
        <v>60511</v>
      </c>
      <c r="D833" s="255">
        <v>25000</v>
      </c>
      <c r="E833" s="255"/>
      <c r="F833" s="269"/>
      <c r="G833" s="269"/>
      <c r="H833" s="260"/>
    </row>
    <row r="834" spans="1:9" ht="12.75" customHeight="1" x14ac:dyDescent="0.25">
      <c r="A834" s="325" t="s">
        <v>576</v>
      </c>
      <c r="B834" s="268" t="s">
        <v>2170</v>
      </c>
      <c r="C834" s="263">
        <v>40511</v>
      </c>
      <c r="D834" s="255">
        <v>25000</v>
      </c>
      <c r="E834" s="255"/>
      <c r="F834" s="269"/>
      <c r="G834" s="269"/>
      <c r="H834" s="260"/>
    </row>
    <row r="835" spans="1:9" ht="12.75" customHeight="1" x14ac:dyDescent="0.25">
      <c r="A835" s="325" t="s">
        <v>1218</v>
      </c>
      <c r="B835" s="264" t="s">
        <v>2170</v>
      </c>
      <c r="C835" s="272">
        <v>130511</v>
      </c>
      <c r="D835" s="255">
        <v>20000</v>
      </c>
      <c r="E835" s="255"/>
      <c r="F835" s="267"/>
      <c r="G835" s="224"/>
      <c r="H835" s="260"/>
    </row>
    <row r="836" spans="1:9" ht="12.75" customHeight="1" x14ac:dyDescent="0.25">
      <c r="A836" s="16" t="s">
        <v>2391</v>
      </c>
      <c r="B836" s="233" t="s">
        <v>2170</v>
      </c>
      <c r="C836" s="2">
        <v>230611</v>
      </c>
      <c r="D836" s="60">
        <v>45000</v>
      </c>
      <c r="E836" s="60"/>
      <c r="F836" s="1"/>
      <c r="G836" s="224"/>
      <c r="H836" s="260"/>
    </row>
    <row r="837" spans="1:9" ht="12.75" customHeight="1" x14ac:dyDescent="0.25">
      <c r="A837" s="16" t="s">
        <v>2299</v>
      </c>
      <c r="B837" s="233" t="s">
        <v>2170</v>
      </c>
      <c r="C837" s="61">
        <v>20711</v>
      </c>
      <c r="D837" s="255">
        <v>40000</v>
      </c>
      <c r="E837" s="62"/>
      <c r="G837" s="224"/>
      <c r="H837" s="260"/>
    </row>
    <row r="838" spans="1:9" ht="12.75" customHeight="1" x14ac:dyDescent="0.25">
      <c r="A838" s="16" t="s">
        <v>1721</v>
      </c>
      <c r="B838" s="233" t="s">
        <v>2170</v>
      </c>
      <c r="C838" s="61">
        <v>130711</v>
      </c>
      <c r="D838" s="255">
        <v>1000</v>
      </c>
      <c r="E838" s="62"/>
      <c r="G838" s="224"/>
      <c r="H838" s="260"/>
    </row>
    <row r="839" spans="1:9" ht="12.75" customHeight="1" x14ac:dyDescent="0.25">
      <c r="A839" s="16" t="s">
        <v>2083</v>
      </c>
      <c r="B839" s="233" t="s">
        <v>2170</v>
      </c>
      <c r="C839" s="61">
        <v>160711</v>
      </c>
      <c r="D839" s="255">
        <v>8000</v>
      </c>
      <c r="E839" s="224"/>
      <c r="G839" s="91"/>
      <c r="H839" s="260"/>
    </row>
    <row r="840" spans="1:9" ht="12.75" customHeight="1" x14ac:dyDescent="0.25">
      <c r="A840" s="295" t="s">
        <v>30</v>
      </c>
      <c r="B840" s="233" t="s">
        <v>2170</v>
      </c>
      <c r="C840" s="61">
        <v>290711</v>
      </c>
      <c r="D840" s="255">
        <v>5000</v>
      </c>
      <c r="E840" s="224"/>
    </row>
    <row r="841" spans="1:9" ht="12.75" customHeight="1" x14ac:dyDescent="0.25">
      <c r="A841" s="295" t="s">
        <v>36</v>
      </c>
      <c r="B841" s="233" t="s">
        <v>2155</v>
      </c>
      <c r="C841" s="61">
        <v>110811</v>
      </c>
      <c r="D841" s="255">
        <v>25000</v>
      </c>
      <c r="E841" s="224"/>
    </row>
    <row r="842" spans="1:9" ht="12.75" customHeight="1" x14ac:dyDescent="0.25">
      <c r="A842" s="16" t="s">
        <v>1576</v>
      </c>
      <c r="B842" s="250" t="s">
        <v>2170</v>
      </c>
      <c r="C842" s="2">
        <v>141011</v>
      </c>
      <c r="D842" s="309">
        <v>15000</v>
      </c>
    </row>
    <row r="843" spans="1:9" ht="12.75" customHeight="1" x14ac:dyDescent="0.25">
      <c r="A843" s="16" t="s">
        <v>1478</v>
      </c>
      <c r="B843" s="250" t="s">
        <v>2170</v>
      </c>
      <c r="C843" s="2">
        <v>271211</v>
      </c>
      <c r="D843" s="309">
        <v>37700</v>
      </c>
      <c r="E843" s="224"/>
    </row>
    <row r="844" spans="1:9" ht="12.75" customHeight="1" x14ac:dyDescent="0.25">
      <c r="A844" s="295" t="s">
        <v>597</v>
      </c>
      <c r="B844" s="339" t="s">
        <v>2170</v>
      </c>
      <c r="C844" s="255">
        <v>170112</v>
      </c>
      <c r="D844" s="309">
        <v>15000</v>
      </c>
    </row>
    <row r="845" spans="1:9" ht="12.75" customHeight="1" x14ac:dyDescent="0.25">
      <c r="B845" s="339"/>
      <c r="C845" s="255"/>
      <c r="D845" s="309"/>
    </row>
    <row r="846" spans="1:9" ht="12.75" customHeight="1" x14ac:dyDescent="0.25">
      <c r="A846" s="325"/>
      <c r="B846" s="265"/>
      <c r="C846" s="266"/>
      <c r="D846" s="255"/>
      <c r="E846" s="255"/>
      <c r="F846" s="267"/>
      <c r="G846" s="255"/>
      <c r="H846" s="260"/>
      <c r="I846" s="260"/>
    </row>
    <row r="847" spans="1:9" ht="13.2" x14ac:dyDescent="0.25">
      <c r="A847" s="325"/>
      <c r="B847" s="264"/>
      <c r="C847" s="265"/>
      <c r="D847" s="255">
        <f>SUM(D833:D846)</f>
        <v>261700</v>
      </c>
      <c r="E847" s="255">
        <f>SUM(E810:E846)</f>
        <v>326000</v>
      </c>
      <c r="F847" s="267"/>
      <c r="G847" s="243"/>
    </row>
    <row r="848" spans="1:9" ht="13.2" x14ac:dyDescent="0.25">
      <c r="A848" s="325"/>
      <c r="B848" s="264"/>
      <c r="C848" s="265"/>
      <c r="D848" s="266"/>
      <c r="E848" s="267"/>
      <c r="F848" s="267"/>
      <c r="G848" s="243"/>
    </row>
    <row r="849" spans="1:15" ht="13.2" x14ac:dyDescent="0.25">
      <c r="A849" s="325"/>
      <c r="B849" s="264"/>
      <c r="C849" s="265"/>
      <c r="D849" s="272" t="s">
        <v>1054</v>
      </c>
      <c r="E849" s="255">
        <v>225.09</v>
      </c>
      <c r="F849" s="267"/>
      <c r="G849" s="243"/>
    </row>
    <row r="850" spans="1:15" ht="13.8" thickBot="1" x14ac:dyDescent="0.3">
      <c r="A850" s="325"/>
      <c r="B850" s="264"/>
      <c r="C850" s="265"/>
      <c r="D850" s="255" t="s">
        <v>1263</v>
      </c>
      <c r="E850" s="255">
        <v>0.9</v>
      </c>
      <c r="F850" s="267"/>
      <c r="G850" s="243"/>
    </row>
    <row r="851" spans="1:15" ht="12.75" customHeight="1" thickBot="1" x14ac:dyDescent="0.3">
      <c r="A851" s="325"/>
      <c r="B851" s="268"/>
      <c r="C851" s="253"/>
      <c r="D851" s="263" t="s">
        <v>2141</v>
      </c>
      <c r="E851" s="276">
        <f>E847-D847+E849+E850</f>
        <v>64525.99</v>
      </c>
      <c r="F851" s="267"/>
      <c r="G851" s="246"/>
    </row>
    <row r="852" spans="1:15" ht="12.75" customHeight="1" x14ac:dyDescent="0.25">
      <c r="B852" s="241"/>
      <c r="C852" s="229"/>
      <c r="D852" s="229"/>
      <c r="E852" s="230"/>
      <c r="F852" s="230"/>
      <c r="G852" s="230"/>
    </row>
    <row r="853" spans="1:15" ht="12.75" customHeight="1" thickBot="1" x14ac:dyDescent="0.3">
      <c r="B853" s="241"/>
      <c r="C853" s="229"/>
      <c r="D853" s="229"/>
      <c r="E853" s="230"/>
      <c r="F853" s="246"/>
      <c r="G853" s="230"/>
    </row>
    <row r="854" spans="1:15" ht="12.75" customHeight="1" thickBot="1" x14ac:dyDescent="0.3">
      <c r="A854" s="357" t="s">
        <v>1234</v>
      </c>
      <c r="B854" s="273"/>
      <c r="C854" s="274"/>
      <c r="D854" s="274"/>
      <c r="E854" s="275"/>
    </row>
    <row r="855" spans="1:15" ht="12.75" customHeight="1" x14ac:dyDescent="0.25">
      <c r="A855" s="358" t="s">
        <v>184</v>
      </c>
      <c r="B855" s="270" t="s">
        <v>2082</v>
      </c>
      <c r="C855" s="270" t="s">
        <v>2084</v>
      </c>
      <c r="D855" s="271"/>
      <c r="E855" s="271" t="s">
        <v>668</v>
      </c>
    </row>
    <row r="856" spans="1:15" s="1" customFormat="1" ht="13.2" x14ac:dyDescent="0.25">
      <c r="A856" s="388">
        <v>40761</v>
      </c>
      <c r="B856" s="1" t="s">
        <v>1236</v>
      </c>
      <c r="C856" s="233" t="s">
        <v>1237</v>
      </c>
      <c r="E856" s="59">
        <v>33.090000000000003</v>
      </c>
      <c r="F856" s="59"/>
      <c r="G856" s="388"/>
      <c r="H856" s="59"/>
      <c r="I856" s="59"/>
      <c r="J856" s="59"/>
      <c r="K856" s="59"/>
      <c r="N856" s="2"/>
      <c r="O856" s="2"/>
    </row>
    <row r="857" spans="1:15" s="1" customFormat="1" ht="13.2" x14ac:dyDescent="0.25">
      <c r="A857" s="389">
        <v>40851</v>
      </c>
      <c r="B857" s="1" t="s">
        <v>1234</v>
      </c>
      <c r="C857" s="1" t="s">
        <v>1238</v>
      </c>
      <c r="E857" s="1">
        <v>109.2</v>
      </c>
      <c r="G857" s="389"/>
      <c r="H857" s="59"/>
      <c r="I857" s="59"/>
      <c r="J857" s="59"/>
      <c r="K857" s="59"/>
      <c r="N857" s="2"/>
      <c r="O857" s="2"/>
    </row>
    <row r="858" spans="1:15" ht="12.75" customHeight="1" x14ac:dyDescent="0.25">
      <c r="A858" s="389">
        <v>40852</v>
      </c>
      <c r="B858" s="1" t="s">
        <v>1234</v>
      </c>
      <c r="C858" s="1" t="s">
        <v>1235</v>
      </c>
      <c r="D858" s="1"/>
      <c r="E858" s="1">
        <v>109.2</v>
      </c>
      <c r="F858" s="1"/>
      <c r="G858" s="389"/>
      <c r="H858" s="59"/>
    </row>
    <row r="859" spans="1:15" s="1" customFormat="1" ht="13.2" x14ac:dyDescent="0.25">
      <c r="A859" s="389">
        <v>40853</v>
      </c>
      <c r="B859" s="1" t="s">
        <v>1234</v>
      </c>
      <c r="C859" s="1" t="s">
        <v>1239</v>
      </c>
      <c r="E859" s="1">
        <v>109.2</v>
      </c>
      <c r="G859" s="389"/>
      <c r="H859" s="59"/>
      <c r="I859" s="59"/>
      <c r="J859" s="59"/>
      <c r="K859" s="59"/>
      <c r="N859" s="2"/>
      <c r="O859" s="2"/>
    </row>
    <row r="860" spans="1:15" s="1" customFormat="1" ht="13.2" x14ac:dyDescent="0.25">
      <c r="A860" s="390">
        <v>40701</v>
      </c>
      <c r="B860" s="250" t="s">
        <v>2295</v>
      </c>
      <c r="C860" s="250" t="s">
        <v>1237</v>
      </c>
      <c r="D860" s="250" t="s">
        <v>1237</v>
      </c>
      <c r="E860" s="299">
        <v>49.64</v>
      </c>
      <c r="G860" s="390"/>
      <c r="H860" s="59"/>
      <c r="I860" s="59"/>
      <c r="J860" s="59"/>
      <c r="K860" s="59"/>
      <c r="N860" s="2"/>
      <c r="O860" s="2"/>
    </row>
    <row r="861" spans="1:15" s="1" customFormat="1" ht="13.2" x14ac:dyDescent="0.25">
      <c r="A861" s="390">
        <v>40854</v>
      </c>
      <c r="B861" s="250" t="s">
        <v>1718</v>
      </c>
      <c r="C861" s="250" t="s">
        <v>1719</v>
      </c>
      <c r="D861" s="231"/>
      <c r="E861" s="1">
        <v>109.2</v>
      </c>
      <c r="G861" s="390"/>
      <c r="H861" s="59"/>
      <c r="I861" s="59"/>
      <c r="J861" s="59"/>
      <c r="K861" s="59"/>
      <c r="N861" s="2"/>
      <c r="O861" s="2"/>
    </row>
    <row r="862" spans="1:15" ht="12.75" customHeight="1" thickBot="1" x14ac:dyDescent="0.3">
      <c r="A862" s="390">
        <v>40855</v>
      </c>
      <c r="B862" s="250" t="s">
        <v>1435</v>
      </c>
      <c r="C862" s="250" t="s">
        <v>1436</v>
      </c>
      <c r="E862" s="1">
        <v>109.2</v>
      </c>
      <c r="F862" s="1"/>
      <c r="G862" s="390"/>
    </row>
    <row r="863" spans="1:15" ht="12.75" customHeight="1" thickBot="1" x14ac:dyDescent="0.3">
      <c r="A863" s="390"/>
      <c r="B863" s="1"/>
      <c r="C863" s="1"/>
      <c r="D863" s="2" t="s">
        <v>536</v>
      </c>
      <c r="E863" s="277">
        <f>SUM(E856:E862)</f>
        <v>628.73</v>
      </c>
      <c r="F863" s="1"/>
      <c r="G863" s="390"/>
      <c r="H863" s="59"/>
      <c r="M863" s="254"/>
    </row>
    <row r="864" spans="1:15" ht="12.75" customHeight="1" x14ac:dyDescent="0.25">
      <c r="A864" s="390"/>
      <c r="B864" s="1"/>
      <c r="C864" s="1"/>
      <c r="D864" s="2"/>
      <c r="E864" s="63"/>
      <c r="F864" s="1"/>
      <c r="G864" s="390"/>
      <c r="H864" s="59"/>
      <c r="M864" s="254"/>
    </row>
    <row r="865" spans="1:15" ht="12.75" customHeight="1" x14ac:dyDescent="0.25">
      <c r="A865" s="389"/>
      <c r="B865" s="1"/>
      <c r="C865" s="1"/>
      <c r="D865" s="1"/>
      <c r="E865" s="1"/>
      <c r="F865" s="1"/>
      <c r="G865" s="389"/>
      <c r="H865" s="59"/>
      <c r="M865" s="254"/>
    </row>
    <row r="866" spans="1:15" ht="12.75" customHeight="1" x14ac:dyDescent="0.25">
      <c r="A866" s="389">
        <v>40852</v>
      </c>
      <c r="B866" s="1" t="s">
        <v>1232</v>
      </c>
      <c r="C866" s="1" t="s">
        <v>1233</v>
      </c>
      <c r="D866" s="1"/>
      <c r="E866" s="1">
        <v>109.2</v>
      </c>
      <c r="F866" s="1"/>
      <c r="G866" s="389"/>
      <c r="H866" s="59"/>
      <c r="M866" s="254"/>
    </row>
    <row r="867" spans="1:15" s="1" customFormat="1" ht="13.2" x14ac:dyDescent="0.25">
      <c r="A867" s="389">
        <v>40853</v>
      </c>
      <c r="B867" s="1" t="s">
        <v>1232</v>
      </c>
      <c r="C867" s="1" t="s">
        <v>1240</v>
      </c>
      <c r="E867" s="1">
        <v>109.2</v>
      </c>
      <c r="G867" s="389"/>
      <c r="H867" s="59"/>
      <c r="I867" s="59"/>
      <c r="J867" s="59"/>
      <c r="K867" s="59"/>
      <c r="N867" s="2"/>
      <c r="O867" s="2"/>
    </row>
    <row r="868" spans="1:15" s="1" customFormat="1" ht="13.2" x14ac:dyDescent="0.25">
      <c r="A868" s="390">
        <v>40854</v>
      </c>
      <c r="B868" s="250" t="s">
        <v>1716</v>
      </c>
      <c r="C868" s="250" t="s">
        <v>1717</v>
      </c>
      <c r="D868" s="231"/>
      <c r="E868" s="1">
        <v>109.2</v>
      </c>
      <c r="G868" s="390"/>
      <c r="H868" s="59"/>
      <c r="I868" s="59"/>
      <c r="J868" s="59"/>
      <c r="K868" s="59"/>
      <c r="N868" s="2"/>
      <c r="O868" s="2"/>
    </row>
    <row r="869" spans="1:15" ht="12.75" customHeight="1" x14ac:dyDescent="0.25">
      <c r="A869" s="390">
        <v>40855</v>
      </c>
      <c r="B869" s="250" t="s">
        <v>39</v>
      </c>
      <c r="C869" s="250" t="s">
        <v>40</v>
      </c>
      <c r="E869" s="1">
        <v>109.2</v>
      </c>
      <c r="G869" s="390"/>
    </row>
    <row r="870" spans="1:15" ht="12.75" customHeight="1" x14ac:dyDescent="0.25">
      <c r="A870" s="269" t="s">
        <v>2474</v>
      </c>
      <c r="B870" s="250" t="s">
        <v>2475</v>
      </c>
      <c r="C870" s="250"/>
      <c r="E870" s="1">
        <v>6.62</v>
      </c>
      <c r="F870" s="224"/>
      <c r="G870" s="269"/>
    </row>
    <row r="871" spans="1:15" s="1" customFormat="1" ht="13.2" x14ac:dyDescent="0.25">
      <c r="A871" s="390">
        <v>40856</v>
      </c>
      <c r="B871" s="250" t="s">
        <v>337</v>
      </c>
      <c r="C871" s="250" t="s">
        <v>338</v>
      </c>
      <c r="D871" s="231"/>
      <c r="E871" s="1">
        <v>109.2</v>
      </c>
      <c r="F871" s="300"/>
      <c r="G871" s="390"/>
      <c r="H871" s="59"/>
      <c r="I871" s="59"/>
      <c r="J871" s="59"/>
      <c r="K871" s="59"/>
      <c r="N871" s="2"/>
      <c r="O871" s="2"/>
    </row>
    <row r="872" spans="1:15" ht="12.75" customHeight="1" x14ac:dyDescent="0.25">
      <c r="A872" s="390" t="s">
        <v>2278</v>
      </c>
      <c r="B872" s="250" t="s">
        <v>2276</v>
      </c>
      <c r="C872" s="250">
        <v>847</v>
      </c>
      <c r="E872" s="1">
        <v>6.62</v>
      </c>
      <c r="F872" s="250"/>
      <c r="G872" s="390"/>
    </row>
    <row r="873" spans="1:15" ht="12.75" customHeight="1" x14ac:dyDescent="0.25">
      <c r="A873" s="390">
        <v>40857</v>
      </c>
      <c r="B873" s="250" t="s">
        <v>1565</v>
      </c>
      <c r="C873" s="250" t="s">
        <v>1566</v>
      </c>
      <c r="E873" s="1">
        <v>109.2</v>
      </c>
      <c r="F873" s="300"/>
      <c r="G873" s="390"/>
    </row>
    <row r="874" spans="1:15" ht="12.75" customHeight="1" x14ac:dyDescent="0.25">
      <c r="A874" s="390">
        <v>40858</v>
      </c>
      <c r="B874" s="250" t="s">
        <v>2403</v>
      </c>
      <c r="C874" s="250" t="s">
        <v>2404</v>
      </c>
      <c r="E874" s="1">
        <v>109.2</v>
      </c>
      <c r="G874" s="390"/>
    </row>
    <row r="875" spans="1:15" ht="12.75" customHeight="1" x14ac:dyDescent="0.25">
      <c r="A875" s="391">
        <v>40859</v>
      </c>
      <c r="B875" s="224" t="s">
        <v>1618</v>
      </c>
      <c r="C875" s="224" t="s">
        <v>1619</v>
      </c>
      <c r="E875" s="224">
        <v>109.2</v>
      </c>
      <c r="G875" s="391"/>
    </row>
    <row r="876" spans="1:15" ht="12.75" customHeight="1" x14ac:dyDescent="0.25">
      <c r="A876" s="269" t="s">
        <v>1627</v>
      </c>
      <c r="B876" s="250" t="s">
        <v>2475</v>
      </c>
      <c r="E876" s="224">
        <v>6.62</v>
      </c>
      <c r="G876" s="269"/>
    </row>
    <row r="877" spans="1:15" ht="12.75" customHeight="1" x14ac:dyDescent="0.25">
      <c r="A877" s="269" t="s">
        <v>555</v>
      </c>
      <c r="B877" s="250" t="s">
        <v>2295</v>
      </c>
      <c r="C877" s="250" t="s">
        <v>1237</v>
      </c>
      <c r="D877" s="224"/>
      <c r="E877" s="224">
        <v>275.75</v>
      </c>
      <c r="G877" s="269"/>
    </row>
    <row r="878" spans="1:15" ht="12.75" customHeight="1" x14ac:dyDescent="0.25">
      <c r="A878" s="269" t="s">
        <v>585</v>
      </c>
      <c r="B878" s="250" t="s">
        <v>587</v>
      </c>
      <c r="C878" s="250" t="s">
        <v>588</v>
      </c>
      <c r="E878" s="224">
        <v>109.2</v>
      </c>
      <c r="G878" s="269"/>
    </row>
    <row r="879" spans="1:15" ht="12.75" customHeight="1" x14ac:dyDescent="0.25">
      <c r="A879" s="390" t="s">
        <v>1324</v>
      </c>
      <c r="B879" s="250" t="s">
        <v>2475</v>
      </c>
      <c r="C879" s="250"/>
      <c r="D879" s="224"/>
      <c r="E879" s="224">
        <v>6.62</v>
      </c>
      <c r="G879" s="390"/>
    </row>
    <row r="880" spans="1:15" ht="12.75" customHeight="1" x14ac:dyDescent="0.25">
      <c r="A880" s="269" t="s">
        <v>382</v>
      </c>
      <c r="B880" s="250" t="s">
        <v>2475</v>
      </c>
      <c r="C880" s="250"/>
      <c r="D880" s="224"/>
      <c r="E880" s="224">
        <v>6.62</v>
      </c>
      <c r="G880" s="269"/>
    </row>
    <row r="881" spans="1:15" ht="12.75" customHeight="1" x14ac:dyDescent="0.25">
      <c r="A881" s="385" t="s">
        <v>578</v>
      </c>
      <c r="B881" s="225" t="s">
        <v>2475</v>
      </c>
      <c r="C881" s="224"/>
      <c r="D881" s="293"/>
      <c r="E881" s="294">
        <v>6.62</v>
      </c>
      <c r="G881" s="269"/>
    </row>
    <row r="882" spans="1:15" ht="12.75" customHeight="1" x14ac:dyDescent="0.25">
      <c r="A882" s="269">
        <v>41216</v>
      </c>
      <c r="B882" s="250" t="s">
        <v>2505</v>
      </c>
      <c r="C882" s="224" t="s">
        <v>2506</v>
      </c>
      <c r="E882" s="224">
        <v>109.2</v>
      </c>
      <c r="G882" s="269"/>
    </row>
    <row r="883" spans="1:15" ht="12.75" customHeight="1" x14ac:dyDescent="0.25">
      <c r="A883" s="269" t="s">
        <v>2516</v>
      </c>
      <c r="B883" s="224" t="s">
        <v>2518</v>
      </c>
      <c r="C883" s="231">
        <v>0</v>
      </c>
      <c r="E883" s="224">
        <v>6.62</v>
      </c>
      <c r="G883" s="269"/>
    </row>
    <row r="884" spans="1:15" ht="12.75" customHeight="1" thickBot="1" x14ac:dyDescent="0.3">
      <c r="C884" s="250"/>
      <c r="D884" s="224"/>
      <c r="E884" s="224"/>
    </row>
    <row r="885" spans="1:15" s="1" customFormat="1" ht="13.8" thickBot="1" x14ac:dyDescent="0.3">
      <c r="A885" s="16"/>
      <c r="B885" s="57"/>
      <c r="C885" s="91"/>
      <c r="D885" s="2" t="s">
        <v>535</v>
      </c>
      <c r="E885" s="277">
        <f>SUM(E866:E884)</f>
        <v>1414.0899999999997</v>
      </c>
      <c r="F885" s="59"/>
      <c r="G885" s="59"/>
      <c r="H885" s="59"/>
      <c r="I885" s="59"/>
      <c r="J885" s="59"/>
      <c r="K885" s="59"/>
      <c r="N885" s="2"/>
      <c r="O885" s="2"/>
    </row>
    <row r="886" spans="1:15" s="1" customFormat="1" ht="13.2" x14ac:dyDescent="0.25">
      <c r="A886" s="16"/>
      <c r="B886" s="57"/>
      <c r="C886" s="91"/>
      <c r="E886" s="59"/>
      <c r="F886" s="59"/>
      <c r="G886" s="59"/>
      <c r="H886" s="59"/>
      <c r="I886" s="59"/>
      <c r="J886" s="59"/>
      <c r="K886" s="59"/>
      <c r="N886" s="2"/>
      <c r="O886" s="2"/>
    </row>
    <row r="888" spans="1:15" ht="12.75" customHeight="1" thickBot="1" x14ac:dyDescent="0.3">
      <c r="C888" s="250"/>
      <c r="D888" s="250"/>
      <c r="E888" s="300"/>
      <c r="F888" s="300"/>
      <c r="G888" s="300"/>
    </row>
    <row r="889" spans="1:15" ht="12.75" customHeight="1" thickBot="1" x14ac:dyDescent="0.3">
      <c r="A889" s="359" t="s">
        <v>344</v>
      </c>
      <c r="B889" s="273"/>
      <c r="C889" s="274"/>
      <c r="D889" s="274"/>
      <c r="E889" s="275"/>
      <c r="F889" s="300"/>
      <c r="G889" s="300"/>
    </row>
    <row r="890" spans="1:15" ht="12.75" customHeight="1" x14ac:dyDescent="0.25">
      <c r="A890" s="358" t="s">
        <v>184</v>
      </c>
      <c r="B890" s="270" t="s">
        <v>2082</v>
      </c>
      <c r="C890" s="270" t="s">
        <v>2084</v>
      </c>
      <c r="D890" s="271"/>
      <c r="E890" s="271" t="s">
        <v>668</v>
      </c>
      <c r="F890" s="250"/>
      <c r="G890" s="300"/>
    </row>
    <row r="891" spans="1:15" ht="12.75" customHeight="1" x14ac:dyDescent="0.25">
      <c r="A891" s="325" t="s">
        <v>67</v>
      </c>
      <c r="B891" s="250" t="s">
        <v>1849</v>
      </c>
      <c r="C891" s="249"/>
      <c r="D891" s="249" t="s">
        <v>1850</v>
      </c>
      <c r="E891" s="309">
        <v>27.58</v>
      </c>
      <c r="F891" s="300"/>
      <c r="G891" s="300"/>
    </row>
    <row r="892" spans="1:15" ht="12.75" customHeight="1" x14ac:dyDescent="0.25">
      <c r="A892" s="325" t="s">
        <v>1133</v>
      </c>
      <c r="B892" s="268" t="s">
        <v>339</v>
      </c>
      <c r="C892" s="249"/>
      <c r="D892" s="249" t="s">
        <v>340</v>
      </c>
      <c r="E892" s="309">
        <v>25</v>
      </c>
      <c r="F892" s="300"/>
      <c r="G892" s="300"/>
    </row>
    <row r="893" spans="1:15" ht="12.75" customHeight="1" x14ac:dyDescent="0.25">
      <c r="A893" s="16" t="s">
        <v>1133</v>
      </c>
      <c r="B893" s="233" t="s">
        <v>339</v>
      </c>
      <c r="C893" s="249"/>
      <c r="D893" s="2" t="s">
        <v>340</v>
      </c>
      <c r="E893" s="3">
        <v>2.58</v>
      </c>
      <c r="F893" s="301"/>
      <c r="G893" s="308"/>
    </row>
    <row r="894" spans="1:15" ht="12.75" customHeight="1" x14ac:dyDescent="0.25">
      <c r="A894" s="16" t="s">
        <v>1121</v>
      </c>
      <c r="B894" s="233" t="s">
        <v>1123</v>
      </c>
      <c r="C894" s="249"/>
      <c r="D894" s="2" t="s">
        <v>1124</v>
      </c>
      <c r="E894" s="3">
        <v>75</v>
      </c>
      <c r="F894" s="250"/>
      <c r="G894" s="250"/>
    </row>
    <row r="895" spans="1:15" ht="12.75" customHeight="1" x14ac:dyDescent="0.25">
      <c r="A895" s="16" t="s">
        <v>1121</v>
      </c>
      <c r="B895" s="233" t="s">
        <v>1123</v>
      </c>
      <c r="C895" s="249"/>
      <c r="D895" s="2" t="s">
        <v>1124</v>
      </c>
      <c r="E895" s="3">
        <v>7.72</v>
      </c>
      <c r="F895" s="300"/>
      <c r="G895" s="300"/>
    </row>
    <row r="896" spans="1:15" ht="12.75" customHeight="1" x14ac:dyDescent="0.25">
      <c r="A896" s="16" t="s">
        <v>1125</v>
      </c>
      <c r="B896" s="233" t="s">
        <v>1127</v>
      </c>
      <c r="C896" s="249"/>
      <c r="D896" s="2" t="s">
        <v>1128</v>
      </c>
      <c r="E896" s="3">
        <v>25</v>
      </c>
      <c r="F896" s="250"/>
      <c r="G896" s="250"/>
    </row>
    <row r="897" spans="1:8" ht="12.75" customHeight="1" x14ac:dyDescent="0.25">
      <c r="A897" s="16" t="s">
        <v>1125</v>
      </c>
      <c r="B897" s="233" t="s">
        <v>1127</v>
      </c>
      <c r="C897" s="249"/>
      <c r="D897" s="2" t="s">
        <v>1128</v>
      </c>
      <c r="E897" s="3">
        <v>2.58</v>
      </c>
      <c r="F897" s="250"/>
      <c r="G897" s="250"/>
    </row>
    <row r="898" spans="1:8" ht="12.75" customHeight="1" x14ac:dyDescent="0.25">
      <c r="A898" s="16" t="s">
        <v>1131</v>
      </c>
      <c r="B898" s="233" t="s">
        <v>341</v>
      </c>
      <c r="C898" s="249"/>
      <c r="D898" s="2" t="s">
        <v>342</v>
      </c>
      <c r="E898" s="3">
        <v>50</v>
      </c>
      <c r="F898" s="300"/>
      <c r="G898" s="301"/>
    </row>
    <row r="899" spans="1:8" ht="12.75" customHeight="1" x14ac:dyDescent="0.25">
      <c r="A899" s="16" t="s">
        <v>1131</v>
      </c>
      <c r="B899" s="233" t="s">
        <v>341</v>
      </c>
      <c r="C899" s="249"/>
      <c r="D899" s="2" t="s">
        <v>342</v>
      </c>
      <c r="E899" s="3">
        <v>5.15</v>
      </c>
      <c r="F899" s="233"/>
      <c r="G899" s="233"/>
    </row>
    <row r="900" spans="1:8" ht="12.75" customHeight="1" x14ac:dyDescent="0.25">
      <c r="A900" s="16" t="s">
        <v>2054</v>
      </c>
      <c r="B900" s="233" t="s">
        <v>2055</v>
      </c>
      <c r="C900" s="249"/>
      <c r="D900" s="2" t="s">
        <v>2056</v>
      </c>
      <c r="E900" s="3">
        <v>25</v>
      </c>
      <c r="F900" s="250"/>
      <c r="G900" s="250"/>
    </row>
    <row r="901" spans="1:8" ht="12.75" customHeight="1" x14ac:dyDescent="0.25">
      <c r="A901" s="16" t="s">
        <v>2054</v>
      </c>
      <c r="B901" s="233" t="s">
        <v>2055</v>
      </c>
      <c r="C901" s="249"/>
      <c r="D901" s="2" t="s">
        <v>2056</v>
      </c>
      <c r="E901" s="3">
        <v>2.58</v>
      </c>
      <c r="F901" s="250"/>
      <c r="G901" s="250"/>
    </row>
    <row r="902" spans="1:8" ht="12.75" customHeight="1" x14ac:dyDescent="0.25">
      <c r="A902" s="16" t="s">
        <v>2063</v>
      </c>
      <c r="B902" s="233" t="s">
        <v>2065</v>
      </c>
      <c r="C902" s="249"/>
      <c r="D902" s="2" t="s">
        <v>2066</v>
      </c>
      <c r="E902" s="3">
        <v>25</v>
      </c>
      <c r="F902" s="250"/>
      <c r="G902" s="250"/>
    </row>
    <row r="903" spans="1:8" ht="12.75" customHeight="1" x14ac:dyDescent="0.25">
      <c r="A903" s="16" t="s">
        <v>2063</v>
      </c>
      <c r="B903" s="233" t="s">
        <v>2065</v>
      </c>
      <c r="C903" s="249"/>
      <c r="D903" s="2" t="s">
        <v>2066</v>
      </c>
      <c r="E903" s="3">
        <v>2.58</v>
      </c>
      <c r="F903" s="250"/>
      <c r="G903" s="250"/>
    </row>
    <row r="904" spans="1:8" ht="12.75" customHeight="1" x14ac:dyDescent="0.25">
      <c r="A904" s="16" t="s">
        <v>2278</v>
      </c>
      <c r="B904" s="233" t="s">
        <v>2274</v>
      </c>
      <c r="C904" s="249"/>
      <c r="D904" s="2" t="s">
        <v>2275</v>
      </c>
      <c r="E904" s="3">
        <v>25</v>
      </c>
      <c r="F904" s="250"/>
      <c r="G904" s="250"/>
    </row>
    <row r="905" spans="1:8" ht="12.75" customHeight="1" x14ac:dyDescent="0.25">
      <c r="A905" s="16" t="s">
        <v>2278</v>
      </c>
      <c r="B905" s="233" t="s">
        <v>2274</v>
      </c>
      <c r="C905" s="249"/>
      <c r="D905" s="2" t="s">
        <v>2275</v>
      </c>
      <c r="E905" s="3">
        <v>2.58</v>
      </c>
    </row>
    <row r="906" spans="1:8" ht="12.75" customHeight="1" x14ac:dyDescent="0.25">
      <c r="A906" s="16" t="s">
        <v>1574</v>
      </c>
      <c r="B906" s="233" t="s">
        <v>1570</v>
      </c>
      <c r="C906" s="249"/>
      <c r="D906" s="2" t="s">
        <v>1571</v>
      </c>
      <c r="E906" s="3">
        <v>50</v>
      </c>
    </row>
    <row r="907" spans="1:8" ht="12.75" customHeight="1" x14ac:dyDescent="0.25">
      <c r="A907" s="16" t="s">
        <v>1574</v>
      </c>
      <c r="B907" s="233" t="s">
        <v>1570</v>
      </c>
      <c r="C907" s="249"/>
      <c r="D907" s="2" t="s">
        <v>1571</v>
      </c>
      <c r="E907" s="3">
        <v>5.15</v>
      </c>
    </row>
    <row r="908" spans="1:8" ht="12.75" customHeight="1" x14ac:dyDescent="0.25">
      <c r="A908" s="16" t="s">
        <v>1577</v>
      </c>
      <c r="B908" s="233" t="s">
        <v>1578</v>
      </c>
      <c r="C908" s="249"/>
      <c r="D908" s="2" t="s">
        <v>1579</v>
      </c>
      <c r="E908" s="3">
        <v>50</v>
      </c>
      <c r="F908" s="233"/>
      <c r="G908" s="250"/>
      <c r="H908" s="231"/>
    </row>
    <row r="909" spans="1:8" ht="12.75" customHeight="1" x14ac:dyDescent="0.25">
      <c r="A909" s="16" t="s">
        <v>1577</v>
      </c>
      <c r="B909" s="233" t="s">
        <v>1578</v>
      </c>
      <c r="C909" s="249"/>
      <c r="D909" s="2" t="s">
        <v>1579</v>
      </c>
      <c r="E909" s="3">
        <v>5.15</v>
      </c>
      <c r="F909" s="233"/>
      <c r="G909" s="250"/>
      <c r="H909" s="231"/>
    </row>
    <row r="910" spans="1:8" ht="12.75" customHeight="1" x14ac:dyDescent="0.25">
      <c r="A910" s="16" t="s">
        <v>717</v>
      </c>
      <c r="B910" s="233" t="s">
        <v>715</v>
      </c>
      <c r="C910" s="249"/>
      <c r="D910" s="2" t="s">
        <v>716</v>
      </c>
      <c r="E910" s="3">
        <v>75</v>
      </c>
      <c r="F910" s="233"/>
      <c r="G910" s="250"/>
      <c r="H910" s="231"/>
    </row>
    <row r="911" spans="1:8" ht="12.75" customHeight="1" x14ac:dyDescent="0.25">
      <c r="A911" s="16" t="s">
        <v>717</v>
      </c>
      <c r="B911" s="233" t="s">
        <v>715</v>
      </c>
      <c r="C911" s="249"/>
      <c r="D911" s="2" t="s">
        <v>716</v>
      </c>
      <c r="E911" s="3">
        <v>7.72</v>
      </c>
      <c r="F911" s="233"/>
      <c r="G911" s="250"/>
      <c r="H911" s="231"/>
    </row>
    <row r="912" spans="1:8" ht="12.75" customHeight="1" x14ac:dyDescent="0.25">
      <c r="A912" s="16" t="s">
        <v>725</v>
      </c>
      <c r="B912" s="233" t="s">
        <v>726</v>
      </c>
      <c r="C912" s="249"/>
      <c r="D912" s="2" t="s">
        <v>727</v>
      </c>
      <c r="E912" s="3">
        <v>25</v>
      </c>
      <c r="F912" s="233"/>
      <c r="G912" s="250"/>
      <c r="H912" s="231"/>
    </row>
    <row r="913" spans="1:8" ht="12.75" customHeight="1" x14ac:dyDescent="0.25">
      <c r="A913" s="16" t="s">
        <v>725</v>
      </c>
      <c r="B913" s="233" t="s">
        <v>726</v>
      </c>
      <c r="C913" s="249"/>
      <c r="D913" s="2" t="s">
        <v>727</v>
      </c>
      <c r="E913" s="3">
        <v>2.58</v>
      </c>
      <c r="F913" s="233"/>
      <c r="G913" s="250"/>
      <c r="H913" s="231"/>
    </row>
    <row r="914" spans="1:8" ht="12.75" customHeight="1" x14ac:dyDescent="0.25">
      <c r="A914" s="16" t="s">
        <v>731</v>
      </c>
      <c r="B914" s="233" t="s">
        <v>732</v>
      </c>
      <c r="C914" s="249"/>
      <c r="D914" s="2" t="s">
        <v>733</v>
      </c>
      <c r="E914" s="3">
        <v>25</v>
      </c>
      <c r="F914" s="233"/>
      <c r="G914" s="250"/>
      <c r="H914" s="231"/>
    </row>
    <row r="915" spans="1:8" ht="12.75" customHeight="1" x14ac:dyDescent="0.25">
      <c r="A915" s="16" t="s">
        <v>731</v>
      </c>
      <c r="B915" s="233" t="s">
        <v>732</v>
      </c>
      <c r="C915" s="249"/>
      <c r="D915" s="2" t="s">
        <v>733</v>
      </c>
      <c r="E915" s="3">
        <v>2.58</v>
      </c>
    </row>
    <row r="916" spans="1:8" ht="12.75" customHeight="1" x14ac:dyDescent="0.25">
      <c r="A916" s="16" t="s">
        <v>747</v>
      </c>
      <c r="B916" s="233" t="s">
        <v>745</v>
      </c>
      <c r="C916" s="249"/>
      <c r="D916" s="2" t="s">
        <v>746</v>
      </c>
      <c r="E916" s="3">
        <v>25</v>
      </c>
    </row>
    <row r="917" spans="1:8" ht="12.75" customHeight="1" x14ac:dyDescent="0.25">
      <c r="A917" s="16" t="s">
        <v>747</v>
      </c>
      <c r="B917" s="233" t="s">
        <v>745</v>
      </c>
      <c r="C917" s="249"/>
      <c r="D917" s="2" t="s">
        <v>746</v>
      </c>
      <c r="E917" s="3">
        <v>2.58</v>
      </c>
      <c r="F917" s="16"/>
    </row>
    <row r="918" spans="1:8" ht="12.75" customHeight="1" x14ac:dyDescent="0.25">
      <c r="A918" s="16" t="s">
        <v>2401</v>
      </c>
      <c r="B918" s="233" t="s">
        <v>2399</v>
      </c>
      <c r="C918" s="249"/>
      <c r="D918" s="2" t="s">
        <v>2400</v>
      </c>
      <c r="E918" s="3">
        <v>25</v>
      </c>
      <c r="F918" s="16"/>
    </row>
    <row r="919" spans="1:8" ht="12.75" customHeight="1" x14ac:dyDescent="0.25">
      <c r="A919" s="16" t="s">
        <v>2401</v>
      </c>
      <c r="B919" s="233" t="s">
        <v>2399</v>
      </c>
      <c r="C919" s="249"/>
      <c r="D919" s="2" t="s">
        <v>2400</v>
      </c>
      <c r="E919" s="3">
        <v>2.58</v>
      </c>
      <c r="F919" s="16"/>
    </row>
    <row r="920" spans="1:8" ht="12.75" customHeight="1" x14ac:dyDescent="0.25">
      <c r="A920" s="16" t="s">
        <v>2416</v>
      </c>
      <c r="B920" s="233" t="s">
        <v>2417</v>
      </c>
      <c r="C920" s="249"/>
      <c r="D920" s="2" t="s">
        <v>2418</v>
      </c>
      <c r="E920" s="3">
        <v>75</v>
      </c>
      <c r="F920" s="16"/>
    </row>
    <row r="921" spans="1:8" ht="12.75" customHeight="1" x14ac:dyDescent="0.25">
      <c r="A921" s="16" t="s">
        <v>2416</v>
      </c>
      <c r="B921" s="233" t="s">
        <v>2417</v>
      </c>
      <c r="C921" s="249"/>
      <c r="D921" s="2" t="s">
        <v>2418</v>
      </c>
      <c r="E921" s="3">
        <v>7.72</v>
      </c>
      <c r="F921" s="16"/>
    </row>
    <row r="922" spans="1:8" ht="12.75" customHeight="1" x14ac:dyDescent="0.25">
      <c r="A922" s="16" t="s">
        <v>1691</v>
      </c>
      <c r="B922" s="233" t="s">
        <v>1694</v>
      </c>
      <c r="C922" s="249"/>
      <c r="D922" s="2" t="s">
        <v>1695</v>
      </c>
      <c r="E922" s="3">
        <v>25</v>
      </c>
    </row>
    <row r="923" spans="1:8" ht="12.75" customHeight="1" x14ac:dyDescent="0.25">
      <c r="A923" s="16" t="s">
        <v>1691</v>
      </c>
      <c r="B923" s="233" t="s">
        <v>1694</v>
      </c>
      <c r="C923" s="249"/>
      <c r="D923" s="2" t="s">
        <v>1695</v>
      </c>
      <c r="E923" s="3">
        <v>2.58</v>
      </c>
    </row>
    <row r="924" spans="1:8" ht="12.75" customHeight="1" x14ac:dyDescent="0.25">
      <c r="A924" s="16" t="s">
        <v>757</v>
      </c>
      <c r="B924" s="233" t="s">
        <v>758</v>
      </c>
      <c r="C924" s="249"/>
      <c r="D924" s="2" t="s">
        <v>759</v>
      </c>
      <c r="E924" s="3">
        <v>25</v>
      </c>
    </row>
    <row r="925" spans="1:8" ht="12.75" customHeight="1" x14ac:dyDescent="0.25">
      <c r="A925" s="16" t="s">
        <v>757</v>
      </c>
      <c r="B925" s="233" t="s">
        <v>758</v>
      </c>
      <c r="C925" s="249"/>
      <c r="D925" s="2" t="s">
        <v>759</v>
      </c>
      <c r="E925" s="3">
        <v>2.58</v>
      </c>
    </row>
    <row r="926" spans="1:8" ht="12.75" customHeight="1" x14ac:dyDescent="0.25">
      <c r="A926" s="16" t="s">
        <v>760</v>
      </c>
      <c r="B926" s="233" t="s">
        <v>761</v>
      </c>
      <c r="C926" s="249"/>
      <c r="D926" s="2" t="s">
        <v>762</v>
      </c>
      <c r="E926" s="3">
        <v>50</v>
      </c>
    </row>
    <row r="927" spans="1:8" ht="12.75" customHeight="1" x14ac:dyDescent="0.25">
      <c r="A927" s="16" t="s">
        <v>760</v>
      </c>
      <c r="B927" s="233" t="s">
        <v>761</v>
      </c>
      <c r="C927" s="249"/>
      <c r="D927" s="2" t="s">
        <v>762</v>
      </c>
      <c r="E927" s="3">
        <v>5.15</v>
      </c>
    </row>
    <row r="928" spans="1:8" ht="12.75" customHeight="1" x14ac:dyDescent="0.25">
      <c r="A928" s="16" t="s">
        <v>770</v>
      </c>
      <c r="B928" s="233" t="s">
        <v>768</v>
      </c>
      <c r="C928" s="249"/>
      <c r="D928" s="2" t="s">
        <v>769</v>
      </c>
      <c r="E928" s="3">
        <v>125</v>
      </c>
    </row>
    <row r="929" spans="1:13" ht="12.75" customHeight="1" x14ac:dyDescent="0.25">
      <c r="A929" s="16" t="s">
        <v>770</v>
      </c>
      <c r="B929" s="233" t="s">
        <v>768</v>
      </c>
      <c r="C929" s="249"/>
      <c r="D929" s="2" t="s">
        <v>769</v>
      </c>
      <c r="E929" s="3">
        <v>12.88</v>
      </c>
    </row>
    <row r="930" spans="1:13" ht="12.75" customHeight="1" x14ac:dyDescent="0.25">
      <c r="A930" s="16" t="s">
        <v>777</v>
      </c>
      <c r="B930" s="233" t="s">
        <v>775</v>
      </c>
      <c r="C930" s="249"/>
      <c r="D930" s="2" t="s">
        <v>776</v>
      </c>
      <c r="E930" s="3">
        <v>25</v>
      </c>
    </row>
    <row r="931" spans="1:13" ht="12.75" customHeight="1" x14ac:dyDescent="0.25">
      <c r="A931" s="16" t="s">
        <v>777</v>
      </c>
      <c r="B931" s="233" t="s">
        <v>775</v>
      </c>
      <c r="C931" s="249"/>
      <c r="D931" s="2" t="s">
        <v>776</v>
      </c>
      <c r="E931" s="3">
        <v>2.58</v>
      </c>
    </row>
    <row r="932" spans="1:13" ht="12.75" customHeight="1" x14ac:dyDescent="0.25">
      <c r="A932" s="16" t="s">
        <v>1620</v>
      </c>
      <c r="B932" s="233" t="s">
        <v>1616</v>
      </c>
      <c r="C932" s="249"/>
      <c r="D932" s="2" t="s">
        <v>1617</v>
      </c>
      <c r="E932" s="3">
        <v>25</v>
      </c>
    </row>
    <row r="933" spans="1:13" ht="12.75" customHeight="1" x14ac:dyDescent="0.25">
      <c r="A933" s="16" t="s">
        <v>1620</v>
      </c>
      <c r="B933" s="233" t="s">
        <v>1616</v>
      </c>
      <c r="C933" s="249"/>
      <c r="D933" s="2" t="s">
        <v>1617</v>
      </c>
      <c r="E933" s="3">
        <v>2.58</v>
      </c>
    </row>
    <row r="934" spans="1:13" ht="12.75" customHeight="1" x14ac:dyDescent="0.25">
      <c r="A934" s="295" t="s">
        <v>1478</v>
      </c>
      <c r="B934" s="250" t="s">
        <v>1479</v>
      </c>
      <c r="C934" s="249"/>
      <c r="D934" s="249" t="s">
        <v>1480</v>
      </c>
      <c r="E934" s="299">
        <v>25</v>
      </c>
      <c r="F934" s="299"/>
      <c r="G934" s="299"/>
      <c r="H934" s="299"/>
      <c r="I934" s="299"/>
      <c r="J934" s="299"/>
      <c r="K934" s="299"/>
      <c r="L934" s="299"/>
      <c r="M934" s="249"/>
    </row>
    <row r="935" spans="1:13" ht="12.75" customHeight="1" x14ac:dyDescent="0.25">
      <c r="A935" s="295" t="s">
        <v>1478</v>
      </c>
      <c r="B935" s="250" t="s">
        <v>1479</v>
      </c>
      <c r="C935" s="249"/>
      <c r="D935" s="249" t="s">
        <v>1480</v>
      </c>
      <c r="E935" s="299">
        <v>2.58</v>
      </c>
      <c r="F935" s="299"/>
      <c r="G935" s="299"/>
      <c r="H935" s="299"/>
      <c r="I935" s="299"/>
      <c r="J935" s="299"/>
      <c r="K935" s="299"/>
      <c r="L935" s="299"/>
      <c r="M935" s="249"/>
    </row>
    <row r="936" spans="1:13" ht="12.75" customHeight="1" x14ac:dyDescent="0.25">
      <c r="A936" s="16" t="s">
        <v>589</v>
      </c>
      <c r="B936" s="250" t="s">
        <v>591</v>
      </c>
      <c r="C936" s="224"/>
      <c r="D936" s="2" t="s">
        <v>592</v>
      </c>
      <c r="E936" s="3">
        <v>25</v>
      </c>
    </row>
    <row r="937" spans="1:13" ht="12.75" customHeight="1" x14ac:dyDescent="0.25">
      <c r="A937" s="16" t="s">
        <v>589</v>
      </c>
      <c r="B937" s="250" t="s">
        <v>591</v>
      </c>
      <c r="C937" s="224"/>
      <c r="D937" s="2" t="s">
        <v>592</v>
      </c>
      <c r="E937" s="3">
        <v>2.58</v>
      </c>
    </row>
    <row r="938" spans="1:13" ht="12.75" customHeight="1" x14ac:dyDescent="0.25">
      <c r="A938" s="16" t="s">
        <v>2160</v>
      </c>
      <c r="B938" s="250" t="s">
        <v>2161</v>
      </c>
      <c r="D938" s="2" t="s">
        <v>2162</v>
      </c>
      <c r="E938" s="3">
        <v>50</v>
      </c>
    </row>
    <row r="939" spans="1:13" ht="12.75" customHeight="1" x14ac:dyDescent="0.25">
      <c r="A939" s="16" t="s">
        <v>2160</v>
      </c>
      <c r="B939" s="250" t="s">
        <v>2161</v>
      </c>
      <c r="D939" s="2" t="s">
        <v>2162</v>
      </c>
      <c r="E939" s="3">
        <v>5.15</v>
      </c>
    </row>
    <row r="940" spans="1:13" ht="12.75" customHeight="1" x14ac:dyDescent="0.25">
      <c r="A940" s="16" t="s">
        <v>1313</v>
      </c>
      <c r="B940" s="250" t="s">
        <v>1314</v>
      </c>
      <c r="C940" s="224"/>
      <c r="D940" s="2" t="s">
        <v>1315</v>
      </c>
      <c r="E940" s="3">
        <v>350</v>
      </c>
    </row>
    <row r="941" spans="1:13" ht="12.75" customHeight="1" x14ac:dyDescent="0.25">
      <c r="A941" s="16" t="s">
        <v>1313</v>
      </c>
      <c r="B941" s="225" t="s">
        <v>1314</v>
      </c>
      <c r="C941" s="224"/>
      <c r="D941" s="2" t="s">
        <v>1315</v>
      </c>
      <c r="E941" s="3">
        <v>36.049999999999997</v>
      </c>
    </row>
    <row r="942" spans="1:13" ht="12.75" customHeight="1" x14ac:dyDescent="0.25">
      <c r="A942" s="16" t="s">
        <v>378</v>
      </c>
      <c r="B942" s="225" t="s">
        <v>380</v>
      </c>
      <c r="C942" s="224"/>
      <c r="D942" s="2" t="s">
        <v>381</v>
      </c>
      <c r="E942" s="3">
        <v>25</v>
      </c>
    </row>
    <row r="943" spans="1:13" ht="12.75" customHeight="1" x14ac:dyDescent="0.25">
      <c r="A943" s="16" t="s">
        <v>378</v>
      </c>
      <c r="B943" s="225" t="s">
        <v>380</v>
      </c>
      <c r="C943" s="224"/>
      <c r="D943" s="2" t="s">
        <v>381</v>
      </c>
      <c r="E943" s="3">
        <v>2.58</v>
      </c>
    </row>
    <row r="944" spans="1:13" ht="12.75" customHeight="1" x14ac:dyDescent="0.25">
      <c r="A944" s="16" t="s">
        <v>54</v>
      </c>
      <c r="B944" s="225" t="s">
        <v>56</v>
      </c>
      <c r="C944" s="224"/>
      <c r="D944" s="2" t="s">
        <v>57</v>
      </c>
      <c r="E944" s="3">
        <v>50</v>
      </c>
    </row>
    <row r="945" spans="1:6" ht="12.75" customHeight="1" x14ac:dyDescent="0.25">
      <c r="A945" s="16" t="s">
        <v>54</v>
      </c>
      <c r="B945" s="225" t="s">
        <v>56</v>
      </c>
      <c r="C945" s="224"/>
      <c r="D945" s="2" t="s">
        <v>57</v>
      </c>
      <c r="E945" s="3">
        <v>5.15</v>
      </c>
    </row>
    <row r="946" spans="1:6" ht="12.75" customHeight="1" x14ac:dyDescent="0.25">
      <c r="A946" s="16" t="s">
        <v>58</v>
      </c>
      <c r="B946" s="225" t="s">
        <v>59</v>
      </c>
      <c r="D946" s="2" t="s">
        <v>60</v>
      </c>
      <c r="E946" s="3">
        <v>50</v>
      </c>
    </row>
    <row r="947" spans="1:6" ht="12.75" customHeight="1" x14ac:dyDescent="0.25">
      <c r="A947" s="16" t="s">
        <v>58</v>
      </c>
      <c r="B947" s="225" t="s">
        <v>59</v>
      </c>
      <c r="D947" s="2" t="s">
        <v>60</v>
      </c>
      <c r="E947" s="3">
        <v>5.15</v>
      </c>
    </row>
    <row r="948" spans="1:6" ht="12.75" customHeight="1" x14ac:dyDescent="0.25">
      <c r="A948" s="385" t="s">
        <v>578</v>
      </c>
      <c r="B948" s="293" t="s">
        <v>579</v>
      </c>
      <c r="D948" s="2" t="s">
        <v>580</v>
      </c>
      <c r="E948" s="3">
        <v>50</v>
      </c>
      <c r="F948" s="294"/>
    </row>
    <row r="949" spans="1:6" ht="12.75" customHeight="1" x14ac:dyDescent="0.25">
      <c r="A949" s="385" t="s">
        <v>578</v>
      </c>
      <c r="B949" s="293" t="s">
        <v>579</v>
      </c>
      <c r="D949" s="2" t="s">
        <v>580</v>
      </c>
      <c r="E949" s="293">
        <v>5.15</v>
      </c>
      <c r="F949" s="294"/>
    </row>
    <row r="950" spans="1:6" ht="12.75" customHeight="1" x14ac:dyDescent="0.25">
      <c r="A950" s="16" t="s">
        <v>2503</v>
      </c>
      <c r="B950" s="225" t="s">
        <v>2501</v>
      </c>
      <c r="D950" s="2" t="s">
        <v>2502</v>
      </c>
      <c r="E950" s="3">
        <v>50</v>
      </c>
    </row>
    <row r="951" spans="1:6" ht="12.75" customHeight="1" x14ac:dyDescent="0.25">
      <c r="A951" s="16" t="s">
        <v>2503</v>
      </c>
      <c r="B951" s="225" t="s">
        <v>2501</v>
      </c>
      <c r="D951" s="2" t="s">
        <v>2502</v>
      </c>
      <c r="E951" s="3">
        <v>5.15</v>
      </c>
    </row>
    <row r="952" spans="1:6" ht="12.75" customHeight="1" x14ac:dyDescent="0.25">
      <c r="A952" s="16" t="s">
        <v>2512</v>
      </c>
      <c r="B952" s="250" t="s">
        <v>2514</v>
      </c>
      <c r="D952" s="2" t="s">
        <v>2515</v>
      </c>
      <c r="E952" s="3">
        <v>25</v>
      </c>
    </row>
    <row r="953" spans="1:6" ht="12.75" customHeight="1" x14ac:dyDescent="0.25">
      <c r="A953" s="16" t="s">
        <v>2512</v>
      </c>
      <c r="B953" s="250" t="s">
        <v>2514</v>
      </c>
      <c r="D953" s="2" t="s">
        <v>2515</v>
      </c>
      <c r="E953" s="3">
        <v>2.58</v>
      </c>
    </row>
    <row r="954" spans="1:6" ht="12.75" customHeight="1" x14ac:dyDescent="0.25">
      <c r="A954" s="295" t="s">
        <v>1634</v>
      </c>
      <c r="B954" s="231" t="s">
        <v>1635</v>
      </c>
      <c r="D954" s="2" t="s">
        <v>1636</v>
      </c>
      <c r="E954" s="3">
        <v>25</v>
      </c>
    </row>
    <row r="955" spans="1:6" ht="12.75" customHeight="1" x14ac:dyDescent="0.25">
      <c r="A955" s="295" t="s">
        <v>1634</v>
      </c>
      <c r="B955" s="231" t="s">
        <v>1635</v>
      </c>
      <c r="D955" s="2" t="s">
        <v>1636</v>
      </c>
      <c r="E955" s="3">
        <v>2.58</v>
      </c>
    </row>
    <row r="956" spans="1:6" ht="12.75" customHeight="1" x14ac:dyDescent="0.25">
      <c r="A956" s="295" t="s">
        <v>1640</v>
      </c>
      <c r="B956" s="231" t="s">
        <v>1641</v>
      </c>
      <c r="D956" s="2" t="s">
        <v>1642</v>
      </c>
      <c r="E956" s="3">
        <v>25</v>
      </c>
    </row>
    <row r="957" spans="1:6" ht="12.75" customHeight="1" x14ac:dyDescent="0.25">
      <c r="A957" s="295" t="s">
        <v>1640</v>
      </c>
      <c r="B957" s="231" t="s">
        <v>1641</v>
      </c>
      <c r="D957" s="2" t="s">
        <v>1642</v>
      </c>
      <c r="E957" s="3">
        <v>2.58</v>
      </c>
    </row>
    <row r="958" spans="1:6" ht="12.75" customHeight="1" x14ac:dyDescent="0.25">
      <c r="B958" s="231"/>
    </row>
    <row r="959" spans="1:6" ht="12.75" customHeight="1" x14ac:dyDescent="0.25">
      <c r="D959" s="2"/>
    </row>
    <row r="960" spans="1:6" ht="12.75" customHeight="1" thickBot="1" x14ac:dyDescent="0.3">
      <c r="A960" s="16"/>
      <c r="C960" s="224"/>
      <c r="D960" s="2"/>
      <c r="E960" s="3"/>
    </row>
    <row r="961" spans="1:10" ht="12.75" customHeight="1" thickBot="1" x14ac:dyDescent="0.3">
      <c r="E961" s="321">
        <f>SUM(E891:E960)</f>
        <v>1820.0400000000004</v>
      </c>
    </row>
    <row r="963" spans="1:10" ht="12.75" customHeight="1" x14ac:dyDescent="0.25">
      <c r="A963" s="353"/>
      <c r="B963" s="224"/>
      <c r="C963" s="224"/>
      <c r="D963" s="224"/>
      <c r="E963" s="224"/>
      <c r="F963" s="224"/>
      <c r="G963" s="224"/>
      <c r="H963" s="224"/>
      <c r="I963" s="224"/>
      <c r="J963" s="224"/>
    </row>
    <row r="964" spans="1:10" ht="12.75" customHeight="1" x14ac:dyDescent="0.25">
      <c r="A964" s="353"/>
      <c r="B964" s="224"/>
      <c r="C964" s="224"/>
      <c r="D964" s="224"/>
      <c r="E964" s="224"/>
      <c r="F964" s="224"/>
      <c r="G964" s="224"/>
      <c r="H964" s="224"/>
      <c r="I964" s="224"/>
      <c r="J964" s="224"/>
    </row>
    <row r="965" spans="1:10" ht="12.75" customHeight="1" x14ac:dyDescent="0.25">
      <c r="A965" s="353"/>
      <c r="B965" s="224"/>
      <c r="C965" s="224"/>
      <c r="D965" s="224"/>
      <c r="E965" s="224"/>
      <c r="F965" s="224"/>
      <c r="G965" s="224"/>
      <c r="H965" s="224"/>
      <c r="I965" s="224"/>
      <c r="J965" s="224"/>
    </row>
    <row r="966" spans="1:10" ht="12.75" customHeight="1" x14ac:dyDescent="0.25">
      <c r="A966" s="353"/>
      <c r="B966" s="224"/>
      <c r="C966" s="224"/>
      <c r="D966" s="224"/>
      <c r="E966" s="224"/>
      <c r="F966" s="224"/>
      <c r="G966" s="224"/>
      <c r="H966" s="224"/>
      <c r="I966" s="224"/>
      <c r="J966" s="224"/>
    </row>
    <row r="967" spans="1:10" ht="12.75" customHeight="1" x14ac:dyDescent="0.25">
      <c r="A967" s="353"/>
      <c r="B967" s="224"/>
      <c r="C967" s="224"/>
      <c r="D967" s="224"/>
      <c r="E967" s="224"/>
      <c r="F967" s="224"/>
      <c r="G967" s="224"/>
      <c r="H967" s="224"/>
      <c r="I967" s="224"/>
      <c r="J967" s="224"/>
    </row>
  </sheetData>
  <phoneticPr fontId="14" type="noConversion"/>
  <pageMargins left="0.75" right="0.75" top="1" bottom="1" header="0.5" footer="0.5"/>
  <pageSetup paperSize="9" orientation="portrait" horizontalDpi="300" verticalDpi="300" r:id="rId1"/>
  <headerFooter alignWithMargins="0"/>
  <ignoredErrors>
    <ignoredError sqref="L22 L18 L31 L490:L492" emptyCellReference="1"/>
    <ignoredError sqref="K10:K12 K23:K27 K9 K7:K8 L484:L486 L171:L176 L199:L200 L620:L628 L268:L269 L270:L272 L634 L282 L401 L753 L446:L448" formulaRange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221"/>
  <sheetViews>
    <sheetView topLeftCell="A202" workbookViewId="0">
      <selection activeCell="P22" sqref="P22"/>
    </sheetView>
  </sheetViews>
  <sheetFormatPr defaultColWidth="9.21875" defaultRowHeight="12" x14ac:dyDescent="0.2"/>
  <cols>
    <col min="1" max="4" width="10.77734375" style="158" customWidth="1"/>
    <col min="5" max="6" width="10.77734375" style="162" customWidth="1"/>
    <col min="7" max="7" width="10.77734375" style="166" customWidth="1"/>
    <col min="8" max="8" width="25.77734375" style="158" customWidth="1"/>
    <col min="9" max="9" width="9.21875" style="158" customWidth="1"/>
    <col min="10" max="10" width="9.21875" style="158"/>
    <col min="11" max="11" width="20.77734375" style="158" customWidth="1"/>
    <col min="12" max="12" width="10.77734375" style="158" customWidth="1"/>
    <col min="13" max="16384" width="9.21875" style="153"/>
  </cols>
  <sheetData>
    <row r="1" spans="1:13" ht="24" x14ac:dyDescent="0.2">
      <c r="A1" s="217" t="s">
        <v>184</v>
      </c>
      <c r="B1" s="217" t="s">
        <v>185</v>
      </c>
      <c r="C1" s="217" t="s">
        <v>186</v>
      </c>
      <c r="D1" s="217" t="s">
        <v>187</v>
      </c>
      <c r="E1" s="218" t="s">
        <v>188</v>
      </c>
      <c r="F1" s="218" t="s">
        <v>189</v>
      </c>
      <c r="G1" s="218" t="s">
        <v>190</v>
      </c>
      <c r="H1" s="217" t="s">
        <v>191</v>
      </c>
      <c r="I1" s="217" t="s">
        <v>192</v>
      </c>
      <c r="J1" s="217" t="s">
        <v>193</v>
      </c>
      <c r="K1" s="217" t="s">
        <v>194</v>
      </c>
      <c r="L1" s="217" t="s">
        <v>195</v>
      </c>
    </row>
    <row r="2" spans="1:13" ht="12.6" x14ac:dyDescent="0.25">
      <c r="A2" s="154" t="s">
        <v>1054</v>
      </c>
      <c r="B2" s="155"/>
      <c r="C2" s="155"/>
      <c r="D2" s="155"/>
      <c r="E2" s="163"/>
      <c r="F2" s="163"/>
      <c r="G2" s="394"/>
      <c r="H2" s="155"/>
      <c r="I2" s="155"/>
      <c r="J2" s="155"/>
      <c r="K2" s="155"/>
      <c r="L2" s="155"/>
    </row>
    <row r="3" spans="1:13" x14ac:dyDescent="0.2">
      <c r="A3" s="156">
        <v>40144</v>
      </c>
      <c r="B3" s="157" t="s">
        <v>361</v>
      </c>
      <c r="C3" s="157" t="s">
        <v>197</v>
      </c>
      <c r="D3" s="157">
        <v>40</v>
      </c>
      <c r="E3" s="164">
        <v>61.8</v>
      </c>
      <c r="F3" s="164">
        <v>2472</v>
      </c>
      <c r="G3" s="394">
        <v>31.01</v>
      </c>
      <c r="H3" s="155" t="s">
        <v>1282</v>
      </c>
      <c r="I3" s="155">
        <v>2009221</v>
      </c>
      <c r="J3" s="157" t="s">
        <v>199</v>
      </c>
      <c r="K3" s="155" t="s">
        <v>200</v>
      </c>
      <c r="L3" s="157" t="s">
        <v>201</v>
      </c>
      <c r="M3" s="153" t="s">
        <v>2074</v>
      </c>
    </row>
    <row r="4" spans="1:13" x14ac:dyDescent="0.2">
      <c r="A4" s="156">
        <v>40102</v>
      </c>
      <c r="B4" s="157" t="s">
        <v>361</v>
      </c>
      <c r="C4" s="157" t="s">
        <v>197</v>
      </c>
      <c r="D4" s="157">
        <v>80</v>
      </c>
      <c r="E4" s="164">
        <v>68.5</v>
      </c>
      <c r="F4" s="164">
        <v>5480</v>
      </c>
      <c r="G4" s="394">
        <v>52.92</v>
      </c>
      <c r="H4" s="155" t="s">
        <v>1283</v>
      </c>
      <c r="I4" s="155">
        <v>2009192</v>
      </c>
      <c r="J4" s="157" t="s">
        <v>199</v>
      </c>
      <c r="K4" s="155" t="s">
        <v>200</v>
      </c>
      <c r="L4" s="157" t="s">
        <v>201</v>
      </c>
      <c r="M4" s="153" t="s">
        <v>2074</v>
      </c>
    </row>
    <row r="5" spans="1:13" x14ac:dyDescent="0.2">
      <c r="A5" s="156">
        <v>40102</v>
      </c>
      <c r="B5" s="157" t="s">
        <v>361</v>
      </c>
      <c r="C5" s="157" t="s">
        <v>197</v>
      </c>
      <c r="D5" s="157">
        <v>80</v>
      </c>
      <c r="E5" s="164">
        <v>68.25</v>
      </c>
      <c r="F5" s="164">
        <v>5460</v>
      </c>
      <c r="G5" s="394">
        <v>52.74</v>
      </c>
      <c r="H5" s="155" t="s">
        <v>1284</v>
      </c>
      <c r="I5" s="155">
        <v>2009192</v>
      </c>
      <c r="J5" s="157" t="s">
        <v>199</v>
      </c>
      <c r="K5" s="155" t="s">
        <v>200</v>
      </c>
      <c r="L5" s="157" t="s">
        <v>201</v>
      </c>
      <c r="M5" s="153" t="s">
        <v>2074</v>
      </c>
    </row>
    <row r="6" spans="1:13" x14ac:dyDescent="0.2">
      <c r="A6" s="156">
        <v>40116</v>
      </c>
      <c r="B6" s="157" t="s">
        <v>235</v>
      </c>
      <c r="C6" s="157" t="s">
        <v>197</v>
      </c>
      <c r="D6" s="157">
        <v>100</v>
      </c>
      <c r="E6" s="164">
        <v>20.3</v>
      </c>
      <c r="F6" s="164">
        <v>2030</v>
      </c>
      <c r="G6" s="394">
        <v>30.39</v>
      </c>
      <c r="H6" s="155" t="s">
        <v>1285</v>
      </c>
      <c r="I6" s="155">
        <v>200910145</v>
      </c>
      <c r="J6" s="157" t="s">
        <v>199</v>
      </c>
      <c r="K6" s="155" t="s">
        <v>200</v>
      </c>
      <c r="L6" s="157" t="s">
        <v>204</v>
      </c>
    </row>
    <row r="7" spans="1:13" x14ac:dyDescent="0.2">
      <c r="A7" s="156">
        <v>40115</v>
      </c>
      <c r="B7" s="157" t="s">
        <v>235</v>
      </c>
      <c r="C7" s="157" t="s">
        <v>197</v>
      </c>
      <c r="D7" s="157">
        <v>400</v>
      </c>
      <c r="E7" s="164">
        <v>18.95</v>
      </c>
      <c r="F7" s="164">
        <v>7580</v>
      </c>
      <c r="G7" s="394">
        <v>73.2</v>
      </c>
      <c r="H7" s="155" t="s">
        <v>1286</v>
      </c>
      <c r="I7" s="155">
        <v>2009201</v>
      </c>
      <c r="J7" s="157" t="s">
        <v>199</v>
      </c>
      <c r="K7" s="155" t="s">
        <v>200</v>
      </c>
      <c r="L7" s="157" t="s">
        <v>201</v>
      </c>
    </row>
    <row r="8" spans="1:13" x14ac:dyDescent="0.2">
      <c r="A8" s="156">
        <v>40098</v>
      </c>
      <c r="B8" s="157" t="s">
        <v>235</v>
      </c>
      <c r="C8" s="157" t="s">
        <v>197</v>
      </c>
      <c r="D8" s="157">
        <v>500</v>
      </c>
      <c r="E8" s="164">
        <v>21.75</v>
      </c>
      <c r="F8" s="164">
        <v>10875</v>
      </c>
      <c r="G8" s="394">
        <v>105.04</v>
      </c>
      <c r="H8" s="155" t="s">
        <v>1287</v>
      </c>
      <c r="I8" s="155">
        <v>2009189</v>
      </c>
      <c r="J8" s="157" t="s">
        <v>199</v>
      </c>
      <c r="K8" s="155" t="s">
        <v>200</v>
      </c>
      <c r="L8" s="157" t="s">
        <v>201</v>
      </c>
    </row>
    <row r="9" spans="1:13" x14ac:dyDescent="0.2">
      <c r="A9" s="156">
        <v>40267</v>
      </c>
      <c r="B9" s="157" t="s">
        <v>255</v>
      </c>
      <c r="C9" s="157" t="s">
        <v>197</v>
      </c>
      <c r="D9" s="157">
        <v>1000</v>
      </c>
      <c r="E9" s="164">
        <v>9.0500000000000007</v>
      </c>
      <c r="F9" s="164">
        <v>9050</v>
      </c>
      <c r="G9" s="394">
        <v>67.41</v>
      </c>
      <c r="H9" s="155" t="s">
        <v>1288</v>
      </c>
      <c r="I9" s="155">
        <v>2010058</v>
      </c>
      <c r="J9" s="157" t="s">
        <v>199</v>
      </c>
      <c r="K9" s="155" t="s">
        <v>200</v>
      </c>
      <c r="L9" s="157" t="s">
        <v>201</v>
      </c>
    </row>
    <row r="10" spans="1:13" x14ac:dyDescent="0.2">
      <c r="A10" s="156">
        <v>40252</v>
      </c>
      <c r="B10" s="157" t="s">
        <v>255</v>
      </c>
      <c r="C10" s="157" t="s">
        <v>197</v>
      </c>
      <c r="D10" s="157">
        <v>1000</v>
      </c>
      <c r="E10" s="164">
        <v>10.65</v>
      </c>
      <c r="F10" s="164">
        <v>10650</v>
      </c>
      <c r="G10" s="394">
        <v>79.41</v>
      </c>
      <c r="H10" s="155" t="s">
        <v>1289</v>
      </c>
      <c r="I10" s="155">
        <v>2010048</v>
      </c>
      <c r="J10" s="157" t="s">
        <v>199</v>
      </c>
      <c r="K10" s="155" t="s">
        <v>200</v>
      </c>
      <c r="L10" s="157" t="s">
        <v>201</v>
      </c>
    </row>
    <row r="11" spans="1:13" x14ac:dyDescent="0.2">
      <c r="A11" s="156">
        <v>40252</v>
      </c>
      <c r="B11" s="157" t="s">
        <v>255</v>
      </c>
      <c r="C11" s="157" t="s">
        <v>197</v>
      </c>
      <c r="D11" s="157">
        <v>1000</v>
      </c>
      <c r="E11" s="164">
        <v>10.65</v>
      </c>
      <c r="F11" s="164">
        <v>10650</v>
      </c>
      <c r="G11" s="394">
        <v>79.41</v>
      </c>
      <c r="H11" s="155" t="s">
        <v>1290</v>
      </c>
      <c r="I11" s="155">
        <v>2010048</v>
      </c>
      <c r="J11" s="157" t="s">
        <v>199</v>
      </c>
      <c r="K11" s="155" t="s">
        <v>200</v>
      </c>
      <c r="L11" s="157" t="s">
        <v>201</v>
      </c>
    </row>
    <row r="12" spans="1:13" x14ac:dyDescent="0.2">
      <c r="A12" s="156">
        <v>40268</v>
      </c>
      <c r="B12" s="157" t="s">
        <v>465</v>
      </c>
      <c r="C12" s="157" t="s">
        <v>197</v>
      </c>
      <c r="D12" s="157">
        <v>10000</v>
      </c>
      <c r="E12" s="164">
        <v>0.51</v>
      </c>
      <c r="F12" s="164">
        <v>5100</v>
      </c>
      <c r="G12" s="394">
        <v>38.380000000000003</v>
      </c>
      <c r="H12" s="155" t="s">
        <v>1291</v>
      </c>
      <c r="I12" s="155">
        <v>201011002</v>
      </c>
      <c r="J12" s="157" t="s">
        <v>307</v>
      </c>
      <c r="K12" s="155" t="s">
        <v>200</v>
      </c>
      <c r="L12" s="157" t="s">
        <v>204</v>
      </c>
    </row>
    <row r="13" spans="1:13" ht="12.6" x14ac:dyDescent="0.25">
      <c r="A13" s="154" t="s">
        <v>1292</v>
      </c>
      <c r="B13" s="155"/>
      <c r="C13" s="155"/>
      <c r="D13" s="155"/>
      <c r="E13" s="163"/>
      <c r="F13" s="163"/>
      <c r="G13" s="394"/>
      <c r="H13" s="155"/>
      <c r="I13" s="155"/>
      <c r="J13" s="155"/>
      <c r="K13" s="155"/>
      <c r="L13" s="155"/>
    </row>
    <row r="14" spans="1:13" x14ac:dyDescent="0.2">
      <c r="A14" s="156">
        <v>39729</v>
      </c>
      <c r="B14" s="157" t="s">
        <v>282</v>
      </c>
      <c r="C14" s="157" t="s">
        <v>197</v>
      </c>
      <c r="D14" s="157">
        <v>300</v>
      </c>
      <c r="E14" s="164">
        <v>12.35</v>
      </c>
      <c r="F14" s="164">
        <v>3705</v>
      </c>
      <c r="G14" s="394">
        <v>36.31</v>
      </c>
      <c r="H14" s="155" t="s">
        <v>1050</v>
      </c>
      <c r="I14" s="155">
        <v>2008192</v>
      </c>
      <c r="J14" s="157" t="s">
        <v>199</v>
      </c>
      <c r="K14" s="155" t="s">
        <v>1051</v>
      </c>
      <c r="L14" s="157" t="s">
        <v>201</v>
      </c>
    </row>
    <row r="15" spans="1:13" x14ac:dyDescent="0.2">
      <c r="A15" s="156">
        <v>39728</v>
      </c>
      <c r="B15" s="157" t="s">
        <v>282</v>
      </c>
      <c r="C15" s="157" t="s">
        <v>197</v>
      </c>
      <c r="D15" s="157">
        <v>1000</v>
      </c>
      <c r="E15" s="164">
        <v>13.1</v>
      </c>
      <c r="F15" s="164">
        <v>13100</v>
      </c>
      <c r="G15" s="394">
        <v>128.58000000000001</v>
      </c>
      <c r="H15" s="155" t="s">
        <v>1052</v>
      </c>
      <c r="I15" s="155">
        <v>2008191</v>
      </c>
      <c r="J15" s="157" t="s">
        <v>199</v>
      </c>
      <c r="K15" s="155" t="s">
        <v>1051</v>
      </c>
      <c r="L15" s="157" t="s">
        <v>201</v>
      </c>
    </row>
    <row r="16" spans="1:13" x14ac:dyDescent="0.2">
      <c r="A16" s="156">
        <v>39728</v>
      </c>
      <c r="B16" s="157" t="s">
        <v>282</v>
      </c>
      <c r="C16" s="157" t="s">
        <v>197</v>
      </c>
      <c r="D16" s="157">
        <v>700</v>
      </c>
      <c r="E16" s="164">
        <v>13.1</v>
      </c>
      <c r="F16" s="164">
        <v>9170</v>
      </c>
      <c r="G16" s="394">
        <v>90</v>
      </c>
      <c r="H16" s="155" t="s">
        <v>1053</v>
      </c>
      <c r="I16" s="155">
        <v>2008191</v>
      </c>
      <c r="J16" s="157" t="s">
        <v>199</v>
      </c>
      <c r="K16" s="155" t="s">
        <v>1051</v>
      </c>
      <c r="L16" s="157" t="s">
        <v>201</v>
      </c>
    </row>
    <row r="17" spans="1:12" ht="12.6" x14ac:dyDescent="0.25">
      <c r="A17" s="159" t="s">
        <v>2072</v>
      </c>
    </row>
    <row r="18" spans="1:12" x14ac:dyDescent="0.2">
      <c r="A18" s="160">
        <v>40611</v>
      </c>
      <c r="B18" s="158" t="s">
        <v>196</v>
      </c>
      <c r="C18" s="158" t="s">
        <v>197</v>
      </c>
      <c r="D18" s="158">
        <v>4</v>
      </c>
      <c r="E18" s="162">
        <v>672.75</v>
      </c>
      <c r="F18" s="162">
        <v>2691</v>
      </c>
      <c r="G18" s="166">
        <v>31.4</v>
      </c>
      <c r="H18" s="158" t="s">
        <v>198</v>
      </c>
      <c r="I18" s="158">
        <v>2011046</v>
      </c>
      <c r="J18" s="158" t="s">
        <v>199</v>
      </c>
      <c r="K18" s="158" t="s">
        <v>200</v>
      </c>
      <c r="L18" s="158" t="s">
        <v>201</v>
      </c>
    </row>
    <row r="19" spans="1:12" x14ac:dyDescent="0.2">
      <c r="A19" s="160">
        <v>40609</v>
      </c>
      <c r="B19" s="158" t="s">
        <v>202</v>
      </c>
      <c r="C19" s="158" t="s">
        <v>197</v>
      </c>
      <c r="D19" s="158">
        <v>10</v>
      </c>
      <c r="E19" s="162">
        <v>293</v>
      </c>
      <c r="F19" s="162">
        <v>2930</v>
      </c>
      <c r="G19" s="166">
        <v>31.98</v>
      </c>
      <c r="H19" s="158" t="s">
        <v>203</v>
      </c>
      <c r="I19" s="158">
        <v>201011238</v>
      </c>
      <c r="J19" s="158" t="s">
        <v>199</v>
      </c>
      <c r="K19" s="158" t="s">
        <v>200</v>
      </c>
      <c r="L19" s="158" t="s">
        <v>204</v>
      </c>
    </row>
    <row r="20" spans="1:12" x14ac:dyDescent="0.2">
      <c r="A20" s="160">
        <v>40609</v>
      </c>
      <c r="B20" s="158" t="s">
        <v>205</v>
      </c>
      <c r="C20" s="158" t="s">
        <v>197</v>
      </c>
      <c r="D20" s="158">
        <v>5</v>
      </c>
      <c r="E20" s="162">
        <v>968</v>
      </c>
      <c r="F20" s="162">
        <v>4840</v>
      </c>
      <c r="G20" s="166">
        <v>35.799999999999997</v>
      </c>
      <c r="H20" s="158" t="s">
        <v>206</v>
      </c>
      <c r="I20" s="158">
        <v>2011044</v>
      </c>
      <c r="J20" s="158" t="s">
        <v>199</v>
      </c>
      <c r="K20" s="158" t="s">
        <v>200</v>
      </c>
      <c r="L20" s="158" t="s">
        <v>201</v>
      </c>
    </row>
    <row r="21" spans="1:12" x14ac:dyDescent="0.2">
      <c r="A21" s="160">
        <v>40609</v>
      </c>
      <c r="B21" s="158" t="s">
        <v>207</v>
      </c>
      <c r="C21" s="158" t="s">
        <v>197</v>
      </c>
      <c r="D21" s="158">
        <v>70</v>
      </c>
      <c r="E21" s="162">
        <v>51.15</v>
      </c>
      <c r="F21" s="162">
        <v>3580.5</v>
      </c>
      <c r="G21" s="166">
        <v>32.53</v>
      </c>
      <c r="H21" s="158" t="s">
        <v>208</v>
      </c>
      <c r="I21" s="158">
        <v>2011044</v>
      </c>
      <c r="J21" s="158" t="s">
        <v>199</v>
      </c>
      <c r="K21" s="158" t="s">
        <v>200</v>
      </c>
      <c r="L21" s="158" t="s">
        <v>201</v>
      </c>
    </row>
    <row r="22" spans="1:12" x14ac:dyDescent="0.2">
      <c r="A22" s="160">
        <v>40606</v>
      </c>
      <c r="B22" s="158" t="s">
        <v>205</v>
      </c>
      <c r="C22" s="158" t="s">
        <v>197</v>
      </c>
      <c r="D22" s="158">
        <v>4</v>
      </c>
      <c r="E22" s="162">
        <v>982.5</v>
      </c>
      <c r="F22" s="162">
        <v>3930</v>
      </c>
      <c r="G22" s="166">
        <v>33.020000000000003</v>
      </c>
      <c r="H22" s="158" t="s">
        <v>209</v>
      </c>
      <c r="I22" s="158">
        <v>2011043</v>
      </c>
      <c r="J22" s="158" t="s">
        <v>199</v>
      </c>
      <c r="K22" s="158" t="s">
        <v>200</v>
      </c>
      <c r="L22" s="158" t="s">
        <v>201</v>
      </c>
    </row>
    <row r="23" spans="1:12" x14ac:dyDescent="0.2">
      <c r="A23" s="160">
        <v>40606</v>
      </c>
      <c r="B23" s="158" t="s">
        <v>196</v>
      </c>
      <c r="C23" s="158" t="s">
        <v>197</v>
      </c>
      <c r="D23" s="158">
        <v>8</v>
      </c>
      <c r="E23" s="162">
        <v>682</v>
      </c>
      <c r="F23" s="162">
        <v>5456</v>
      </c>
      <c r="G23" s="166">
        <v>40.93</v>
      </c>
      <c r="H23" s="158" t="s">
        <v>210</v>
      </c>
      <c r="I23" s="158">
        <v>2011043</v>
      </c>
      <c r="J23" s="158" t="s">
        <v>199</v>
      </c>
      <c r="K23" s="158" t="s">
        <v>200</v>
      </c>
      <c r="L23" s="158" t="s">
        <v>201</v>
      </c>
    </row>
    <row r="24" spans="1:12" x14ac:dyDescent="0.2">
      <c r="A24" s="160">
        <v>40605</v>
      </c>
      <c r="B24" s="158" t="s">
        <v>211</v>
      </c>
      <c r="C24" s="158" t="s">
        <v>197</v>
      </c>
      <c r="D24" s="158">
        <v>10</v>
      </c>
      <c r="E24" s="162">
        <v>460.25</v>
      </c>
      <c r="F24" s="162">
        <v>4602.5</v>
      </c>
      <c r="G24" s="166">
        <v>34.549999999999997</v>
      </c>
      <c r="H24" s="158" t="s">
        <v>212</v>
      </c>
      <c r="I24" s="158">
        <v>201011236</v>
      </c>
      <c r="J24" s="158" t="s">
        <v>199</v>
      </c>
      <c r="K24" s="158" t="s">
        <v>200</v>
      </c>
      <c r="L24" s="158" t="s">
        <v>204</v>
      </c>
    </row>
    <row r="25" spans="1:12" x14ac:dyDescent="0.2">
      <c r="A25" s="160">
        <v>40603</v>
      </c>
      <c r="B25" s="158" t="s">
        <v>202</v>
      </c>
      <c r="C25" s="158" t="s">
        <v>197</v>
      </c>
      <c r="D25" s="158">
        <v>12</v>
      </c>
      <c r="E25" s="162">
        <v>291.8</v>
      </c>
      <c r="F25" s="162">
        <v>3501.6</v>
      </c>
      <c r="G25" s="166">
        <v>32.42</v>
      </c>
      <c r="H25" s="158" t="s">
        <v>213</v>
      </c>
      <c r="I25" s="158">
        <v>2011041</v>
      </c>
      <c r="J25" s="158" t="s">
        <v>199</v>
      </c>
      <c r="K25" s="158" t="s">
        <v>200</v>
      </c>
      <c r="L25" s="158" t="s">
        <v>201</v>
      </c>
    </row>
    <row r="26" spans="1:12" x14ac:dyDescent="0.2">
      <c r="A26" s="160">
        <v>40603</v>
      </c>
      <c r="B26" s="158" t="s">
        <v>196</v>
      </c>
      <c r="C26" s="158" t="s">
        <v>197</v>
      </c>
      <c r="D26" s="158">
        <v>7</v>
      </c>
      <c r="E26" s="162">
        <v>646.85</v>
      </c>
      <c r="F26" s="162">
        <v>4527.95</v>
      </c>
      <c r="G26" s="166">
        <v>33.81</v>
      </c>
      <c r="H26" s="158" t="s">
        <v>214</v>
      </c>
      <c r="I26" s="158">
        <v>2011041</v>
      </c>
      <c r="J26" s="158" t="s">
        <v>199</v>
      </c>
      <c r="K26" s="158" t="s">
        <v>200</v>
      </c>
      <c r="L26" s="158" t="s">
        <v>201</v>
      </c>
    </row>
    <row r="27" spans="1:12" x14ac:dyDescent="0.2">
      <c r="A27" s="160">
        <v>40602</v>
      </c>
      <c r="B27" s="158" t="s">
        <v>207</v>
      </c>
      <c r="C27" s="158" t="s">
        <v>197</v>
      </c>
      <c r="D27" s="158">
        <v>80</v>
      </c>
      <c r="E27" s="162">
        <v>47</v>
      </c>
      <c r="F27" s="162">
        <v>3760</v>
      </c>
      <c r="G27" s="166">
        <v>32.79</v>
      </c>
      <c r="H27" s="158" t="s">
        <v>215</v>
      </c>
      <c r="I27" s="158">
        <v>2011040</v>
      </c>
      <c r="J27" s="158" t="s">
        <v>199</v>
      </c>
      <c r="K27" s="158" t="s">
        <v>200</v>
      </c>
      <c r="L27" s="158" t="s">
        <v>201</v>
      </c>
    </row>
    <row r="28" spans="1:12" x14ac:dyDescent="0.2">
      <c r="A28" s="160">
        <v>40602</v>
      </c>
      <c r="B28" s="158" t="s">
        <v>211</v>
      </c>
      <c r="C28" s="158" t="s">
        <v>197</v>
      </c>
      <c r="D28" s="158">
        <v>12</v>
      </c>
      <c r="E28" s="162">
        <v>440.4</v>
      </c>
      <c r="F28" s="162">
        <v>5284.8</v>
      </c>
      <c r="G28" s="166">
        <v>39.07</v>
      </c>
      <c r="H28" s="158" t="s">
        <v>216</v>
      </c>
      <c r="I28" s="158">
        <v>2011040</v>
      </c>
      <c r="J28" s="158" t="s">
        <v>199</v>
      </c>
      <c r="K28" s="158" t="s">
        <v>200</v>
      </c>
      <c r="L28" s="158" t="s">
        <v>201</v>
      </c>
    </row>
    <row r="29" spans="1:12" x14ac:dyDescent="0.2">
      <c r="A29" s="160">
        <v>40584</v>
      </c>
      <c r="B29" s="158" t="s">
        <v>233</v>
      </c>
      <c r="C29" s="158" t="s">
        <v>197</v>
      </c>
      <c r="D29" s="158">
        <v>50</v>
      </c>
      <c r="E29" s="162">
        <v>127</v>
      </c>
      <c r="F29" s="162">
        <v>6350</v>
      </c>
      <c r="G29" s="166">
        <v>47.39</v>
      </c>
      <c r="H29" s="158" t="s">
        <v>234</v>
      </c>
      <c r="I29" s="158">
        <v>2011028</v>
      </c>
      <c r="J29" s="158" t="s">
        <v>199</v>
      </c>
      <c r="K29" s="158" t="s">
        <v>200</v>
      </c>
      <c r="L29" s="158" t="s">
        <v>201</v>
      </c>
    </row>
    <row r="30" spans="1:12" x14ac:dyDescent="0.2">
      <c r="A30" s="160">
        <v>40582</v>
      </c>
      <c r="B30" s="158" t="s">
        <v>235</v>
      </c>
      <c r="C30" s="158" t="s">
        <v>197</v>
      </c>
      <c r="D30" s="158">
        <v>200</v>
      </c>
      <c r="E30" s="162">
        <v>24.25</v>
      </c>
      <c r="F30" s="162">
        <v>4850</v>
      </c>
      <c r="G30" s="166">
        <v>36.14</v>
      </c>
      <c r="H30" s="158" t="s">
        <v>236</v>
      </c>
      <c r="I30" s="158">
        <v>2011026</v>
      </c>
      <c r="J30" s="158" t="s">
        <v>199</v>
      </c>
      <c r="K30" s="158" t="s">
        <v>200</v>
      </c>
      <c r="L30" s="158" t="s">
        <v>201</v>
      </c>
    </row>
    <row r="31" spans="1:12" x14ac:dyDescent="0.2">
      <c r="A31" s="160">
        <v>40582</v>
      </c>
      <c r="B31" s="158" t="s">
        <v>233</v>
      </c>
      <c r="C31" s="158" t="s">
        <v>197</v>
      </c>
      <c r="D31" s="158">
        <v>50</v>
      </c>
      <c r="E31" s="162">
        <v>146.94999999999999</v>
      </c>
      <c r="F31" s="162">
        <v>7347.5</v>
      </c>
      <c r="G31" s="166">
        <v>54.75</v>
      </c>
      <c r="H31" s="158" t="s">
        <v>237</v>
      </c>
      <c r="I31" s="158">
        <v>2011026</v>
      </c>
      <c r="J31" s="158" t="s">
        <v>199</v>
      </c>
      <c r="K31" s="158" t="s">
        <v>200</v>
      </c>
      <c r="L31" s="158" t="s">
        <v>201</v>
      </c>
    </row>
    <row r="32" spans="1:12" x14ac:dyDescent="0.2">
      <c r="A32" s="160">
        <v>40582</v>
      </c>
      <c r="B32" s="158" t="s">
        <v>238</v>
      </c>
      <c r="C32" s="158" t="s">
        <v>197</v>
      </c>
      <c r="D32" s="158">
        <v>50</v>
      </c>
      <c r="E32" s="162">
        <v>123.8</v>
      </c>
      <c r="F32" s="162">
        <v>6190</v>
      </c>
      <c r="G32" s="166">
        <v>46.13</v>
      </c>
      <c r="H32" s="158" t="s">
        <v>239</v>
      </c>
      <c r="I32" s="158">
        <v>2011026</v>
      </c>
      <c r="J32" s="158" t="s">
        <v>199</v>
      </c>
      <c r="K32" s="158" t="s">
        <v>200</v>
      </c>
      <c r="L32" s="158" t="s">
        <v>201</v>
      </c>
    </row>
    <row r="33" spans="1:12" x14ac:dyDescent="0.2">
      <c r="A33" s="160">
        <v>40576</v>
      </c>
      <c r="B33" s="158" t="s">
        <v>240</v>
      </c>
      <c r="C33" s="158" t="s">
        <v>197</v>
      </c>
      <c r="D33" s="158">
        <v>50</v>
      </c>
      <c r="E33" s="162">
        <v>142.4</v>
      </c>
      <c r="F33" s="162">
        <v>7120</v>
      </c>
      <c r="G33" s="166">
        <v>53.15</v>
      </c>
      <c r="H33" s="158" t="s">
        <v>241</v>
      </c>
      <c r="I33" s="158">
        <v>2011022</v>
      </c>
      <c r="J33" s="158" t="s">
        <v>199</v>
      </c>
      <c r="K33" s="158" t="s">
        <v>200</v>
      </c>
      <c r="L33" s="158" t="s">
        <v>201</v>
      </c>
    </row>
    <row r="34" spans="1:12" x14ac:dyDescent="0.2">
      <c r="A34" s="160">
        <v>40574</v>
      </c>
      <c r="B34" s="158" t="s">
        <v>242</v>
      </c>
      <c r="C34" s="158" t="s">
        <v>197</v>
      </c>
      <c r="D34" s="158">
        <v>100</v>
      </c>
      <c r="E34" s="162">
        <v>36.450000000000003</v>
      </c>
      <c r="F34" s="162">
        <v>3645</v>
      </c>
      <c r="G34" s="166">
        <v>33.07</v>
      </c>
      <c r="H34" s="158" t="s">
        <v>243</v>
      </c>
      <c r="I34" s="158">
        <v>2011020</v>
      </c>
      <c r="J34" s="158" t="s">
        <v>199</v>
      </c>
      <c r="K34" s="158" t="s">
        <v>200</v>
      </c>
      <c r="L34" s="158" t="s">
        <v>201</v>
      </c>
    </row>
    <row r="35" spans="1:12" x14ac:dyDescent="0.2">
      <c r="A35" s="160">
        <v>40571</v>
      </c>
      <c r="B35" s="158" t="s">
        <v>244</v>
      </c>
      <c r="C35" s="158" t="s">
        <v>197</v>
      </c>
      <c r="D35" s="158">
        <v>100</v>
      </c>
      <c r="E35" s="162">
        <v>38.6</v>
      </c>
      <c r="F35" s="162">
        <v>3860</v>
      </c>
      <c r="G35" s="166">
        <v>33.11</v>
      </c>
      <c r="H35" s="158" t="s">
        <v>245</v>
      </c>
      <c r="I35" s="158">
        <v>201011213</v>
      </c>
      <c r="J35" s="158" t="s">
        <v>199</v>
      </c>
      <c r="K35" s="158" t="s">
        <v>200</v>
      </c>
      <c r="L35" s="158" t="s">
        <v>204</v>
      </c>
    </row>
    <row r="36" spans="1:12" x14ac:dyDescent="0.2">
      <c r="A36" s="160">
        <v>40571</v>
      </c>
      <c r="B36" s="158" t="s">
        <v>238</v>
      </c>
      <c r="C36" s="158" t="s">
        <v>197</v>
      </c>
      <c r="D36" s="158">
        <v>50</v>
      </c>
      <c r="E36" s="162">
        <v>137.1</v>
      </c>
      <c r="F36" s="162">
        <v>6855</v>
      </c>
      <c r="G36" s="166">
        <v>50.73</v>
      </c>
      <c r="H36" s="158" t="s">
        <v>246</v>
      </c>
      <c r="I36" s="158">
        <v>2011019</v>
      </c>
      <c r="J36" s="158" t="s">
        <v>199</v>
      </c>
      <c r="K36" s="158" t="s">
        <v>200</v>
      </c>
      <c r="L36" s="158" t="s">
        <v>201</v>
      </c>
    </row>
    <row r="37" spans="1:12" x14ac:dyDescent="0.2">
      <c r="A37" s="160">
        <v>40571</v>
      </c>
      <c r="B37" s="158" t="s">
        <v>242</v>
      </c>
      <c r="C37" s="158" t="s">
        <v>197</v>
      </c>
      <c r="D37" s="158">
        <v>100</v>
      </c>
      <c r="E37" s="162">
        <v>38.1</v>
      </c>
      <c r="F37" s="162">
        <v>3810</v>
      </c>
      <c r="G37" s="166">
        <v>32.85</v>
      </c>
      <c r="H37" s="158" t="s">
        <v>247</v>
      </c>
      <c r="I37" s="158">
        <v>2011019</v>
      </c>
      <c r="J37" s="158" t="s">
        <v>199</v>
      </c>
      <c r="K37" s="158" t="s">
        <v>200</v>
      </c>
      <c r="L37" s="158" t="s">
        <v>201</v>
      </c>
    </row>
    <row r="38" spans="1:12" x14ac:dyDescent="0.2">
      <c r="A38" s="160">
        <v>40571</v>
      </c>
      <c r="B38" s="158" t="s">
        <v>233</v>
      </c>
      <c r="C38" s="158" t="s">
        <v>197</v>
      </c>
      <c r="D38" s="158">
        <v>25</v>
      </c>
      <c r="E38" s="162">
        <v>161</v>
      </c>
      <c r="F38" s="162">
        <v>4025</v>
      </c>
      <c r="G38" s="166">
        <v>33.15</v>
      </c>
      <c r="H38" s="158" t="s">
        <v>248</v>
      </c>
      <c r="I38" s="158">
        <v>2011019</v>
      </c>
      <c r="J38" s="158" t="s">
        <v>199</v>
      </c>
      <c r="K38" s="158" t="s">
        <v>200</v>
      </c>
      <c r="L38" s="158" t="s">
        <v>201</v>
      </c>
    </row>
    <row r="39" spans="1:12" x14ac:dyDescent="0.2">
      <c r="A39" s="160">
        <v>40555</v>
      </c>
      <c r="B39" s="158" t="s">
        <v>249</v>
      </c>
      <c r="C39" s="158" t="s">
        <v>197</v>
      </c>
      <c r="D39" s="158">
        <v>250</v>
      </c>
      <c r="E39" s="162">
        <v>17.11</v>
      </c>
      <c r="F39" s="162">
        <v>4277</v>
      </c>
      <c r="G39" s="166">
        <v>33.15</v>
      </c>
      <c r="H39" s="158" t="s">
        <v>250</v>
      </c>
      <c r="I39" s="158">
        <v>2011008</v>
      </c>
      <c r="J39" s="158" t="s">
        <v>199</v>
      </c>
      <c r="K39" s="158" t="s">
        <v>200</v>
      </c>
      <c r="L39" s="158" t="s">
        <v>201</v>
      </c>
    </row>
    <row r="40" spans="1:12" x14ac:dyDescent="0.2">
      <c r="A40" s="160">
        <v>40554</v>
      </c>
      <c r="B40" s="158" t="s">
        <v>244</v>
      </c>
      <c r="C40" s="158" t="s">
        <v>197</v>
      </c>
      <c r="D40" s="158">
        <v>200</v>
      </c>
      <c r="E40" s="162">
        <v>41.25</v>
      </c>
      <c r="F40" s="162">
        <v>8250</v>
      </c>
      <c r="G40" s="166">
        <v>61.48</v>
      </c>
      <c r="H40" s="158" t="s">
        <v>251</v>
      </c>
      <c r="I40" s="158">
        <v>2011007</v>
      </c>
      <c r="J40" s="158" t="s">
        <v>199</v>
      </c>
      <c r="K40" s="158" t="s">
        <v>200</v>
      </c>
      <c r="L40" s="158" t="s">
        <v>201</v>
      </c>
    </row>
    <row r="41" spans="1:12" x14ac:dyDescent="0.2">
      <c r="A41" s="160">
        <v>40554</v>
      </c>
      <c r="B41" s="158" t="s">
        <v>238</v>
      </c>
      <c r="C41" s="158" t="s">
        <v>197</v>
      </c>
      <c r="D41" s="158">
        <v>50</v>
      </c>
      <c r="E41" s="162">
        <v>159.9</v>
      </c>
      <c r="F41" s="162">
        <v>7995</v>
      </c>
      <c r="G41" s="166">
        <v>59.28</v>
      </c>
      <c r="H41" s="158" t="s">
        <v>252</v>
      </c>
      <c r="I41" s="158">
        <v>2011007</v>
      </c>
      <c r="J41" s="158" t="s">
        <v>199</v>
      </c>
      <c r="K41" s="158" t="s">
        <v>200</v>
      </c>
      <c r="L41" s="158" t="s">
        <v>201</v>
      </c>
    </row>
    <row r="42" spans="1:12" x14ac:dyDescent="0.2">
      <c r="A42" s="160">
        <v>40553</v>
      </c>
      <c r="B42" s="158" t="s">
        <v>235</v>
      </c>
      <c r="C42" s="158" t="s">
        <v>197</v>
      </c>
      <c r="D42" s="158">
        <v>500</v>
      </c>
      <c r="E42" s="162">
        <v>25.65</v>
      </c>
      <c r="F42" s="162">
        <v>12825</v>
      </c>
      <c r="G42" s="166">
        <v>95.53</v>
      </c>
      <c r="H42" s="158" t="s">
        <v>253</v>
      </c>
      <c r="I42" s="158">
        <v>2011006</v>
      </c>
      <c r="J42" s="158" t="s">
        <v>199</v>
      </c>
      <c r="K42" s="158" t="s">
        <v>200</v>
      </c>
      <c r="L42" s="158" t="s">
        <v>201</v>
      </c>
    </row>
    <row r="43" spans="1:12" x14ac:dyDescent="0.2">
      <c r="A43" s="160">
        <v>40543</v>
      </c>
      <c r="B43" s="158" t="s">
        <v>233</v>
      </c>
      <c r="C43" s="158" t="s">
        <v>197</v>
      </c>
      <c r="D43" s="158">
        <v>75</v>
      </c>
      <c r="E43" s="162">
        <v>169</v>
      </c>
      <c r="F43" s="162">
        <v>12675</v>
      </c>
      <c r="G43" s="166">
        <v>94.61</v>
      </c>
      <c r="H43" s="158" t="s">
        <v>254</v>
      </c>
      <c r="I43" s="158">
        <v>201011194</v>
      </c>
      <c r="J43" s="158" t="s">
        <v>199</v>
      </c>
      <c r="K43" s="158" t="s">
        <v>200</v>
      </c>
      <c r="L43" s="158" t="s">
        <v>204</v>
      </c>
    </row>
    <row r="44" spans="1:12" x14ac:dyDescent="0.2">
      <c r="A44" s="160">
        <v>40536</v>
      </c>
      <c r="B44" s="158" t="s">
        <v>255</v>
      </c>
      <c r="C44" s="158" t="s">
        <v>197</v>
      </c>
      <c r="D44" s="158">
        <v>500</v>
      </c>
      <c r="E44" s="162">
        <v>12.04</v>
      </c>
      <c r="F44" s="162">
        <v>6021.35</v>
      </c>
      <c r="G44" s="166">
        <v>45.31</v>
      </c>
      <c r="H44" s="158" t="s">
        <v>256</v>
      </c>
      <c r="I44" s="158">
        <v>2010246</v>
      </c>
      <c r="J44" s="158" t="s">
        <v>199</v>
      </c>
      <c r="K44" s="158" t="s">
        <v>200</v>
      </c>
      <c r="L44" s="158" t="s">
        <v>201</v>
      </c>
    </row>
    <row r="45" spans="1:12" x14ac:dyDescent="0.2">
      <c r="A45" s="160">
        <v>40526</v>
      </c>
      <c r="B45" s="158" t="s">
        <v>257</v>
      </c>
      <c r="C45" s="158" t="s">
        <v>197</v>
      </c>
      <c r="D45" s="158">
        <v>100</v>
      </c>
      <c r="E45" s="162">
        <v>83.85</v>
      </c>
      <c r="F45" s="162">
        <v>8385</v>
      </c>
      <c r="G45" s="166">
        <v>62</v>
      </c>
      <c r="H45" s="158" t="s">
        <v>258</v>
      </c>
      <c r="I45" s="158">
        <v>2010239</v>
      </c>
      <c r="J45" s="158" t="s">
        <v>199</v>
      </c>
      <c r="K45" s="158" t="s">
        <v>200</v>
      </c>
      <c r="L45" s="158" t="s">
        <v>201</v>
      </c>
    </row>
    <row r="46" spans="1:12" x14ac:dyDescent="0.2">
      <c r="A46" s="160">
        <v>40518</v>
      </c>
      <c r="B46" s="158" t="s">
        <v>257</v>
      </c>
      <c r="C46" s="158" t="s">
        <v>197</v>
      </c>
      <c r="D46" s="158">
        <v>100</v>
      </c>
      <c r="E46" s="162">
        <v>110.75</v>
      </c>
      <c r="F46" s="162">
        <v>11075</v>
      </c>
      <c r="G46" s="166">
        <v>82.68</v>
      </c>
      <c r="H46" s="158" t="s">
        <v>259</v>
      </c>
      <c r="I46" s="158">
        <v>2010233</v>
      </c>
      <c r="J46" s="158" t="s">
        <v>199</v>
      </c>
      <c r="K46" s="158" t="s">
        <v>200</v>
      </c>
      <c r="L46" s="158" t="s">
        <v>201</v>
      </c>
    </row>
    <row r="47" spans="1:12" x14ac:dyDescent="0.2">
      <c r="A47" s="160">
        <v>40511</v>
      </c>
      <c r="B47" s="158" t="s">
        <v>255</v>
      </c>
      <c r="C47" s="158" t="s">
        <v>197</v>
      </c>
      <c r="D47" s="158">
        <v>500</v>
      </c>
      <c r="E47" s="162">
        <v>12.65</v>
      </c>
      <c r="F47" s="162">
        <v>6325</v>
      </c>
      <c r="G47" s="166">
        <v>47.16</v>
      </c>
      <c r="H47" s="158" t="s">
        <v>260</v>
      </c>
      <c r="I47" s="158">
        <v>2010228</v>
      </c>
      <c r="J47" s="158" t="s">
        <v>199</v>
      </c>
      <c r="K47" s="158" t="s">
        <v>200</v>
      </c>
      <c r="L47" s="158" t="s">
        <v>201</v>
      </c>
    </row>
    <row r="48" spans="1:12" x14ac:dyDescent="0.2">
      <c r="A48" s="160">
        <v>40511</v>
      </c>
      <c r="B48" s="158" t="s">
        <v>257</v>
      </c>
      <c r="C48" s="158" t="s">
        <v>197</v>
      </c>
      <c r="D48" s="158">
        <v>100</v>
      </c>
      <c r="E48" s="162">
        <v>150</v>
      </c>
      <c r="F48" s="162">
        <v>15000</v>
      </c>
      <c r="G48" s="166">
        <v>0.83</v>
      </c>
      <c r="H48" s="158" t="s">
        <v>261</v>
      </c>
      <c r="I48" s="158">
        <v>2010228</v>
      </c>
      <c r="J48" s="158" t="s">
        <v>199</v>
      </c>
      <c r="K48" s="158" t="s">
        <v>200</v>
      </c>
      <c r="L48" s="158" t="s">
        <v>201</v>
      </c>
    </row>
    <row r="49" spans="1:12" x14ac:dyDescent="0.2">
      <c r="A49" s="160">
        <v>40508</v>
      </c>
      <c r="B49" s="158" t="s">
        <v>242</v>
      </c>
      <c r="C49" s="158" t="s">
        <v>197</v>
      </c>
      <c r="D49" s="158">
        <v>300</v>
      </c>
      <c r="E49" s="162">
        <v>41.25</v>
      </c>
      <c r="F49" s="162">
        <v>12375</v>
      </c>
      <c r="G49" s="166">
        <v>91.76</v>
      </c>
      <c r="H49" s="158" t="s">
        <v>262</v>
      </c>
      <c r="I49" s="158">
        <v>2010227</v>
      </c>
      <c r="J49" s="158" t="s">
        <v>199</v>
      </c>
      <c r="K49" s="158" t="s">
        <v>200</v>
      </c>
      <c r="L49" s="158" t="s">
        <v>201</v>
      </c>
    </row>
    <row r="50" spans="1:12" x14ac:dyDescent="0.2">
      <c r="A50" s="160">
        <v>40501</v>
      </c>
      <c r="B50" s="158" t="s">
        <v>255</v>
      </c>
      <c r="C50" s="158" t="s">
        <v>197</v>
      </c>
      <c r="D50" s="158">
        <v>1000</v>
      </c>
      <c r="E50" s="162">
        <v>13.5</v>
      </c>
      <c r="F50" s="162">
        <v>13500</v>
      </c>
      <c r="G50" s="166">
        <v>100.78</v>
      </c>
      <c r="H50" s="158" t="s">
        <v>263</v>
      </c>
      <c r="I50" s="158">
        <v>201011165</v>
      </c>
      <c r="J50" s="158" t="s">
        <v>199</v>
      </c>
      <c r="K50" s="158" t="s">
        <v>200</v>
      </c>
      <c r="L50" s="158" t="s">
        <v>204</v>
      </c>
    </row>
    <row r="51" spans="1:12" x14ac:dyDescent="0.2">
      <c r="A51" s="160">
        <v>40497</v>
      </c>
      <c r="B51" s="158" t="s">
        <v>264</v>
      </c>
      <c r="C51" s="158" t="s">
        <v>197</v>
      </c>
      <c r="D51" s="158">
        <v>700</v>
      </c>
      <c r="E51" s="162">
        <v>34.35</v>
      </c>
      <c r="F51" s="162">
        <v>24045</v>
      </c>
      <c r="G51" s="166">
        <v>179.16</v>
      </c>
      <c r="H51" s="158" t="s">
        <v>265</v>
      </c>
      <c r="I51" s="158">
        <v>201011162</v>
      </c>
      <c r="J51" s="158" t="s">
        <v>199</v>
      </c>
      <c r="K51" s="158" t="s">
        <v>200</v>
      </c>
      <c r="L51" s="158" t="s">
        <v>204</v>
      </c>
    </row>
    <row r="52" spans="1:12" x14ac:dyDescent="0.2">
      <c r="A52" s="160">
        <v>40494</v>
      </c>
      <c r="B52" s="158" t="s">
        <v>266</v>
      </c>
      <c r="C52" s="158" t="s">
        <v>197</v>
      </c>
      <c r="D52" s="158">
        <v>50</v>
      </c>
      <c r="E52" s="162">
        <v>285.5</v>
      </c>
      <c r="F52" s="162">
        <v>14275</v>
      </c>
      <c r="G52" s="166">
        <v>106.38</v>
      </c>
      <c r="H52" s="158" t="s">
        <v>267</v>
      </c>
      <c r="I52" s="158">
        <v>2010218</v>
      </c>
      <c r="J52" s="158" t="s">
        <v>199</v>
      </c>
      <c r="K52" s="158" t="s">
        <v>200</v>
      </c>
      <c r="L52" s="158" t="s">
        <v>201</v>
      </c>
    </row>
    <row r="53" spans="1:12" x14ac:dyDescent="0.2">
      <c r="A53" s="160">
        <v>40494</v>
      </c>
      <c r="B53" s="158" t="s">
        <v>268</v>
      </c>
      <c r="C53" s="158" t="s">
        <v>197</v>
      </c>
      <c r="D53" s="158">
        <v>2000</v>
      </c>
      <c r="E53" s="162">
        <v>5.35</v>
      </c>
      <c r="F53" s="162">
        <v>10700</v>
      </c>
      <c r="G53" s="166">
        <v>79.569999999999993</v>
      </c>
      <c r="H53" s="158" t="s">
        <v>269</v>
      </c>
      <c r="I53" s="158">
        <v>2010218</v>
      </c>
      <c r="J53" s="158" t="s">
        <v>199</v>
      </c>
      <c r="K53" s="158" t="s">
        <v>200</v>
      </c>
      <c r="L53" s="158" t="s">
        <v>201</v>
      </c>
    </row>
    <row r="54" spans="1:12" x14ac:dyDescent="0.2">
      <c r="A54" s="160">
        <v>40494</v>
      </c>
      <c r="B54" s="158" t="s">
        <v>266</v>
      </c>
      <c r="C54" s="158" t="s">
        <v>197</v>
      </c>
      <c r="D54" s="158">
        <v>75</v>
      </c>
      <c r="E54" s="162">
        <v>268.5</v>
      </c>
      <c r="F54" s="162">
        <v>20137.5</v>
      </c>
      <c r="G54" s="166">
        <v>150.06</v>
      </c>
      <c r="H54" s="158" t="s">
        <v>270</v>
      </c>
      <c r="I54" s="158">
        <v>2010218</v>
      </c>
      <c r="J54" s="158" t="s">
        <v>199</v>
      </c>
      <c r="K54" s="158" t="s">
        <v>200</v>
      </c>
      <c r="L54" s="158" t="s">
        <v>201</v>
      </c>
    </row>
    <row r="55" spans="1:12" x14ac:dyDescent="0.2">
      <c r="A55" s="160">
        <v>40491</v>
      </c>
      <c r="B55" s="158" t="s">
        <v>238</v>
      </c>
      <c r="C55" s="158" t="s">
        <v>197</v>
      </c>
      <c r="D55" s="158">
        <v>50</v>
      </c>
      <c r="E55" s="162">
        <v>172</v>
      </c>
      <c r="F55" s="162">
        <v>8600</v>
      </c>
      <c r="G55" s="166">
        <v>64.09</v>
      </c>
      <c r="H55" s="158" t="s">
        <v>271</v>
      </c>
      <c r="I55" s="158">
        <v>201011158</v>
      </c>
      <c r="J55" s="158" t="s">
        <v>199</v>
      </c>
      <c r="K55" s="158" t="s">
        <v>200</v>
      </c>
      <c r="L55" s="158" t="s">
        <v>204</v>
      </c>
    </row>
    <row r="56" spans="1:12" x14ac:dyDescent="0.2">
      <c r="A56" s="160">
        <v>40491</v>
      </c>
      <c r="B56" s="158" t="s">
        <v>242</v>
      </c>
      <c r="C56" s="158" t="s">
        <v>197</v>
      </c>
      <c r="D56" s="158">
        <v>250</v>
      </c>
      <c r="E56" s="162">
        <v>62.8</v>
      </c>
      <c r="F56" s="162">
        <v>15700</v>
      </c>
      <c r="G56" s="166">
        <v>117.01</v>
      </c>
      <c r="H56" s="158" t="s">
        <v>272</v>
      </c>
      <c r="I56" s="158">
        <v>2010215</v>
      </c>
      <c r="J56" s="158" t="s">
        <v>199</v>
      </c>
      <c r="K56" s="158" t="s">
        <v>200</v>
      </c>
      <c r="L56" s="158" t="s">
        <v>201</v>
      </c>
    </row>
    <row r="57" spans="1:12" x14ac:dyDescent="0.2">
      <c r="A57" s="160">
        <v>40490</v>
      </c>
      <c r="B57" s="158" t="s">
        <v>238</v>
      </c>
      <c r="C57" s="158" t="s">
        <v>197</v>
      </c>
      <c r="D57" s="158">
        <v>100</v>
      </c>
      <c r="E57" s="162">
        <v>173.2</v>
      </c>
      <c r="F57" s="162">
        <v>17320</v>
      </c>
      <c r="G57" s="166">
        <v>129.06</v>
      </c>
      <c r="H57" s="158" t="s">
        <v>273</v>
      </c>
      <c r="I57" s="158">
        <v>2010214</v>
      </c>
      <c r="J57" s="158" t="s">
        <v>199</v>
      </c>
      <c r="K57" s="158" t="s">
        <v>200</v>
      </c>
      <c r="L57" s="158" t="s">
        <v>201</v>
      </c>
    </row>
    <row r="58" spans="1:12" x14ac:dyDescent="0.2">
      <c r="A58" s="160">
        <v>40490</v>
      </c>
      <c r="B58" s="158" t="s">
        <v>242</v>
      </c>
      <c r="C58" s="158" t="s">
        <v>197</v>
      </c>
      <c r="D58" s="158">
        <v>250</v>
      </c>
      <c r="E58" s="162">
        <v>63.25</v>
      </c>
      <c r="F58" s="162">
        <v>15812.5</v>
      </c>
      <c r="G58" s="166">
        <v>117.83</v>
      </c>
      <c r="H58" s="158" t="s">
        <v>274</v>
      </c>
      <c r="I58" s="158">
        <v>2010214</v>
      </c>
      <c r="J58" s="158" t="s">
        <v>199</v>
      </c>
      <c r="K58" s="158" t="s">
        <v>200</v>
      </c>
      <c r="L58" s="158" t="s">
        <v>201</v>
      </c>
    </row>
    <row r="59" spans="1:12" x14ac:dyDescent="0.2">
      <c r="A59" s="160">
        <v>40484</v>
      </c>
      <c r="B59" s="158" t="s">
        <v>257</v>
      </c>
      <c r="C59" s="158" t="s">
        <v>197</v>
      </c>
      <c r="D59" s="158">
        <v>100</v>
      </c>
      <c r="E59" s="162">
        <v>136.30000000000001</v>
      </c>
      <c r="F59" s="162">
        <v>13630</v>
      </c>
      <c r="G59" s="166">
        <v>101.58</v>
      </c>
      <c r="H59" s="158" t="s">
        <v>275</v>
      </c>
      <c r="I59" s="158">
        <v>201011153</v>
      </c>
      <c r="J59" s="158" t="s">
        <v>199</v>
      </c>
      <c r="K59" s="158" t="s">
        <v>200</v>
      </c>
      <c r="L59" s="158" t="s">
        <v>204</v>
      </c>
    </row>
    <row r="60" spans="1:12" x14ac:dyDescent="0.2">
      <c r="A60" s="160">
        <v>40479</v>
      </c>
      <c r="B60" s="158" t="s">
        <v>257</v>
      </c>
      <c r="C60" s="158" t="s">
        <v>197</v>
      </c>
      <c r="D60" s="158">
        <v>51</v>
      </c>
      <c r="E60" s="162">
        <v>138.44999999999999</v>
      </c>
      <c r="F60" s="162">
        <v>7060.95</v>
      </c>
      <c r="G60" s="166">
        <v>52.61</v>
      </c>
      <c r="H60" s="158" t="s">
        <v>276</v>
      </c>
      <c r="I60" s="158">
        <v>2010207</v>
      </c>
      <c r="J60" s="158" t="s">
        <v>199</v>
      </c>
      <c r="K60" s="158" t="s">
        <v>200</v>
      </c>
      <c r="L60" s="158" t="s">
        <v>201</v>
      </c>
    </row>
    <row r="61" spans="1:12" x14ac:dyDescent="0.2">
      <c r="A61" s="160">
        <v>40478</v>
      </c>
      <c r="B61" s="158" t="s">
        <v>266</v>
      </c>
      <c r="C61" s="158" t="s">
        <v>197</v>
      </c>
      <c r="D61" s="158">
        <v>100</v>
      </c>
      <c r="E61" s="162">
        <v>264</v>
      </c>
      <c r="F61" s="162">
        <v>26400</v>
      </c>
      <c r="G61" s="166">
        <v>196.75</v>
      </c>
      <c r="H61" s="158" t="s">
        <v>277</v>
      </c>
      <c r="I61" s="158">
        <v>201011149</v>
      </c>
      <c r="J61" s="158" t="s">
        <v>199</v>
      </c>
      <c r="K61" s="158" t="s">
        <v>200</v>
      </c>
      <c r="L61" s="158" t="s">
        <v>204</v>
      </c>
    </row>
    <row r="62" spans="1:12" x14ac:dyDescent="0.2">
      <c r="A62" s="160">
        <v>40478</v>
      </c>
      <c r="B62" s="158" t="s">
        <v>257</v>
      </c>
      <c r="C62" s="158" t="s">
        <v>197</v>
      </c>
      <c r="D62" s="158">
        <v>49</v>
      </c>
      <c r="E62" s="162">
        <v>139.5</v>
      </c>
      <c r="F62" s="162">
        <v>6835.5</v>
      </c>
      <c r="G62" s="166">
        <v>50.94</v>
      </c>
      <c r="H62" s="158" t="s">
        <v>280</v>
      </c>
      <c r="I62" s="158">
        <v>201011149</v>
      </c>
      <c r="J62" s="158" t="s">
        <v>199</v>
      </c>
      <c r="K62" s="158" t="s">
        <v>200</v>
      </c>
      <c r="L62" s="158" t="s">
        <v>204</v>
      </c>
    </row>
    <row r="63" spans="1:12" x14ac:dyDescent="0.2">
      <c r="A63" s="160">
        <v>40477</v>
      </c>
      <c r="B63" s="158" t="s">
        <v>235</v>
      </c>
      <c r="C63" s="158" t="s">
        <v>197</v>
      </c>
      <c r="D63" s="158">
        <v>3000</v>
      </c>
      <c r="E63" s="162">
        <v>25.65</v>
      </c>
      <c r="F63" s="162">
        <v>76950</v>
      </c>
      <c r="G63" s="166">
        <v>573.49</v>
      </c>
      <c r="H63" s="158" t="s">
        <v>281</v>
      </c>
      <c r="I63" s="158">
        <v>201011148</v>
      </c>
      <c r="J63" s="158" t="s">
        <v>199</v>
      </c>
      <c r="K63" s="158" t="s">
        <v>200</v>
      </c>
      <c r="L63" s="158" t="s">
        <v>204</v>
      </c>
    </row>
    <row r="64" spans="1:12" x14ac:dyDescent="0.2">
      <c r="A64" s="160">
        <v>40457</v>
      </c>
      <c r="B64" s="158" t="s">
        <v>284</v>
      </c>
      <c r="C64" s="158" t="s">
        <v>197</v>
      </c>
      <c r="D64" s="158">
        <v>100</v>
      </c>
      <c r="E64" s="162">
        <v>791</v>
      </c>
      <c r="F64" s="162">
        <v>79100</v>
      </c>
      <c r="G64" s="166">
        <v>589.5</v>
      </c>
      <c r="H64" s="158" t="s">
        <v>285</v>
      </c>
      <c r="I64" s="158">
        <v>201011134</v>
      </c>
      <c r="J64" s="158" t="s">
        <v>199</v>
      </c>
      <c r="K64" s="158" t="s">
        <v>200</v>
      </c>
      <c r="L64" s="158" t="s">
        <v>204</v>
      </c>
    </row>
    <row r="65" spans="1:12" x14ac:dyDescent="0.2">
      <c r="A65" s="160">
        <v>40457</v>
      </c>
      <c r="B65" s="158" t="s">
        <v>284</v>
      </c>
      <c r="C65" s="158" t="s">
        <v>197</v>
      </c>
      <c r="D65" s="158">
        <v>50</v>
      </c>
      <c r="E65" s="162">
        <v>789.66</v>
      </c>
      <c r="F65" s="162">
        <v>39483</v>
      </c>
      <c r="G65" s="166">
        <v>294.2</v>
      </c>
      <c r="H65" s="158" t="s">
        <v>286</v>
      </c>
      <c r="I65" s="158">
        <v>2010191</v>
      </c>
      <c r="J65" s="158" t="s">
        <v>199</v>
      </c>
      <c r="K65" s="158" t="s">
        <v>200</v>
      </c>
      <c r="L65" s="158" t="s">
        <v>201</v>
      </c>
    </row>
    <row r="66" spans="1:12" x14ac:dyDescent="0.2">
      <c r="A66" s="160">
        <v>40457</v>
      </c>
      <c r="B66" s="158" t="s">
        <v>235</v>
      </c>
      <c r="C66" s="158" t="s">
        <v>197</v>
      </c>
      <c r="D66" s="158">
        <v>500</v>
      </c>
      <c r="E66" s="162">
        <v>21.7</v>
      </c>
      <c r="F66" s="162">
        <v>10850</v>
      </c>
      <c r="G66" s="166">
        <v>0.6</v>
      </c>
      <c r="H66" s="158" t="s">
        <v>287</v>
      </c>
      <c r="I66" s="158">
        <v>2010191</v>
      </c>
      <c r="J66" s="158" t="s">
        <v>199</v>
      </c>
      <c r="K66" s="158" t="s">
        <v>200</v>
      </c>
      <c r="L66" s="158" t="s">
        <v>201</v>
      </c>
    </row>
    <row r="67" spans="1:12" x14ac:dyDescent="0.2">
      <c r="A67" s="160">
        <v>40457</v>
      </c>
      <c r="B67" s="158" t="s">
        <v>235</v>
      </c>
      <c r="C67" s="158" t="s">
        <v>197</v>
      </c>
      <c r="D67" s="158">
        <v>500</v>
      </c>
      <c r="E67" s="162">
        <v>21.7</v>
      </c>
      <c r="F67" s="162">
        <v>10850</v>
      </c>
      <c r="G67" s="166">
        <v>0.6</v>
      </c>
      <c r="H67" s="158" t="s">
        <v>288</v>
      </c>
      <c r="I67" s="158">
        <v>2010191</v>
      </c>
      <c r="J67" s="158" t="s">
        <v>199</v>
      </c>
      <c r="K67" s="158" t="s">
        <v>200</v>
      </c>
      <c r="L67" s="158" t="s">
        <v>201</v>
      </c>
    </row>
    <row r="68" spans="1:12" x14ac:dyDescent="0.2">
      <c r="A68" s="160">
        <v>40444</v>
      </c>
      <c r="B68" s="158" t="s">
        <v>235</v>
      </c>
      <c r="C68" s="158" t="s">
        <v>197</v>
      </c>
      <c r="D68" s="158">
        <v>500</v>
      </c>
      <c r="E68" s="162">
        <v>21.15</v>
      </c>
      <c r="F68" s="162">
        <v>10575</v>
      </c>
      <c r="G68" s="166">
        <v>78.819999999999993</v>
      </c>
      <c r="H68" s="158" t="s">
        <v>289</v>
      </c>
      <c r="I68" s="158">
        <v>201011125</v>
      </c>
      <c r="J68" s="158" t="s">
        <v>199</v>
      </c>
      <c r="K68" s="158" t="s">
        <v>200</v>
      </c>
      <c r="L68" s="158" t="s">
        <v>204</v>
      </c>
    </row>
    <row r="69" spans="1:12" x14ac:dyDescent="0.2">
      <c r="A69" s="160">
        <v>40442</v>
      </c>
      <c r="B69" s="158" t="s">
        <v>235</v>
      </c>
      <c r="C69" s="158" t="s">
        <v>197</v>
      </c>
      <c r="D69" s="158">
        <v>300</v>
      </c>
      <c r="E69" s="162">
        <v>21</v>
      </c>
      <c r="F69" s="162">
        <v>6300</v>
      </c>
      <c r="G69" s="166">
        <v>46.94</v>
      </c>
      <c r="H69" s="158" t="s">
        <v>290</v>
      </c>
      <c r="I69" s="158">
        <v>2010180</v>
      </c>
      <c r="J69" s="158" t="s">
        <v>199</v>
      </c>
      <c r="K69" s="158" t="s">
        <v>200</v>
      </c>
      <c r="L69" s="158" t="s">
        <v>201</v>
      </c>
    </row>
    <row r="70" spans="1:12" x14ac:dyDescent="0.2">
      <c r="A70" s="160">
        <v>40438</v>
      </c>
      <c r="B70" s="158" t="s">
        <v>235</v>
      </c>
      <c r="C70" s="158" t="s">
        <v>197</v>
      </c>
      <c r="D70" s="158">
        <v>1200</v>
      </c>
      <c r="E70" s="162">
        <v>22</v>
      </c>
      <c r="F70" s="162">
        <v>26400</v>
      </c>
      <c r="G70" s="166">
        <v>196.8</v>
      </c>
      <c r="H70" s="158" t="s">
        <v>291</v>
      </c>
      <c r="I70" s="158">
        <v>2010178</v>
      </c>
      <c r="J70" s="158" t="s">
        <v>199</v>
      </c>
      <c r="K70" s="158" t="s">
        <v>200</v>
      </c>
      <c r="L70" s="158" t="s">
        <v>201</v>
      </c>
    </row>
    <row r="71" spans="1:12" x14ac:dyDescent="0.2">
      <c r="A71" s="160">
        <v>40434</v>
      </c>
      <c r="B71" s="158" t="s">
        <v>292</v>
      </c>
      <c r="C71" s="158" t="s">
        <v>197</v>
      </c>
      <c r="D71" s="158">
        <v>250</v>
      </c>
      <c r="E71" s="162">
        <v>44.15</v>
      </c>
      <c r="F71" s="162">
        <v>11037.5</v>
      </c>
      <c r="G71" s="166">
        <v>82.26</v>
      </c>
      <c r="H71" s="158" t="s">
        <v>293</v>
      </c>
      <c r="I71" s="158">
        <v>201011117</v>
      </c>
      <c r="J71" s="158" t="s">
        <v>199</v>
      </c>
      <c r="K71" s="158" t="s">
        <v>200</v>
      </c>
      <c r="L71" s="158" t="s">
        <v>204</v>
      </c>
    </row>
    <row r="72" spans="1:12" x14ac:dyDescent="0.2">
      <c r="A72" s="160">
        <v>40434</v>
      </c>
      <c r="B72" s="158" t="s">
        <v>294</v>
      </c>
      <c r="C72" s="158" t="s">
        <v>197</v>
      </c>
      <c r="D72" s="158">
        <v>40</v>
      </c>
      <c r="E72" s="162">
        <v>664.2</v>
      </c>
      <c r="F72" s="162">
        <v>26568</v>
      </c>
      <c r="G72" s="166">
        <v>162.63999999999999</v>
      </c>
      <c r="H72" s="158" t="s">
        <v>295</v>
      </c>
      <c r="I72" s="158">
        <v>2010174</v>
      </c>
      <c r="J72" s="158" t="s">
        <v>199</v>
      </c>
      <c r="K72" s="158" t="s">
        <v>200</v>
      </c>
      <c r="L72" s="158" t="s">
        <v>201</v>
      </c>
    </row>
    <row r="73" spans="1:12" x14ac:dyDescent="0.2">
      <c r="A73" s="160">
        <v>40424</v>
      </c>
      <c r="B73" s="158" t="s">
        <v>296</v>
      </c>
      <c r="C73" s="158" t="s">
        <v>197</v>
      </c>
      <c r="D73" s="158">
        <v>60</v>
      </c>
      <c r="E73" s="162">
        <v>182</v>
      </c>
      <c r="F73" s="162">
        <v>10920</v>
      </c>
      <c r="G73" s="166">
        <v>81.39</v>
      </c>
      <c r="H73" s="158" t="s">
        <v>297</v>
      </c>
      <c r="I73" s="158">
        <v>201011112</v>
      </c>
      <c r="J73" s="158" t="s">
        <v>199</v>
      </c>
      <c r="K73" s="158" t="s">
        <v>200</v>
      </c>
      <c r="L73" s="158" t="s">
        <v>204</v>
      </c>
    </row>
    <row r="74" spans="1:12" x14ac:dyDescent="0.2">
      <c r="A74" s="160">
        <v>40417</v>
      </c>
      <c r="B74" s="158" t="s">
        <v>298</v>
      </c>
      <c r="C74" s="158" t="s">
        <v>197</v>
      </c>
      <c r="D74" s="158">
        <v>1000</v>
      </c>
      <c r="E74" s="162">
        <v>20.45</v>
      </c>
      <c r="F74" s="162">
        <v>20450</v>
      </c>
      <c r="G74" s="166">
        <v>152.36000000000001</v>
      </c>
      <c r="H74" s="158" t="s">
        <v>299</v>
      </c>
      <c r="I74" s="158">
        <v>201011107</v>
      </c>
      <c r="J74" s="158" t="s">
        <v>199</v>
      </c>
      <c r="K74" s="158" t="s">
        <v>200</v>
      </c>
      <c r="L74" s="158" t="s">
        <v>204</v>
      </c>
    </row>
    <row r="75" spans="1:12" x14ac:dyDescent="0.2">
      <c r="A75" s="160">
        <v>40417</v>
      </c>
      <c r="B75" s="158" t="s">
        <v>292</v>
      </c>
      <c r="C75" s="158" t="s">
        <v>197</v>
      </c>
      <c r="D75" s="158">
        <v>250</v>
      </c>
      <c r="E75" s="162">
        <v>44.7</v>
      </c>
      <c r="F75" s="162">
        <v>11175</v>
      </c>
      <c r="G75" s="166">
        <v>83.3</v>
      </c>
      <c r="H75" s="158" t="s">
        <v>300</v>
      </c>
      <c r="I75" s="158">
        <v>2010164</v>
      </c>
      <c r="J75" s="158" t="s">
        <v>199</v>
      </c>
      <c r="K75" s="158" t="s">
        <v>200</v>
      </c>
      <c r="L75" s="158" t="s">
        <v>201</v>
      </c>
    </row>
    <row r="76" spans="1:12" x14ac:dyDescent="0.2">
      <c r="A76" s="160">
        <v>40417</v>
      </c>
      <c r="B76" s="158" t="s">
        <v>292</v>
      </c>
      <c r="C76" s="158" t="s">
        <v>197</v>
      </c>
      <c r="D76" s="158">
        <v>250</v>
      </c>
      <c r="E76" s="162">
        <v>44.3</v>
      </c>
      <c r="F76" s="162">
        <v>11075</v>
      </c>
      <c r="G76" s="166">
        <v>82.55</v>
      </c>
      <c r="H76" s="158" t="s">
        <v>301</v>
      </c>
      <c r="I76" s="158">
        <v>2010164</v>
      </c>
      <c r="J76" s="158" t="s">
        <v>199</v>
      </c>
      <c r="K76" s="158" t="s">
        <v>200</v>
      </c>
      <c r="L76" s="158" t="s">
        <v>201</v>
      </c>
    </row>
    <row r="77" spans="1:12" x14ac:dyDescent="0.2">
      <c r="A77" s="160">
        <v>40416</v>
      </c>
      <c r="B77" s="158" t="s">
        <v>296</v>
      </c>
      <c r="C77" s="158" t="s">
        <v>197</v>
      </c>
      <c r="D77" s="158">
        <v>40</v>
      </c>
      <c r="E77" s="162">
        <v>187.5</v>
      </c>
      <c r="F77" s="162">
        <v>7500</v>
      </c>
      <c r="G77" s="166">
        <v>55.9</v>
      </c>
      <c r="H77" s="158" t="s">
        <v>302</v>
      </c>
      <c r="I77" s="158">
        <v>201011106</v>
      </c>
      <c r="J77" s="158" t="s">
        <v>199</v>
      </c>
      <c r="K77" s="158" t="s">
        <v>200</v>
      </c>
      <c r="L77" s="158" t="s">
        <v>204</v>
      </c>
    </row>
    <row r="78" spans="1:12" x14ac:dyDescent="0.2">
      <c r="A78" s="160">
        <v>40414</v>
      </c>
      <c r="B78" s="158" t="s">
        <v>303</v>
      </c>
      <c r="C78" s="158" t="s">
        <v>197</v>
      </c>
      <c r="D78" s="158">
        <v>750</v>
      </c>
      <c r="E78" s="162">
        <v>20.2</v>
      </c>
      <c r="F78" s="162">
        <v>15150</v>
      </c>
      <c r="G78" s="166">
        <v>112.86</v>
      </c>
      <c r="H78" s="158" t="s">
        <v>304</v>
      </c>
      <c r="I78" s="158">
        <v>201011104</v>
      </c>
      <c r="J78" s="158" t="s">
        <v>199</v>
      </c>
      <c r="K78" s="158" t="s">
        <v>200</v>
      </c>
      <c r="L78" s="158" t="s">
        <v>204</v>
      </c>
    </row>
    <row r="79" spans="1:12" x14ac:dyDescent="0.2">
      <c r="A79" s="160">
        <v>40413</v>
      </c>
      <c r="B79" s="158" t="s">
        <v>305</v>
      </c>
      <c r="C79" s="158" t="s">
        <v>197</v>
      </c>
      <c r="D79" s="158">
        <v>1000</v>
      </c>
      <c r="E79" s="162">
        <v>19.2</v>
      </c>
      <c r="F79" s="162">
        <v>19200</v>
      </c>
      <c r="G79" s="166">
        <v>143.1</v>
      </c>
      <c r="H79" s="158" t="s">
        <v>306</v>
      </c>
      <c r="I79" s="158">
        <v>2010160</v>
      </c>
      <c r="J79" s="158" t="s">
        <v>307</v>
      </c>
      <c r="K79" s="158" t="s">
        <v>200</v>
      </c>
      <c r="L79" s="158" t="s">
        <v>201</v>
      </c>
    </row>
    <row r="80" spans="1:12" x14ac:dyDescent="0.2">
      <c r="A80" s="160">
        <v>40402</v>
      </c>
      <c r="B80" s="158" t="s">
        <v>308</v>
      </c>
      <c r="C80" s="158" t="s">
        <v>197</v>
      </c>
      <c r="D80" s="158">
        <v>100</v>
      </c>
      <c r="E80" s="162">
        <v>78.349999999999994</v>
      </c>
      <c r="F80" s="162">
        <v>7835</v>
      </c>
      <c r="G80" s="166">
        <v>58.38</v>
      </c>
      <c r="H80" s="158" t="s">
        <v>309</v>
      </c>
      <c r="I80" s="158">
        <v>201011096</v>
      </c>
      <c r="J80" s="158" t="s">
        <v>199</v>
      </c>
      <c r="K80" s="158" t="s">
        <v>200</v>
      </c>
      <c r="L80" s="158" t="s">
        <v>204</v>
      </c>
    </row>
    <row r="81" spans="1:12" x14ac:dyDescent="0.2">
      <c r="A81" s="160">
        <v>40401</v>
      </c>
      <c r="B81" s="158" t="s">
        <v>310</v>
      </c>
      <c r="C81" s="158" t="s">
        <v>197</v>
      </c>
      <c r="D81" s="158">
        <v>40</v>
      </c>
      <c r="E81" s="162">
        <v>258.5</v>
      </c>
      <c r="F81" s="162">
        <v>10340</v>
      </c>
      <c r="G81" s="166">
        <v>77.06</v>
      </c>
      <c r="H81" s="158" t="s">
        <v>311</v>
      </c>
      <c r="I81" s="158">
        <v>2010152</v>
      </c>
      <c r="J81" s="158" t="s">
        <v>199</v>
      </c>
      <c r="K81" s="158" t="s">
        <v>200</v>
      </c>
      <c r="L81" s="158" t="s">
        <v>201</v>
      </c>
    </row>
    <row r="82" spans="1:12" x14ac:dyDescent="0.2">
      <c r="A82" s="160">
        <v>40395</v>
      </c>
      <c r="B82" s="158" t="s">
        <v>312</v>
      </c>
      <c r="C82" s="158" t="s">
        <v>197</v>
      </c>
      <c r="D82" s="158">
        <v>22</v>
      </c>
      <c r="E82" s="162">
        <v>473.05</v>
      </c>
      <c r="F82" s="162">
        <v>10407.1</v>
      </c>
      <c r="G82" s="166">
        <v>77.55</v>
      </c>
      <c r="H82" s="158" t="s">
        <v>313</v>
      </c>
      <c r="I82" s="158">
        <v>2010148</v>
      </c>
      <c r="J82" s="158" t="s">
        <v>199</v>
      </c>
      <c r="K82" s="158" t="s">
        <v>200</v>
      </c>
      <c r="L82" s="158" t="s">
        <v>201</v>
      </c>
    </row>
    <row r="83" spans="1:12" x14ac:dyDescent="0.2">
      <c r="A83" s="160">
        <v>40392</v>
      </c>
      <c r="B83" s="158" t="s">
        <v>314</v>
      </c>
      <c r="C83" s="158" t="s">
        <v>197</v>
      </c>
      <c r="D83" s="158">
        <v>25</v>
      </c>
      <c r="E83" s="162">
        <v>433</v>
      </c>
      <c r="F83" s="162">
        <v>10825</v>
      </c>
      <c r="G83" s="166">
        <v>80.67</v>
      </c>
      <c r="H83" s="158" t="s">
        <v>315</v>
      </c>
      <c r="I83" s="158">
        <v>2010145</v>
      </c>
      <c r="J83" s="158" t="s">
        <v>199</v>
      </c>
      <c r="K83" s="158" t="s">
        <v>200</v>
      </c>
      <c r="L83" s="158" t="s">
        <v>201</v>
      </c>
    </row>
    <row r="84" spans="1:12" x14ac:dyDescent="0.2">
      <c r="A84" s="160">
        <v>40387</v>
      </c>
      <c r="B84" s="158" t="s">
        <v>316</v>
      </c>
      <c r="C84" s="158" t="s">
        <v>197</v>
      </c>
      <c r="D84" s="158">
        <v>20</v>
      </c>
      <c r="E84" s="162">
        <v>496.2</v>
      </c>
      <c r="F84" s="162">
        <v>9924</v>
      </c>
      <c r="G84" s="166">
        <v>73.959999999999994</v>
      </c>
      <c r="H84" s="158" t="s">
        <v>317</v>
      </c>
      <c r="I84" s="158">
        <v>201011085</v>
      </c>
      <c r="J84" s="158" t="s">
        <v>199</v>
      </c>
      <c r="K84" s="158" t="s">
        <v>200</v>
      </c>
      <c r="L84" s="158" t="s">
        <v>204</v>
      </c>
    </row>
    <row r="85" spans="1:12" x14ac:dyDescent="0.2">
      <c r="A85" s="160">
        <v>40385</v>
      </c>
      <c r="B85" s="158" t="s">
        <v>318</v>
      </c>
      <c r="C85" s="158" t="s">
        <v>197</v>
      </c>
      <c r="D85" s="158">
        <v>6</v>
      </c>
      <c r="E85" s="162">
        <v>1800.5</v>
      </c>
      <c r="F85" s="162">
        <v>10803</v>
      </c>
      <c r="G85" s="166">
        <v>80.5</v>
      </c>
      <c r="H85" s="158" t="s">
        <v>319</v>
      </c>
      <c r="I85" s="158">
        <v>201011083</v>
      </c>
      <c r="J85" s="158" t="s">
        <v>199</v>
      </c>
      <c r="K85" s="158" t="s">
        <v>200</v>
      </c>
      <c r="L85" s="158" t="s">
        <v>204</v>
      </c>
    </row>
    <row r="86" spans="1:12" x14ac:dyDescent="0.2">
      <c r="A86" s="160">
        <v>40380</v>
      </c>
      <c r="B86" s="158" t="s">
        <v>320</v>
      </c>
      <c r="C86" s="158" t="s">
        <v>197</v>
      </c>
      <c r="D86" s="158">
        <v>100</v>
      </c>
      <c r="E86" s="162">
        <v>72.5</v>
      </c>
      <c r="F86" s="162">
        <v>7250</v>
      </c>
      <c r="G86" s="166">
        <v>54.04</v>
      </c>
      <c r="H86" s="158" t="s">
        <v>321</v>
      </c>
      <c r="I86" s="158">
        <v>201011080</v>
      </c>
      <c r="J86" s="158" t="s">
        <v>199</v>
      </c>
      <c r="K86" s="158" t="s">
        <v>200</v>
      </c>
      <c r="L86" s="158" t="s">
        <v>204</v>
      </c>
    </row>
    <row r="87" spans="1:12" x14ac:dyDescent="0.2">
      <c r="A87" s="160">
        <v>40379</v>
      </c>
      <c r="B87" s="158" t="s">
        <v>322</v>
      </c>
      <c r="C87" s="158" t="s">
        <v>197</v>
      </c>
      <c r="D87" s="158">
        <v>85</v>
      </c>
      <c r="E87" s="162">
        <v>85.65</v>
      </c>
      <c r="F87" s="162">
        <v>7280.25</v>
      </c>
      <c r="G87" s="166">
        <v>54.27</v>
      </c>
      <c r="H87" s="158" t="s">
        <v>323</v>
      </c>
      <c r="I87" s="158">
        <v>201011079</v>
      </c>
      <c r="J87" s="158" t="s">
        <v>199</v>
      </c>
      <c r="K87" s="158" t="s">
        <v>200</v>
      </c>
      <c r="L87" s="158" t="s">
        <v>204</v>
      </c>
    </row>
    <row r="88" spans="1:12" x14ac:dyDescent="0.2">
      <c r="A88" s="160">
        <v>40378</v>
      </c>
      <c r="B88" s="158" t="s">
        <v>324</v>
      </c>
      <c r="C88" s="158" t="s">
        <v>197</v>
      </c>
      <c r="D88" s="158">
        <v>35</v>
      </c>
      <c r="E88" s="162">
        <v>225.6</v>
      </c>
      <c r="F88" s="162">
        <v>7896</v>
      </c>
      <c r="G88" s="166">
        <v>58.84</v>
      </c>
      <c r="H88" s="158" t="s">
        <v>325</v>
      </c>
      <c r="I88" s="158">
        <v>201011078</v>
      </c>
      <c r="J88" s="158" t="s">
        <v>199</v>
      </c>
      <c r="K88" s="158" t="s">
        <v>200</v>
      </c>
      <c r="L88" s="158" t="s">
        <v>204</v>
      </c>
    </row>
    <row r="89" spans="1:12" x14ac:dyDescent="0.2">
      <c r="A89" s="160">
        <v>40375</v>
      </c>
      <c r="B89" s="158" t="s">
        <v>308</v>
      </c>
      <c r="C89" s="158" t="s">
        <v>197</v>
      </c>
      <c r="D89" s="158">
        <v>100</v>
      </c>
      <c r="E89" s="162">
        <v>79.900000000000006</v>
      </c>
      <c r="F89" s="162">
        <v>7990</v>
      </c>
      <c r="G89" s="166">
        <v>59.56</v>
      </c>
      <c r="H89" s="158" t="s">
        <v>326</v>
      </c>
      <c r="I89" s="158">
        <v>201011077</v>
      </c>
      <c r="J89" s="158" t="s">
        <v>199</v>
      </c>
      <c r="K89" s="158" t="s">
        <v>200</v>
      </c>
      <c r="L89" s="158" t="s">
        <v>204</v>
      </c>
    </row>
    <row r="90" spans="1:12" x14ac:dyDescent="0.2">
      <c r="A90" s="160">
        <v>40375</v>
      </c>
      <c r="B90" s="158" t="s">
        <v>327</v>
      </c>
      <c r="C90" s="158" t="s">
        <v>197</v>
      </c>
      <c r="D90" s="158">
        <v>120</v>
      </c>
      <c r="E90" s="162">
        <v>56.7</v>
      </c>
      <c r="F90" s="162">
        <v>6804</v>
      </c>
      <c r="G90" s="166">
        <v>50.71</v>
      </c>
      <c r="H90" s="158" t="s">
        <v>328</v>
      </c>
      <c r="I90" s="158">
        <v>201011077</v>
      </c>
      <c r="J90" s="158" t="s">
        <v>199</v>
      </c>
      <c r="K90" s="158" t="s">
        <v>200</v>
      </c>
      <c r="L90" s="158" t="s">
        <v>204</v>
      </c>
    </row>
    <row r="91" spans="1:12" x14ac:dyDescent="0.2">
      <c r="A91" s="160">
        <v>40374</v>
      </c>
      <c r="B91" s="158" t="s">
        <v>329</v>
      </c>
      <c r="C91" s="158" t="s">
        <v>197</v>
      </c>
      <c r="D91" s="158">
        <v>15</v>
      </c>
      <c r="E91" s="162">
        <v>448</v>
      </c>
      <c r="F91" s="162">
        <v>6720</v>
      </c>
      <c r="G91" s="166">
        <v>50.09</v>
      </c>
      <c r="H91" s="158" t="s">
        <v>330</v>
      </c>
      <c r="I91" s="158">
        <v>201011076</v>
      </c>
      <c r="J91" s="158" t="s">
        <v>199</v>
      </c>
      <c r="K91" s="158" t="s">
        <v>200</v>
      </c>
      <c r="L91" s="158" t="s">
        <v>204</v>
      </c>
    </row>
    <row r="92" spans="1:12" x14ac:dyDescent="0.2">
      <c r="A92" s="160">
        <v>40373</v>
      </c>
      <c r="B92" s="158" t="s">
        <v>331</v>
      </c>
      <c r="C92" s="158" t="s">
        <v>197</v>
      </c>
      <c r="D92" s="158">
        <v>500</v>
      </c>
      <c r="E92" s="162">
        <v>18.8</v>
      </c>
      <c r="F92" s="162">
        <v>9400</v>
      </c>
      <c r="G92" s="166">
        <v>70.099999999999994</v>
      </c>
      <c r="H92" s="158" t="s">
        <v>332</v>
      </c>
      <c r="I92" s="158">
        <v>2010132</v>
      </c>
      <c r="J92" s="158" t="s">
        <v>199</v>
      </c>
      <c r="K92" s="158" t="s">
        <v>200</v>
      </c>
      <c r="L92" s="158" t="s">
        <v>201</v>
      </c>
    </row>
    <row r="93" spans="1:12" x14ac:dyDescent="0.2">
      <c r="A93" s="160">
        <v>40372</v>
      </c>
      <c r="B93" s="158" t="s">
        <v>329</v>
      </c>
      <c r="C93" s="158" t="s">
        <v>197</v>
      </c>
      <c r="D93" s="158">
        <v>20</v>
      </c>
      <c r="E93" s="162">
        <v>460.1</v>
      </c>
      <c r="F93" s="162">
        <v>9202</v>
      </c>
      <c r="G93" s="166">
        <v>68.58</v>
      </c>
      <c r="H93" s="158" t="s">
        <v>333</v>
      </c>
      <c r="I93" s="158">
        <v>2010131</v>
      </c>
      <c r="J93" s="158" t="s">
        <v>199</v>
      </c>
      <c r="K93" s="158" t="s">
        <v>200</v>
      </c>
      <c r="L93" s="158" t="s">
        <v>201</v>
      </c>
    </row>
    <row r="94" spans="1:12" x14ac:dyDescent="0.2">
      <c r="A94" s="160">
        <v>40368</v>
      </c>
      <c r="B94" s="158" t="s">
        <v>334</v>
      </c>
      <c r="C94" s="158" t="s">
        <v>197</v>
      </c>
      <c r="D94" s="158">
        <v>200</v>
      </c>
      <c r="E94" s="162">
        <v>33.4</v>
      </c>
      <c r="F94" s="162">
        <v>6680</v>
      </c>
      <c r="G94" s="166">
        <v>49.77</v>
      </c>
      <c r="H94" s="158" t="s">
        <v>335</v>
      </c>
      <c r="I94" s="158">
        <v>201011072</v>
      </c>
      <c r="J94" s="158" t="s">
        <v>199</v>
      </c>
      <c r="K94" s="158" t="s">
        <v>200</v>
      </c>
      <c r="L94" s="158" t="s">
        <v>204</v>
      </c>
    </row>
    <row r="95" spans="1:12" x14ac:dyDescent="0.2">
      <c r="A95" s="160">
        <v>40366</v>
      </c>
      <c r="B95" s="158" t="s">
        <v>336</v>
      </c>
      <c r="C95" s="158" t="s">
        <v>197</v>
      </c>
      <c r="D95" s="158">
        <v>20</v>
      </c>
      <c r="E95" s="162">
        <v>352</v>
      </c>
      <c r="F95" s="162">
        <v>7040</v>
      </c>
      <c r="G95" s="166">
        <v>52.46</v>
      </c>
      <c r="H95" s="158" t="s">
        <v>345</v>
      </c>
      <c r="I95" s="158">
        <v>2010127</v>
      </c>
      <c r="J95" s="158" t="s">
        <v>199</v>
      </c>
      <c r="K95" s="158" t="s">
        <v>200</v>
      </c>
      <c r="L95" s="158" t="s">
        <v>201</v>
      </c>
    </row>
    <row r="96" spans="1:12" x14ac:dyDescent="0.2">
      <c r="A96" s="160">
        <v>40366</v>
      </c>
      <c r="B96" s="158" t="s">
        <v>346</v>
      </c>
      <c r="C96" s="158" t="s">
        <v>197</v>
      </c>
      <c r="D96" s="158">
        <v>250</v>
      </c>
      <c r="E96" s="162">
        <v>28.15</v>
      </c>
      <c r="F96" s="162">
        <v>7037.5</v>
      </c>
      <c r="G96" s="166">
        <v>52.43</v>
      </c>
      <c r="H96" s="158" t="s">
        <v>347</v>
      </c>
      <c r="I96" s="158">
        <v>2010127</v>
      </c>
      <c r="J96" s="158" t="s">
        <v>199</v>
      </c>
      <c r="K96" s="158" t="s">
        <v>200</v>
      </c>
      <c r="L96" s="158" t="s">
        <v>201</v>
      </c>
    </row>
    <row r="97" spans="1:12" x14ac:dyDescent="0.2">
      <c r="A97" s="160">
        <v>40365</v>
      </c>
      <c r="B97" s="158" t="s">
        <v>348</v>
      </c>
      <c r="C97" s="158" t="s">
        <v>197</v>
      </c>
      <c r="D97" s="158">
        <v>50</v>
      </c>
      <c r="E97" s="162">
        <v>136.5</v>
      </c>
      <c r="F97" s="162">
        <v>6825</v>
      </c>
      <c r="G97" s="166">
        <v>50.86</v>
      </c>
      <c r="H97" s="158" t="s">
        <v>349</v>
      </c>
      <c r="I97" s="158">
        <v>201011069</v>
      </c>
      <c r="J97" s="158" t="s">
        <v>199</v>
      </c>
      <c r="K97" s="158" t="s">
        <v>200</v>
      </c>
      <c r="L97" s="158" t="s">
        <v>204</v>
      </c>
    </row>
    <row r="98" spans="1:12" x14ac:dyDescent="0.2">
      <c r="A98" s="160">
        <v>40365</v>
      </c>
      <c r="B98" s="158" t="s">
        <v>350</v>
      </c>
      <c r="C98" s="158" t="s">
        <v>197</v>
      </c>
      <c r="D98" s="158">
        <v>30</v>
      </c>
      <c r="E98" s="162">
        <v>241.05</v>
      </c>
      <c r="F98" s="162">
        <v>7231.5</v>
      </c>
      <c r="G98" s="166">
        <v>53.9</v>
      </c>
      <c r="H98" s="158" t="s">
        <v>351</v>
      </c>
      <c r="I98" s="158">
        <v>201011069</v>
      </c>
      <c r="J98" s="158" t="s">
        <v>199</v>
      </c>
      <c r="K98" s="158" t="s">
        <v>200</v>
      </c>
      <c r="L98" s="158" t="s">
        <v>204</v>
      </c>
    </row>
    <row r="99" spans="1:12" x14ac:dyDescent="0.2">
      <c r="A99" s="160">
        <v>40365</v>
      </c>
      <c r="B99" s="158" t="s">
        <v>249</v>
      </c>
      <c r="C99" s="158" t="s">
        <v>197</v>
      </c>
      <c r="D99" s="158">
        <v>400</v>
      </c>
      <c r="E99" s="162">
        <v>18.45</v>
      </c>
      <c r="F99" s="162">
        <v>7380</v>
      </c>
      <c r="G99" s="166">
        <v>55.03</v>
      </c>
      <c r="H99" s="158" t="s">
        <v>352</v>
      </c>
      <c r="I99" s="158">
        <v>201011069</v>
      </c>
      <c r="J99" s="158" t="s">
        <v>199</v>
      </c>
      <c r="K99" s="158" t="s">
        <v>200</v>
      </c>
      <c r="L99" s="158" t="s">
        <v>204</v>
      </c>
    </row>
    <row r="100" spans="1:12" x14ac:dyDescent="0.2">
      <c r="A100" s="160">
        <v>40365</v>
      </c>
      <c r="B100" s="158" t="s">
        <v>348</v>
      </c>
      <c r="C100" s="158" t="s">
        <v>197</v>
      </c>
      <c r="D100" s="158">
        <v>25</v>
      </c>
      <c r="E100" s="162">
        <v>134.5</v>
      </c>
      <c r="F100" s="162">
        <v>3362.5</v>
      </c>
      <c r="G100" s="166">
        <v>32.24</v>
      </c>
      <c r="H100" s="158" t="s">
        <v>353</v>
      </c>
      <c r="I100" s="158">
        <v>2010126</v>
      </c>
      <c r="J100" s="158" t="s">
        <v>199</v>
      </c>
      <c r="K100" s="158" t="s">
        <v>200</v>
      </c>
      <c r="L100" s="158" t="s">
        <v>201</v>
      </c>
    </row>
    <row r="101" spans="1:12" x14ac:dyDescent="0.2">
      <c r="A101" s="160">
        <v>40361</v>
      </c>
      <c r="B101" s="158" t="s">
        <v>354</v>
      </c>
      <c r="C101" s="158" t="s">
        <v>197</v>
      </c>
      <c r="D101" s="158">
        <v>200</v>
      </c>
      <c r="E101" s="162">
        <v>34.299999999999997</v>
      </c>
      <c r="F101" s="162">
        <v>6860</v>
      </c>
      <c r="G101" s="166">
        <v>51.12</v>
      </c>
      <c r="H101" s="158" t="s">
        <v>355</v>
      </c>
      <c r="I101" s="158">
        <v>201011067</v>
      </c>
      <c r="J101" s="158" t="s">
        <v>199</v>
      </c>
      <c r="K101" s="158" t="s">
        <v>200</v>
      </c>
      <c r="L101" s="158" t="s">
        <v>204</v>
      </c>
    </row>
    <row r="102" spans="1:12" x14ac:dyDescent="0.2">
      <c r="A102" s="160">
        <v>40350</v>
      </c>
      <c r="B102" s="158" t="s">
        <v>356</v>
      </c>
      <c r="C102" s="158" t="s">
        <v>197</v>
      </c>
      <c r="D102" s="158">
        <v>75</v>
      </c>
      <c r="E102" s="162">
        <v>78.5</v>
      </c>
      <c r="F102" s="162">
        <v>5887.5</v>
      </c>
      <c r="G102" s="166">
        <v>43.88</v>
      </c>
      <c r="H102" s="158" t="s">
        <v>357</v>
      </c>
      <c r="I102" s="158">
        <v>2010115</v>
      </c>
      <c r="J102" s="158" t="s">
        <v>307</v>
      </c>
      <c r="K102" s="158" t="s">
        <v>200</v>
      </c>
      <c r="L102" s="158" t="s">
        <v>201</v>
      </c>
    </row>
    <row r="103" spans="1:12" x14ac:dyDescent="0.2">
      <c r="A103" s="160">
        <v>40339</v>
      </c>
      <c r="B103" s="158" t="s">
        <v>255</v>
      </c>
      <c r="C103" s="158" t="s">
        <v>197</v>
      </c>
      <c r="D103" s="158">
        <v>1000</v>
      </c>
      <c r="E103" s="162">
        <v>8.85</v>
      </c>
      <c r="F103" s="162">
        <v>8847.75</v>
      </c>
      <c r="G103" s="166">
        <v>65.959999999999994</v>
      </c>
      <c r="H103" s="158" t="s">
        <v>358</v>
      </c>
      <c r="I103" s="158">
        <v>2010108</v>
      </c>
      <c r="J103" s="158" t="s">
        <v>199</v>
      </c>
      <c r="K103" s="158" t="s">
        <v>200</v>
      </c>
      <c r="L103" s="158" t="s">
        <v>201</v>
      </c>
    </row>
    <row r="104" spans="1:12" x14ac:dyDescent="0.2">
      <c r="A104" s="160">
        <v>40337</v>
      </c>
      <c r="B104" s="158" t="s">
        <v>359</v>
      </c>
      <c r="C104" s="158" t="s">
        <v>197</v>
      </c>
      <c r="D104" s="158">
        <v>150</v>
      </c>
      <c r="E104" s="162">
        <v>70.7</v>
      </c>
      <c r="F104" s="162">
        <v>10605</v>
      </c>
      <c r="G104" s="166">
        <v>79.06</v>
      </c>
      <c r="H104" s="158" t="s">
        <v>360</v>
      </c>
      <c r="I104" s="158">
        <v>2010106</v>
      </c>
      <c r="J104" s="158" t="s">
        <v>199</v>
      </c>
      <c r="K104" s="158" t="s">
        <v>200</v>
      </c>
      <c r="L104" s="158" t="s">
        <v>201</v>
      </c>
    </row>
    <row r="105" spans="1:12" x14ac:dyDescent="0.2">
      <c r="A105" s="160">
        <v>40332</v>
      </c>
      <c r="B105" s="158" t="s">
        <v>361</v>
      </c>
      <c r="C105" s="158" t="s">
        <v>197</v>
      </c>
      <c r="D105" s="158">
        <v>100</v>
      </c>
      <c r="E105" s="162">
        <v>62.7</v>
      </c>
      <c r="F105" s="162">
        <v>6270</v>
      </c>
      <c r="G105" s="166">
        <v>46.73</v>
      </c>
      <c r="H105" s="158" t="s">
        <v>362</v>
      </c>
      <c r="I105" s="158">
        <v>2010103</v>
      </c>
      <c r="J105" s="158" t="s">
        <v>199</v>
      </c>
      <c r="K105" s="158" t="s">
        <v>200</v>
      </c>
      <c r="L105" s="158" t="s">
        <v>201</v>
      </c>
    </row>
    <row r="106" spans="1:12" x14ac:dyDescent="0.2">
      <c r="A106" s="160">
        <v>40302</v>
      </c>
      <c r="B106" s="158" t="s">
        <v>361</v>
      </c>
      <c r="C106" s="158" t="s">
        <v>197</v>
      </c>
      <c r="D106" s="158">
        <v>80</v>
      </c>
      <c r="E106" s="162">
        <v>69</v>
      </c>
      <c r="F106" s="162">
        <v>5520</v>
      </c>
      <c r="G106" s="166">
        <v>41.13</v>
      </c>
      <c r="H106" s="158" t="s">
        <v>363</v>
      </c>
      <c r="I106" s="158">
        <v>2010081</v>
      </c>
      <c r="J106" s="158" t="s">
        <v>199</v>
      </c>
      <c r="K106" s="158" t="s">
        <v>200</v>
      </c>
      <c r="L106" s="158" t="s">
        <v>201</v>
      </c>
    </row>
    <row r="107" spans="1:12" x14ac:dyDescent="0.2">
      <c r="A107" s="160">
        <v>40288</v>
      </c>
      <c r="B107" s="158" t="s">
        <v>364</v>
      </c>
      <c r="C107" s="158" t="s">
        <v>197</v>
      </c>
      <c r="D107" s="158">
        <v>100</v>
      </c>
      <c r="E107" s="162">
        <v>56.95</v>
      </c>
      <c r="F107" s="162">
        <v>5695</v>
      </c>
      <c r="G107" s="166">
        <v>42.45</v>
      </c>
      <c r="H107" s="158" t="s">
        <v>365</v>
      </c>
      <c r="I107" s="158">
        <v>201011014</v>
      </c>
      <c r="J107" s="158" t="s">
        <v>199</v>
      </c>
      <c r="K107" s="158" t="s">
        <v>200</v>
      </c>
      <c r="L107" s="158" t="s">
        <v>204</v>
      </c>
    </row>
    <row r="108" spans="1:12" x14ac:dyDescent="0.2">
      <c r="A108" s="160">
        <v>40288</v>
      </c>
      <c r="B108" s="158" t="s">
        <v>364</v>
      </c>
      <c r="C108" s="158" t="s">
        <v>197</v>
      </c>
      <c r="D108" s="158">
        <v>100</v>
      </c>
      <c r="E108" s="162">
        <v>56.3</v>
      </c>
      <c r="F108" s="162">
        <v>5630</v>
      </c>
      <c r="G108" s="166">
        <v>41.96</v>
      </c>
      <c r="H108" s="158" t="s">
        <v>366</v>
      </c>
      <c r="I108" s="158">
        <v>2010071</v>
      </c>
      <c r="J108" s="158" t="s">
        <v>199</v>
      </c>
      <c r="K108" s="158" t="s">
        <v>200</v>
      </c>
      <c r="L108" s="158" t="s">
        <v>201</v>
      </c>
    </row>
    <row r="109" spans="1:12" x14ac:dyDescent="0.2">
      <c r="A109" s="160">
        <v>40280</v>
      </c>
      <c r="B109" s="158" t="s">
        <v>367</v>
      </c>
      <c r="C109" s="158" t="s">
        <v>197</v>
      </c>
      <c r="D109" s="158">
        <v>65</v>
      </c>
      <c r="E109" s="162">
        <v>78.05</v>
      </c>
      <c r="F109" s="162">
        <v>5073.25</v>
      </c>
      <c r="G109" s="166">
        <v>37.799999999999997</v>
      </c>
      <c r="H109" s="158" t="s">
        <v>368</v>
      </c>
      <c r="I109" s="158">
        <v>2010066</v>
      </c>
      <c r="J109" s="158" t="s">
        <v>199</v>
      </c>
      <c r="K109" s="158" t="s">
        <v>200</v>
      </c>
      <c r="L109" s="158" t="s">
        <v>201</v>
      </c>
    </row>
    <row r="110" spans="1:12" x14ac:dyDescent="0.2">
      <c r="A110" s="160">
        <v>40470</v>
      </c>
      <c r="B110" s="158" t="s">
        <v>282</v>
      </c>
      <c r="C110" s="158" t="s">
        <v>197</v>
      </c>
      <c r="D110" s="158">
        <v>260</v>
      </c>
      <c r="E110" s="162">
        <v>39.9</v>
      </c>
      <c r="F110" s="162">
        <v>10374</v>
      </c>
      <c r="G110" s="166">
        <v>77.318799999999996</v>
      </c>
      <c r="H110" s="158" t="s">
        <v>283</v>
      </c>
      <c r="I110" s="158">
        <v>2010200</v>
      </c>
      <c r="J110" s="158" t="s">
        <v>199</v>
      </c>
      <c r="K110" s="158" t="s">
        <v>200</v>
      </c>
      <c r="L110" s="158" t="s">
        <v>201</v>
      </c>
    </row>
    <row r="111" spans="1:12" x14ac:dyDescent="0.2">
      <c r="D111" s="162"/>
      <c r="F111" s="162">
        <f>SUM(F2:F110)</f>
        <v>1126277.5</v>
      </c>
      <c r="G111" s="166">
        <f>SUM(G2:G110)</f>
        <v>8308.8988000000008</v>
      </c>
    </row>
    <row r="112" spans="1:12" x14ac:dyDescent="0.2">
      <c r="F112" s="162" t="s">
        <v>624</v>
      </c>
      <c r="G112" s="166">
        <f>F111+G111</f>
        <v>1134586.3988000001</v>
      </c>
    </row>
    <row r="115" spans="1:12" ht="12.6" x14ac:dyDescent="0.25">
      <c r="A115" s="159" t="s">
        <v>2073</v>
      </c>
    </row>
    <row r="116" spans="1:12" x14ac:dyDescent="0.2">
      <c r="A116" s="160">
        <v>40633</v>
      </c>
      <c r="B116" s="158" t="s">
        <v>235</v>
      </c>
      <c r="C116" s="158" t="s">
        <v>369</v>
      </c>
      <c r="D116" s="158">
        <v>340</v>
      </c>
      <c r="E116" s="162">
        <v>22.5</v>
      </c>
      <c r="F116" s="162">
        <v>7650</v>
      </c>
      <c r="G116" s="166">
        <v>57.44</v>
      </c>
      <c r="H116" s="158" t="s">
        <v>370</v>
      </c>
      <c r="I116" s="158">
        <v>2011062</v>
      </c>
      <c r="J116" s="158" t="s">
        <v>199</v>
      </c>
      <c r="K116" s="158" t="s">
        <v>200</v>
      </c>
      <c r="L116" s="158" t="s">
        <v>201</v>
      </c>
    </row>
    <row r="117" spans="1:12" x14ac:dyDescent="0.2">
      <c r="A117" s="160">
        <v>40632</v>
      </c>
      <c r="B117" s="158" t="s">
        <v>196</v>
      </c>
      <c r="C117" s="158" t="s">
        <v>369</v>
      </c>
      <c r="D117" s="158">
        <v>19</v>
      </c>
      <c r="E117" s="162">
        <v>695.3</v>
      </c>
      <c r="F117" s="162">
        <v>13210.7</v>
      </c>
      <c r="G117" s="166">
        <v>98.92</v>
      </c>
      <c r="H117" s="158" t="s">
        <v>371</v>
      </c>
      <c r="I117" s="158">
        <v>2011061</v>
      </c>
      <c r="J117" s="158" t="s">
        <v>199</v>
      </c>
      <c r="K117" s="158" t="s">
        <v>200</v>
      </c>
      <c r="L117" s="158" t="s">
        <v>201</v>
      </c>
    </row>
    <row r="118" spans="1:12" x14ac:dyDescent="0.2">
      <c r="A118" s="160">
        <v>40630</v>
      </c>
      <c r="B118" s="158" t="s">
        <v>235</v>
      </c>
      <c r="C118" s="158" t="s">
        <v>369</v>
      </c>
      <c r="D118" s="158">
        <v>360</v>
      </c>
      <c r="E118" s="162">
        <v>21.25</v>
      </c>
      <c r="F118" s="162">
        <v>7650</v>
      </c>
      <c r="G118" s="166">
        <v>56.81</v>
      </c>
      <c r="H118" s="158" t="s">
        <v>372</v>
      </c>
      <c r="I118" s="158">
        <v>2011059</v>
      </c>
      <c r="J118" s="158" t="s">
        <v>199</v>
      </c>
      <c r="K118" s="158" t="s">
        <v>200</v>
      </c>
      <c r="L118" s="158" t="s">
        <v>201</v>
      </c>
    </row>
    <row r="119" spans="1:12" x14ac:dyDescent="0.2">
      <c r="A119" s="160">
        <v>40630</v>
      </c>
      <c r="B119" s="158" t="s">
        <v>282</v>
      </c>
      <c r="C119" s="158" t="s">
        <v>369</v>
      </c>
      <c r="D119" s="158">
        <v>170</v>
      </c>
      <c r="E119" s="162">
        <v>31.15</v>
      </c>
      <c r="F119" s="162">
        <v>5295.5</v>
      </c>
      <c r="G119" s="166">
        <v>39.44</v>
      </c>
      <c r="H119" s="158" t="s">
        <v>373</v>
      </c>
      <c r="I119" s="158">
        <v>2011059</v>
      </c>
      <c r="J119" s="158" t="s">
        <v>199</v>
      </c>
      <c r="K119" s="158" t="s">
        <v>200</v>
      </c>
      <c r="L119" s="158" t="s">
        <v>201</v>
      </c>
    </row>
    <row r="120" spans="1:12" x14ac:dyDescent="0.2">
      <c r="A120" s="160">
        <v>40620</v>
      </c>
      <c r="B120" s="158" t="s">
        <v>207</v>
      </c>
      <c r="C120" s="158" t="s">
        <v>369</v>
      </c>
      <c r="D120" s="158">
        <v>150</v>
      </c>
      <c r="E120" s="162">
        <v>51.7</v>
      </c>
      <c r="F120" s="162">
        <v>7755.25</v>
      </c>
      <c r="G120" s="166">
        <v>58.11</v>
      </c>
      <c r="H120" s="158" t="s">
        <v>376</v>
      </c>
      <c r="I120" s="158">
        <v>201011247</v>
      </c>
      <c r="J120" s="158" t="s">
        <v>199</v>
      </c>
      <c r="K120" s="158" t="s">
        <v>200</v>
      </c>
      <c r="L120" s="158" t="s">
        <v>204</v>
      </c>
    </row>
    <row r="121" spans="1:12" x14ac:dyDescent="0.2">
      <c r="A121" s="160">
        <v>40613</v>
      </c>
      <c r="B121" s="158" t="s">
        <v>244</v>
      </c>
      <c r="C121" s="158" t="s">
        <v>369</v>
      </c>
      <c r="D121" s="158">
        <v>140</v>
      </c>
      <c r="E121" s="162">
        <v>34.4</v>
      </c>
      <c r="F121" s="162">
        <v>4816</v>
      </c>
      <c r="G121" s="166">
        <v>35.89</v>
      </c>
      <c r="H121" s="158" t="s">
        <v>385</v>
      </c>
      <c r="I121" s="158">
        <v>2011048</v>
      </c>
      <c r="J121" s="158" t="s">
        <v>199</v>
      </c>
      <c r="K121" s="158" t="s">
        <v>200</v>
      </c>
      <c r="L121" s="158" t="s">
        <v>201</v>
      </c>
    </row>
    <row r="122" spans="1:12" x14ac:dyDescent="0.2">
      <c r="A122" s="160">
        <v>40613</v>
      </c>
      <c r="B122" s="158" t="s">
        <v>211</v>
      </c>
      <c r="C122" s="158" t="s">
        <v>369</v>
      </c>
      <c r="D122" s="158">
        <v>22</v>
      </c>
      <c r="E122" s="162">
        <v>459</v>
      </c>
      <c r="F122" s="162">
        <v>10098</v>
      </c>
      <c r="G122" s="166">
        <v>75.239999999999995</v>
      </c>
      <c r="H122" s="158" t="s">
        <v>389</v>
      </c>
      <c r="I122" s="158">
        <v>2011048</v>
      </c>
      <c r="J122" s="158" t="s">
        <v>199</v>
      </c>
      <c r="K122" s="158" t="s">
        <v>200</v>
      </c>
      <c r="L122" s="158" t="s">
        <v>201</v>
      </c>
    </row>
    <row r="123" spans="1:12" x14ac:dyDescent="0.2">
      <c r="A123" s="160">
        <v>40613</v>
      </c>
      <c r="B123" s="158" t="s">
        <v>202</v>
      </c>
      <c r="C123" s="158" t="s">
        <v>369</v>
      </c>
      <c r="D123" s="158">
        <v>22</v>
      </c>
      <c r="E123" s="162">
        <v>304.57</v>
      </c>
      <c r="F123" s="162">
        <v>6700.45</v>
      </c>
      <c r="G123" s="166">
        <v>49.92</v>
      </c>
      <c r="H123" s="158" t="s">
        <v>390</v>
      </c>
      <c r="I123" s="158">
        <v>2011048</v>
      </c>
      <c r="J123" s="158" t="s">
        <v>199</v>
      </c>
      <c r="K123" s="158" t="s">
        <v>200</v>
      </c>
      <c r="L123" s="158" t="s">
        <v>201</v>
      </c>
    </row>
    <row r="124" spans="1:12" x14ac:dyDescent="0.2">
      <c r="A124" s="160">
        <v>40613</v>
      </c>
      <c r="B124" s="158" t="s">
        <v>205</v>
      </c>
      <c r="C124" s="158" t="s">
        <v>369</v>
      </c>
      <c r="D124" s="158">
        <v>9</v>
      </c>
      <c r="E124" s="162">
        <v>992.8</v>
      </c>
      <c r="F124" s="162">
        <v>8935.2000000000007</v>
      </c>
      <c r="G124" s="166">
        <v>66.319999999999993</v>
      </c>
      <c r="H124" s="158" t="s">
        <v>391</v>
      </c>
      <c r="I124" s="158">
        <v>2011048</v>
      </c>
      <c r="J124" s="158" t="s">
        <v>199</v>
      </c>
      <c r="K124" s="158" t="s">
        <v>200</v>
      </c>
      <c r="L124" s="158" t="s">
        <v>201</v>
      </c>
    </row>
    <row r="125" spans="1:12" x14ac:dyDescent="0.2">
      <c r="A125" s="160">
        <v>40611</v>
      </c>
      <c r="B125" s="158" t="s">
        <v>244</v>
      </c>
      <c r="C125" s="158" t="s">
        <v>369</v>
      </c>
      <c r="D125" s="158">
        <v>54</v>
      </c>
      <c r="E125" s="162">
        <v>34.799999999999997</v>
      </c>
      <c r="F125" s="162">
        <v>1879.2</v>
      </c>
      <c r="G125" s="166">
        <v>30.18</v>
      </c>
      <c r="H125" s="158" t="s">
        <v>393</v>
      </c>
      <c r="I125" s="158">
        <v>2011046</v>
      </c>
      <c r="J125" s="158" t="s">
        <v>199</v>
      </c>
      <c r="K125" s="158" t="s">
        <v>200</v>
      </c>
      <c r="L125" s="158" t="s">
        <v>201</v>
      </c>
    </row>
    <row r="126" spans="1:12" x14ac:dyDescent="0.2">
      <c r="A126" s="160">
        <v>40609</v>
      </c>
      <c r="B126" s="158" t="s">
        <v>244</v>
      </c>
      <c r="C126" s="158" t="s">
        <v>369</v>
      </c>
      <c r="D126" s="158">
        <v>106</v>
      </c>
      <c r="E126" s="162">
        <v>35.700000000000003</v>
      </c>
      <c r="F126" s="162">
        <v>3784.2</v>
      </c>
      <c r="G126" s="166">
        <v>32.81</v>
      </c>
      <c r="H126" s="158" t="s">
        <v>394</v>
      </c>
      <c r="I126" s="158">
        <v>2011044</v>
      </c>
      <c r="J126" s="158" t="s">
        <v>199</v>
      </c>
      <c r="K126" s="158" t="s">
        <v>200</v>
      </c>
      <c r="L126" s="158" t="s">
        <v>201</v>
      </c>
    </row>
    <row r="127" spans="1:12" x14ac:dyDescent="0.2">
      <c r="A127" s="160">
        <v>40598</v>
      </c>
      <c r="B127" s="158" t="s">
        <v>233</v>
      </c>
      <c r="C127" s="158" t="s">
        <v>369</v>
      </c>
      <c r="D127" s="158">
        <v>55</v>
      </c>
      <c r="E127" s="162">
        <v>138</v>
      </c>
      <c r="F127" s="162">
        <v>7590</v>
      </c>
      <c r="G127" s="166">
        <v>56.27</v>
      </c>
      <c r="H127" s="158" t="s">
        <v>395</v>
      </c>
      <c r="I127" s="158">
        <v>2011038</v>
      </c>
      <c r="J127" s="158" t="s">
        <v>199</v>
      </c>
      <c r="K127" s="158" t="s">
        <v>200</v>
      </c>
      <c r="L127" s="158" t="s">
        <v>201</v>
      </c>
    </row>
    <row r="128" spans="1:12" x14ac:dyDescent="0.2">
      <c r="A128" s="160">
        <v>40595</v>
      </c>
      <c r="B128" s="158" t="s">
        <v>242</v>
      </c>
      <c r="C128" s="158" t="s">
        <v>369</v>
      </c>
      <c r="D128" s="158">
        <v>460</v>
      </c>
      <c r="E128" s="162">
        <v>35.15</v>
      </c>
      <c r="F128" s="162">
        <v>16169</v>
      </c>
      <c r="G128" s="166">
        <v>120.16</v>
      </c>
      <c r="H128" s="158" t="s">
        <v>396</v>
      </c>
      <c r="I128" s="158">
        <v>2011035</v>
      </c>
      <c r="J128" s="158" t="s">
        <v>199</v>
      </c>
      <c r="K128" s="158" t="s">
        <v>200</v>
      </c>
      <c r="L128" s="158" t="s">
        <v>201</v>
      </c>
    </row>
    <row r="129" spans="1:12" x14ac:dyDescent="0.2">
      <c r="A129" s="160">
        <v>40595</v>
      </c>
      <c r="B129" s="158" t="s">
        <v>233</v>
      </c>
      <c r="C129" s="158" t="s">
        <v>369</v>
      </c>
      <c r="D129" s="158">
        <v>30</v>
      </c>
      <c r="E129" s="162">
        <v>135.9</v>
      </c>
      <c r="F129" s="162">
        <v>4077</v>
      </c>
      <c r="G129" s="166">
        <v>33.22</v>
      </c>
      <c r="H129" s="158" t="s">
        <v>397</v>
      </c>
      <c r="I129" s="158">
        <v>2011035</v>
      </c>
      <c r="J129" s="158" t="s">
        <v>199</v>
      </c>
      <c r="K129" s="158" t="s">
        <v>200</v>
      </c>
      <c r="L129" s="158" t="s">
        <v>201</v>
      </c>
    </row>
    <row r="130" spans="1:12" x14ac:dyDescent="0.2">
      <c r="A130" s="160">
        <v>40592</v>
      </c>
      <c r="B130" s="158" t="s">
        <v>242</v>
      </c>
      <c r="C130" s="158" t="s">
        <v>369</v>
      </c>
      <c r="D130" s="158">
        <v>540</v>
      </c>
      <c r="E130" s="162">
        <v>37.200000000000003</v>
      </c>
      <c r="F130" s="162">
        <v>20088</v>
      </c>
      <c r="G130" s="166">
        <v>149.55000000000001</v>
      </c>
      <c r="H130" s="158" t="s">
        <v>398</v>
      </c>
      <c r="I130" s="158">
        <v>2011034</v>
      </c>
      <c r="J130" s="158" t="s">
        <v>199</v>
      </c>
      <c r="K130" s="158" t="s">
        <v>200</v>
      </c>
      <c r="L130" s="158" t="s">
        <v>201</v>
      </c>
    </row>
    <row r="131" spans="1:12" x14ac:dyDescent="0.2">
      <c r="A131" s="160">
        <v>40591</v>
      </c>
      <c r="B131" s="158" t="s">
        <v>238</v>
      </c>
      <c r="C131" s="158" t="s">
        <v>369</v>
      </c>
      <c r="D131" s="158">
        <v>70</v>
      </c>
      <c r="E131" s="162">
        <v>138.05000000000001</v>
      </c>
      <c r="F131" s="162">
        <v>9663.5</v>
      </c>
      <c r="G131" s="166">
        <v>72.010000000000005</v>
      </c>
      <c r="H131" s="158" t="s">
        <v>399</v>
      </c>
      <c r="I131" s="158">
        <v>2011033</v>
      </c>
      <c r="J131" s="158" t="s">
        <v>199</v>
      </c>
      <c r="K131" s="158" t="s">
        <v>200</v>
      </c>
      <c r="L131" s="158" t="s">
        <v>201</v>
      </c>
    </row>
    <row r="132" spans="1:12" x14ac:dyDescent="0.2">
      <c r="A132" s="160">
        <v>40591</v>
      </c>
      <c r="B132" s="158" t="s">
        <v>233</v>
      </c>
      <c r="C132" s="158" t="s">
        <v>369</v>
      </c>
      <c r="D132" s="158">
        <v>55</v>
      </c>
      <c r="E132" s="162">
        <v>140.80000000000001</v>
      </c>
      <c r="F132" s="162">
        <v>7744</v>
      </c>
      <c r="G132" s="166">
        <v>57.71</v>
      </c>
      <c r="H132" s="158" t="s">
        <v>400</v>
      </c>
      <c r="I132" s="158">
        <v>2011033</v>
      </c>
      <c r="J132" s="158" t="s">
        <v>199</v>
      </c>
      <c r="K132" s="158" t="s">
        <v>200</v>
      </c>
      <c r="L132" s="158" t="s">
        <v>201</v>
      </c>
    </row>
    <row r="133" spans="1:12" x14ac:dyDescent="0.2">
      <c r="A133" s="160">
        <v>40589</v>
      </c>
      <c r="B133" s="158" t="s">
        <v>233</v>
      </c>
      <c r="C133" s="158" t="s">
        <v>369</v>
      </c>
      <c r="D133" s="158">
        <v>60</v>
      </c>
      <c r="E133" s="162">
        <v>139</v>
      </c>
      <c r="F133" s="162">
        <v>8340</v>
      </c>
      <c r="G133" s="166">
        <v>61.72</v>
      </c>
      <c r="H133" s="158" t="s">
        <v>401</v>
      </c>
      <c r="I133" s="158">
        <v>2011031</v>
      </c>
      <c r="J133" s="158" t="s">
        <v>199</v>
      </c>
      <c r="K133" s="158" t="s">
        <v>200</v>
      </c>
      <c r="L133" s="158" t="s">
        <v>201</v>
      </c>
    </row>
    <row r="134" spans="1:12" x14ac:dyDescent="0.2">
      <c r="A134" s="160">
        <v>40588</v>
      </c>
      <c r="B134" s="158" t="s">
        <v>238</v>
      </c>
      <c r="C134" s="158" t="s">
        <v>369</v>
      </c>
      <c r="D134" s="158">
        <v>80</v>
      </c>
      <c r="E134" s="162">
        <v>140.5</v>
      </c>
      <c r="F134" s="162">
        <v>11240</v>
      </c>
      <c r="G134" s="166">
        <v>83.76</v>
      </c>
      <c r="H134" s="158" t="s">
        <v>402</v>
      </c>
      <c r="I134" s="158">
        <v>2011030</v>
      </c>
      <c r="J134" s="158" t="s">
        <v>199</v>
      </c>
      <c r="K134" s="158" t="s">
        <v>200</v>
      </c>
      <c r="L134" s="158" t="s">
        <v>201</v>
      </c>
    </row>
    <row r="135" spans="1:12" x14ac:dyDescent="0.2">
      <c r="A135" s="160">
        <v>40584</v>
      </c>
      <c r="B135" s="158" t="s">
        <v>240</v>
      </c>
      <c r="C135" s="158" t="s">
        <v>369</v>
      </c>
      <c r="D135" s="158">
        <v>50</v>
      </c>
      <c r="E135" s="162">
        <v>150.30000000000001</v>
      </c>
      <c r="F135" s="162">
        <v>7515</v>
      </c>
      <c r="G135" s="166">
        <v>55.61</v>
      </c>
      <c r="H135" s="158" t="s">
        <v>403</v>
      </c>
      <c r="I135" s="158">
        <v>201011222</v>
      </c>
      <c r="J135" s="158" t="s">
        <v>199</v>
      </c>
      <c r="K135" s="158" t="s">
        <v>200</v>
      </c>
      <c r="L135" s="158" t="s">
        <v>204</v>
      </c>
    </row>
    <row r="136" spans="1:12" x14ac:dyDescent="0.2">
      <c r="A136" s="160">
        <v>40582</v>
      </c>
      <c r="B136" s="158" t="s">
        <v>255</v>
      </c>
      <c r="C136" s="158" t="s">
        <v>369</v>
      </c>
      <c r="D136" s="158">
        <v>2000</v>
      </c>
      <c r="E136" s="162">
        <v>10.050000000000001</v>
      </c>
      <c r="F136" s="162">
        <v>20100</v>
      </c>
      <c r="G136" s="166">
        <v>149.63</v>
      </c>
      <c r="H136" s="158" t="s">
        <v>404</v>
      </c>
      <c r="I136" s="158">
        <v>2011026</v>
      </c>
      <c r="J136" s="158" t="s">
        <v>199</v>
      </c>
      <c r="K136" s="158" t="s">
        <v>200</v>
      </c>
      <c r="L136" s="158" t="s">
        <v>201</v>
      </c>
    </row>
    <row r="137" spans="1:12" x14ac:dyDescent="0.2">
      <c r="A137" s="160">
        <v>40575</v>
      </c>
      <c r="B137" s="158" t="s">
        <v>249</v>
      </c>
      <c r="C137" s="158" t="s">
        <v>369</v>
      </c>
      <c r="D137" s="158">
        <v>200</v>
      </c>
      <c r="E137" s="162">
        <v>18.5</v>
      </c>
      <c r="F137" s="162">
        <v>3700</v>
      </c>
      <c r="G137" s="166">
        <v>33.08</v>
      </c>
      <c r="H137" s="158" t="s">
        <v>405</v>
      </c>
      <c r="I137" s="158">
        <v>2011021</v>
      </c>
      <c r="J137" s="158" t="s">
        <v>199</v>
      </c>
      <c r="K137" s="158" t="s">
        <v>200</v>
      </c>
      <c r="L137" s="158" t="s">
        <v>201</v>
      </c>
    </row>
    <row r="138" spans="1:12" x14ac:dyDescent="0.2">
      <c r="A138" s="160">
        <v>40563</v>
      </c>
      <c r="B138" s="158" t="s">
        <v>249</v>
      </c>
      <c r="C138" s="158" t="s">
        <v>369</v>
      </c>
      <c r="D138" s="158">
        <v>50</v>
      </c>
      <c r="E138" s="162">
        <v>17.5</v>
      </c>
      <c r="F138" s="162">
        <v>875</v>
      </c>
      <c r="G138" s="166">
        <v>25.25</v>
      </c>
      <c r="H138" s="158" t="s">
        <v>406</v>
      </c>
      <c r="I138" s="158">
        <v>2011014</v>
      </c>
      <c r="J138" s="158" t="s">
        <v>199</v>
      </c>
      <c r="K138" s="158" t="s">
        <v>200</v>
      </c>
      <c r="L138" s="158" t="s">
        <v>201</v>
      </c>
    </row>
    <row r="139" spans="1:12" x14ac:dyDescent="0.2">
      <c r="A139" s="160">
        <v>40550</v>
      </c>
      <c r="B139" s="158" t="s">
        <v>266</v>
      </c>
      <c r="C139" s="158" t="s">
        <v>369</v>
      </c>
      <c r="D139" s="158">
        <v>100</v>
      </c>
      <c r="E139" s="162">
        <v>202</v>
      </c>
      <c r="F139" s="162">
        <v>20200</v>
      </c>
      <c r="G139" s="166">
        <v>150.27000000000001</v>
      </c>
      <c r="H139" s="158" t="s">
        <v>407</v>
      </c>
      <c r="I139" s="158">
        <v>2011005</v>
      </c>
      <c r="J139" s="158" t="s">
        <v>199</v>
      </c>
      <c r="K139" s="158" t="s">
        <v>200</v>
      </c>
      <c r="L139" s="158" t="s">
        <v>201</v>
      </c>
    </row>
    <row r="140" spans="1:12" x14ac:dyDescent="0.2">
      <c r="A140" s="160">
        <v>40540</v>
      </c>
      <c r="B140" s="158" t="s">
        <v>257</v>
      </c>
      <c r="C140" s="158" t="s">
        <v>369</v>
      </c>
      <c r="D140" s="158">
        <v>400</v>
      </c>
      <c r="E140" s="162">
        <v>118.1</v>
      </c>
      <c r="F140" s="162">
        <v>47240</v>
      </c>
      <c r="G140" s="166">
        <v>351.98</v>
      </c>
      <c r="H140" s="158" t="s">
        <v>408</v>
      </c>
      <c r="I140" s="158">
        <v>2010248</v>
      </c>
      <c r="J140" s="158" t="s">
        <v>199</v>
      </c>
      <c r="K140" s="158" t="s">
        <v>200</v>
      </c>
      <c r="L140" s="158" t="s">
        <v>201</v>
      </c>
    </row>
    <row r="141" spans="1:12" x14ac:dyDescent="0.2">
      <c r="A141" s="160">
        <v>40511</v>
      </c>
      <c r="B141" s="158" t="s">
        <v>257</v>
      </c>
      <c r="C141" s="158" t="s">
        <v>369</v>
      </c>
      <c r="D141" s="158">
        <v>100</v>
      </c>
      <c r="E141" s="162">
        <v>143</v>
      </c>
      <c r="F141" s="162">
        <v>14300</v>
      </c>
      <c r="G141" s="166">
        <v>91.63</v>
      </c>
      <c r="H141" s="158" t="s">
        <v>409</v>
      </c>
      <c r="I141" s="158">
        <v>2010228</v>
      </c>
      <c r="J141" s="158" t="s">
        <v>199</v>
      </c>
      <c r="K141" s="158" t="s">
        <v>200</v>
      </c>
      <c r="L141" s="158" t="s">
        <v>201</v>
      </c>
    </row>
    <row r="142" spans="1:12" x14ac:dyDescent="0.2">
      <c r="A142" s="160">
        <v>40507</v>
      </c>
      <c r="B142" s="158" t="s">
        <v>266</v>
      </c>
      <c r="C142" s="158" t="s">
        <v>369</v>
      </c>
      <c r="D142" s="158">
        <v>125</v>
      </c>
      <c r="E142" s="162">
        <v>225.02</v>
      </c>
      <c r="F142" s="162">
        <v>28127.5</v>
      </c>
      <c r="G142" s="166">
        <v>209.63</v>
      </c>
      <c r="H142" s="158" t="s">
        <v>410</v>
      </c>
      <c r="I142" s="158">
        <v>201011169</v>
      </c>
      <c r="J142" s="158" t="s">
        <v>199</v>
      </c>
      <c r="K142" s="158" t="s">
        <v>200</v>
      </c>
      <c r="L142" s="158" t="s">
        <v>204</v>
      </c>
    </row>
    <row r="143" spans="1:12" x14ac:dyDescent="0.2">
      <c r="A143" s="160">
        <v>40505</v>
      </c>
      <c r="B143" s="158" t="s">
        <v>268</v>
      </c>
      <c r="C143" s="158" t="s">
        <v>369</v>
      </c>
      <c r="D143" s="158">
        <v>2000</v>
      </c>
      <c r="E143" s="162">
        <v>4.95</v>
      </c>
      <c r="F143" s="162">
        <v>9900</v>
      </c>
      <c r="G143" s="166">
        <v>73.78</v>
      </c>
      <c r="H143" s="158" t="s">
        <v>411</v>
      </c>
      <c r="I143" s="158">
        <v>2010224</v>
      </c>
      <c r="J143" s="158" t="s">
        <v>199</v>
      </c>
      <c r="K143" s="158" t="s">
        <v>200</v>
      </c>
      <c r="L143" s="158" t="s">
        <v>201</v>
      </c>
    </row>
    <row r="144" spans="1:12" x14ac:dyDescent="0.2">
      <c r="A144" s="160">
        <v>40501</v>
      </c>
      <c r="B144" s="158" t="s">
        <v>264</v>
      </c>
      <c r="C144" s="158" t="s">
        <v>369</v>
      </c>
      <c r="D144" s="158">
        <v>700</v>
      </c>
      <c r="E144" s="162">
        <v>29.75</v>
      </c>
      <c r="F144" s="162">
        <v>20825</v>
      </c>
      <c r="G144" s="166">
        <v>155.25</v>
      </c>
      <c r="H144" s="158" t="s">
        <v>412</v>
      </c>
      <c r="I144" s="158">
        <v>201011165</v>
      </c>
      <c r="J144" s="158" t="s">
        <v>199</v>
      </c>
      <c r="K144" s="158" t="s">
        <v>200</v>
      </c>
      <c r="L144" s="158" t="s">
        <v>204</v>
      </c>
    </row>
    <row r="145" spans="1:12" x14ac:dyDescent="0.2">
      <c r="A145" s="160">
        <v>40497</v>
      </c>
      <c r="B145" s="158" t="s">
        <v>238</v>
      </c>
      <c r="C145" s="158" t="s">
        <v>369</v>
      </c>
      <c r="D145" s="158">
        <v>150</v>
      </c>
      <c r="E145" s="162">
        <v>168.8</v>
      </c>
      <c r="F145" s="162">
        <v>25319.45</v>
      </c>
      <c r="G145" s="166">
        <v>188.69</v>
      </c>
      <c r="H145" s="158" t="s">
        <v>413</v>
      </c>
      <c r="I145" s="158">
        <v>201011162</v>
      </c>
      <c r="J145" s="158" t="s">
        <v>199</v>
      </c>
      <c r="K145" s="158" t="s">
        <v>200</v>
      </c>
      <c r="L145" s="158" t="s">
        <v>204</v>
      </c>
    </row>
    <row r="146" spans="1:12" x14ac:dyDescent="0.2">
      <c r="A146" s="160">
        <v>40494</v>
      </c>
      <c r="B146" s="158" t="s">
        <v>235</v>
      </c>
      <c r="C146" s="158" t="s">
        <v>369</v>
      </c>
      <c r="D146" s="158">
        <v>1000</v>
      </c>
      <c r="E146" s="162">
        <v>33.950000000000003</v>
      </c>
      <c r="F146" s="162">
        <v>33950</v>
      </c>
      <c r="G146" s="166">
        <v>252.94</v>
      </c>
      <c r="H146" s="158" t="s">
        <v>414</v>
      </c>
      <c r="I146" s="158">
        <v>2010218</v>
      </c>
      <c r="J146" s="158" t="s">
        <v>199</v>
      </c>
      <c r="K146" s="158" t="s">
        <v>200</v>
      </c>
      <c r="L146" s="158" t="s">
        <v>201</v>
      </c>
    </row>
    <row r="147" spans="1:12" x14ac:dyDescent="0.2">
      <c r="A147" s="160">
        <v>40487</v>
      </c>
      <c r="B147" s="158" t="s">
        <v>235</v>
      </c>
      <c r="C147" s="158" t="s">
        <v>369</v>
      </c>
      <c r="D147" s="158">
        <v>2000</v>
      </c>
      <c r="E147" s="162">
        <v>29.25</v>
      </c>
      <c r="F147" s="162">
        <v>58500</v>
      </c>
      <c r="G147" s="166">
        <v>435.93</v>
      </c>
      <c r="H147" s="158" t="s">
        <v>415</v>
      </c>
      <c r="I147" s="158">
        <v>2010213</v>
      </c>
      <c r="J147" s="158" t="s">
        <v>199</v>
      </c>
      <c r="K147" s="158" t="s">
        <v>200</v>
      </c>
      <c r="L147" s="158" t="s">
        <v>201</v>
      </c>
    </row>
    <row r="148" spans="1:12" x14ac:dyDescent="0.2">
      <c r="A148" s="160">
        <v>40478</v>
      </c>
      <c r="B148" s="158" t="s">
        <v>235</v>
      </c>
      <c r="C148" s="158" t="s">
        <v>369</v>
      </c>
      <c r="D148" s="158">
        <v>1000</v>
      </c>
      <c r="E148" s="162">
        <v>25.45</v>
      </c>
      <c r="F148" s="162">
        <v>25450</v>
      </c>
      <c r="G148" s="166">
        <v>189.61</v>
      </c>
      <c r="H148" s="158" t="s">
        <v>416</v>
      </c>
      <c r="I148" s="158">
        <v>201011149</v>
      </c>
      <c r="J148" s="158" t="s">
        <v>199</v>
      </c>
      <c r="K148" s="158" t="s">
        <v>200</v>
      </c>
      <c r="L148" s="158" t="s">
        <v>204</v>
      </c>
    </row>
    <row r="149" spans="1:12" x14ac:dyDescent="0.2">
      <c r="A149" s="160">
        <v>40477</v>
      </c>
      <c r="B149" s="158" t="s">
        <v>284</v>
      </c>
      <c r="C149" s="158" t="s">
        <v>369</v>
      </c>
      <c r="D149" s="158">
        <v>100</v>
      </c>
      <c r="E149" s="162">
        <v>772</v>
      </c>
      <c r="F149" s="162">
        <v>77200</v>
      </c>
      <c r="G149" s="166">
        <v>575.33000000000004</v>
      </c>
      <c r="H149" s="158" t="s">
        <v>417</v>
      </c>
      <c r="I149" s="158">
        <v>201011148</v>
      </c>
      <c r="J149" s="158" t="s">
        <v>199</v>
      </c>
      <c r="K149" s="158" t="s">
        <v>200</v>
      </c>
      <c r="L149" s="158" t="s">
        <v>204</v>
      </c>
    </row>
    <row r="150" spans="1:12" x14ac:dyDescent="0.2">
      <c r="A150" s="160">
        <v>40470</v>
      </c>
      <c r="B150" s="158" t="s">
        <v>284</v>
      </c>
      <c r="C150" s="158" t="s">
        <v>369</v>
      </c>
      <c r="D150" s="158">
        <v>50</v>
      </c>
      <c r="E150" s="162">
        <v>824</v>
      </c>
      <c r="F150" s="162">
        <v>41200</v>
      </c>
      <c r="G150" s="166">
        <v>307.01</v>
      </c>
      <c r="H150" s="158" t="s">
        <v>418</v>
      </c>
      <c r="I150" s="158">
        <v>2010200</v>
      </c>
      <c r="J150" s="158" t="s">
        <v>199</v>
      </c>
      <c r="K150" s="158" t="s">
        <v>200</v>
      </c>
      <c r="L150" s="158" t="s">
        <v>201</v>
      </c>
    </row>
    <row r="151" spans="1:12" x14ac:dyDescent="0.2">
      <c r="A151" s="160">
        <v>40457</v>
      </c>
      <c r="B151" s="158" t="s">
        <v>296</v>
      </c>
      <c r="C151" s="158" t="s">
        <v>369</v>
      </c>
      <c r="D151" s="158">
        <v>100</v>
      </c>
      <c r="E151" s="162">
        <v>170.5</v>
      </c>
      <c r="F151" s="162">
        <v>17050</v>
      </c>
      <c r="G151" s="166">
        <v>127.07</v>
      </c>
      <c r="H151" s="158" t="s">
        <v>419</v>
      </c>
      <c r="I151" s="158">
        <v>201011134</v>
      </c>
      <c r="J151" s="158" t="s">
        <v>199</v>
      </c>
      <c r="K151" s="158" t="s">
        <v>200</v>
      </c>
      <c r="L151" s="158" t="s">
        <v>204</v>
      </c>
    </row>
    <row r="152" spans="1:12" x14ac:dyDescent="0.2">
      <c r="A152" s="160">
        <v>40457</v>
      </c>
      <c r="B152" s="158" t="s">
        <v>359</v>
      </c>
      <c r="C152" s="158" t="s">
        <v>369</v>
      </c>
      <c r="D152" s="158">
        <v>100</v>
      </c>
      <c r="E152" s="162">
        <v>105.55</v>
      </c>
      <c r="F152" s="162">
        <v>10555</v>
      </c>
      <c r="G152" s="166">
        <v>78.66</v>
      </c>
      <c r="H152" s="158" t="s">
        <v>420</v>
      </c>
      <c r="I152" s="158">
        <v>201011134</v>
      </c>
      <c r="J152" s="158" t="s">
        <v>199</v>
      </c>
      <c r="K152" s="158" t="s">
        <v>200</v>
      </c>
      <c r="L152" s="158" t="s">
        <v>204</v>
      </c>
    </row>
    <row r="153" spans="1:12" x14ac:dyDescent="0.2">
      <c r="A153" s="160">
        <v>40457</v>
      </c>
      <c r="B153" s="158" t="s">
        <v>255</v>
      </c>
      <c r="C153" s="158" t="s">
        <v>369</v>
      </c>
      <c r="D153" s="158">
        <v>850</v>
      </c>
      <c r="E153" s="162">
        <v>12.11</v>
      </c>
      <c r="F153" s="162">
        <v>10293.5</v>
      </c>
      <c r="G153" s="166">
        <v>76.709999999999994</v>
      </c>
      <c r="H153" s="158" t="s">
        <v>421</v>
      </c>
      <c r="I153" s="158">
        <v>201011134</v>
      </c>
      <c r="J153" s="158" t="s">
        <v>199</v>
      </c>
      <c r="K153" s="158" t="s">
        <v>200</v>
      </c>
      <c r="L153" s="158" t="s">
        <v>204</v>
      </c>
    </row>
    <row r="154" spans="1:12" x14ac:dyDescent="0.2">
      <c r="A154" s="160">
        <v>40457</v>
      </c>
      <c r="B154" s="158" t="s">
        <v>235</v>
      </c>
      <c r="C154" s="158" t="s">
        <v>369</v>
      </c>
      <c r="D154" s="158">
        <v>2000</v>
      </c>
      <c r="E154" s="162">
        <v>21.7</v>
      </c>
      <c r="F154" s="162">
        <v>43400</v>
      </c>
      <c r="G154" s="166">
        <v>300.16000000000003</v>
      </c>
      <c r="H154" s="158" t="s">
        <v>423</v>
      </c>
      <c r="I154" s="158">
        <v>2010191</v>
      </c>
      <c r="J154" s="158" t="s">
        <v>199</v>
      </c>
      <c r="K154" s="158" t="s">
        <v>200</v>
      </c>
      <c r="L154" s="158" t="s">
        <v>201</v>
      </c>
    </row>
    <row r="155" spans="1:12" x14ac:dyDescent="0.2">
      <c r="A155" s="160">
        <v>40444</v>
      </c>
      <c r="B155" s="158" t="s">
        <v>292</v>
      </c>
      <c r="C155" s="158" t="s">
        <v>369</v>
      </c>
      <c r="D155" s="158">
        <v>750</v>
      </c>
      <c r="E155" s="162">
        <v>43.65</v>
      </c>
      <c r="F155" s="162">
        <v>32737.5</v>
      </c>
      <c r="G155" s="166">
        <v>244.03</v>
      </c>
      <c r="H155" s="158" t="s">
        <v>424</v>
      </c>
      <c r="I155" s="158">
        <v>201011125</v>
      </c>
      <c r="J155" s="158" t="s">
        <v>199</v>
      </c>
      <c r="K155" s="158" t="s">
        <v>200</v>
      </c>
      <c r="L155" s="158" t="s">
        <v>204</v>
      </c>
    </row>
    <row r="156" spans="1:12" x14ac:dyDescent="0.2">
      <c r="A156" s="160">
        <v>40442</v>
      </c>
      <c r="B156" s="158" t="s">
        <v>359</v>
      </c>
      <c r="C156" s="158" t="s">
        <v>369</v>
      </c>
      <c r="D156" s="158">
        <v>50</v>
      </c>
      <c r="E156" s="162">
        <v>90.06</v>
      </c>
      <c r="F156" s="162">
        <v>4502.8</v>
      </c>
      <c r="G156" s="166">
        <v>33.81</v>
      </c>
      <c r="H156" s="158" t="s">
        <v>425</v>
      </c>
      <c r="I156" s="158">
        <v>2010180</v>
      </c>
      <c r="J156" s="158" t="s">
        <v>199</v>
      </c>
      <c r="K156" s="158" t="s">
        <v>200</v>
      </c>
      <c r="L156" s="158" t="s">
        <v>201</v>
      </c>
    </row>
    <row r="157" spans="1:12" x14ac:dyDescent="0.2">
      <c r="A157" s="160">
        <v>40442</v>
      </c>
      <c r="B157" s="158" t="s">
        <v>255</v>
      </c>
      <c r="C157" s="158" t="s">
        <v>369</v>
      </c>
      <c r="D157" s="158">
        <v>150</v>
      </c>
      <c r="E157" s="162">
        <v>11.9</v>
      </c>
      <c r="F157" s="162">
        <v>1785</v>
      </c>
      <c r="G157" s="166">
        <v>30.06</v>
      </c>
      <c r="H157" s="158" t="s">
        <v>426</v>
      </c>
      <c r="I157" s="158">
        <v>2010180</v>
      </c>
      <c r="J157" s="158" t="s">
        <v>199</v>
      </c>
      <c r="K157" s="158" t="s">
        <v>200</v>
      </c>
      <c r="L157" s="158" t="s">
        <v>201</v>
      </c>
    </row>
    <row r="158" spans="1:12" x14ac:dyDescent="0.2">
      <c r="A158" s="160">
        <v>40434</v>
      </c>
      <c r="B158" s="158" t="s">
        <v>294</v>
      </c>
      <c r="C158" s="158" t="s">
        <v>369</v>
      </c>
      <c r="D158" s="158">
        <v>40</v>
      </c>
      <c r="E158" s="162">
        <v>652.73</v>
      </c>
      <c r="F158" s="162">
        <v>26109</v>
      </c>
      <c r="G158" s="166">
        <v>7.97</v>
      </c>
      <c r="H158" s="158" t="s">
        <v>427</v>
      </c>
      <c r="I158" s="158">
        <v>2010174</v>
      </c>
      <c r="J158" s="158" t="s">
        <v>199</v>
      </c>
      <c r="K158" s="158" t="s">
        <v>200</v>
      </c>
      <c r="L158" s="158" t="s">
        <v>201</v>
      </c>
    </row>
    <row r="159" spans="1:12" x14ac:dyDescent="0.2">
      <c r="A159" s="160">
        <v>40430</v>
      </c>
      <c r="B159" s="158" t="s">
        <v>298</v>
      </c>
      <c r="C159" s="158" t="s">
        <v>369</v>
      </c>
      <c r="D159" s="158">
        <v>1000</v>
      </c>
      <c r="E159" s="162">
        <v>21.25</v>
      </c>
      <c r="F159" s="162">
        <v>21250.5</v>
      </c>
      <c r="G159" s="166">
        <v>158.36000000000001</v>
      </c>
      <c r="H159" s="158" t="s">
        <v>428</v>
      </c>
      <c r="I159" s="158">
        <v>201011116</v>
      </c>
      <c r="J159" s="158" t="s">
        <v>199</v>
      </c>
      <c r="K159" s="158" t="s">
        <v>200</v>
      </c>
      <c r="L159" s="158" t="s">
        <v>204</v>
      </c>
    </row>
    <row r="160" spans="1:12" x14ac:dyDescent="0.2">
      <c r="A160" s="160">
        <v>40417</v>
      </c>
      <c r="B160" s="158" t="s">
        <v>303</v>
      </c>
      <c r="C160" s="158" t="s">
        <v>369</v>
      </c>
      <c r="D160" s="158">
        <v>750</v>
      </c>
      <c r="E160" s="162">
        <v>19.3</v>
      </c>
      <c r="F160" s="162">
        <v>14475</v>
      </c>
      <c r="G160" s="166">
        <v>107.88</v>
      </c>
      <c r="H160" s="158" t="s">
        <v>429</v>
      </c>
      <c r="I160" s="158">
        <v>201011107</v>
      </c>
      <c r="J160" s="158" t="s">
        <v>199</v>
      </c>
      <c r="K160" s="158" t="s">
        <v>200</v>
      </c>
      <c r="L160" s="158" t="s">
        <v>204</v>
      </c>
    </row>
    <row r="161" spans="1:12" x14ac:dyDescent="0.2">
      <c r="A161" s="160">
        <v>40417</v>
      </c>
      <c r="B161" s="158" t="s">
        <v>255</v>
      </c>
      <c r="C161" s="158" t="s">
        <v>369</v>
      </c>
      <c r="D161" s="158">
        <v>1000</v>
      </c>
      <c r="E161" s="162">
        <v>11.4</v>
      </c>
      <c r="F161" s="162">
        <v>11400</v>
      </c>
      <c r="G161" s="166">
        <v>84.95</v>
      </c>
      <c r="H161" s="158" t="s">
        <v>430</v>
      </c>
      <c r="I161" s="158">
        <v>2010164</v>
      </c>
      <c r="J161" s="158" t="s">
        <v>199</v>
      </c>
      <c r="K161" s="158" t="s">
        <v>200</v>
      </c>
      <c r="L161" s="158" t="s">
        <v>201</v>
      </c>
    </row>
    <row r="162" spans="1:12" x14ac:dyDescent="0.2">
      <c r="A162" s="160">
        <v>40416</v>
      </c>
      <c r="B162" s="158" t="s">
        <v>305</v>
      </c>
      <c r="C162" s="158" t="s">
        <v>369</v>
      </c>
      <c r="D162" s="158">
        <v>1000</v>
      </c>
      <c r="E162" s="162">
        <v>18.45</v>
      </c>
      <c r="F162" s="162">
        <v>18450</v>
      </c>
      <c r="G162" s="166">
        <v>137.56</v>
      </c>
      <c r="H162" s="158" t="s">
        <v>431</v>
      </c>
      <c r="I162" s="158">
        <v>201011106</v>
      </c>
      <c r="J162" s="158" t="s">
        <v>307</v>
      </c>
      <c r="K162" s="158" t="s">
        <v>200</v>
      </c>
      <c r="L162" s="158" t="s">
        <v>204</v>
      </c>
    </row>
    <row r="163" spans="1:12" x14ac:dyDescent="0.2">
      <c r="A163" s="160">
        <v>40413</v>
      </c>
      <c r="B163" s="158" t="s">
        <v>308</v>
      </c>
      <c r="C163" s="158" t="s">
        <v>369</v>
      </c>
      <c r="D163" s="158">
        <v>200</v>
      </c>
      <c r="E163" s="162">
        <v>97.65</v>
      </c>
      <c r="F163" s="162">
        <v>19530</v>
      </c>
      <c r="G163" s="166">
        <v>145.53</v>
      </c>
      <c r="H163" s="158" t="s">
        <v>432</v>
      </c>
      <c r="I163" s="158">
        <v>2010160</v>
      </c>
      <c r="J163" s="158" t="s">
        <v>199</v>
      </c>
      <c r="K163" s="158" t="s">
        <v>200</v>
      </c>
      <c r="L163" s="158" t="s">
        <v>201</v>
      </c>
    </row>
    <row r="164" spans="1:12" x14ac:dyDescent="0.2">
      <c r="A164" s="160">
        <v>40408</v>
      </c>
      <c r="B164" s="158" t="s">
        <v>312</v>
      </c>
      <c r="C164" s="158" t="s">
        <v>369</v>
      </c>
      <c r="D164" s="158">
        <v>22</v>
      </c>
      <c r="E164" s="162">
        <v>467</v>
      </c>
      <c r="F164" s="162">
        <v>10274</v>
      </c>
      <c r="G164" s="166">
        <v>76.56</v>
      </c>
      <c r="H164" s="158" t="s">
        <v>433</v>
      </c>
      <c r="I164" s="158">
        <v>201011100</v>
      </c>
      <c r="J164" s="158" t="s">
        <v>199</v>
      </c>
      <c r="K164" s="158" t="s">
        <v>200</v>
      </c>
      <c r="L164" s="158" t="s">
        <v>204</v>
      </c>
    </row>
    <row r="165" spans="1:12" x14ac:dyDescent="0.2">
      <c r="A165" s="160">
        <v>40407</v>
      </c>
      <c r="B165" s="158" t="s">
        <v>310</v>
      </c>
      <c r="C165" s="158" t="s">
        <v>369</v>
      </c>
      <c r="D165" s="158">
        <v>40</v>
      </c>
      <c r="E165" s="162">
        <v>254.35</v>
      </c>
      <c r="F165" s="162">
        <v>10174</v>
      </c>
      <c r="G165" s="166">
        <v>75.819999999999993</v>
      </c>
      <c r="H165" s="158" t="s">
        <v>434</v>
      </c>
      <c r="I165" s="158">
        <v>201011099</v>
      </c>
      <c r="J165" s="158" t="s">
        <v>199</v>
      </c>
      <c r="K165" s="158" t="s">
        <v>200</v>
      </c>
      <c r="L165" s="158" t="s">
        <v>204</v>
      </c>
    </row>
    <row r="166" spans="1:12" x14ac:dyDescent="0.2">
      <c r="A166" s="160">
        <v>40402</v>
      </c>
      <c r="B166" s="158" t="s">
        <v>318</v>
      </c>
      <c r="C166" s="158" t="s">
        <v>369</v>
      </c>
      <c r="D166" s="158">
        <v>6</v>
      </c>
      <c r="E166" s="162">
        <v>1751.5</v>
      </c>
      <c r="F166" s="162">
        <v>10509</v>
      </c>
      <c r="G166" s="166">
        <v>78.319999999999993</v>
      </c>
      <c r="H166" s="158" t="s">
        <v>435</v>
      </c>
      <c r="I166" s="158">
        <v>201011096</v>
      </c>
      <c r="J166" s="158" t="s">
        <v>199</v>
      </c>
      <c r="K166" s="158" t="s">
        <v>200</v>
      </c>
      <c r="L166" s="158" t="s">
        <v>204</v>
      </c>
    </row>
    <row r="167" spans="1:12" x14ac:dyDescent="0.2">
      <c r="A167" s="160">
        <v>40401</v>
      </c>
      <c r="B167" s="158" t="s">
        <v>314</v>
      </c>
      <c r="C167" s="158" t="s">
        <v>369</v>
      </c>
      <c r="D167" s="158">
        <v>25</v>
      </c>
      <c r="E167" s="162">
        <v>427</v>
      </c>
      <c r="F167" s="162">
        <v>10675</v>
      </c>
      <c r="G167" s="166">
        <v>79.55</v>
      </c>
      <c r="H167" s="158" t="s">
        <v>436</v>
      </c>
      <c r="I167" s="158">
        <v>2010152</v>
      </c>
      <c r="J167" s="158" t="s">
        <v>199</v>
      </c>
      <c r="K167" s="158" t="s">
        <v>200</v>
      </c>
      <c r="L167" s="158" t="s">
        <v>201</v>
      </c>
    </row>
    <row r="168" spans="1:12" x14ac:dyDescent="0.2">
      <c r="A168" s="160">
        <v>40395</v>
      </c>
      <c r="B168" s="158" t="s">
        <v>316</v>
      </c>
      <c r="C168" s="158" t="s">
        <v>369</v>
      </c>
      <c r="D168" s="158">
        <v>20</v>
      </c>
      <c r="E168" s="162">
        <v>474.5</v>
      </c>
      <c r="F168" s="162">
        <v>9490</v>
      </c>
      <c r="G168" s="166">
        <v>70.709999999999994</v>
      </c>
      <c r="H168" s="158" t="s">
        <v>437</v>
      </c>
      <c r="I168" s="158">
        <v>2010148</v>
      </c>
      <c r="J168" s="158" t="s">
        <v>199</v>
      </c>
      <c r="K168" s="158" t="s">
        <v>200</v>
      </c>
      <c r="L168" s="158" t="s">
        <v>201</v>
      </c>
    </row>
    <row r="169" spans="1:12" x14ac:dyDescent="0.2">
      <c r="A169" s="160">
        <v>40385</v>
      </c>
      <c r="B169" s="158" t="s">
        <v>322</v>
      </c>
      <c r="C169" s="158" t="s">
        <v>369</v>
      </c>
      <c r="D169" s="158">
        <v>85</v>
      </c>
      <c r="E169" s="162">
        <v>90.4</v>
      </c>
      <c r="F169" s="162">
        <v>7684</v>
      </c>
      <c r="G169" s="166">
        <v>57.26</v>
      </c>
      <c r="H169" s="158" t="s">
        <v>439</v>
      </c>
      <c r="I169" s="158">
        <v>201011083</v>
      </c>
      <c r="J169" s="158" t="s">
        <v>199</v>
      </c>
      <c r="K169" s="158" t="s">
        <v>200</v>
      </c>
      <c r="L169" s="158" t="s">
        <v>204</v>
      </c>
    </row>
    <row r="170" spans="1:12" x14ac:dyDescent="0.2">
      <c r="A170" s="160">
        <v>40385</v>
      </c>
      <c r="B170" s="158" t="s">
        <v>329</v>
      </c>
      <c r="C170" s="158" t="s">
        <v>369</v>
      </c>
      <c r="D170" s="158">
        <v>35</v>
      </c>
      <c r="E170" s="162">
        <v>422</v>
      </c>
      <c r="F170" s="162">
        <v>14770</v>
      </c>
      <c r="G170" s="166">
        <v>110.07</v>
      </c>
      <c r="H170" s="158" t="s">
        <v>440</v>
      </c>
      <c r="I170" s="158">
        <v>201011083</v>
      </c>
      <c r="J170" s="158" t="s">
        <v>199</v>
      </c>
      <c r="K170" s="158" t="s">
        <v>200</v>
      </c>
      <c r="L170" s="158" t="s">
        <v>204</v>
      </c>
    </row>
    <row r="171" spans="1:12" x14ac:dyDescent="0.2">
      <c r="A171" s="160">
        <v>40385</v>
      </c>
      <c r="B171" s="158" t="s">
        <v>324</v>
      </c>
      <c r="C171" s="158" t="s">
        <v>369</v>
      </c>
      <c r="D171" s="158">
        <v>35</v>
      </c>
      <c r="E171" s="162">
        <v>204.08</v>
      </c>
      <c r="F171" s="162">
        <v>7142.75</v>
      </c>
      <c r="G171" s="166">
        <v>53.23</v>
      </c>
      <c r="H171" s="158" t="s">
        <v>441</v>
      </c>
      <c r="I171" s="158">
        <v>201011083</v>
      </c>
      <c r="J171" s="158" t="s">
        <v>199</v>
      </c>
      <c r="K171" s="158" t="s">
        <v>200</v>
      </c>
      <c r="L171" s="158" t="s">
        <v>204</v>
      </c>
    </row>
    <row r="172" spans="1:12" x14ac:dyDescent="0.2">
      <c r="A172" s="160">
        <v>40385</v>
      </c>
      <c r="B172" s="158" t="s">
        <v>320</v>
      </c>
      <c r="C172" s="158" t="s">
        <v>369</v>
      </c>
      <c r="D172" s="158">
        <v>100</v>
      </c>
      <c r="E172" s="162">
        <v>89.4</v>
      </c>
      <c r="F172" s="162">
        <v>8940</v>
      </c>
      <c r="G172" s="166">
        <v>66.62</v>
      </c>
      <c r="H172" s="158" t="s">
        <v>442</v>
      </c>
      <c r="I172" s="158">
        <v>201011083</v>
      </c>
      <c r="J172" s="158" t="s">
        <v>199</v>
      </c>
      <c r="K172" s="158" t="s">
        <v>200</v>
      </c>
      <c r="L172" s="158" t="s">
        <v>204</v>
      </c>
    </row>
    <row r="173" spans="1:12" x14ac:dyDescent="0.2">
      <c r="A173" s="160">
        <v>40382</v>
      </c>
      <c r="B173" s="158" t="s">
        <v>331</v>
      </c>
      <c r="C173" s="158" t="s">
        <v>369</v>
      </c>
      <c r="D173" s="158">
        <v>500</v>
      </c>
      <c r="E173" s="162">
        <v>18.5</v>
      </c>
      <c r="F173" s="162">
        <v>9250</v>
      </c>
      <c r="G173" s="166">
        <v>69.010000000000005</v>
      </c>
      <c r="H173" s="158" t="s">
        <v>443</v>
      </c>
      <c r="I173" s="158">
        <v>201011082</v>
      </c>
      <c r="J173" s="158" t="s">
        <v>199</v>
      </c>
      <c r="K173" s="158" t="s">
        <v>200</v>
      </c>
      <c r="L173" s="158" t="s">
        <v>204</v>
      </c>
    </row>
    <row r="174" spans="1:12" x14ac:dyDescent="0.2">
      <c r="A174" s="160">
        <v>40380</v>
      </c>
      <c r="B174" s="158" t="s">
        <v>327</v>
      </c>
      <c r="C174" s="158" t="s">
        <v>369</v>
      </c>
      <c r="D174" s="158">
        <v>120</v>
      </c>
      <c r="E174" s="162">
        <v>64.45</v>
      </c>
      <c r="F174" s="162">
        <v>7734</v>
      </c>
      <c r="G174" s="166">
        <v>57.63</v>
      </c>
      <c r="H174" s="158" t="s">
        <v>444</v>
      </c>
      <c r="I174" s="158">
        <v>201011080</v>
      </c>
      <c r="J174" s="158" t="s">
        <v>199</v>
      </c>
      <c r="K174" s="158" t="s">
        <v>200</v>
      </c>
      <c r="L174" s="158" t="s">
        <v>204</v>
      </c>
    </row>
    <row r="175" spans="1:12" x14ac:dyDescent="0.2">
      <c r="A175" s="160">
        <v>40378</v>
      </c>
      <c r="B175" s="158" t="s">
        <v>350</v>
      </c>
      <c r="C175" s="158" t="s">
        <v>369</v>
      </c>
      <c r="D175" s="158">
        <v>30</v>
      </c>
      <c r="E175" s="162">
        <v>245.88</v>
      </c>
      <c r="F175" s="162">
        <v>7376.25</v>
      </c>
      <c r="G175" s="166">
        <v>54.97</v>
      </c>
      <c r="H175" s="158" t="s">
        <v>445</v>
      </c>
      <c r="I175" s="158">
        <v>201011078</v>
      </c>
      <c r="J175" s="158" t="s">
        <v>199</v>
      </c>
      <c r="K175" s="158" t="s">
        <v>200</v>
      </c>
      <c r="L175" s="158" t="s">
        <v>204</v>
      </c>
    </row>
    <row r="176" spans="1:12" x14ac:dyDescent="0.2">
      <c r="A176" s="160">
        <v>40378</v>
      </c>
      <c r="B176" s="158" t="s">
        <v>235</v>
      </c>
      <c r="C176" s="158" t="s">
        <v>369</v>
      </c>
      <c r="D176" s="158">
        <v>500</v>
      </c>
      <c r="E176" s="162">
        <v>20.65</v>
      </c>
      <c r="F176" s="162">
        <v>10325</v>
      </c>
      <c r="G176" s="166">
        <v>76.959999999999994</v>
      </c>
      <c r="H176" s="158" t="s">
        <v>446</v>
      </c>
      <c r="I176" s="158">
        <v>201011078</v>
      </c>
      <c r="J176" s="158" t="s">
        <v>199</v>
      </c>
      <c r="K176" s="158" t="s">
        <v>200</v>
      </c>
      <c r="L176" s="158" t="s">
        <v>204</v>
      </c>
    </row>
    <row r="177" spans="1:12" x14ac:dyDescent="0.2">
      <c r="A177" s="160">
        <v>40375</v>
      </c>
      <c r="B177" s="158" t="s">
        <v>361</v>
      </c>
      <c r="C177" s="158" t="s">
        <v>369</v>
      </c>
      <c r="D177" s="158">
        <v>100</v>
      </c>
      <c r="E177" s="162">
        <v>64.66</v>
      </c>
      <c r="F177" s="162">
        <v>6466.25</v>
      </c>
      <c r="G177" s="166">
        <v>48.19</v>
      </c>
      <c r="H177" s="158" t="s">
        <v>447</v>
      </c>
      <c r="I177" s="158">
        <v>201011077</v>
      </c>
      <c r="J177" s="158" t="s">
        <v>199</v>
      </c>
      <c r="K177" s="158" t="s">
        <v>200</v>
      </c>
      <c r="L177" s="158" t="s">
        <v>204</v>
      </c>
    </row>
    <row r="178" spans="1:12" x14ac:dyDescent="0.2">
      <c r="A178" s="160">
        <v>40373</v>
      </c>
      <c r="B178" s="158" t="s">
        <v>334</v>
      </c>
      <c r="C178" s="158" t="s">
        <v>369</v>
      </c>
      <c r="D178" s="158">
        <v>200</v>
      </c>
      <c r="E178" s="162">
        <v>30</v>
      </c>
      <c r="F178" s="162">
        <v>6000</v>
      </c>
      <c r="G178" s="166">
        <v>44.72</v>
      </c>
      <c r="H178" s="158" t="s">
        <v>448</v>
      </c>
      <c r="I178" s="158">
        <v>201011075</v>
      </c>
      <c r="J178" s="158" t="s">
        <v>199</v>
      </c>
      <c r="K178" s="158" t="s">
        <v>200</v>
      </c>
      <c r="L178" s="158" t="s">
        <v>204</v>
      </c>
    </row>
    <row r="179" spans="1:12" x14ac:dyDescent="0.2">
      <c r="A179" s="160">
        <v>40373</v>
      </c>
      <c r="B179" s="158" t="s">
        <v>336</v>
      </c>
      <c r="C179" s="158" t="s">
        <v>369</v>
      </c>
      <c r="D179" s="158">
        <v>20</v>
      </c>
      <c r="E179" s="162">
        <v>352</v>
      </c>
      <c r="F179" s="162">
        <v>7040</v>
      </c>
      <c r="G179" s="166">
        <v>52.46</v>
      </c>
      <c r="H179" s="158" t="s">
        <v>449</v>
      </c>
      <c r="I179" s="158">
        <v>201011075</v>
      </c>
      <c r="J179" s="158" t="s">
        <v>199</v>
      </c>
      <c r="K179" s="158" t="s">
        <v>200</v>
      </c>
      <c r="L179" s="158" t="s">
        <v>204</v>
      </c>
    </row>
    <row r="180" spans="1:12" x14ac:dyDescent="0.2">
      <c r="A180" s="160">
        <v>40372</v>
      </c>
      <c r="B180" s="158" t="s">
        <v>346</v>
      </c>
      <c r="C180" s="158" t="s">
        <v>369</v>
      </c>
      <c r="D180" s="158">
        <v>250</v>
      </c>
      <c r="E180" s="162">
        <v>28.45</v>
      </c>
      <c r="F180" s="162">
        <v>7112.5</v>
      </c>
      <c r="G180" s="166">
        <v>52.99</v>
      </c>
      <c r="H180" s="158" t="s">
        <v>450</v>
      </c>
      <c r="I180" s="158">
        <v>201011074</v>
      </c>
      <c r="J180" s="158" t="s">
        <v>199</v>
      </c>
      <c r="K180" s="158" t="s">
        <v>200</v>
      </c>
      <c r="L180" s="158" t="s">
        <v>204</v>
      </c>
    </row>
    <row r="181" spans="1:12" x14ac:dyDescent="0.2">
      <c r="A181" s="160">
        <v>40372</v>
      </c>
      <c r="B181" s="158" t="s">
        <v>354</v>
      </c>
      <c r="C181" s="158" t="s">
        <v>369</v>
      </c>
      <c r="D181" s="158">
        <v>200</v>
      </c>
      <c r="E181" s="162">
        <v>32.1</v>
      </c>
      <c r="F181" s="162">
        <v>6420</v>
      </c>
      <c r="G181" s="166">
        <v>47.87</v>
      </c>
      <c r="H181" s="158" t="s">
        <v>451</v>
      </c>
      <c r="I181" s="158">
        <v>201011074</v>
      </c>
      <c r="J181" s="158" t="s">
        <v>199</v>
      </c>
      <c r="K181" s="158" t="s">
        <v>200</v>
      </c>
      <c r="L181" s="158" t="s">
        <v>204</v>
      </c>
    </row>
    <row r="182" spans="1:12" x14ac:dyDescent="0.2">
      <c r="A182" s="160">
        <v>40372</v>
      </c>
      <c r="B182" s="158" t="s">
        <v>348</v>
      </c>
      <c r="C182" s="158" t="s">
        <v>369</v>
      </c>
      <c r="D182" s="158">
        <v>75</v>
      </c>
      <c r="E182" s="162">
        <v>138.5</v>
      </c>
      <c r="F182" s="162">
        <v>10387.5</v>
      </c>
      <c r="G182" s="166">
        <v>77.400000000000006</v>
      </c>
      <c r="H182" s="158" t="s">
        <v>452</v>
      </c>
      <c r="I182" s="158">
        <v>2010131</v>
      </c>
      <c r="J182" s="158" t="s">
        <v>199</v>
      </c>
      <c r="K182" s="158" t="s">
        <v>200</v>
      </c>
      <c r="L182" s="158" t="s">
        <v>201</v>
      </c>
    </row>
    <row r="183" spans="1:12" x14ac:dyDescent="0.2">
      <c r="A183" s="160">
        <v>40368</v>
      </c>
      <c r="B183" s="158" t="s">
        <v>249</v>
      </c>
      <c r="C183" s="158" t="s">
        <v>369</v>
      </c>
      <c r="D183" s="158">
        <v>400</v>
      </c>
      <c r="E183" s="162">
        <v>17</v>
      </c>
      <c r="F183" s="162">
        <v>6800</v>
      </c>
      <c r="G183" s="166">
        <v>50.66</v>
      </c>
      <c r="H183" s="158" t="s">
        <v>453</v>
      </c>
      <c r="I183" s="158">
        <v>201011072</v>
      </c>
      <c r="J183" s="158" t="s">
        <v>307</v>
      </c>
      <c r="K183" s="158" t="s">
        <v>200</v>
      </c>
      <c r="L183" s="158" t="s">
        <v>204</v>
      </c>
    </row>
    <row r="184" spans="1:12" x14ac:dyDescent="0.2">
      <c r="A184" s="160">
        <v>40361</v>
      </c>
      <c r="B184" s="158" t="s">
        <v>361</v>
      </c>
      <c r="C184" s="158" t="s">
        <v>369</v>
      </c>
      <c r="D184" s="158">
        <v>260</v>
      </c>
      <c r="E184" s="162">
        <v>67.5</v>
      </c>
      <c r="F184" s="162">
        <v>17550</v>
      </c>
      <c r="G184" s="166">
        <v>130.80000000000001</v>
      </c>
      <c r="H184" s="158" t="s">
        <v>454</v>
      </c>
      <c r="I184" s="158">
        <v>2010124</v>
      </c>
      <c r="J184" s="158" t="s">
        <v>199</v>
      </c>
      <c r="K184" s="158" t="s">
        <v>200</v>
      </c>
      <c r="L184" s="158" t="s">
        <v>201</v>
      </c>
    </row>
    <row r="185" spans="1:12" x14ac:dyDescent="0.2">
      <c r="A185" s="160">
        <v>40354</v>
      </c>
      <c r="B185" s="158" t="s">
        <v>255</v>
      </c>
      <c r="C185" s="158" t="s">
        <v>369</v>
      </c>
      <c r="D185" s="158">
        <v>2000</v>
      </c>
      <c r="E185" s="162">
        <v>13.8</v>
      </c>
      <c r="F185" s="162">
        <v>27600</v>
      </c>
      <c r="G185" s="166">
        <v>205.7</v>
      </c>
      <c r="H185" s="158" t="s">
        <v>455</v>
      </c>
      <c r="I185" s="158">
        <v>2010119</v>
      </c>
      <c r="J185" s="158" t="s">
        <v>199</v>
      </c>
      <c r="K185" s="158" t="s">
        <v>200</v>
      </c>
      <c r="L185" s="158" t="s">
        <v>201</v>
      </c>
    </row>
    <row r="186" spans="1:12" x14ac:dyDescent="0.2">
      <c r="A186" s="160">
        <v>40353</v>
      </c>
      <c r="B186" s="158" t="s">
        <v>356</v>
      </c>
      <c r="C186" s="158" t="s">
        <v>369</v>
      </c>
      <c r="D186" s="158">
        <v>75</v>
      </c>
      <c r="E186" s="162">
        <v>81</v>
      </c>
      <c r="F186" s="162">
        <v>6075</v>
      </c>
      <c r="G186" s="166">
        <v>45.28</v>
      </c>
      <c r="H186" s="158" t="s">
        <v>459</v>
      </c>
      <c r="I186" s="158">
        <v>201011061</v>
      </c>
      <c r="J186" s="158" t="s">
        <v>307</v>
      </c>
      <c r="K186" s="158" t="s">
        <v>200</v>
      </c>
      <c r="L186" s="158" t="s">
        <v>204</v>
      </c>
    </row>
    <row r="187" spans="1:12" x14ac:dyDescent="0.2">
      <c r="A187" s="160">
        <v>40336</v>
      </c>
      <c r="B187" s="158" t="s">
        <v>235</v>
      </c>
      <c r="C187" s="158" t="s">
        <v>369</v>
      </c>
      <c r="D187" s="158">
        <v>500</v>
      </c>
      <c r="E187" s="162">
        <v>18.399999999999999</v>
      </c>
      <c r="F187" s="162">
        <v>9200</v>
      </c>
      <c r="G187" s="166">
        <v>68.55</v>
      </c>
      <c r="H187" s="158" t="s">
        <v>460</v>
      </c>
      <c r="I187" s="158">
        <v>201011048</v>
      </c>
      <c r="J187" s="158" t="s">
        <v>199</v>
      </c>
      <c r="K187" s="158" t="s">
        <v>200</v>
      </c>
      <c r="L187" s="158" t="s">
        <v>204</v>
      </c>
    </row>
    <row r="188" spans="1:12" x14ac:dyDescent="0.2">
      <c r="A188" s="160">
        <v>40304</v>
      </c>
      <c r="B188" s="158" t="s">
        <v>361</v>
      </c>
      <c r="C188" s="158" t="s">
        <v>369</v>
      </c>
      <c r="D188" s="158">
        <v>20</v>
      </c>
      <c r="E188" s="162">
        <v>67.599999999999994</v>
      </c>
      <c r="F188" s="162">
        <v>1352</v>
      </c>
      <c r="G188" s="166">
        <v>16.88</v>
      </c>
      <c r="H188" s="158" t="s">
        <v>461</v>
      </c>
      <c r="I188" s="158">
        <v>201011026</v>
      </c>
      <c r="J188" s="158" t="s">
        <v>199</v>
      </c>
      <c r="K188" s="158" t="s">
        <v>200</v>
      </c>
      <c r="L188" s="158" t="s">
        <v>204</v>
      </c>
    </row>
    <row r="189" spans="1:12" x14ac:dyDescent="0.2">
      <c r="A189" s="160">
        <v>40298</v>
      </c>
      <c r="B189" s="158" t="s">
        <v>364</v>
      </c>
      <c r="C189" s="158" t="s">
        <v>369</v>
      </c>
      <c r="D189" s="158">
        <v>150</v>
      </c>
      <c r="E189" s="162">
        <v>59.24</v>
      </c>
      <c r="F189" s="162">
        <v>8886.5499999999993</v>
      </c>
      <c r="G189" s="166">
        <v>66.22</v>
      </c>
      <c r="H189" s="158" t="s">
        <v>462</v>
      </c>
      <c r="I189" s="158">
        <v>2010079</v>
      </c>
      <c r="J189" s="158" t="s">
        <v>199</v>
      </c>
      <c r="K189" s="158" t="s">
        <v>200</v>
      </c>
      <c r="L189" s="158" t="s">
        <v>201</v>
      </c>
    </row>
    <row r="190" spans="1:12" x14ac:dyDescent="0.2">
      <c r="A190" s="160">
        <v>40294</v>
      </c>
      <c r="B190" s="158" t="s">
        <v>364</v>
      </c>
      <c r="C190" s="158" t="s">
        <v>369</v>
      </c>
      <c r="D190" s="158">
        <v>50</v>
      </c>
      <c r="E190" s="162">
        <v>60</v>
      </c>
      <c r="F190" s="162">
        <v>3000</v>
      </c>
      <c r="G190" s="166">
        <v>37.25</v>
      </c>
      <c r="H190" s="158" t="s">
        <v>463</v>
      </c>
      <c r="I190" s="158">
        <v>201011018</v>
      </c>
      <c r="J190" s="158" t="s">
        <v>199</v>
      </c>
      <c r="K190" s="158" t="s">
        <v>200</v>
      </c>
      <c r="L190" s="158" t="s">
        <v>204</v>
      </c>
    </row>
    <row r="191" spans="1:12" x14ac:dyDescent="0.2">
      <c r="A191" s="160">
        <v>40288</v>
      </c>
      <c r="B191" s="158" t="s">
        <v>367</v>
      </c>
      <c r="C191" s="158" t="s">
        <v>369</v>
      </c>
      <c r="D191" s="158">
        <v>65</v>
      </c>
      <c r="E191" s="162">
        <v>77.400000000000006</v>
      </c>
      <c r="F191" s="162">
        <v>5031</v>
      </c>
      <c r="G191" s="166">
        <v>37.49</v>
      </c>
      <c r="H191" s="158" t="s">
        <v>464</v>
      </c>
      <c r="I191" s="158">
        <v>201011014</v>
      </c>
      <c r="J191" s="158" t="s">
        <v>199</v>
      </c>
      <c r="K191" s="158" t="s">
        <v>200</v>
      </c>
      <c r="L191" s="158" t="s">
        <v>204</v>
      </c>
    </row>
    <row r="192" spans="1:12" x14ac:dyDescent="0.2">
      <c r="A192" s="160">
        <v>40284</v>
      </c>
      <c r="B192" s="158" t="s">
        <v>465</v>
      </c>
      <c r="C192" s="158" t="s">
        <v>369</v>
      </c>
      <c r="D192" s="158">
        <v>10000</v>
      </c>
      <c r="E192" s="162">
        <v>0.65</v>
      </c>
      <c r="F192" s="162">
        <v>6491.02</v>
      </c>
      <c r="G192" s="166">
        <v>49.13</v>
      </c>
      <c r="H192" s="158" t="s">
        <v>466</v>
      </c>
      <c r="I192" s="158">
        <v>201011012</v>
      </c>
      <c r="J192" s="158" t="s">
        <v>307</v>
      </c>
      <c r="K192" s="158" t="s">
        <v>200</v>
      </c>
      <c r="L192" s="158" t="s">
        <v>204</v>
      </c>
    </row>
    <row r="193" spans="1:12" x14ac:dyDescent="0.2">
      <c r="A193" s="160">
        <v>40626</v>
      </c>
      <c r="B193" s="158" t="s">
        <v>282</v>
      </c>
      <c r="C193" s="158" t="s">
        <v>369</v>
      </c>
      <c r="D193" s="158">
        <v>90</v>
      </c>
      <c r="E193" s="162">
        <v>30.55</v>
      </c>
      <c r="F193" s="162">
        <v>2749.5</v>
      </c>
      <c r="G193" s="166">
        <v>20.424375000000001</v>
      </c>
      <c r="H193" s="158" t="s">
        <v>374</v>
      </c>
      <c r="I193" s="158">
        <v>2011057</v>
      </c>
      <c r="J193" s="158" t="s">
        <v>199</v>
      </c>
      <c r="K193" s="158" t="s">
        <v>200</v>
      </c>
      <c r="L193" s="158" t="s">
        <v>201</v>
      </c>
    </row>
    <row r="194" spans="1:12" ht="12.6" x14ac:dyDescent="0.2">
      <c r="A194" s="161" t="s">
        <v>2075</v>
      </c>
    </row>
    <row r="195" spans="1:12" x14ac:dyDescent="0.2">
      <c r="A195" s="160">
        <v>40626</v>
      </c>
      <c r="B195" s="158" t="s">
        <v>282</v>
      </c>
      <c r="C195" s="158" t="s">
        <v>369</v>
      </c>
      <c r="D195" s="158">
        <v>70</v>
      </c>
      <c r="E195" s="162">
        <v>30.55</v>
      </c>
      <c r="F195" s="162">
        <v>2138.5</v>
      </c>
      <c r="G195" s="166">
        <v>15.885624999999999</v>
      </c>
      <c r="H195" s="158" t="s">
        <v>374</v>
      </c>
      <c r="I195" s="158">
        <v>2011057</v>
      </c>
      <c r="J195" s="158" t="s">
        <v>199</v>
      </c>
      <c r="K195" s="158" t="s">
        <v>200</v>
      </c>
      <c r="L195" s="158" t="s">
        <v>201</v>
      </c>
    </row>
    <row r="196" spans="1:12" x14ac:dyDescent="0.2">
      <c r="A196" s="160">
        <v>40624</v>
      </c>
      <c r="B196" s="158" t="s">
        <v>282</v>
      </c>
      <c r="C196" s="158" t="s">
        <v>369</v>
      </c>
      <c r="D196" s="158">
        <v>180</v>
      </c>
      <c r="E196" s="162">
        <v>28.4</v>
      </c>
      <c r="F196" s="162">
        <v>5112</v>
      </c>
      <c r="G196" s="166">
        <v>37.700000000000003</v>
      </c>
      <c r="H196" s="158" t="s">
        <v>375</v>
      </c>
      <c r="I196" s="158">
        <v>2011055</v>
      </c>
      <c r="J196" s="158" t="s">
        <v>199</v>
      </c>
      <c r="K196" s="158" t="s">
        <v>200</v>
      </c>
      <c r="L196" s="158" t="s">
        <v>201</v>
      </c>
    </row>
    <row r="197" spans="1:12" x14ac:dyDescent="0.2">
      <c r="A197" s="160">
        <v>40620</v>
      </c>
      <c r="B197" s="158" t="s">
        <v>282</v>
      </c>
      <c r="C197" s="158" t="s">
        <v>369</v>
      </c>
      <c r="D197" s="158">
        <v>170</v>
      </c>
      <c r="E197" s="162">
        <v>28.95</v>
      </c>
      <c r="F197" s="162">
        <v>4921.5</v>
      </c>
      <c r="G197" s="166">
        <v>36.51</v>
      </c>
      <c r="H197" s="158" t="s">
        <v>377</v>
      </c>
      <c r="I197" s="158">
        <v>2011053</v>
      </c>
      <c r="J197" s="158" t="s">
        <v>199</v>
      </c>
      <c r="K197" s="158" t="s">
        <v>200</v>
      </c>
      <c r="L197" s="158" t="s">
        <v>201</v>
      </c>
    </row>
    <row r="198" spans="1:12" x14ac:dyDescent="0.2">
      <c r="A198" s="160">
        <v>40616</v>
      </c>
      <c r="B198" s="158" t="s">
        <v>282</v>
      </c>
      <c r="C198" s="158" t="s">
        <v>369</v>
      </c>
      <c r="D198" s="158">
        <v>180</v>
      </c>
      <c r="E198" s="162">
        <v>30</v>
      </c>
      <c r="F198" s="162">
        <v>5400</v>
      </c>
      <c r="G198" s="166">
        <v>40.49</v>
      </c>
      <c r="H198" s="158" t="s">
        <v>384</v>
      </c>
      <c r="I198" s="158">
        <v>2011049</v>
      </c>
      <c r="J198" s="158" t="s">
        <v>199</v>
      </c>
      <c r="K198" s="158" t="s">
        <v>200</v>
      </c>
      <c r="L198" s="158" t="s">
        <v>201</v>
      </c>
    </row>
    <row r="199" spans="1:12" x14ac:dyDescent="0.2">
      <c r="A199" s="160">
        <v>40613</v>
      </c>
      <c r="B199" s="158" t="s">
        <v>282</v>
      </c>
      <c r="C199" s="158" t="s">
        <v>369</v>
      </c>
      <c r="D199" s="158">
        <v>190</v>
      </c>
      <c r="E199" s="162">
        <v>29.8</v>
      </c>
      <c r="F199" s="162">
        <v>5662</v>
      </c>
      <c r="G199" s="166">
        <v>42.19</v>
      </c>
      <c r="H199" s="158" t="s">
        <v>388</v>
      </c>
      <c r="I199" s="158">
        <v>2011048</v>
      </c>
      <c r="J199" s="158" t="s">
        <v>199</v>
      </c>
      <c r="K199" s="158" t="s">
        <v>200</v>
      </c>
      <c r="L199" s="158" t="s">
        <v>201</v>
      </c>
    </row>
    <row r="200" spans="1:12" x14ac:dyDescent="0.2">
      <c r="A200" s="160">
        <v>40611</v>
      </c>
      <c r="B200" s="158" t="s">
        <v>282</v>
      </c>
      <c r="C200" s="158" t="s">
        <v>369</v>
      </c>
      <c r="D200" s="158">
        <v>210</v>
      </c>
      <c r="E200" s="162">
        <v>31.2</v>
      </c>
      <c r="F200" s="162">
        <v>6552</v>
      </c>
      <c r="G200" s="166">
        <v>48.82</v>
      </c>
      <c r="H200" s="158" t="s">
        <v>392</v>
      </c>
      <c r="I200" s="158">
        <v>2011046</v>
      </c>
      <c r="J200" s="158" t="s">
        <v>199</v>
      </c>
      <c r="K200" s="158" t="s">
        <v>200</v>
      </c>
      <c r="L200" s="158" t="s">
        <v>201</v>
      </c>
    </row>
    <row r="201" spans="1:12" x14ac:dyDescent="0.2">
      <c r="A201" s="160">
        <v>40457</v>
      </c>
      <c r="B201" s="158" t="s">
        <v>282</v>
      </c>
      <c r="C201" s="158" t="s">
        <v>369</v>
      </c>
      <c r="D201" s="158">
        <v>1000</v>
      </c>
      <c r="E201" s="162">
        <v>34</v>
      </c>
      <c r="F201" s="162">
        <v>34000</v>
      </c>
      <c r="G201" s="166">
        <v>253.4</v>
      </c>
      <c r="H201" s="158" t="s">
        <v>422</v>
      </c>
      <c r="I201" s="158">
        <v>201011134</v>
      </c>
      <c r="J201" s="158" t="s">
        <v>199</v>
      </c>
      <c r="K201" s="158" t="s">
        <v>200</v>
      </c>
      <c r="L201" s="158" t="s">
        <v>204</v>
      </c>
    </row>
    <row r="202" spans="1:12" x14ac:dyDescent="0.2">
      <c r="D202" s="166"/>
      <c r="F202" s="162">
        <f>SUM(F116:F201)</f>
        <v>1154917.57</v>
      </c>
      <c r="G202" s="166">
        <f>SUM(G116:G201)</f>
        <v>8467.5699999999979</v>
      </c>
    </row>
    <row r="203" spans="1:12" x14ac:dyDescent="0.2">
      <c r="F203" s="166" t="s">
        <v>659</v>
      </c>
      <c r="G203" s="166">
        <f>F202-G202</f>
        <v>1146450</v>
      </c>
    </row>
    <row r="205" spans="1:12" ht="12.6" x14ac:dyDescent="0.25">
      <c r="F205" s="167" t="s">
        <v>660</v>
      </c>
      <c r="G205" s="395">
        <f>G203-G112</f>
        <v>11863.601199999917</v>
      </c>
      <c r="I205" s="168" t="s">
        <v>2076</v>
      </c>
      <c r="J205" s="169">
        <f>(SUM(F195:F201)-SUM(G195:G201))-(SUM(F14:F16)+SUM(G14:G16))</f>
        <v>37081.114374999997</v>
      </c>
    </row>
    <row r="206" spans="1:12" x14ac:dyDescent="0.2">
      <c r="F206" s="17"/>
      <c r="G206" s="111"/>
    </row>
    <row r="207" spans="1:12" ht="13.2" x14ac:dyDescent="0.25">
      <c r="A207" s="54" t="s">
        <v>1281</v>
      </c>
    </row>
    <row r="208" spans="1:12" x14ac:dyDescent="0.2">
      <c r="A208" s="160">
        <v>40597</v>
      </c>
      <c r="B208" s="158" t="s">
        <v>219</v>
      </c>
      <c r="C208" s="158" t="s">
        <v>197</v>
      </c>
      <c r="D208" s="158">
        <v>26</v>
      </c>
      <c r="E208" s="162">
        <v>134.4</v>
      </c>
      <c r="F208" s="162">
        <v>3494.4</v>
      </c>
      <c r="G208" s="166">
        <v>32.04</v>
      </c>
      <c r="H208" s="158" t="s">
        <v>220</v>
      </c>
      <c r="I208" s="158">
        <v>2011037</v>
      </c>
      <c r="J208" s="158" t="s">
        <v>199</v>
      </c>
      <c r="K208" s="158" t="s">
        <v>200</v>
      </c>
      <c r="L208" s="158" t="s">
        <v>201</v>
      </c>
    </row>
    <row r="209" spans="1:12" x14ac:dyDescent="0.2">
      <c r="A209" s="160">
        <v>40595</v>
      </c>
      <c r="B209" s="158" t="s">
        <v>219</v>
      </c>
      <c r="C209" s="158" t="s">
        <v>197</v>
      </c>
      <c r="D209" s="158">
        <v>24</v>
      </c>
      <c r="E209" s="162">
        <v>132.69999999999999</v>
      </c>
      <c r="F209" s="162">
        <v>3184.8</v>
      </c>
      <c r="G209" s="166">
        <v>31.99</v>
      </c>
      <c r="H209" s="158" t="s">
        <v>226</v>
      </c>
      <c r="I209" s="158">
        <v>2011035</v>
      </c>
      <c r="J209" s="158" t="s">
        <v>199</v>
      </c>
      <c r="K209" s="158" t="s">
        <v>200</v>
      </c>
      <c r="L209" s="158" t="s">
        <v>201</v>
      </c>
    </row>
    <row r="210" spans="1:12" x14ac:dyDescent="0.2">
      <c r="A210" s="160">
        <v>40590</v>
      </c>
      <c r="B210" s="158" t="s">
        <v>219</v>
      </c>
      <c r="C210" s="158" t="s">
        <v>197</v>
      </c>
      <c r="D210" s="158">
        <v>26</v>
      </c>
      <c r="E210" s="162">
        <v>136.9</v>
      </c>
      <c r="F210" s="162">
        <v>3559.4</v>
      </c>
      <c r="G210" s="166">
        <v>32.28</v>
      </c>
      <c r="H210" s="158" t="s">
        <v>230</v>
      </c>
      <c r="I210" s="158">
        <v>2011032</v>
      </c>
      <c r="J210" s="158" t="s">
        <v>199</v>
      </c>
      <c r="K210" s="158" t="s">
        <v>200</v>
      </c>
      <c r="L210" s="158" t="s">
        <v>201</v>
      </c>
    </row>
    <row r="211" spans="1:12" x14ac:dyDescent="0.2">
      <c r="A211" s="160">
        <v>40596</v>
      </c>
      <c r="B211" s="158" t="s">
        <v>222</v>
      </c>
      <c r="C211" s="158" t="s">
        <v>197</v>
      </c>
      <c r="D211" s="158">
        <v>30</v>
      </c>
      <c r="E211" s="162">
        <v>130.25</v>
      </c>
      <c r="F211" s="162">
        <v>3907.5</v>
      </c>
      <c r="G211" s="166">
        <v>32.520000000000003</v>
      </c>
      <c r="H211" s="158" t="s">
        <v>223</v>
      </c>
      <c r="I211" s="158">
        <v>201011230</v>
      </c>
      <c r="J211" s="158" t="s">
        <v>199</v>
      </c>
      <c r="K211" s="158" t="s">
        <v>200</v>
      </c>
      <c r="L211" s="158" t="s">
        <v>204</v>
      </c>
    </row>
    <row r="212" spans="1:12" x14ac:dyDescent="0.2">
      <c r="A212" s="160">
        <v>40591</v>
      </c>
      <c r="B212" s="158" t="s">
        <v>222</v>
      </c>
      <c r="C212" s="158" t="s">
        <v>197</v>
      </c>
      <c r="D212" s="158">
        <v>25</v>
      </c>
      <c r="E212" s="162">
        <v>128.05000000000001</v>
      </c>
      <c r="F212" s="162">
        <v>3201.25</v>
      </c>
      <c r="G212" s="166">
        <v>32.24</v>
      </c>
      <c r="H212" s="158" t="s">
        <v>228</v>
      </c>
      <c r="I212" s="158">
        <v>2011033</v>
      </c>
      <c r="J212" s="158" t="s">
        <v>199</v>
      </c>
      <c r="K212" s="158" t="s">
        <v>200</v>
      </c>
      <c r="L212" s="158" t="s">
        <v>201</v>
      </c>
    </row>
    <row r="213" spans="1:12" x14ac:dyDescent="0.2">
      <c r="A213" s="160">
        <v>40588</v>
      </c>
      <c r="B213" s="158" t="s">
        <v>222</v>
      </c>
      <c r="C213" s="158" t="s">
        <v>197</v>
      </c>
      <c r="D213" s="158">
        <v>30</v>
      </c>
      <c r="E213" s="162">
        <v>120.45</v>
      </c>
      <c r="F213" s="162">
        <v>3613.5</v>
      </c>
      <c r="G213" s="166">
        <v>32.58</v>
      </c>
      <c r="H213" s="158" t="s">
        <v>232</v>
      </c>
      <c r="I213" s="158">
        <v>2011030</v>
      </c>
      <c r="J213" s="158" t="s">
        <v>199</v>
      </c>
      <c r="K213" s="158" t="s">
        <v>200</v>
      </c>
      <c r="L213" s="158" t="s">
        <v>201</v>
      </c>
    </row>
    <row r="214" spans="1:12" x14ac:dyDescent="0.2">
      <c r="A214" s="160">
        <v>40596</v>
      </c>
      <c r="B214" s="158" t="s">
        <v>224</v>
      </c>
      <c r="C214" s="158" t="s">
        <v>197</v>
      </c>
      <c r="D214" s="158">
        <v>80</v>
      </c>
      <c r="E214" s="162">
        <v>45.25</v>
      </c>
      <c r="F214" s="162">
        <v>3620</v>
      </c>
      <c r="G214" s="166">
        <v>33.07</v>
      </c>
      <c r="H214" s="158" t="s">
        <v>225</v>
      </c>
      <c r="I214" s="158">
        <v>2011036</v>
      </c>
      <c r="J214" s="158" t="s">
        <v>199</v>
      </c>
      <c r="K214" s="158" t="s">
        <v>200</v>
      </c>
      <c r="L214" s="158" t="s">
        <v>201</v>
      </c>
    </row>
    <row r="215" spans="1:12" x14ac:dyDescent="0.2">
      <c r="A215" s="160">
        <v>40592</v>
      </c>
      <c r="B215" s="158" t="s">
        <v>224</v>
      </c>
      <c r="C215" s="158" t="s">
        <v>197</v>
      </c>
      <c r="D215" s="158">
        <v>70</v>
      </c>
      <c r="E215" s="162">
        <v>46.15</v>
      </c>
      <c r="F215" s="162">
        <v>3230.5</v>
      </c>
      <c r="G215" s="166">
        <v>32.049999999999997</v>
      </c>
      <c r="H215" s="158" t="s">
        <v>227</v>
      </c>
      <c r="I215" s="158">
        <v>2011034</v>
      </c>
      <c r="J215" s="158" t="s">
        <v>199</v>
      </c>
      <c r="K215" s="158" t="s">
        <v>200</v>
      </c>
      <c r="L215" s="158" t="s">
        <v>201</v>
      </c>
    </row>
    <row r="216" spans="1:12" x14ac:dyDescent="0.2">
      <c r="A216" s="160">
        <v>40588</v>
      </c>
      <c r="B216" s="158" t="s">
        <v>224</v>
      </c>
      <c r="C216" s="158" t="s">
        <v>197</v>
      </c>
      <c r="D216" s="158">
        <v>88</v>
      </c>
      <c r="E216" s="162">
        <v>43.15</v>
      </c>
      <c r="F216" s="162">
        <v>3797.2</v>
      </c>
      <c r="G216" s="166">
        <v>32.520000000000003</v>
      </c>
      <c r="H216" s="158" t="s">
        <v>231</v>
      </c>
      <c r="I216" s="158">
        <v>2011030</v>
      </c>
      <c r="J216" s="158" t="s">
        <v>199</v>
      </c>
      <c r="K216" s="158" t="s">
        <v>200</v>
      </c>
      <c r="L216" s="158" t="s">
        <v>201</v>
      </c>
    </row>
    <row r="217" spans="1:12" x14ac:dyDescent="0.2">
      <c r="A217" s="160">
        <v>40598</v>
      </c>
      <c r="B217" s="158" t="s">
        <v>217</v>
      </c>
      <c r="C217" s="158" t="s">
        <v>197</v>
      </c>
      <c r="D217" s="158">
        <v>75</v>
      </c>
      <c r="E217" s="162">
        <v>40.549999999999997</v>
      </c>
      <c r="F217" s="162">
        <v>3041.25</v>
      </c>
      <c r="G217" s="166">
        <v>31.78</v>
      </c>
      <c r="H217" s="158" t="s">
        <v>218</v>
      </c>
      <c r="I217" s="158">
        <v>2011038</v>
      </c>
      <c r="J217" s="158" t="s">
        <v>199</v>
      </c>
      <c r="K217" s="158" t="s">
        <v>200</v>
      </c>
      <c r="L217" s="158" t="s">
        <v>201</v>
      </c>
    </row>
    <row r="218" spans="1:12" x14ac:dyDescent="0.2">
      <c r="A218" s="160">
        <v>40596</v>
      </c>
      <c r="B218" s="158" t="s">
        <v>217</v>
      </c>
      <c r="C218" s="158" t="s">
        <v>197</v>
      </c>
      <c r="D218" s="158">
        <v>85</v>
      </c>
      <c r="E218" s="162">
        <v>43.1</v>
      </c>
      <c r="F218" s="162">
        <v>3663.5</v>
      </c>
      <c r="G218" s="166">
        <v>32.65</v>
      </c>
      <c r="H218" s="158" t="s">
        <v>221</v>
      </c>
      <c r="I218" s="158">
        <v>201011230</v>
      </c>
      <c r="J218" s="158" t="s">
        <v>199</v>
      </c>
      <c r="K218" s="158" t="s">
        <v>200</v>
      </c>
      <c r="L218" s="158" t="s">
        <v>204</v>
      </c>
    </row>
    <row r="219" spans="1:12" x14ac:dyDescent="0.2">
      <c r="A219" s="160">
        <v>40590</v>
      </c>
      <c r="B219" s="158" t="s">
        <v>217</v>
      </c>
      <c r="C219" s="158" t="s">
        <v>197</v>
      </c>
      <c r="D219" s="158">
        <v>90</v>
      </c>
      <c r="E219" s="162">
        <v>42.4</v>
      </c>
      <c r="F219" s="162">
        <v>3816</v>
      </c>
      <c r="G219" s="166">
        <v>32.869999999999997</v>
      </c>
      <c r="H219" s="158" t="s">
        <v>229</v>
      </c>
      <c r="I219" s="158">
        <v>2011032</v>
      </c>
      <c r="J219" s="158" t="s">
        <v>199</v>
      </c>
      <c r="K219" s="158" t="s">
        <v>200</v>
      </c>
      <c r="L219" s="158" t="s">
        <v>201</v>
      </c>
    </row>
    <row r="220" spans="1:12" x14ac:dyDescent="0.2">
      <c r="A220" s="160">
        <v>40582</v>
      </c>
      <c r="B220" s="158" t="s">
        <v>235</v>
      </c>
      <c r="C220" s="158" t="s">
        <v>197</v>
      </c>
      <c r="D220" s="158">
        <v>300</v>
      </c>
      <c r="E220" s="162">
        <v>24.25</v>
      </c>
      <c r="F220" s="162">
        <v>7275</v>
      </c>
      <c r="G220" s="166">
        <v>54.21</v>
      </c>
      <c r="H220" s="158" t="s">
        <v>236</v>
      </c>
      <c r="I220" s="158">
        <v>2011026</v>
      </c>
      <c r="J220" s="158" t="s">
        <v>199</v>
      </c>
      <c r="K220" s="158" t="s">
        <v>200</v>
      </c>
      <c r="L220" s="158" t="s">
        <v>201</v>
      </c>
    </row>
    <row r="221" spans="1:12" x14ac:dyDescent="0.2">
      <c r="A221" s="160">
        <v>40470</v>
      </c>
      <c r="B221" s="158" t="s">
        <v>282</v>
      </c>
      <c r="C221" s="158" t="s">
        <v>197</v>
      </c>
      <c r="D221" s="158">
        <v>740</v>
      </c>
      <c r="E221" s="162">
        <v>39.9</v>
      </c>
      <c r="F221" s="162">
        <v>29526</v>
      </c>
      <c r="G221" s="166">
        <v>220.06119999999999</v>
      </c>
      <c r="H221" s="158" t="s">
        <v>283</v>
      </c>
      <c r="I221" s="158">
        <v>2010200</v>
      </c>
      <c r="J221" s="158" t="s">
        <v>199</v>
      </c>
      <c r="K221" s="158" t="s">
        <v>200</v>
      </c>
      <c r="L221" s="158" t="s">
        <v>201</v>
      </c>
    </row>
  </sheetData>
  <autoFilter ref="A1:L222"/>
  <phoneticPr fontId="10" type="noConversion"/>
  <pageMargins left="0.75" right="0.75" top="1" bottom="1" header="0.5" footer="0.5"/>
  <pageSetup paperSize="9" orientation="portrait" r:id="rId1"/>
  <headerFooter alignWithMargins="0"/>
  <ignoredErrors>
    <ignoredError sqref="F111:G111 F202:G202" emptyCellReference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02"/>
  <sheetViews>
    <sheetView topLeftCell="A79" workbookViewId="0">
      <selection activeCell="P22" sqref="P22"/>
    </sheetView>
  </sheetViews>
  <sheetFormatPr defaultColWidth="9.21875" defaultRowHeight="13.2" x14ac:dyDescent="0.25"/>
  <cols>
    <col min="1" max="1" width="13.21875" style="1" bestFit="1" customWidth="1"/>
    <col min="2" max="2" width="30.77734375" style="1" customWidth="1"/>
    <col min="3" max="5" width="9.21875" style="1"/>
    <col min="6" max="7" width="10.21875" style="12" bestFit="1" customWidth="1"/>
    <col min="8" max="8" width="22.77734375" style="10" customWidth="1"/>
    <col min="9" max="16384" width="9.21875" style="1"/>
  </cols>
  <sheetData>
    <row r="1" spans="1:8" x14ac:dyDescent="0.25">
      <c r="A1" s="107" t="s">
        <v>467</v>
      </c>
      <c r="B1" s="107" t="s">
        <v>468</v>
      </c>
      <c r="C1" s="107" t="s">
        <v>186</v>
      </c>
      <c r="D1" s="107" t="s">
        <v>469</v>
      </c>
      <c r="E1" s="108" t="s">
        <v>188</v>
      </c>
      <c r="F1" s="107" t="s">
        <v>470</v>
      </c>
      <c r="G1" s="109" t="s">
        <v>471</v>
      </c>
      <c r="H1" s="216" t="s">
        <v>191</v>
      </c>
    </row>
    <row r="2" spans="1:8" x14ac:dyDescent="0.25">
      <c r="A2" s="5">
        <v>40567</v>
      </c>
      <c r="B2" s="6" t="s">
        <v>472</v>
      </c>
      <c r="C2" s="7" t="s">
        <v>197</v>
      </c>
      <c r="D2" s="7">
        <v>1000</v>
      </c>
      <c r="E2" s="8">
        <v>5.15</v>
      </c>
      <c r="F2" s="9">
        <v>5150</v>
      </c>
      <c r="G2" s="1">
        <v>107.74</v>
      </c>
      <c r="H2" s="10" t="s">
        <v>473</v>
      </c>
    </row>
    <row r="3" spans="1:8" x14ac:dyDescent="0.25">
      <c r="A3" s="5">
        <v>40561</v>
      </c>
      <c r="B3" s="6" t="s">
        <v>474</v>
      </c>
      <c r="C3" s="7" t="s">
        <v>197</v>
      </c>
      <c r="D3" s="7">
        <v>250</v>
      </c>
      <c r="E3" s="8">
        <v>5</v>
      </c>
      <c r="F3" s="9">
        <v>1250</v>
      </c>
      <c r="G3" s="1">
        <v>105.51</v>
      </c>
      <c r="H3" s="10" t="s">
        <v>475</v>
      </c>
    </row>
    <row r="4" spans="1:8" x14ac:dyDescent="0.25">
      <c r="A4" s="5">
        <v>40543</v>
      </c>
      <c r="B4" s="6" t="s">
        <v>476</v>
      </c>
      <c r="C4" s="7" t="s">
        <v>197</v>
      </c>
      <c r="D4" s="7">
        <v>250</v>
      </c>
      <c r="E4" s="8">
        <v>12</v>
      </c>
      <c r="F4" s="9">
        <v>3000</v>
      </c>
      <c r="G4" s="1">
        <v>106.5</v>
      </c>
      <c r="H4" s="10" t="s">
        <v>477</v>
      </c>
    </row>
    <row r="5" spans="1:8" x14ac:dyDescent="0.25">
      <c r="A5" s="5">
        <v>40541</v>
      </c>
      <c r="B5" s="6" t="s">
        <v>478</v>
      </c>
      <c r="C5" s="7" t="s">
        <v>197</v>
      </c>
      <c r="D5" s="7">
        <v>100</v>
      </c>
      <c r="E5" s="8">
        <v>7.2</v>
      </c>
      <c r="F5" s="9">
        <v>720</v>
      </c>
      <c r="G5" s="1">
        <v>209.98</v>
      </c>
      <c r="H5" s="10" t="s">
        <v>479</v>
      </c>
    </row>
    <row r="6" spans="1:8" x14ac:dyDescent="0.25">
      <c r="A6" s="5">
        <v>40541</v>
      </c>
      <c r="B6" s="6" t="s">
        <v>478</v>
      </c>
      <c r="C6" s="7" t="s">
        <v>197</v>
      </c>
      <c r="D6" s="7">
        <v>100</v>
      </c>
      <c r="E6" s="8">
        <v>7.3</v>
      </c>
      <c r="F6" s="9">
        <v>730</v>
      </c>
      <c r="G6" s="1">
        <v>210</v>
      </c>
      <c r="H6" s="10" t="s">
        <v>480</v>
      </c>
    </row>
    <row r="7" spans="1:8" x14ac:dyDescent="0.25">
      <c r="A7" s="5">
        <v>40539</v>
      </c>
      <c r="B7" s="6" t="s">
        <v>481</v>
      </c>
      <c r="C7" s="7" t="s">
        <v>197</v>
      </c>
      <c r="D7" s="7">
        <v>50</v>
      </c>
      <c r="E7" s="8">
        <v>8.9</v>
      </c>
      <c r="F7" s="9">
        <v>445</v>
      </c>
      <c r="G7" s="1">
        <v>105.05</v>
      </c>
      <c r="H7" s="10" t="s">
        <v>482</v>
      </c>
    </row>
    <row r="8" spans="1:8" x14ac:dyDescent="0.25">
      <c r="A8" s="5">
        <v>40539</v>
      </c>
      <c r="B8" s="6" t="s">
        <v>481</v>
      </c>
      <c r="C8" s="7" t="s">
        <v>197</v>
      </c>
      <c r="D8" s="7">
        <v>100</v>
      </c>
      <c r="E8" s="8">
        <v>9</v>
      </c>
      <c r="F8" s="9">
        <v>900</v>
      </c>
      <c r="G8" s="1">
        <v>210.09</v>
      </c>
      <c r="H8" s="10" t="s">
        <v>483</v>
      </c>
    </row>
    <row r="9" spans="1:8" x14ac:dyDescent="0.25">
      <c r="A9" s="5">
        <v>40536</v>
      </c>
      <c r="B9" s="6" t="s">
        <v>484</v>
      </c>
      <c r="C9" s="7" t="s">
        <v>197</v>
      </c>
      <c r="D9" s="7">
        <v>50</v>
      </c>
      <c r="E9" s="8">
        <v>12.4</v>
      </c>
      <c r="F9" s="9">
        <v>620</v>
      </c>
      <c r="G9" s="1">
        <v>105.14</v>
      </c>
      <c r="H9" s="10" t="s">
        <v>485</v>
      </c>
    </row>
    <row r="10" spans="1:8" x14ac:dyDescent="0.25">
      <c r="A10" s="5">
        <v>40536</v>
      </c>
      <c r="B10" s="6" t="s">
        <v>481</v>
      </c>
      <c r="C10" s="7" t="s">
        <v>197</v>
      </c>
      <c r="D10" s="7">
        <v>50</v>
      </c>
      <c r="E10" s="8">
        <v>12.4</v>
      </c>
      <c r="F10" s="9">
        <v>620</v>
      </c>
      <c r="G10" s="1">
        <v>105.14</v>
      </c>
      <c r="H10" s="10" t="s">
        <v>486</v>
      </c>
    </row>
    <row r="11" spans="1:8" x14ac:dyDescent="0.25">
      <c r="A11" s="5">
        <v>40514</v>
      </c>
      <c r="B11" s="6" t="s">
        <v>474</v>
      </c>
      <c r="C11" s="7" t="s">
        <v>197</v>
      </c>
      <c r="D11" s="7">
        <v>250</v>
      </c>
      <c r="E11" s="8">
        <v>10</v>
      </c>
      <c r="F11" s="9">
        <v>2500</v>
      </c>
      <c r="G11" s="1">
        <v>106.22</v>
      </c>
      <c r="H11" s="10" t="s">
        <v>487</v>
      </c>
    </row>
    <row r="12" spans="1:8" x14ac:dyDescent="0.25">
      <c r="A12" s="5">
        <v>40512</v>
      </c>
      <c r="B12" s="6" t="s">
        <v>474</v>
      </c>
      <c r="C12" s="7" t="s">
        <v>197</v>
      </c>
      <c r="D12" s="7">
        <v>250</v>
      </c>
      <c r="E12" s="8">
        <v>19</v>
      </c>
      <c r="F12" s="9">
        <v>4750</v>
      </c>
      <c r="G12" s="1">
        <v>107.51</v>
      </c>
      <c r="H12" s="10" t="s">
        <v>488</v>
      </c>
    </row>
    <row r="13" spans="1:8" x14ac:dyDescent="0.25">
      <c r="A13" s="5">
        <v>40507</v>
      </c>
      <c r="B13" s="6" t="s">
        <v>489</v>
      </c>
      <c r="C13" s="7" t="s">
        <v>197</v>
      </c>
      <c r="D13" s="7">
        <v>100</v>
      </c>
      <c r="E13" s="8">
        <v>9</v>
      </c>
      <c r="F13" s="9">
        <v>900</v>
      </c>
      <c r="G13" s="1">
        <v>210.08</v>
      </c>
      <c r="H13" s="10" t="s">
        <v>490</v>
      </c>
    </row>
    <row r="14" spans="1:8" x14ac:dyDescent="0.25">
      <c r="A14" s="5">
        <v>40476</v>
      </c>
      <c r="B14" s="6" t="s">
        <v>491</v>
      </c>
      <c r="C14" s="7" t="s">
        <v>197</v>
      </c>
      <c r="D14" s="7">
        <v>9000</v>
      </c>
      <c r="E14" s="8">
        <v>1.25</v>
      </c>
      <c r="F14" s="9">
        <v>11250</v>
      </c>
      <c r="G14" s="1">
        <v>111.22</v>
      </c>
      <c r="H14" s="10" t="s">
        <v>492</v>
      </c>
    </row>
    <row r="15" spans="1:8" x14ac:dyDescent="0.25">
      <c r="A15" s="5">
        <v>40476</v>
      </c>
      <c r="B15" s="6" t="s">
        <v>493</v>
      </c>
      <c r="C15" s="7" t="s">
        <v>197</v>
      </c>
      <c r="D15" s="7">
        <v>9000</v>
      </c>
      <c r="E15" s="8">
        <v>0.35</v>
      </c>
      <c r="F15" s="9">
        <v>3150</v>
      </c>
      <c r="G15" s="1">
        <v>106.58</v>
      </c>
      <c r="H15" s="10" t="s">
        <v>494</v>
      </c>
    </row>
    <row r="16" spans="1:8" x14ac:dyDescent="0.25">
      <c r="A16" s="5">
        <v>40470</v>
      </c>
      <c r="B16" s="6" t="s">
        <v>495</v>
      </c>
      <c r="C16" s="7" t="s">
        <v>197</v>
      </c>
      <c r="D16" s="7">
        <v>100</v>
      </c>
      <c r="E16" s="8">
        <v>9.65</v>
      </c>
      <c r="F16" s="9">
        <v>965</v>
      </c>
      <c r="G16" s="1">
        <v>210.12</v>
      </c>
      <c r="H16" s="10" t="s">
        <v>496</v>
      </c>
    </row>
    <row r="17" spans="1:8" x14ac:dyDescent="0.25">
      <c r="A17" s="5">
        <v>40466</v>
      </c>
      <c r="B17" s="6" t="s">
        <v>493</v>
      </c>
      <c r="C17" s="7" t="s">
        <v>197</v>
      </c>
      <c r="D17" s="7">
        <v>9000</v>
      </c>
      <c r="E17" s="8">
        <v>1.05</v>
      </c>
      <c r="F17" s="9">
        <v>9450</v>
      </c>
      <c r="G17" s="1">
        <v>110.19</v>
      </c>
      <c r="H17" s="10" t="s">
        <v>497</v>
      </c>
    </row>
    <row r="18" spans="1:8" x14ac:dyDescent="0.25">
      <c r="A18" s="5">
        <v>40466</v>
      </c>
      <c r="B18" s="6" t="s">
        <v>498</v>
      </c>
      <c r="C18" s="7" t="s">
        <v>197</v>
      </c>
      <c r="D18" s="7">
        <v>9000</v>
      </c>
      <c r="E18" s="8">
        <v>0.5</v>
      </c>
      <c r="F18" s="9">
        <v>4500</v>
      </c>
      <c r="G18" s="1">
        <v>107.35</v>
      </c>
      <c r="H18" s="10" t="s">
        <v>499</v>
      </c>
    </row>
    <row r="19" spans="1:8" x14ac:dyDescent="0.25">
      <c r="A19" s="5">
        <v>40466</v>
      </c>
      <c r="B19" s="6" t="s">
        <v>495</v>
      </c>
      <c r="C19" s="7" t="s">
        <v>197</v>
      </c>
      <c r="D19" s="7">
        <v>100</v>
      </c>
      <c r="E19" s="8">
        <v>25.1</v>
      </c>
      <c r="F19" s="9">
        <v>2510</v>
      </c>
      <c r="G19" s="1">
        <v>211</v>
      </c>
      <c r="H19" s="10" t="s">
        <v>500</v>
      </c>
    </row>
    <row r="20" spans="1:8" x14ac:dyDescent="0.25">
      <c r="A20" s="5">
        <v>40462</v>
      </c>
      <c r="B20" s="6" t="s">
        <v>501</v>
      </c>
      <c r="C20" s="7" t="s">
        <v>197</v>
      </c>
      <c r="D20" s="7">
        <v>50</v>
      </c>
      <c r="E20" s="8">
        <v>16</v>
      </c>
      <c r="F20" s="9">
        <v>800</v>
      </c>
      <c r="G20" s="1">
        <v>105.24</v>
      </c>
      <c r="H20" s="10" t="s">
        <v>502</v>
      </c>
    </row>
    <row r="21" spans="1:8" x14ac:dyDescent="0.25">
      <c r="A21" s="5">
        <v>40462</v>
      </c>
      <c r="B21" s="6" t="s">
        <v>501</v>
      </c>
      <c r="C21" s="7" t="s">
        <v>197</v>
      </c>
      <c r="D21" s="7">
        <v>50</v>
      </c>
      <c r="E21" s="8">
        <v>17.2</v>
      </c>
      <c r="F21" s="9">
        <v>860</v>
      </c>
      <c r="G21" s="1">
        <v>105.27</v>
      </c>
      <c r="H21" s="10" t="s">
        <v>503</v>
      </c>
    </row>
    <row r="22" spans="1:8" x14ac:dyDescent="0.25">
      <c r="A22" s="5">
        <v>40462</v>
      </c>
      <c r="B22" s="6" t="s">
        <v>501</v>
      </c>
      <c r="C22" s="7" t="s">
        <v>197</v>
      </c>
      <c r="D22" s="7">
        <v>50</v>
      </c>
      <c r="E22" s="8">
        <v>19.75</v>
      </c>
      <c r="F22" s="9">
        <v>987.5</v>
      </c>
      <c r="G22" s="1">
        <v>105.34</v>
      </c>
      <c r="H22" s="10" t="s">
        <v>504</v>
      </c>
    </row>
    <row r="23" spans="1:8" x14ac:dyDescent="0.25">
      <c r="A23" s="5">
        <v>40452</v>
      </c>
      <c r="B23" s="6" t="s">
        <v>505</v>
      </c>
      <c r="C23" s="7" t="s">
        <v>197</v>
      </c>
      <c r="D23" s="7">
        <v>2000</v>
      </c>
      <c r="E23" s="8">
        <v>2.1</v>
      </c>
      <c r="F23" s="9">
        <v>4200</v>
      </c>
      <c r="G23" s="1">
        <v>107.17</v>
      </c>
      <c r="H23" s="10" t="s">
        <v>506</v>
      </c>
    </row>
    <row r="24" spans="1:8" x14ac:dyDescent="0.25">
      <c r="A24" s="5">
        <v>40449</v>
      </c>
      <c r="B24" s="6" t="s">
        <v>507</v>
      </c>
      <c r="C24" s="7" t="s">
        <v>197</v>
      </c>
      <c r="D24" s="7">
        <v>100</v>
      </c>
      <c r="E24" s="8">
        <v>11.5</v>
      </c>
      <c r="F24" s="9">
        <v>1150</v>
      </c>
      <c r="G24" s="1">
        <v>210.22</v>
      </c>
      <c r="H24" s="10" t="s">
        <v>508</v>
      </c>
    </row>
    <row r="25" spans="1:8" x14ac:dyDescent="0.25">
      <c r="A25" s="5">
        <v>40441</v>
      </c>
      <c r="B25" s="6" t="s">
        <v>509</v>
      </c>
      <c r="C25" s="7" t="s">
        <v>197</v>
      </c>
      <c r="D25" s="7">
        <v>1000</v>
      </c>
      <c r="E25" s="8">
        <v>1.8</v>
      </c>
      <c r="F25" s="9">
        <v>1800</v>
      </c>
      <c r="G25" s="1">
        <v>105.81</v>
      </c>
      <c r="H25" s="10" t="s">
        <v>510</v>
      </c>
    </row>
    <row r="26" spans="1:8" x14ac:dyDescent="0.25">
      <c r="A26" s="5">
        <v>40410</v>
      </c>
      <c r="B26" s="6" t="s">
        <v>511</v>
      </c>
      <c r="C26" s="7" t="s">
        <v>197</v>
      </c>
      <c r="D26" s="7">
        <v>250</v>
      </c>
      <c r="E26" s="8">
        <v>13</v>
      </c>
      <c r="F26" s="9">
        <v>3250</v>
      </c>
      <c r="G26" s="1">
        <v>18.41</v>
      </c>
      <c r="H26" s="10" t="s">
        <v>512</v>
      </c>
    </row>
    <row r="27" spans="1:8" x14ac:dyDescent="0.25">
      <c r="A27" s="5">
        <v>40409</v>
      </c>
      <c r="B27" s="6" t="s">
        <v>511</v>
      </c>
      <c r="C27" s="7" t="s">
        <v>197</v>
      </c>
      <c r="D27" s="7">
        <v>250</v>
      </c>
      <c r="E27" s="8">
        <v>15</v>
      </c>
      <c r="F27" s="9">
        <v>3750</v>
      </c>
      <c r="G27" s="1">
        <v>106.92</v>
      </c>
      <c r="H27" s="10" t="s">
        <v>513</v>
      </c>
    </row>
    <row r="28" spans="1:8" x14ac:dyDescent="0.25">
      <c r="A28" s="5">
        <v>40409</v>
      </c>
      <c r="B28" s="6" t="s">
        <v>511</v>
      </c>
      <c r="C28" s="7" t="s">
        <v>197</v>
      </c>
      <c r="D28" s="7">
        <v>250</v>
      </c>
      <c r="E28" s="8">
        <v>14.9</v>
      </c>
      <c r="F28" s="9">
        <v>3725</v>
      </c>
      <c r="G28" s="1">
        <v>106.89</v>
      </c>
      <c r="H28" s="10" t="s">
        <v>514</v>
      </c>
    </row>
    <row r="29" spans="1:8" x14ac:dyDescent="0.25">
      <c r="A29" s="5">
        <v>40409</v>
      </c>
      <c r="B29" s="6" t="s">
        <v>515</v>
      </c>
      <c r="C29" s="7" t="s">
        <v>197</v>
      </c>
      <c r="D29" s="7">
        <v>250</v>
      </c>
      <c r="E29" s="8">
        <v>20.7</v>
      </c>
      <c r="F29" s="9">
        <v>5175</v>
      </c>
      <c r="G29" s="1">
        <v>107.74</v>
      </c>
      <c r="H29" s="10" t="s">
        <v>516</v>
      </c>
    </row>
    <row r="30" spans="1:8" x14ac:dyDescent="0.25">
      <c r="A30" s="5">
        <v>40409</v>
      </c>
      <c r="B30" s="6" t="s">
        <v>515</v>
      </c>
      <c r="C30" s="7" t="s">
        <v>197</v>
      </c>
      <c r="D30" s="7">
        <v>250</v>
      </c>
      <c r="E30" s="8">
        <v>23.5</v>
      </c>
      <c r="F30" s="9">
        <v>5875</v>
      </c>
      <c r="G30" s="1">
        <v>108.15</v>
      </c>
      <c r="H30" s="10" t="s">
        <v>517</v>
      </c>
    </row>
    <row r="31" spans="1:8" x14ac:dyDescent="0.25">
      <c r="A31" s="5">
        <v>40407</v>
      </c>
      <c r="B31" s="6" t="s">
        <v>511</v>
      </c>
      <c r="C31" s="7" t="s">
        <v>197</v>
      </c>
      <c r="D31" s="7">
        <v>250</v>
      </c>
      <c r="E31" s="8">
        <v>19.100000000000001</v>
      </c>
      <c r="F31" s="9">
        <v>4775</v>
      </c>
      <c r="G31" s="1">
        <v>107.51</v>
      </c>
      <c r="H31" s="10" t="s">
        <v>518</v>
      </c>
    </row>
    <row r="32" spans="1:8" x14ac:dyDescent="0.25">
      <c r="A32" s="5">
        <v>40401</v>
      </c>
      <c r="B32" s="6" t="s">
        <v>519</v>
      </c>
      <c r="C32" s="7" t="s">
        <v>197</v>
      </c>
      <c r="D32" s="7">
        <v>500</v>
      </c>
      <c r="E32" s="8">
        <v>12.55</v>
      </c>
      <c r="F32" s="9">
        <v>6275</v>
      </c>
      <c r="G32" s="1">
        <v>108.38</v>
      </c>
      <c r="H32" s="10" t="s">
        <v>520</v>
      </c>
    </row>
    <row r="33" spans="1:8" x14ac:dyDescent="0.25">
      <c r="A33" s="5">
        <v>40401</v>
      </c>
      <c r="B33" s="6" t="s">
        <v>519</v>
      </c>
      <c r="C33" s="7" t="s">
        <v>197</v>
      </c>
      <c r="D33" s="7">
        <v>500</v>
      </c>
      <c r="E33" s="8">
        <v>13.4</v>
      </c>
      <c r="F33" s="9">
        <v>6700</v>
      </c>
      <c r="G33" s="1">
        <v>108.61</v>
      </c>
      <c r="H33" s="10" t="s">
        <v>523</v>
      </c>
    </row>
    <row r="34" spans="1:8" x14ac:dyDescent="0.25">
      <c r="A34" s="5">
        <v>40393</v>
      </c>
      <c r="B34" s="6" t="s">
        <v>524</v>
      </c>
      <c r="C34" s="7" t="s">
        <v>197</v>
      </c>
      <c r="D34" s="7">
        <v>400</v>
      </c>
      <c r="E34" s="8">
        <v>5.75</v>
      </c>
      <c r="F34" s="9">
        <v>2300</v>
      </c>
      <c r="G34" s="1">
        <v>839.6</v>
      </c>
      <c r="H34" s="10" t="s">
        <v>525</v>
      </c>
    </row>
    <row r="35" spans="1:8" x14ac:dyDescent="0.25">
      <c r="A35" s="5">
        <v>40392</v>
      </c>
      <c r="B35" s="6" t="s">
        <v>526</v>
      </c>
      <c r="C35" s="7" t="s">
        <v>197</v>
      </c>
      <c r="D35" s="7">
        <v>100</v>
      </c>
      <c r="E35" s="8">
        <v>50.5</v>
      </c>
      <c r="F35" s="9">
        <v>5050</v>
      </c>
      <c r="G35" s="1">
        <v>212.46</v>
      </c>
      <c r="H35" s="10" t="s">
        <v>528</v>
      </c>
    </row>
    <row r="36" spans="1:8" x14ac:dyDescent="0.25">
      <c r="A36" s="5">
        <v>40374</v>
      </c>
      <c r="B36" s="6" t="s">
        <v>529</v>
      </c>
      <c r="C36" s="7" t="s">
        <v>197</v>
      </c>
      <c r="D36" s="7">
        <v>11000</v>
      </c>
      <c r="E36" s="8">
        <v>0.15</v>
      </c>
      <c r="F36" s="9">
        <v>1650</v>
      </c>
      <c r="G36" s="1">
        <v>105.72</v>
      </c>
      <c r="H36" s="10" t="s">
        <v>530</v>
      </c>
    </row>
    <row r="37" spans="1:8" x14ac:dyDescent="0.25">
      <c r="A37" s="5">
        <v>40374</v>
      </c>
      <c r="B37" s="6" t="s">
        <v>529</v>
      </c>
      <c r="C37" s="7" t="s">
        <v>197</v>
      </c>
      <c r="D37" s="7">
        <v>11000</v>
      </c>
      <c r="E37" s="8">
        <v>0.2</v>
      </c>
      <c r="F37" s="9">
        <v>2200</v>
      </c>
      <c r="G37" s="1">
        <v>106.03</v>
      </c>
      <c r="H37" s="10" t="s">
        <v>531</v>
      </c>
    </row>
    <row r="38" spans="1:8" x14ac:dyDescent="0.25">
      <c r="A38" s="5">
        <v>40372</v>
      </c>
      <c r="B38" s="6" t="s">
        <v>532</v>
      </c>
      <c r="C38" s="7" t="s">
        <v>197</v>
      </c>
      <c r="D38" s="7">
        <v>4000</v>
      </c>
      <c r="E38" s="8">
        <v>0.9</v>
      </c>
      <c r="F38" s="9">
        <v>3600</v>
      </c>
      <c r="G38" s="1">
        <v>106.83</v>
      </c>
      <c r="H38" s="10" t="s">
        <v>533</v>
      </c>
    </row>
    <row r="39" spans="1:8" x14ac:dyDescent="0.25">
      <c r="A39" s="5">
        <v>40371</v>
      </c>
      <c r="B39" s="6" t="s">
        <v>540</v>
      </c>
      <c r="C39" s="7" t="s">
        <v>197</v>
      </c>
      <c r="D39" s="7">
        <v>2000</v>
      </c>
      <c r="E39" s="8">
        <v>2.9</v>
      </c>
      <c r="F39" s="9">
        <v>5800</v>
      </c>
      <c r="G39" s="1">
        <v>108.11</v>
      </c>
      <c r="H39" s="10" t="s">
        <v>541</v>
      </c>
    </row>
    <row r="40" spans="1:8" x14ac:dyDescent="0.25">
      <c r="A40" s="5">
        <v>40366</v>
      </c>
      <c r="B40" s="6" t="s">
        <v>542</v>
      </c>
      <c r="C40" s="7" t="s">
        <v>197</v>
      </c>
      <c r="D40" s="7">
        <v>50</v>
      </c>
      <c r="E40" s="8">
        <v>72.7</v>
      </c>
      <c r="F40" s="9">
        <v>3635</v>
      </c>
      <c r="G40" s="1">
        <v>106.85</v>
      </c>
      <c r="H40" s="10" t="s">
        <v>543</v>
      </c>
    </row>
    <row r="41" spans="1:8" x14ac:dyDescent="0.25">
      <c r="A41" s="5">
        <v>40365</v>
      </c>
      <c r="B41" s="6" t="s">
        <v>544</v>
      </c>
      <c r="C41" s="7" t="s">
        <v>197</v>
      </c>
      <c r="D41" s="7">
        <v>4000</v>
      </c>
      <c r="E41" s="8">
        <v>0.25</v>
      </c>
      <c r="F41" s="9">
        <v>1000</v>
      </c>
      <c r="G41" s="1">
        <v>105.35</v>
      </c>
      <c r="H41" s="10" t="s">
        <v>545</v>
      </c>
    </row>
    <row r="42" spans="1:8" x14ac:dyDescent="0.25">
      <c r="A42" s="5">
        <v>40361</v>
      </c>
      <c r="B42" s="6" t="s">
        <v>544</v>
      </c>
      <c r="C42" s="7" t="s">
        <v>197</v>
      </c>
      <c r="D42" s="7">
        <v>4000</v>
      </c>
      <c r="E42" s="8">
        <v>0.3</v>
      </c>
      <c r="F42" s="9">
        <v>1200</v>
      </c>
      <c r="G42" s="1">
        <v>105.46</v>
      </c>
      <c r="H42" s="10" t="s">
        <v>546</v>
      </c>
    </row>
    <row r="43" spans="1:8" x14ac:dyDescent="0.25">
      <c r="A43" s="5">
        <v>40361</v>
      </c>
      <c r="B43" s="6" t="s">
        <v>544</v>
      </c>
      <c r="C43" s="7" t="s">
        <v>197</v>
      </c>
      <c r="D43" s="7">
        <v>8000</v>
      </c>
      <c r="E43" s="8">
        <v>0.35</v>
      </c>
      <c r="F43" s="9">
        <v>2800</v>
      </c>
      <c r="G43" s="1">
        <v>211.17</v>
      </c>
      <c r="H43" s="10" t="s">
        <v>547</v>
      </c>
    </row>
    <row r="44" spans="1:8" x14ac:dyDescent="0.25">
      <c r="A44" s="5">
        <v>40361</v>
      </c>
      <c r="B44" s="6" t="s">
        <v>548</v>
      </c>
      <c r="C44" s="7" t="s">
        <v>197</v>
      </c>
      <c r="D44" s="7">
        <v>50</v>
      </c>
      <c r="E44" s="8">
        <v>14.05</v>
      </c>
      <c r="F44" s="9">
        <v>702.5</v>
      </c>
      <c r="G44" s="1">
        <v>16.95</v>
      </c>
      <c r="H44" s="10" t="s">
        <v>549</v>
      </c>
    </row>
    <row r="45" spans="1:8" x14ac:dyDescent="0.25">
      <c r="A45" s="5">
        <v>40358</v>
      </c>
      <c r="B45" s="6" t="s">
        <v>599</v>
      </c>
      <c r="C45" s="7" t="s">
        <v>197</v>
      </c>
      <c r="D45" s="7">
        <v>50</v>
      </c>
      <c r="E45" s="8">
        <v>41.25</v>
      </c>
      <c r="F45" s="9">
        <v>2062.5</v>
      </c>
      <c r="G45" s="1">
        <v>105.95</v>
      </c>
      <c r="H45" s="10" t="s">
        <v>600</v>
      </c>
    </row>
    <row r="46" spans="1:8" x14ac:dyDescent="0.25">
      <c r="A46" s="5">
        <v>40357</v>
      </c>
      <c r="B46" s="6" t="s">
        <v>548</v>
      </c>
      <c r="C46" s="7" t="s">
        <v>197</v>
      </c>
      <c r="D46" s="7">
        <v>100</v>
      </c>
      <c r="E46" s="8">
        <v>12.15</v>
      </c>
      <c r="F46" s="9">
        <v>1215</v>
      </c>
      <c r="G46" s="1">
        <v>210.26</v>
      </c>
      <c r="H46" s="10" t="s">
        <v>601</v>
      </c>
    </row>
    <row r="47" spans="1:8" x14ac:dyDescent="0.25">
      <c r="A47" s="5">
        <v>40353</v>
      </c>
      <c r="B47" s="6" t="s">
        <v>602</v>
      </c>
      <c r="C47" s="7" t="s">
        <v>197</v>
      </c>
      <c r="D47" s="7">
        <v>100</v>
      </c>
      <c r="E47" s="8">
        <v>60.7</v>
      </c>
      <c r="F47" s="9">
        <v>6070</v>
      </c>
      <c r="G47" s="1">
        <v>213.02</v>
      </c>
      <c r="H47" s="10" t="s">
        <v>603</v>
      </c>
    </row>
    <row r="48" spans="1:8" x14ac:dyDescent="0.25">
      <c r="A48" s="5">
        <v>40351</v>
      </c>
      <c r="B48" s="6" t="s">
        <v>604</v>
      </c>
      <c r="C48" s="7" t="s">
        <v>197</v>
      </c>
      <c r="D48" s="7">
        <v>50</v>
      </c>
      <c r="E48" s="8">
        <v>82.5</v>
      </c>
      <c r="F48" s="9">
        <v>4125</v>
      </c>
      <c r="G48" s="1">
        <v>107.13</v>
      </c>
      <c r="H48" s="10" t="s">
        <v>605</v>
      </c>
    </row>
    <row r="49" spans="1:8" x14ac:dyDescent="0.25">
      <c r="A49" s="5">
        <v>40350</v>
      </c>
      <c r="B49" s="6" t="s">
        <v>602</v>
      </c>
      <c r="C49" s="7" t="s">
        <v>197</v>
      </c>
      <c r="D49" s="7">
        <v>50</v>
      </c>
      <c r="E49" s="8">
        <v>50.25</v>
      </c>
      <c r="F49" s="9">
        <v>2512.5</v>
      </c>
      <c r="G49" s="1">
        <v>106.21</v>
      </c>
      <c r="H49" s="10" t="s">
        <v>606</v>
      </c>
    </row>
    <row r="50" spans="1:8" x14ac:dyDescent="0.25">
      <c r="A50" s="5">
        <v>40346</v>
      </c>
      <c r="B50" s="6" t="s">
        <v>607</v>
      </c>
      <c r="C50" s="7" t="s">
        <v>197</v>
      </c>
      <c r="D50" s="7">
        <v>50</v>
      </c>
      <c r="E50" s="8">
        <v>24</v>
      </c>
      <c r="F50" s="9">
        <v>1200</v>
      </c>
      <c r="G50" s="1">
        <v>105.46</v>
      </c>
      <c r="H50" s="10" t="s">
        <v>608</v>
      </c>
    </row>
    <row r="51" spans="1:8" x14ac:dyDescent="0.25">
      <c r="A51" s="5">
        <v>40346</v>
      </c>
      <c r="B51" s="6" t="s">
        <v>609</v>
      </c>
      <c r="C51" s="7" t="s">
        <v>197</v>
      </c>
      <c r="D51" s="7">
        <v>700</v>
      </c>
      <c r="E51" s="8">
        <v>1.45</v>
      </c>
      <c r="F51" s="9">
        <v>1015</v>
      </c>
      <c r="G51" s="1">
        <v>105.36</v>
      </c>
      <c r="H51" s="10" t="s">
        <v>610</v>
      </c>
    </row>
    <row r="52" spans="1:8" x14ac:dyDescent="0.25">
      <c r="A52" s="5">
        <v>40337</v>
      </c>
      <c r="B52" s="6" t="s">
        <v>611</v>
      </c>
      <c r="C52" s="7" t="s">
        <v>197</v>
      </c>
      <c r="D52" s="7">
        <v>500</v>
      </c>
      <c r="E52" s="8">
        <v>2.0499999999999998</v>
      </c>
      <c r="F52" s="9">
        <v>1025</v>
      </c>
      <c r="G52" s="1">
        <v>105.36</v>
      </c>
      <c r="H52" s="10" t="s">
        <v>612</v>
      </c>
    </row>
    <row r="53" spans="1:8" x14ac:dyDescent="0.25">
      <c r="A53" s="5">
        <v>40337</v>
      </c>
      <c r="B53" s="6" t="s">
        <v>613</v>
      </c>
      <c r="C53" s="7" t="s">
        <v>197</v>
      </c>
      <c r="D53" s="7">
        <v>800</v>
      </c>
      <c r="E53" s="8">
        <v>3.35</v>
      </c>
      <c r="F53" s="9">
        <v>2680</v>
      </c>
      <c r="G53" s="1">
        <v>106.31</v>
      </c>
      <c r="H53" s="10" t="s">
        <v>614</v>
      </c>
    </row>
    <row r="54" spans="1:8" x14ac:dyDescent="0.25">
      <c r="A54" s="5">
        <v>40315</v>
      </c>
      <c r="B54" s="6" t="s">
        <v>615</v>
      </c>
      <c r="C54" s="7" t="s">
        <v>197</v>
      </c>
      <c r="D54" s="7">
        <v>700</v>
      </c>
      <c r="E54" s="8">
        <v>1.5</v>
      </c>
      <c r="F54" s="9">
        <v>1050</v>
      </c>
      <c r="G54" s="1">
        <v>105.37</v>
      </c>
      <c r="H54" s="10" t="s">
        <v>616</v>
      </c>
    </row>
    <row r="55" spans="1:8" x14ac:dyDescent="0.25">
      <c r="A55" s="5">
        <v>40315</v>
      </c>
      <c r="B55" s="6" t="s">
        <v>615</v>
      </c>
      <c r="C55" s="7" t="s">
        <v>197</v>
      </c>
      <c r="D55" s="7">
        <v>700</v>
      </c>
      <c r="E55" s="8">
        <v>1.5</v>
      </c>
      <c r="F55" s="9">
        <v>1050</v>
      </c>
      <c r="G55" s="1">
        <v>105.37</v>
      </c>
      <c r="H55" s="10" t="s">
        <v>617</v>
      </c>
    </row>
    <row r="56" spans="1:8" x14ac:dyDescent="0.25">
      <c r="A56" s="5">
        <v>40304</v>
      </c>
      <c r="B56" s="6" t="s">
        <v>618</v>
      </c>
      <c r="C56" s="7" t="s">
        <v>197</v>
      </c>
      <c r="D56" s="7">
        <v>700</v>
      </c>
      <c r="E56" s="8">
        <v>1.95</v>
      </c>
      <c r="F56" s="9">
        <v>1365</v>
      </c>
      <c r="G56" s="1">
        <v>105.56</v>
      </c>
      <c r="H56" s="10" t="s">
        <v>619</v>
      </c>
    </row>
    <row r="57" spans="1:8" x14ac:dyDescent="0.25">
      <c r="A57" s="5">
        <v>40302</v>
      </c>
      <c r="B57" s="6" t="s">
        <v>618</v>
      </c>
      <c r="C57" s="7" t="s">
        <v>197</v>
      </c>
      <c r="D57" s="7">
        <v>700</v>
      </c>
      <c r="E57" s="8">
        <v>2.7</v>
      </c>
      <c r="F57" s="9">
        <v>1890</v>
      </c>
      <c r="G57" s="1">
        <v>105.86</v>
      </c>
      <c r="H57" s="10" t="s">
        <v>620</v>
      </c>
    </row>
    <row r="58" spans="1:8" x14ac:dyDescent="0.25">
      <c r="A58" s="5">
        <v>40302</v>
      </c>
      <c r="B58" s="6" t="s">
        <v>618</v>
      </c>
      <c r="C58" s="7" t="s">
        <v>197</v>
      </c>
      <c r="D58" s="7">
        <v>700</v>
      </c>
      <c r="E58" s="8">
        <v>3.9</v>
      </c>
      <c r="F58" s="9">
        <v>2730</v>
      </c>
      <c r="G58" s="1">
        <v>106.33</v>
      </c>
      <c r="H58" s="10" t="s">
        <v>621</v>
      </c>
    </row>
    <row r="59" spans="1:8" x14ac:dyDescent="0.25">
      <c r="A59" s="5">
        <v>40295</v>
      </c>
      <c r="B59" s="6" t="s">
        <v>622</v>
      </c>
      <c r="C59" s="7" t="s">
        <v>197</v>
      </c>
      <c r="D59" s="7">
        <v>700</v>
      </c>
      <c r="E59" s="8">
        <v>2.7</v>
      </c>
      <c r="F59" s="9">
        <v>1890</v>
      </c>
      <c r="G59" s="1">
        <v>105.86</v>
      </c>
      <c r="H59" s="10" t="s">
        <v>623</v>
      </c>
    </row>
    <row r="60" spans="1:8" x14ac:dyDescent="0.25">
      <c r="F60" s="11">
        <f>SUM(F2:F59)</f>
        <v>164550</v>
      </c>
      <c r="G60" s="12">
        <f>SUM(G2:G59)</f>
        <v>7881.02</v>
      </c>
    </row>
    <row r="62" spans="1:8" x14ac:dyDescent="0.25">
      <c r="F62" s="12" t="s">
        <v>624</v>
      </c>
      <c r="G62" s="1">
        <f>F60+G60</f>
        <v>172431.02</v>
      </c>
    </row>
    <row r="66" spans="1:8" x14ac:dyDescent="0.25">
      <c r="A66" s="5">
        <v>40568</v>
      </c>
      <c r="B66" s="6" t="s">
        <v>472</v>
      </c>
      <c r="C66" s="7" t="s">
        <v>369</v>
      </c>
      <c r="D66" s="7">
        <v>1000</v>
      </c>
      <c r="E66" s="8">
        <v>4.0999999999999996</v>
      </c>
      <c r="F66" s="9">
        <v>4100</v>
      </c>
      <c r="G66" s="1">
        <v>108.13</v>
      </c>
      <c r="H66" s="10" t="s">
        <v>625</v>
      </c>
    </row>
    <row r="67" spans="1:8" x14ac:dyDescent="0.25">
      <c r="A67" s="5">
        <v>40543</v>
      </c>
      <c r="B67" s="6" t="s">
        <v>476</v>
      </c>
      <c r="C67" s="7" t="s">
        <v>369</v>
      </c>
      <c r="D67" s="7">
        <v>250</v>
      </c>
      <c r="E67" s="8">
        <v>11.9</v>
      </c>
      <c r="F67" s="9">
        <v>2975</v>
      </c>
      <c r="G67" s="1">
        <v>19.25</v>
      </c>
      <c r="H67" s="10" t="s">
        <v>626</v>
      </c>
    </row>
    <row r="68" spans="1:8" x14ac:dyDescent="0.25">
      <c r="A68" s="5">
        <v>40539</v>
      </c>
      <c r="B68" s="6" t="s">
        <v>484</v>
      </c>
      <c r="C68" s="7" t="s">
        <v>369</v>
      </c>
      <c r="D68" s="7">
        <v>50</v>
      </c>
      <c r="E68" s="8">
        <v>10.55</v>
      </c>
      <c r="F68" s="9">
        <v>527.5</v>
      </c>
      <c r="G68" s="1">
        <v>105.09</v>
      </c>
      <c r="H68" s="10" t="s">
        <v>627</v>
      </c>
    </row>
    <row r="69" spans="1:8" x14ac:dyDescent="0.25">
      <c r="A69" s="5">
        <v>40477</v>
      </c>
      <c r="B69" s="6" t="s">
        <v>491</v>
      </c>
      <c r="C69" s="7" t="s">
        <v>369</v>
      </c>
      <c r="D69" s="7">
        <v>9000</v>
      </c>
      <c r="E69" s="8">
        <v>0.95</v>
      </c>
      <c r="F69" s="9">
        <v>8550</v>
      </c>
      <c r="G69" s="1">
        <v>111.12</v>
      </c>
      <c r="H69" s="10" t="s">
        <v>628</v>
      </c>
    </row>
    <row r="70" spans="1:8" x14ac:dyDescent="0.25">
      <c r="A70" s="5">
        <v>40476</v>
      </c>
      <c r="B70" s="6" t="s">
        <v>493</v>
      </c>
      <c r="C70" s="7" t="s">
        <v>369</v>
      </c>
      <c r="D70" s="7">
        <v>9000</v>
      </c>
      <c r="E70" s="8">
        <v>0.3</v>
      </c>
      <c r="F70" s="9">
        <v>2700</v>
      </c>
      <c r="G70" s="1">
        <v>18.55</v>
      </c>
      <c r="H70" s="10" t="s">
        <v>629</v>
      </c>
    </row>
    <row r="71" spans="1:8" x14ac:dyDescent="0.25">
      <c r="A71" s="5">
        <v>40471</v>
      </c>
      <c r="B71" s="6" t="s">
        <v>495</v>
      </c>
      <c r="C71" s="7" t="s">
        <v>369</v>
      </c>
      <c r="D71" s="7">
        <v>200</v>
      </c>
      <c r="E71" s="8">
        <v>8.1</v>
      </c>
      <c r="F71" s="9">
        <v>1620</v>
      </c>
      <c r="G71" s="1">
        <v>420.34</v>
      </c>
      <c r="H71" s="10" t="s">
        <v>630</v>
      </c>
    </row>
    <row r="72" spans="1:8" x14ac:dyDescent="0.25">
      <c r="A72" s="5">
        <v>40471</v>
      </c>
      <c r="B72" s="6" t="s">
        <v>493</v>
      </c>
      <c r="C72" s="7" t="s">
        <v>369</v>
      </c>
      <c r="D72" s="7">
        <v>9000</v>
      </c>
      <c r="E72" s="8">
        <v>0.55000000000000004</v>
      </c>
      <c r="F72" s="9">
        <v>4950</v>
      </c>
      <c r="G72" s="1">
        <v>108.45</v>
      </c>
      <c r="H72" s="10" t="s">
        <v>631</v>
      </c>
    </row>
    <row r="73" spans="1:8" x14ac:dyDescent="0.25">
      <c r="A73" s="5">
        <v>40466</v>
      </c>
      <c r="B73" s="6" t="s">
        <v>498</v>
      </c>
      <c r="C73" s="7" t="s">
        <v>369</v>
      </c>
      <c r="D73" s="7">
        <v>9000</v>
      </c>
      <c r="E73" s="8">
        <v>0.4</v>
      </c>
      <c r="F73" s="9">
        <v>3600</v>
      </c>
      <c r="G73" s="1">
        <v>19.21</v>
      </c>
      <c r="H73" s="10" t="s">
        <v>632</v>
      </c>
    </row>
    <row r="74" spans="1:8" x14ac:dyDescent="0.25">
      <c r="A74" s="5">
        <v>40464</v>
      </c>
      <c r="B74" s="6" t="s">
        <v>501</v>
      </c>
      <c r="C74" s="7" t="s">
        <v>369</v>
      </c>
      <c r="D74" s="7">
        <v>150</v>
      </c>
      <c r="E74" s="8">
        <v>16.22</v>
      </c>
      <c r="F74" s="9">
        <v>2432.5</v>
      </c>
      <c r="G74" s="1">
        <v>316.16000000000003</v>
      </c>
      <c r="H74" s="10" t="s">
        <v>633</v>
      </c>
    </row>
    <row r="75" spans="1:8" x14ac:dyDescent="0.25">
      <c r="A75" s="5">
        <v>40456</v>
      </c>
      <c r="B75" s="6" t="s">
        <v>505</v>
      </c>
      <c r="C75" s="7" t="s">
        <v>369</v>
      </c>
      <c r="D75" s="7">
        <v>2000</v>
      </c>
      <c r="E75" s="8">
        <v>4</v>
      </c>
      <c r="F75" s="9">
        <v>8000</v>
      </c>
      <c r="G75" s="1">
        <v>110.72</v>
      </c>
      <c r="H75" s="10" t="s">
        <v>634</v>
      </c>
    </row>
    <row r="76" spans="1:8" x14ac:dyDescent="0.25">
      <c r="A76" s="5">
        <v>40450</v>
      </c>
      <c r="B76" s="6" t="s">
        <v>507</v>
      </c>
      <c r="C76" s="7" t="s">
        <v>369</v>
      </c>
      <c r="D76" s="7">
        <v>100</v>
      </c>
      <c r="E76" s="8">
        <v>24</v>
      </c>
      <c r="F76" s="9">
        <v>2400</v>
      </c>
      <c r="G76" s="1">
        <v>211.35</v>
      </c>
      <c r="H76" s="10" t="s">
        <v>635</v>
      </c>
    </row>
    <row r="77" spans="1:8" x14ac:dyDescent="0.25">
      <c r="A77" s="5">
        <v>40445</v>
      </c>
      <c r="B77" s="6" t="s">
        <v>509</v>
      </c>
      <c r="C77" s="7" t="s">
        <v>369</v>
      </c>
      <c r="D77" s="7">
        <v>1000</v>
      </c>
      <c r="E77" s="8">
        <v>1.6</v>
      </c>
      <c r="F77" s="9">
        <v>1600</v>
      </c>
      <c r="G77" s="1">
        <v>105.96</v>
      </c>
      <c r="H77" s="10" t="s">
        <v>636</v>
      </c>
    </row>
    <row r="78" spans="1:8" x14ac:dyDescent="0.25">
      <c r="A78" s="5">
        <v>40414</v>
      </c>
      <c r="B78" s="6" t="s">
        <v>511</v>
      </c>
      <c r="C78" s="7" t="s">
        <v>369</v>
      </c>
      <c r="D78" s="7">
        <v>250</v>
      </c>
      <c r="E78" s="8">
        <v>2.75</v>
      </c>
      <c r="F78" s="9">
        <v>687.5</v>
      </c>
      <c r="G78" s="1">
        <v>105.29</v>
      </c>
      <c r="H78" s="10" t="s">
        <v>637</v>
      </c>
    </row>
    <row r="79" spans="1:8" x14ac:dyDescent="0.25">
      <c r="A79" s="5">
        <v>40410</v>
      </c>
      <c r="B79" s="6" t="s">
        <v>511</v>
      </c>
      <c r="C79" s="7" t="s">
        <v>369</v>
      </c>
      <c r="D79" s="7">
        <v>750</v>
      </c>
      <c r="E79" s="8">
        <v>6.1</v>
      </c>
      <c r="F79" s="9">
        <v>4575</v>
      </c>
      <c r="G79" s="1">
        <v>317.74</v>
      </c>
      <c r="H79" s="10" t="s">
        <v>638</v>
      </c>
    </row>
    <row r="80" spans="1:8" x14ac:dyDescent="0.25">
      <c r="A80" s="5">
        <v>40409</v>
      </c>
      <c r="B80" s="6" t="s">
        <v>515</v>
      </c>
      <c r="C80" s="7" t="s">
        <v>369</v>
      </c>
      <c r="D80" s="7">
        <v>500</v>
      </c>
      <c r="E80" s="8">
        <v>16.600000000000001</v>
      </c>
      <c r="F80" s="9">
        <v>8300</v>
      </c>
      <c r="G80" s="1">
        <v>39.26</v>
      </c>
      <c r="H80" s="10" t="s">
        <v>639</v>
      </c>
    </row>
    <row r="81" spans="1:8" x14ac:dyDescent="0.25">
      <c r="A81" s="5">
        <v>40402</v>
      </c>
      <c r="B81" s="6" t="s">
        <v>519</v>
      </c>
      <c r="C81" s="7" t="s">
        <v>369</v>
      </c>
      <c r="D81" s="7">
        <v>1000</v>
      </c>
      <c r="E81" s="8">
        <v>10.25</v>
      </c>
      <c r="F81" s="9">
        <v>10250</v>
      </c>
      <c r="G81" s="1">
        <v>217.16</v>
      </c>
      <c r="H81" s="10" t="s">
        <v>640</v>
      </c>
    </row>
    <row r="82" spans="1:8" x14ac:dyDescent="0.25">
      <c r="A82" s="5">
        <v>40393</v>
      </c>
      <c r="B82" s="6" t="s">
        <v>526</v>
      </c>
      <c r="C82" s="7" t="s">
        <v>369</v>
      </c>
      <c r="D82" s="7">
        <v>100</v>
      </c>
      <c r="E82" s="8">
        <v>50.2</v>
      </c>
      <c r="F82" s="9">
        <v>5020</v>
      </c>
      <c r="G82" s="1">
        <v>213.3</v>
      </c>
      <c r="H82" s="10" t="s">
        <v>641</v>
      </c>
    </row>
    <row r="83" spans="1:8" x14ac:dyDescent="0.25">
      <c r="A83" s="5">
        <v>40386</v>
      </c>
      <c r="B83" s="6" t="s">
        <v>540</v>
      </c>
      <c r="C83" s="7" t="s">
        <v>369</v>
      </c>
      <c r="D83" s="7">
        <v>2000</v>
      </c>
      <c r="E83" s="8">
        <v>0.45</v>
      </c>
      <c r="F83" s="9">
        <v>900</v>
      </c>
      <c r="G83" s="1">
        <v>105.45</v>
      </c>
      <c r="H83" s="10" t="s">
        <v>642</v>
      </c>
    </row>
    <row r="84" spans="1:8" x14ac:dyDescent="0.25">
      <c r="A84" s="5">
        <v>40368</v>
      </c>
      <c r="B84" s="6" t="s">
        <v>542</v>
      </c>
      <c r="C84" s="7" t="s">
        <v>369</v>
      </c>
      <c r="D84" s="7">
        <v>50</v>
      </c>
      <c r="E84" s="8">
        <v>117.65</v>
      </c>
      <c r="F84" s="9">
        <v>5882.5</v>
      </c>
      <c r="G84" s="1">
        <v>109.15</v>
      </c>
      <c r="H84" s="10" t="s">
        <v>643</v>
      </c>
    </row>
    <row r="85" spans="1:8" x14ac:dyDescent="0.25">
      <c r="A85" s="5">
        <v>40366</v>
      </c>
      <c r="B85" s="6" t="s">
        <v>544</v>
      </c>
      <c r="C85" s="7" t="s">
        <v>369</v>
      </c>
      <c r="D85" s="7">
        <v>12000</v>
      </c>
      <c r="E85" s="8">
        <v>0.2</v>
      </c>
      <c r="F85" s="9">
        <v>2400</v>
      </c>
      <c r="G85" s="1">
        <v>316.14</v>
      </c>
      <c r="H85" s="10" t="s">
        <v>644</v>
      </c>
    </row>
    <row r="86" spans="1:8" x14ac:dyDescent="0.25">
      <c r="A86" s="5">
        <v>40365</v>
      </c>
      <c r="B86" s="6" t="s">
        <v>544</v>
      </c>
      <c r="C86" s="7" t="s">
        <v>369</v>
      </c>
      <c r="D86" s="7">
        <v>4000</v>
      </c>
      <c r="E86" s="8">
        <v>0.25</v>
      </c>
      <c r="F86" s="9">
        <v>1000</v>
      </c>
      <c r="G86" s="1">
        <v>17.29</v>
      </c>
      <c r="H86" s="10" t="s">
        <v>645</v>
      </c>
    </row>
    <row r="87" spans="1:8" x14ac:dyDescent="0.25">
      <c r="A87" s="5">
        <v>40361</v>
      </c>
      <c r="B87" s="6" t="s">
        <v>602</v>
      </c>
      <c r="C87" s="7" t="s">
        <v>369</v>
      </c>
      <c r="D87" s="7">
        <v>100</v>
      </c>
      <c r="E87" s="8">
        <v>60.5</v>
      </c>
      <c r="F87" s="9">
        <v>6050</v>
      </c>
      <c r="G87" s="1">
        <v>214.06</v>
      </c>
      <c r="H87" s="10" t="s">
        <v>646</v>
      </c>
    </row>
    <row r="88" spans="1:8" x14ac:dyDescent="0.25">
      <c r="A88" s="5">
        <v>40361</v>
      </c>
      <c r="B88" s="6" t="s">
        <v>548</v>
      </c>
      <c r="C88" s="7" t="s">
        <v>369</v>
      </c>
      <c r="D88" s="7">
        <v>150</v>
      </c>
      <c r="E88" s="8">
        <v>16.55</v>
      </c>
      <c r="F88" s="9">
        <v>2482.5</v>
      </c>
      <c r="G88" s="1">
        <v>316.19</v>
      </c>
      <c r="H88" s="10" t="s">
        <v>647</v>
      </c>
    </row>
    <row r="89" spans="1:8" x14ac:dyDescent="0.25">
      <c r="A89" s="5">
        <v>40360</v>
      </c>
      <c r="B89" s="6" t="s">
        <v>599</v>
      </c>
      <c r="C89" s="7" t="s">
        <v>369</v>
      </c>
      <c r="D89" s="7">
        <v>50</v>
      </c>
      <c r="E89" s="8">
        <v>47.05</v>
      </c>
      <c r="F89" s="9">
        <v>2352.5</v>
      </c>
      <c r="G89" s="1">
        <v>106.53</v>
      </c>
      <c r="H89" s="10" t="s">
        <v>648</v>
      </c>
    </row>
    <row r="90" spans="1:8" x14ac:dyDescent="0.25">
      <c r="A90" s="5">
        <v>40353</v>
      </c>
      <c r="B90" s="6" t="s">
        <v>604</v>
      </c>
      <c r="C90" s="7" t="s">
        <v>369</v>
      </c>
      <c r="D90" s="7">
        <v>50</v>
      </c>
      <c r="E90" s="8">
        <v>93.2</v>
      </c>
      <c r="F90" s="9">
        <v>4660</v>
      </c>
      <c r="G90" s="1">
        <v>108.23</v>
      </c>
      <c r="H90" s="10" t="s">
        <v>649</v>
      </c>
    </row>
    <row r="91" spans="1:8" x14ac:dyDescent="0.25">
      <c r="A91" s="5">
        <v>40351</v>
      </c>
      <c r="B91" s="6" t="s">
        <v>602</v>
      </c>
      <c r="C91" s="7" t="s">
        <v>369</v>
      </c>
      <c r="D91" s="7">
        <v>50</v>
      </c>
      <c r="E91" s="8">
        <v>60.1</v>
      </c>
      <c r="F91" s="9">
        <v>3005</v>
      </c>
      <c r="G91" s="1">
        <v>107.01</v>
      </c>
      <c r="H91" s="10" t="s">
        <v>650</v>
      </c>
    </row>
    <row r="92" spans="1:8" x14ac:dyDescent="0.25">
      <c r="A92" s="5">
        <v>40346</v>
      </c>
      <c r="B92" s="6" t="s">
        <v>609</v>
      </c>
      <c r="C92" s="7" t="s">
        <v>369</v>
      </c>
      <c r="D92" s="7">
        <v>700</v>
      </c>
      <c r="E92" s="8">
        <v>1.45</v>
      </c>
      <c r="F92" s="9">
        <v>1015</v>
      </c>
      <c r="G92" s="1">
        <v>17.3</v>
      </c>
      <c r="H92" s="10" t="s">
        <v>651</v>
      </c>
    </row>
    <row r="93" spans="1:8" x14ac:dyDescent="0.25">
      <c r="A93" s="5">
        <v>40346</v>
      </c>
      <c r="B93" s="6" t="s">
        <v>613</v>
      </c>
      <c r="C93" s="7" t="s">
        <v>369</v>
      </c>
      <c r="D93" s="7">
        <v>800</v>
      </c>
      <c r="E93" s="8">
        <v>8.5</v>
      </c>
      <c r="F93" s="9">
        <v>6800</v>
      </c>
      <c r="G93" s="1">
        <v>109.83</v>
      </c>
      <c r="H93" s="10" t="s">
        <v>652</v>
      </c>
    </row>
    <row r="94" spans="1:8" x14ac:dyDescent="0.25">
      <c r="A94" s="5">
        <v>40338</v>
      </c>
      <c r="B94" s="6" t="s">
        <v>611</v>
      </c>
      <c r="C94" s="7" t="s">
        <v>369</v>
      </c>
      <c r="D94" s="7">
        <v>500</v>
      </c>
      <c r="E94" s="8">
        <v>4.5</v>
      </c>
      <c r="F94" s="9">
        <v>2250</v>
      </c>
      <c r="G94" s="1">
        <v>106.45</v>
      </c>
      <c r="H94" s="10" t="s">
        <v>653</v>
      </c>
    </row>
    <row r="95" spans="1:8" x14ac:dyDescent="0.25">
      <c r="A95" s="5">
        <v>40315</v>
      </c>
      <c r="B95" s="6" t="s">
        <v>618</v>
      </c>
      <c r="C95" s="7" t="s">
        <v>369</v>
      </c>
      <c r="D95" s="7">
        <v>2100</v>
      </c>
      <c r="E95" s="8">
        <v>0.35</v>
      </c>
      <c r="F95" s="9">
        <v>735</v>
      </c>
      <c r="G95" s="1">
        <v>314.88</v>
      </c>
      <c r="H95" s="10" t="s">
        <v>654</v>
      </c>
    </row>
    <row r="96" spans="1:8" x14ac:dyDescent="0.25">
      <c r="A96" s="5">
        <v>40301</v>
      </c>
      <c r="B96" s="6" t="s">
        <v>622</v>
      </c>
      <c r="C96" s="7" t="s">
        <v>369</v>
      </c>
      <c r="D96" s="7">
        <v>700</v>
      </c>
      <c r="E96" s="8">
        <v>1.6</v>
      </c>
      <c r="F96" s="9">
        <v>1120</v>
      </c>
      <c r="G96" s="1">
        <v>105.61</v>
      </c>
      <c r="H96" s="10" t="s">
        <v>655</v>
      </c>
    </row>
    <row r="97" spans="1:8" x14ac:dyDescent="0.25">
      <c r="A97" s="5">
        <v>40542</v>
      </c>
      <c r="B97" s="6" t="s">
        <v>656</v>
      </c>
      <c r="C97" s="7" t="s">
        <v>657</v>
      </c>
      <c r="D97" s="7">
        <v>200</v>
      </c>
      <c r="E97" s="8">
        <v>1.85</v>
      </c>
      <c r="F97" s="13">
        <v>370</v>
      </c>
      <c r="G97" s="13">
        <v>1550.63</v>
      </c>
      <c r="H97" s="14" t="s">
        <v>658</v>
      </c>
    </row>
    <row r="98" spans="1:8" x14ac:dyDescent="0.25">
      <c r="F98" s="11">
        <f>SUM(F66:F97)</f>
        <v>113310</v>
      </c>
      <c r="G98" s="15">
        <f>SUM(G66:G97)</f>
        <v>6151.8300000000008</v>
      </c>
    </row>
    <row r="99" spans="1:8" x14ac:dyDescent="0.25">
      <c r="F99" s="1"/>
      <c r="G99" s="1"/>
      <c r="H99" s="1"/>
    </row>
    <row r="100" spans="1:8" x14ac:dyDescent="0.25">
      <c r="F100" s="16" t="s">
        <v>659</v>
      </c>
      <c r="G100" s="1">
        <f>F98-G98</f>
        <v>107158.17</v>
      </c>
    </row>
    <row r="102" spans="1:8" x14ac:dyDescent="0.25">
      <c r="F102" s="17" t="s">
        <v>660</v>
      </c>
      <c r="G102" s="18">
        <f>G100-G62</f>
        <v>-65272.849999999991</v>
      </c>
    </row>
  </sheetData>
  <autoFilter ref="A1:H1"/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B34" zoomScaleNormal="100" workbookViewId="0">
      <selection activeCell="P22" sqref="P22"/>
    </sheetView>
  </sheetViews>
  <sheetFormatPr defaultColWidth="9.21875" defaultRowHeight="12.75" customHeight="1" x14ac:dyDescent="0.25"/>
  <cols>
    <col min="1" max="1" width="10.77734375" style="170" customWidth="1"/>
    <col min="2" max="2" width="50" style="170" bestFit="1" customWidth="1"/>
    <col min="3" max="3" width="10.77734375" style="188" bestFit="1" customWidth="1"/>
    <col min="4" max="6" width="8.77734375" style="188" customWidth="1"/>
    <col min="7" max="7" width="8.21875" style="188" bestFit="1" customWidth="1"/>
    <col min="8" max="8" width="15.77734375" style="170" customWidth="1"/>
    <col min="9" max="9" width="9.21875" style="170" customWidth="1"/>
    <col min="10" max="11" width="10.77734375" style="170" customWidth="1"/>
    <col min="12" max="12" width="12.77734375" style="170" customWidth="1"/>
    <col min="13" max="16384" width="9.21875" style="170"/>
  </cols>
  <sheetData>
    <row r="1" spans="1:12" ht="13.2" x14ac:dyDescent="0.25">
      <c r="A1" s="1033" t="s">
        <v>2174</v>
      </c>
      <c r="B1" s="1034"/>
      <c r="C1" s="1034"/>
      <c r="D1" s="1034"/>
      <c r="E1" s="1034"/>
      <c r="F1" s="1034"/>
      <c r="G1" s="1034"/>
      <c r="H1" s="1034"/>
      <c r="I1" s="1034"/>
      <c r="J1" s="1034"/>
      <c r="K1" s="1034"/>
      <c r="L1" s="1034"/>
    </row>
    <row r="2" spans="1:12" ht="13.2" x14ac:dyDescent="0.25">
      <c r="A2" s="1033" t="s">
        <v>2077</v>
      </c>
      <c r="B2" s="1035"/>
      <c r="C2" s="1035"/>
      <c r="D2" s="1035"/>
      <c r="E2" s="1035"/>
      <c r="F2" s="1035"/>
      <c r="G2" s="1035"/>
      <c r="H2" s="1035"/>
      <c r="I2" s="1035"/>
      <c r="J2" s="1035"/>
      <c r="K2" s="1035"/>
      <c r="L2" s="1035"/>
    </row>
    <row r="3" spans="1:12" ht="13.2" x14ac:dyDescent="0.25">
      <c r="A3" s="1033" t="s">
        <v>2078</v>
      </c>
      <c r="B3" s="1035"/>
      <c r="C3" s="1035"/>
      <c r="D3" s="1035"/>
      <c r="E3" s="1035"/>
      <c r="F3" s="1035"/>
      <c r="G3" s="1035"/>
      <c r="H3" s="1035"/>
      <c r="I3" s="1035"/>
      <c r="J3" s="1035"/>
      <c r="K3" s="1035"/>
      <c r="L3" s="1035"/>
    </row>
    <row r="4" spans="1:12" ht="13.2" x14ac:dyDescent="0.25">
      <c r="A4" s="171" t="s">
        <v>184</v>
      </c>
      <c r="B4" s="171" t="s">
        <v>2079</v>
      </c>
      <c r="C4" s="171" t="s">
        <v>186</v>
      </c>
      <c r="D4" s="171" t="s">
        <v>469</v>
      </c>
      <c r="E4" s="171" t="s">
        <v>188</v>
      </c>
      <c r="F4" s="171" t="s">
        <v>470</v>
      </c>
      <c r="G4" s="171" t="s">
        <v>471</v>
      </c>
      <c r="H4" s="171" t="s">
        <v>2082</v>
      </c>
      <c r="I4" s="171" t="s">
        <v>2084</v>
      </c>
      <c r="J4" s="171" t="s">
        <v>668</v>
      </c>
      <c r="K4" s="171" t="s">
        <v>667</v>
      </c>
      <c r="L4" s="171" t="s">
        <v>669</v>
      </c>
    </row>
    <row r="5" spans="1:12" ht="13.2" x14ac:dyDescent="0.25">
      <c r="A5" s="172" t="s">
        <v>2085</v>
      </c>
      <c r="B5" s="173" t="s">
        <v>2086</v>
      </c>
      <c r="C5" s="172" t="s">
        <v>197</v>
      </c>
      <c r="D5" s="174">
        <v>44</v>
      </c>
      <c r="E5" s="175">
        <v>115.5</v>
      </c>
      <c r="F5" s="175">
        <f>D5*E5</f>
        <v>5082</v>
      </c>
      <c r="G5" s="175">
        <f>J5-F5</f>
        <v>16.699999999999818</v>
      </c>
      <c r="H5" s="176" t="s">
        <v>2087</v>
      </c>
      <c r="I5" s="172" t="s">
        <v>2088</v>
      </c>
      <c r="J5" s="177">
        <v>5098.7</v>
      </c>
      <c r="K5" s="178">
        <v>0</v>
      </c>
      <c r="L5" s="179">
        <v>4592.1000000000004</v>
      </c>
    </row>
    <row r="6" spans="1:12" ht="13.2" x14ac:dyDescent="0.25">
      <c r="A6" s="172" t="s">
        <v>2089</v>
      </c>
      <c r="B6" s="173" t="s">
        <v>2086</v>
      </c>
      <c r="C6" s="180" t="s">
        <v>197</v>
      </c>
      <c r="D6" s="174">
        <v>6</v>
      </c>
      <c r="E6" s="181">
        <f>F6/D6</f>
        <v>114</v>
      </c>
      <c r="F6" s="175">
        <v>684</v>
      </c>
      <c r="G6" s="181"/>
      <c r="H6" s="176" t="s">
        <v>2090</v>
      </c>
      <c r="I6" s="172" t="s">
        <v>2088</v>
      </c>
      <c r="J6" s="182"/>
      <c r="K6" s="182"/>
      <c r="L6" s="182"/>
    </row>
    <row r="7" spans="1:12" ht="13.2" x14ac:dyDescent="0.25">
      <c r="A7" s="172" t="s">
        <v>2089</v>
      </c>
      <c r="B7" s="173" t="s">
        <v>2091</v>
      </c>
      <c r="C7" s="180" t="s">
        <v>197</v>
      </c>
      <c r="D7" s="174">
        <v>200</v>
      </c>
      <c r="E7" s="181">
        <f>F7/D7</f>
        <v>18.5</v>
      </c>
      <c r="F7" s="175">
        <v>3700</v>
      </c>
      <c r="G7" s="181">
        <f>J7-(F6+F7)</f>
        <v>25.489999999999782</v>
      </c>
      <c r="H7" s="176" t="s">
        <v>2090</v>
      </c>
      <c r="I7" s="172" t="s">
        <v>2088</v>
      </c>
      <c r="J7" s="177">
        <v>4409.49</v>
      </c>
      <c r="K7" s="178">
        <v>0</v>
      </c>
      <c r="L7" s="179">
        <v>73.41</v>
      </c>
    </row>
    <row r="8" spans="1:12" ht="13.2" x14ac:dyDescent="0.25">
      <c r="A8" s="172" t="s">
        <v>2092</v>
      </c>
      <c r="B8" s="176" t="s">
        <v>2093</v>
      </c>
      <c r="C8" s="180"/>
      <c r="D8" s="183"/>
      <c r="E8" s="181"/>
      <c r="F8" s="181"/>
      <c r="G8" s="181"/>
      <c r="H8" s="176" t="s">
        <v>2094</v>
      </c>
      <c r="I8" s="172" t="s">
        <v>2088</v>
      </c>
      <c r="J8" s="177">
        <v>33.090000000000003</v>
      </c>
      <c r="K8" s="178">
        <v>0</v>
      </c>
      <c r="L8" s="179">
        <v>4147.8900000000003</v>
      </c>
    </row>
    <row r="9" spans="1:12" ht="13.2" x14ac:dyDescent="0.25">
      <c r="A9" s="172" t="s">
        <v>2095</v>
      </c>
      <c r="B9" s="176" t="s">
        <v>2096</v>
      </c>
      <c r="C9" s="180"/>
      <c r="D9" s="183"/>
      <c r="E9" s="181"/>
      <c r="F9" s="181"/>
      <c r="G9" s="181"/>
      <c r="H9" s="176" t="s">
        <v>2097</v>
      </c>
      <c r="I9" s="172" t="s">
        <v>2088</v>
      </c>
      <c r="J9" s="177">
        <v>1</v>
      </c>
      <c r="K9" s="178">
        <v>0</v>
      </c>
      <c r="L9" s="179">
        <v>4037.69</v>
      </c>
    </row>
    <row r="10" spans="1:12" ht="13.2" x14ac:dyDescent="0.25">
      <c r="A10" s="172" t="s">
        <v>2098</v>
      </c>
      <c r="B10" s="176" t="s">
        <v>2096</v>
      </c>
      <c r="C10" s="180"/>
      <c r="D10" s="183"/>
      <c r="E10" s="181"/>
      <c r="F10" s="181"/>
      <c r="G10" s="181"/>
      <c r="H10" s="176" t="s">
        <v>2099</v>
      </c>
      <c r="I10" s="172" t="s">
        <v>2088</v>
      </c>
      <c r="J10" s="177">
        <v>1</v>
      </c>
      <c r="K10" s="178">
        <v>0</v>
      </c>
      <c r="L10" s="179">
        <v>824.35</v>
      </c>
    </row>
    <row r="11" spans="1:12" ht="13.2" x14ac:dyDescent="0.25">
      <c r="A11" s="172" t="s">
        <v>2100</v>
      </c>
      <c r="B11" s="176" t="s">
        <v>2096</v>
      </c>
      <c r="C11" s="180"/>
      <c r="D11" s="183"/>
      <c r="E11" s="181"/>
      <c r="F11" s="181"/>
      <c r="G11" s="181"/>
      <c r="H11" s="176" t="s">
        <v>2101</v>
      </c>
      <c r="I11" s="172" t="s">
        <v>2088</v>
      </c>
      <c r="J11" s="177">
        <v>1</v>
      </c>
      <c r="K11" s="178">
        <v>0</v>
      </c>
      <c r="L11" s="179">
        <v>661.73</v>
      </c>
    </row>
    <row r="12" spans="1:12" ht="13.2" x14ac:dyDescent="0.25">
      <c r="A12" s="172" t="s">
        <v>2102</v>
      </c>
      <c r="B12" s="176" t="s">
        <v>2096</v>
      </c>
      <c r="C12" s="180"/>
      <c r="D12" s="183"/>
      <c r="E12" s="181"/>
      <c r="F12" s="181"/>
      <c r="G12" s="181"/>
      <c r="H12" s="176" t="s">
        <v>2103</v>
      </c>
      <c r="I12" s="172" t="s">
        <v>2088</v>
      </c>
      <c r="J12" s="177">
        <v>1</v>
      </c>
      <c r="K12" s="178">
        <v>0</v>
      </c>
      <c r="L12" s="179">
        <v>1440.25</v>
      </c>
    </row>
    <row r="13" spans="1:12" ht="13.2" x14ac:dyDescent="0.25">
      <c r="A13" s="172" t="s">
        <v>2104</v>
      </c>
      <c r="B13" s="176" t="s">
        <v>2105</v>
      </c>
      <c r="C13" s="180"/>
      <c r="D13" s="183"/>
      <c r="E13" s="181"/>
      <c r="F13" s="181"/>
      <c r="G13" s="181"/>
      <c r="H13" s="176" t="s">
        <v>2106</v>
      </c>
      <c r="I13" s="172" t="s">
        <v>2088</v>
      </c>
      <c r="J13" s="177">
        <v>400</v>
      </c>
      <c r="K13" s="178">
        <v>0</v>
      </c>
      <c r="L13" s="179">
        <v>-400</v>
      </c>
    </row>
    <row r="14" spans="1:12" ht="13.2" x14ac:dyDescent="0.25">
      <c r="A14" s="172" t="s">
        <v>2107</v>
      </c>
      <c r="B14" s="176" t="s">
        <v>2108</v>
      </c>
      <c r="C14" s="180"/>
      <c r="D14" s="183"/>
      <c r="E14" s="181"/>
      <c r="F14" s="181"/>
      <c r="G14" s="181"/>
      <c r="H14" s="176" t="s">
        <v>2109</v>
      </c>
      <c r="I14" s="172" t="s">
        <v>2088</v>
      </c>
      <c r="J14" s="177">
        <v>109.2</v>
      </c>
      <c r="K14" s="178">
        <v>0</v>
      </c>
      <c r="L14" s="179">
        <v>-509.2</v>
      </c>
    </row>
    <row r="15" spans="1:12" ht="13.2" x14ac:dyDescent="0.25">
      <c r="A15" s="172" t="s">
        <v>2107</v>
      </c>
      <c r="B15" s="176" t="s">
        <v>2110</v>
      </c>
      <c r="C15" s="180"/>
      <c r="D15" s="183"/>
      <c r="E15" s="181"/>
      <c r="F15" s="181"/>
      <c r="G15" s="181"/>
      <c r="H15" s="176" t="s">
        <v>2111</v>
      </c>
      <c r="I15" s="172" t="s">
        <v>2088</v>
      </c>
      <c r="J15" s="177">
        <v>109.2</v>
      </c>
      <c r="K15" s="178">
        <v>0</v>
      </c>
      <c r="L15" s="179">
        <v>-618.4</v>
      </c>
    </row>
    <row r="16" spans="1:12" ht="13.2" x14ac:dyDescent="0.25">
      <c r="A16" s="172" t="s">
        <v>2112</v>
      </c>
      <c r="B16" s="176" t="s">
        <v>2113</v>
      </c>
      <c r="C16" s="180"/>
      <c r="D16" s="183"/>
      <c r="E16" s="181"/>
      <c r="F16" s="181"/>
      <c r="G16" s="181"/>
      <c r="H16" s="176" t="s">
        <v>2114</v>
      </c>
      <c r="I16" s="172" t="s">
        <v>2088</v>
      </c>
      <c r="J16" s="177">
        <v>109.2</v>
      </c>
      <c r="K16" s="178">
        <v>0</v>
      </c>
      <c r="L16" s="179">
        <v>4482.8999999999996</v>
      </c>
    </row>
    <row r="17" spans="1:12" ht="13.2" x14ac:dyDescent="0.25">
      <c r="A17" s="172" t="s">
        <v>2115</v>
      </c>
      <c r="B17" s="176" t="s">
        <v>2116</v>
      </c>
      <c r="C17" s="180"/>
      <c r="D17" s="183"/>
      <c r="E17" s="181"/>
      <c r="F17" s="181"/>
      <c r="G17" s="181"/>
      <c r="H17" s="176" t="s">
        <v>2117</v>
      </c>
      <c r="I17" s="172" t="s">
        <v>2088</v>
      </c>
      <c r="J17" s="177">
        <v>109.2</v>
      </c>
      <c r="K17" s="178">
        <v>0</v>
      </c>
      <c r="L17" s="179">
        <v>4180.9799999999996</v>
      </c>
    </row>
    <row r="18" spans="1:12" ht="13.2" x14ac:dyDescent="0.25">
      <c r="A18" s="172" t="s">
        <v>2118</v>
      </c>
      <c r="B18" s="176" t="s">
        <v>2119</v>
      </c>
      <c r="C18" s="180"/>
      <c r="D18" s="183"/>
      <c r="E18" s="181"/>
      <c r="F18" s="181"/>
      <c r="G18" s="181"/>
      <c r="H18" s="176" t="s">
        <v>2120</v>
      </c>
      <c r="I18" s="172" t="s">
        <v>2088</v>
      </c>
      <c r="J18" s="177">
        <v>109.2</v>
      </c>
      <c r="K18" s="178">
        <v>0</v>
      </c>
      <c r="L18" s="179">
        <v>4038.69</v>
      </c>
    </row>
    <row r="19" spans="1:12" ht="12.75" customHeight="1" x14ac:dyDescent="0.25">
      <c r="A19" s="173"/>
      <c r="B19" s="173"/>
      <c r="C19" s="172"/>
      <c r="D19" s="172"/>
      <c r="E19" s="172"/>
      <c r="F19" s="172"/>
      <c r="G19" s="172"/>
      <c r="H19" s="173"/>
      <c r="I19" s="184" t="s">
        <v>2121</v>
      </c>
      <c r="J19" s="185">
        <f>SUM(J5:J18)</f>
        <v>10491.280000000002</v>
      </c>
      <c r="K19" s="173"/>
      <c r="L19" s="176"/>
    </row>
    <row r="20" spans="1:12" ht="12.75" customHeight="1" x14ac:dyDescent="0.25">
      <c r="A20" s="173"/>
      <c r="B20" s="173"/>
      <c r="C20" s="172"/>
      <c r="D20" s="172"/>
      <c r="E20" s="172"/>
      <c r="F20" s="172"/>
      <c r="G20" s="172"/>
      <c r="H20" s="173"/>
      <c r="I20" s="173"/>
      <c r="J20" s="173"/>
      <c r="K20" s="173"/>
      <c r="L20" s="176"/>
    </row>
    <row r="21" spans="1:12" ht="12.75" customHeight="1" x14ac:dyDescent="0.25">
      <c r="A21" s="173"/>
      <c r="B21" s="173"/>
      <c r="C21" s="172"/>
      <c r="D21" s="172"/>
      <c r="E21" s="172"/>
      <c r="F21" s="172"/>
      <c r="G21" s="172"/>
      <c r="H21" s="173"/>
      <c r="I21" s="173"/>
      <c r="J21" s="173"/>
      <c r="K21" s="173"/>
      <c r="L21" s="176"/>
    </row>
    <row r="22" spans="1:12" ht="12.75" customHeight="1" x14ac:dyDescent="0.25">
      <c r="A22" s="171" t="s">
        <v>184</v>
      </c>
      <c r="B22" s="171" t="s">
        <v>2079</v>
      </c>
      <c r="C22" s="171" t="s">
        <v>186</v>
      </c>
      <c r="D22" s="171" t="s">
        <v>469</v>
      </c>
      <c r="E22" s="171" t="s">
        <v>188</v>
      </c>
      <c r="F22" s="171" t="s">
        <v>470</v>
      </c>
      <c r="G22" s="171" t="s">
        <v>471</v>
      </c>
      <c r="H22" s="171" t="s">
        <v>2082</v>
      </c>
      <c r="I22" s="171" t="s">
        <v>2084</v>
      </c>
      <c r="J22" s="171" t="s">
        <v>668</v>
      </c>
      <c r="K22" s="171" t="s">
        <v>667</v>
      </c>
      <c r="L22" s="171" t="s">
        <v>669</v>
      </c>
    </row>
    <row r="23" spans="1:12" ht="13.2" x14ac:dyDescent="0.25">
      <c r="A23" s="172" t="s">
        <v>2122</v>
      </c>
      <c r="B23" s="173" t="s">
        <v>2086</v>
      </c>
      <c r="C23" s="180" t="s">
        <v>369</v>
      </c>
      <c r="D23" s="172">
        <v>50</v>
      </c>
      <c r="E23" s="181">
        <f>F23/D23</f>
        <v>119</v>
      </c>
      <c r="F23" s="172">
        <v>5950</v>
      </c>
      <c r="G23" s="181"/>
      <c r="H23" s="176" t="s">
        <v>2123</v>
      </c>
      <c r="I23" s="172" t="s">
        <v>2088</v>
      </c>
      <c r="J23" s="182"/>
      <c r="K23" s="186"/>
      <c r="L23" s="187"/>
    </row>
    <row r="24" spans="1:12" ht="13.2" x14ac:dyDescent="0.25">
      <c r="A24" s="172" t="s">
        <v>2122</v>
      </c>
      <c r="B24" s="173" t="s">
        <v>2091</v>
      </c>
      <c r="C24" s="180" t="s">
        <v>369</v>
      </c>
      <c r="D24" s="172">
        <v>200</v>
      </c>
      <c r="E24" s="181">
        <f>F24/D24</f>
        <v>16.5</v>
      </c>
      <c r="F24" s="172">
        <v>3300</v>
      </c>
      <c r="G24" s="181">
        <f>(F23+F24)-K24</f>
        <v>33.229999999999563</v>
      </c>
      <c r="H24" s="176" t="s">
        <v>2123</v>
      </c>
      <c r="I24" s="172" t="s">
        <v>2088</v>
      </c>
      <c r="J24" s="177">
        <v>0</v>
      </c>
      <c r="K24" s="178">
        <v>9216.77</v>
      </c>
      <c r="L24" s="179">
        <v>9290.18</v>
      </c>
    </row>
    <row r="25" spans="1:12" ht="13.2" x14ac:dyDescent="0.25">
      <c r="A25" s="172" t="s">
        <v>2124</v>
      </c>
      <c r="B25" s="176" t="s">
        <v>2125</v>
      </c>
      <c r="C25" s="180"/>
      <c r="D25" s="183"/>
      <c r="E25" s="181"/>
      <c r="F25" s="181"/>
      <c r="G25" s="181"/>
      <c r="H25" s="176" t="s">
        <v>2126</v>
      </c>
      <c r="I25" s="172" t="s">
        <v>2088</v>
      </c>
      <c r="J25" s="177">
        <v>0</v>
      </c>
      <c r="K25" s="178">
        <v>109.2</v>
      </c>
      <c r="L25" s="179">
        <v>4690.8</v>
      </c>
    </row>
    <row r="26" spans="1:12" ht="12.75" customHeight="1" x14ac:dyDescent="0.25">
      <c r="J26" s="184" t="s">
        <v>2127</v>
      </c>
      <c r="K26" s="185">
        <f>SUM(K23:K25)</f>
        <v>9325.9700000000012</v>
      </c>
    </row>
    <row r="27" spans="1:12" ht="12.75" customHeight="1" x14ac:dyDescent="0.25">
      <c r="L27" s="189"/>
    </row>
    <row r="28" spans="1:12" ht="12.75" customHeight="1" x14ac:dyDescent="0.25">
      <c r="J28" s="184" t="s">
        <v>2128</v>
      </c>
      <c r="K28" s="185">
        <f>K26-J19</f>
        <v>-1165.3100000000013</v>
      </c>
    </row>
    <row r="31" spans="1:12" ht="12.75" customHeight="1" x14ac:dyDescent="0.25">
      <c r="J31" s="190"/>
    </row>
    <row r="33" spans="1:12" ht="12.75" customHeight="1" x14ac:dyDescent="0.25">
      <c r="A33" s="171" t="s">
        <v>184</v>
      </c>
      <c r="B33" s="171" t="s">
        <v>2079</v>
      </c>
      <c r="C33" s="171" t="s">
        <v>186</v>
      </c>
      <c r="D33" s="171" t="s">
        <v>469</v>
      </c>
      <c r="E33" s="171" t="s">
        <v>188</v>
      </c>
      <c r="F33" s="171" t="s">
        <v>470</v>
      </c>
      <c r="G33" s="171" t="s">
        <v>471</v>
      </c>
      <c r="H33" s="171" t="s">
        <v>2082</v>
      </c>
      <c r="I33" s="171" t="s">
        <v>2084</v>
      </c>
      <c r="J33" s="171" t="s">
        <v>668</v>
      </c>
      <c r="K33" s="171" t="s">
        <v>667</v>
      </c>
      <c r="L33" s="171" t="s">
        <v>669</v>
      </c>
    </row>
    <row r="34" spans="1:12" ht="13.2" x14ac:dyDescent="0.25">
      <c r="A34" s="172" t="s">
        <v>2095</v>
      </c>
      <c r="B34" s="173" t="s">
        <v>2129</v>
      </c>
      <c r="C34" s="180" t="s">
        <v>197</v>
      </c>
      <c r="D34" s="183">
        <v>100</v>
      </c>
      <c r="E34" s="181">
        <v>31.9</v>
      </c>
      <c r="F34" s="181">
        <f>D34*E34</f>
        <v>3190</v>
      </c>
      <c r="G34" s="181">
        <f>J34-F34</f>
        <v>22.340000000000146</v>
      </c>
      <c r="H34" s="176" t="s">
        <v>2130</v>
      </c>
      <c r="I34" s="172" t="s">
        <v>2131</v>
      </c>
      <c r="J34" s="177">
        <v>3212.34</v>
      </c>
      <c r="K34" s="178">
        <v>0</v>
      </c>
      <c r="L34" s="179">
        <v>825.35</v>
      </c>
    </row>
    <row r="35" spans="1:12" ht="13.2" x14ac:dyDescent="0.25">
      <c r="A35" s="172" t="s">
        <v>2098</v>
      </c>
      <c r="B35" s="173" t="s">
        <v>2132</v>
      </c>
      <c r="C35" s="180" t="s">
        <v>197</v>
      </c>
      <c r="D35" s="183">
        <v>50</v>
      </c>
      <c r="E35" s="181">
        <v>43</v>
      </c>
      <c r="F35" s="181">
        <f>D35*E35</f>
        <v>2150</v>
      </c>
      <c r="G35" s="181">
        <f>J35-F35</f>
        <v>11.619999999999891</v>
      </c>
      <c r="H35" s="176" t="s">
        <v>2133</v>
      </c>
      <c r="I35" s="172" t="s">
        <v>2134</v>
      </c>
      <c r="J35" s="177">
        <v>2161.62</v>
      </c>
      <c r="K35" s="178">
        <v>0</v>
      </c>
      <c r="L35" s="179">
        <v>-1337.27</v>
      </c>
    </row>
    <row r="36" spans="1:12" ht="12.75" customHeight="1" x14ac:dyDescent="0.25">
      <c r="I36" s="184" t="s">
        <v>2121</v>
      </c>
      <c r="J36" s="185">
        <f>SUM(J34:J35)</f>
        <v>5373.96</v>
      </c>
    </row>
    <row r="38" spans="1:12" ht="12.75" customHeight="1" x14ac:dyDescent="0.25">
      <c r="A38" s="171" t="s">
        <v>184</v>
      </c>
      <c r="B38" s="171" t="s">
        <v>2079</v>
      </c>
      <c r="C38" s="171" t="s">
        <v>186</v>
      </c>
      <c r="D38" s="171" t="s">
        <v>469</v>
      </c>
      <c r="E38" s="171" t="s">
        <v>188</v>
      </c>
      <c r="F38" s="171" t="s">
        <v>470</v>
      </c>
      <c r="G38" s="171" t="s">
        <v>471</v>
      </c>
      <c r="H38" s="171" t="s">
        <v>2082</v>
      </c>
      <c r="I38" s="171" t="s">
        <v>2084</v>
      </c>
      <c r="J38" s="171" t="s">
        <v>668</v>
      </c>
      <c r="K38" s="171" t="s">
        <v>667</v>
      </c>
      <c r="L38" s="171" t="s">
        <v>669</v>
      </c>
    </row>
    <row r="39" spans="1:12" ht="13.2" x14ac:dyDescent="0.25">
      <c r="A39" s="172" t="s">
        <v>2100</v>
      </c>
      <c r="B39" s="173" t="s">
        <v>2129</v>
      </c>
      <c r="C39" s="180" t="s">
        <v>369</v>
      </c>
      <c r="D39" s="183">
        <v>100</v>
      </c>
      <c r="E39" s="181">
        <v>8</v>
      </c>
      <c r="F39" s="181">
        <f>D39*E39</f>
        <v>800</v>
      </c>
      <c r="G39" s="181">
        <f>F39-K39</f>
        <v>20.480000000000018</v>
      </c>
      <c r="H39" s="176" t="s">
        <v>2135</v>
      </c>
      <c r="I39" s="172" t="s">
        <v>2136</v>
      </c>
      <c r="J39" s="177">
        <v>0</v>
      </c>
      <c r="K39" s="178">
        <v>779.52</v>
      </c>
      <c r="L39" s="179">
        <v>1441.25</v>
      </c>
    </row>
    <row r="40" spans="1:12" ht="13.2" x14ac:dyDescent="0.25">
      <c r="A40" s="172" t="s">
        <v>2102</v>
      </c>
      <c r="B40" s="173" t="s">
        <v>2132</v>
      </c>
      <c r="C40" s="180" t="s">
        <v>369</v>
      </c>
      <c r="D40" s="183">
        <v>50</v>
      </c>
      <c r="E40" s="181">
        <v>5.9</v>
      </c>
      <c r="F40" s="181">
        <f>D40*E40</f>
        <v>295</v>
      </c>
      <c r="G40" s="181">
        <f>F40-K40</f>
        <v>10.160000000000025</v>
      </c>
      <c r="H40" s="176" t="s">
        <v>2137</v>
      </c>
      <c r="I40" s="172" t="s">
        <v>2138</v>
      </c>
      <c r="J40" s="177">
        <v>0</v>
      </c>
      <c r="K40" s="178">
        <v>284.83999999999997</v>
      </c>
      <c r="L40" s="179">
        <v>1725.09</v>
      </c>
    </row>
    <row r="41" spans="1:12" ht="12.75" customHeight="1" x14ac:dyDescent="0.25">
      <c r="J41" s="184" t="s">
        <v>2127</v>
      </c>
      <c r="K41" s="185">
        <f>SUM(K39:K40)</f>
        <v>1064.3599999999999</v>
      </c>
    </row>
    <row r="43" spans="1:12" ht="12.75" customHeight="1" x14ac:dyDescent="0.25">
      <c r="J43" s="184" t="s">
        <v>2139</v>
      </c>
      <c r="K43" s="185">
        <f>K41-J36</f>
        <v>-4309.6000000000004</v>
      </c>
    </row>
    <row r="46" spans="1:12" ht="12.75" customHeight="1" x14ac:dyDescent="0.25">
      <c r="J46" s="184" t="s">
        <v>2140</v>
      </c>
      <c r="K46" s="185">
        <f>K28+K43</f>
        <v>-5474.9100000000017</v>
      </c>
    </row>
    <row r="49" spans="1:11" ht="12.75" customHeight="1" x14ac:dyDescent="0.25">
      <c r="J49" s="190" t="s">
        <v>2141</v>
      </c>
      <c r="K49" s="191">
        <f>F70</f>
        <v>5700</v>
      </c>
    </row>
    <row r="51" spans="1:11" ht="12.75" customHeight="1" x14ac:dyDescent="0.25">
      <c r="J51" s="190" t="s">
        <v>2142</v>
      </c>
      <c r="K51" s="192">
        <f>K49+K46</f>
        <v>225.08999999999833</v>
      </c>
    </row>
    <row r="56" spans="1:11" ht="12.75" customHeight="1" x14ac:dyDescent="0.25">
      <c r="A56" s="193"/>
      <c r="B56" s="1036" t="s">
        <v>2143</v>
      </c>
      <c r="C56" s="1036"/>
      <c r="D56" s="1036"/>
      <c r="E56" s="1036"/>
      <c r="F56" s="1036"/>
      <c r="G56" s="1036"/>
    </row>
    <row r="57" spans="1:11" ht="12.75" customHeight="1" x14ac:dyDescent="0.25">
      <c r="A57" s="194" t="s">
        <v>184</v>
      </c>
      <c r="B57" s="195" t="s">
        <v>2144</v>
      </c>
      <c r="C57" s="171" t="s">
        <v>2082</v>
      </c>
      <c r="D57" s="171" t="s">
        <v>2084</v>
      </c>
      <c r="E57" s="171" t="s">
        <v>668</v>
      </c>
      <c r="F57" s="171" t="s">
        <v>667</v>
      </c>
      <c r="G57" s="171" t="s">
        <v>669</v>
      </c>
    </row>
    <row r="58" spans="1:11" ht="12.75" customHeight="1" x14ac:dyDescent="0.25">
      <c r="A58" s="196" t="s">
        <v>2107</v>
      </c>
      <c r="B58" s="197" t="s">
        <v>2145</v>
      </c>
      <c r="C58" s="198" t="s">
        <v>2146</v>
      </c>
      <c r="D58" s="199">
        <v>978134</v>
      </c>
      <c r="E58" s="200">
        <v>0</v>
      </c>
      <c r="F58" s="201">
        <v>5000</v>
      </c>
      <c r="G58" s="192">
        <v>4381.6000000000004</v>
      </c>
    </row>
    <row r="59" spans="1:11" ht="12.75" customHeight="1" x14ac:dyDescent="0.25">
      <c r="A59" s="196" t="s">
        <v>2147</v>
      </c>
      <c r="B59" s="197" t="s">
        <v>2145</v>
      </c>
      <c r="C59" s="198" t="s">
        <v>2148</v>
      </c>
      <c r="D59" s="199">
        <v>978136</v>
      </c>
      <c r="E59" s="200">
        <v>0</v>
      </c>
      <c r="F59" s="201">
        <v>200</v>
      </c>
      <c r="G59" s="192">
        <v>4581.6000000000004</v>
      </c>
    </row>
    <row r="60" spans="1:11" ht="12.75" customHeight="1" x14ac:dyDescent="0.25">
      <c r="A60" s="196" t="s">
        <v>2149</v>
      </c>
      <c r="B60" s="197" t="s">
        <v>2150</v>
      </c>
      <c r="C60" s="198" t="s">
        <v>2151</v>
      </c>
      <c r="D60" s="199">
        <v>3298</v>
      </c>
      <c r="E60" s="200">
        <v>0</v>
      </c>
      <c r="F60" s="201">
        <v>10000</v>
      </c>
      <c r="G60" s="192">
        <v>14690.8</v>
      </c>
    </row>
    <row r="61" spans="1:11" ht="13.2" x14ac:dyDescent="0.25">
      <c r="A61" s="196" t="s">
        <v>2098</v>
      </c>
      <c r="B61" s="197" t="s">
        <v>2152</v>
      </c>
      <c r="C61" s="198" t="s">
        <v>2153</v>
      </c>
      <c r="D61" s="196" t="s">
        <v>2088</v>
      </c>
      <c r="E61" s="200">
        <v>0</v>
      </c>
      <c r="F61" s="201">
        <v>2000</v>
      </c>
      <c r="G61" s="192">
        <v>662.73</v>
      </c>
    </row>
    <row r="62" spans="1:11" ht="12.75" customHeight="1" x14ac:dyDescent="0.25">
      <c r="B62" s="202"/>
      <c r="C62" s="196"/>
      <c r="D62" s="196"/>
      <c r="E62" s="196"/>
      <c r="F62" s="201">
        <f>SUM(F58:F61)</f>
        <v>17200</v>
      </c>
      <c r="G62" s="203"/>
    </row>
    <row r="63" spans="1:11" ht="12.75" customHeight="1" x14ac:dyDescent="0.25">
      <c r="B63" s="202"/>
      <c r="C63" s="196"/>
      <c r="D63" s="196"/>
      <c r="E63" s="196"/>
      <c r="F63" s="196"/>
      <c r="G63" s="203"/>
    </row>
    <row r="64" spans="1:11" ht="12.75" customHeight="1" x14ac:dyDescent="0.25">
      <c r="A64" s="194" t="s">
        <v>184</v>
      </c>
      <c r="B64" s="195" t="s">
        <v>2154</v>
      </c>
      <c r="C64" s="171" t="s">
        <v>2082</v>
      </c>
      <c r="D64" s="171" t="s">
        <v>2084</v>
      </c>
      <c r="E64" s="171" t="s">
        <v>668</v>
      </c>
      <c r="F64" s="171" t="s">
        <v>667</v>
      </c>
      <c r="G64" s="204" t="s">
        <v>669</v>
      </c>
    </row>
    <row r="65" spans="1:12" ht="12.75" customHeight="1" x14ac:dyDescent="0.25">
      <c r="A65" s="196" t="s">
        <v>2085</v>
      </c>
      <c r="B65" s="197" t="s">
        <v>2155</v>
      </c>
      <c r="C65" s="198" t="s">
        <v>2156</v>
      </c>
      <c r="D65" s="199">
        <v>280111</v>
      </c>
      <c r="E65" s="200">
        <v>5000</v>
      </c>
      <c r="F65" s="201">
        <v>0</v>
      </c>
      <c r="G65" s="192">
        <v>9690.7999999999993</v>
      </c>
    </row>
    <row r="66" spans="1:12" ht="13.2" x14ac:dyDescent="0.25">
      <c r="A66" s="196" t="s">
        <v>2122</v>
      </c>
      <c r="B66" s="197" t="s">
        <v>2170</v>
      </c>
      <c r="C66" s="198" t="s">
        <v>2171</v>
      </c>
      <c r="D66" s="196">
        <v>170211</v>
      </c>
      <c r="E66" s="200">
        <v>5000</v>
      </c>
      <c r="F66" s="201">
        <v>0</v>
      </c>
      <c r="G66" s="192">
        <v>4290.18</v>
      </c>
    </row>
    <row r="67" spans="1:12" ht="13.2" x14ac:dyDescent="0.25">
      <c r="A67" s="196" t="s">
        <v>2172</v>
      </c>
      <c r="B67" s="197" t="s">
        <v>2170</v>
      </c>
      <c r="C67" s="198" t="s">
        <v>2173</v>
      </c>
      <c r="D67" s="199">
        <v>310311</v>
      </c>
      <c r="E67" s="200">
        <v>1500</v>
      </c>
      <c r="F67" s="201">
        <v>0</v>
      </c>
      <c r="G67" s="192">
        <v>225.09</v>
      </c>
    </row>
    <row r="68" spans="1:12" ht="12.75" customHeight="1" x14ac:dyDescent="0.25">
      <c r="B68" s="202"/>
      <c r="C68" s="196"/>
      <c r="D68" s="196"/>
      <c r="E68" s="200">
        <f>SUM(E65:E67)</f>
        <v>11500</v>
      </c>
      <c r="F68" s="201"/>
      <c r="G68" s="203"/>
      <c r="J68" s="205"/>
    </row>
    <row r="69" spans="1:12" ht="12.75" customHeight="1" x14ac:dyDescent="0.25">
      <c r="B69" s="202"/>
      <c r="C69" s="196"/>
      <c r="D69" s="196"/>
      <c r="E69" s="196"/>
      <c r="F69" s="196"/>
      <c r="G69" s="196"/>
    </row>
    <row r="70" spans="1:12" ht="12.75" customHeight="1" x14ac:dyDescent="0.25">
      <c r="B70" s="202"/>
      <c r="C70" s="196"/>
      <c r="D70" s="196"/>
      <c r="E70" s="203" t="s">
        <v>2141</v>
      </c>
      <c r="F70" s="201">
        <f>F62-E68</f>
        <v>5700</v>
      </c>
      <c r="G70" s="196"/>
    </row>
    <row r="72" spans="1:12" ht="12.75" customHeight="1" x14ac:dyDescent="0.25">
      <c r="L72" s="206"/>
    </row>
  </sheetData>
  <mergeCells count="4">
    <mergeCell ref="A1:L1"/>
    <mergeCell ref="A2:L2"/>
    <mergeCell ref="A3:L3"/>
    <mergeCell ref="B56:G56"/>
  </mergeCells>
  <phoneticPr fontId="14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14"/>
  <sheetViews>
    <sheetView topLeftCell="A40" workbookViewId="0">
      <selection activeCell="P22" sqref="P22"/>
    </sheetView>
  </sheetViews>
  <sheetFormatPr defaultColWidth="9.21875" defaultRowHeight="13.2" x14ac:dyDescent="0.25"/>
  <cols>
    <col min="1" max="1" width="16.77734375" style="2" bestFit="1" customWidth="1"/>
    <col min="2" max="2" width="31.5546875" style="1" customWidth="1"/>
    <col min="3" max="5" width="9.21875" style="1"/>
    <col min="6" max="6" width="11.5546875" style="1" customWidth="1"/>
    <col min="7" max="7" width="11.21875" style="2" bestFit="1" customWidth="1"/>
    <col min="8" max="8" width="61" style="1" customWidth="1"/>
    <col min="9" max="16384" width="9.21875" style="1"/>
  </cols>
  <sheetData>
    <row r="1" spans="1:13" x14ac:dyDescent="0.25">
      <c r="A1" s="212" t="s">
        <v>661</v>
      </c>
      <c r="B1" s="213" t="s">
        <v>662</v>
      </c>
      <c r="C1" s="214" t="s">
        <v>663</v>
      </c>
      <c r="D1" s="214" t="s">
        <v>469</v>
      </c>
      <c r="E1" s="214" t="s">
        <v>664</v>
      </c>
      <c r="F1" s="214" t="s">
        <v>470</v>
      </c>
      <c r="G1" s="215" t="s">
        <v>665</v>
      </c>
      <c r="H1" s="213" t="s">
        <v>666</v>
      </c>
      <c r="I1" s="213" t="s">
        <v>667</v>
      </c>
      <c r="J1" s="213" t="s">
        <v>668</v>
      </c>
      <c r="K1" s="213" t="s">
        <v>669</v>
      </c>
    </row>
    <row r="2" spans="1:13" x14ac:dyDescent="0.25">
      <c r="A2" s="19" t="s">
        <v>670</v>
      </c>
      <c r="B2" s="20"/>
      <c r="C2" s="21"/>
      <c r="D2" s="21"/>
      <c r="E2" s="21"/>
      <c r="F2" s="21"/>
      <c r="G2" s="22"/>
      <c r="H2" s="20"/>
      <c r="I2" s="20"/>
      <c r="J2" s="20"/>
      <c r="K2" s="20"/>
    </row>
    <row r="3" spans="1:13" ht="15" customHeight="1" x14ac:dyDescent="0.25">
      <c r="A3" s="23" t="s">
        <v>671</v>
      </c>
      <c r="B3" s="24" t="s">
        <v>672</v>
      </c>
      <c r="C3" s="25" t="s">
        <v>673</v>
      </c>
      <c r="D3" s="25">
        <v>200</v>
      </c>
      <c r="E3" s="25">
        <v>221.65</v>
      </c>
      <c r="F3" s="26">
        <f>D3*E3</f>
        <v>44330</v>
      </c>
      <c r="G3" s="27">
        <v>40180</v>
      </c>
      <c r="H3" s="28" t="s">
        <v>674</v>
      </c>
      <c r="I3" s="29">
        <v>200</v>
      </c>
      <c r="J3" s="29">
        <v>0</v>
      </c>
      <c r="K3" s="29">
        <v>200</v>
      </c>
      <c r="L3" s="29"/>
      <c r="M3" s="30"/>
    </row>
    <row r="4" spans="1:13" ht="15" customHeight="1" x14ac:dyDescent="0.25">
      <c r="A4" s="31">
        <v>39881</v>
      </c>
      <c r="B4" s="24" t="s">
        <v>675</v>
      </c>
      <c r="C4" s="25" t="s">
        <v>673</v>
      </c>
      <c r="D4" s="25">
        <v>500</v>
      </c>
      <c r="E4" s="25">
        <v>22.36</v>
      </c>
      <c r="F4" s="26">
        <f>D4*E4</f>
        <v>11180</v>
      </c>
      <c r="G4" s="27">
        <v>40003</v>
      </c>
      <c r="H4" s="28" t="s">
        <v>676</v>
      </c>
      <c r="I4" s="29">
        <v>500</v>
      </c>
      <c r="J4" s="29">
        <v>0</v>
      </c>
      <c r="K4" s="29">
        <v>500</v>
      </c>
      <c r="L4" s="29"/>
      <c r="M4" s="30"/>
    </row>
    <row r="5" spans="1:13" ht="15" customHeight="1" x14ac:dyDescent="0.25">
      <c r="A5" s="23" t="s">
        <v>677</v>
      </c>
      <c r="B5" s="24" t="s">
        <v>678</v>
      </c>
      <c r="C5" s="25" t="s">
        <v>673</v>
      </c>
      <c r="D5" s="25">
        <v>100</v>
      </c>
      <c r="E5" s="25">
        <v>138.99</v>
      </c>
      <c r="F5" s="26">
        <f>D5*E5</f>
        <v>13899</v>
      </c>
      <c r="G5" s="27">
        <v>40240</v>
      </c>
      <c r="H5" s="28" t="s">
        <v>679</v>
      </c>
      <c r="I5" s="29">
        <v>100</v>
      </c>
      <c r="J5" s="29">
        <v>0</v>
      </c>
      <c r="K5" s="29">
        <v>100</v>
      </c>
      <c r="L5" s="29"/>
      <c r="M5" s="30"/>
    </row>
    <row r="6" spans="1:13" ht="15" customHeight="1" x14ac:dyDescent="0.25">
      <c r="A6" s="32" t="s">
        <v>680</v>
      </c>
      <c r="B6" s="24"/>
      <c r="C6" s="25"/>
      <c r="D6" s="25"/>
      <c r="E6" s="25"/>
      <c r="F6" s="26"/>
      <c r="G6" s="27"/>
      <c r="H6" s="28"/>
      <c r="I6" s="29"/>
      <c r="J6" s="29"/>
      <c r="K6" s="29"/>
      <c r="L6" s="29"/>
      <c r="M6" s="30"/>
    </row>
    <row r="7" spans="1:13" ht="15" customHeight="1" x14ac:dyDescent="0.25">
      <c r="A7" s="23" t="s">
        <v>681</v>
      </c>
      <c r="B7" s="24" t="s">
        <v>682</v>
      </c>
      <c r="C7" s="33" t="s">
        <v>673</v>
      </c>
      <c r="D7" s="33">
        <v>50</v>
      </c>
      <c r="E7" s="33">
        <v>304.47000000000003</v>
      </c>
      <c r="F7" s="26">
        <f t="shared" ref="F7:F31" si="0">D7*E7</f>
        <v>15223.500000000002</v>
      </c>
      <c r="G7" s="27" t="s">
        <v>683</v>
      </c>
      <c r="H7" s="28"/>
      <c r="I7" s="29"/>
      <c r="J7" s="29"/>
      <c r="K7" s="29"/>
      <c r="L7" s="29"/>
      <c r="M7" s="30"/>
    </row>
    <row r="8" spans="1:13" x14ac:dyDescent="0.25">
      <c r="A8" s="2" t="s">
        <v>681</v>
      </c>
      <c r="B8" s="24" t="s">
        <v>684</v>
      </c>
      <c r="C8" s="25" t="s">
        <v>685</v>
      </c>
      <c r="D8" s="25">
        <v>150</v>
      </c>
      <c r="E8" s="25">
        <v>169.64</v>
      </c>
      <c r="F8" s="26">
        <f t="shared" si="0"/>
        <v>25445.999999999996</v>
      </c>
      <c r="G8" s="34" t="s">
        <v>686</v>
      </c>
      <c r="H8" s="28" t="s">
        <v>687</v>
      </c>
      <c r="I8" s="29">
        <v>150</v>
      </c>
      <c r="J8" s="29">
        <v>0</v>
      </c>
      <c r="K8" s="29">
        <v>150</v>
      </c>
      <c r="L8" s="30"/>
      <c r="M8" s="30"/>
    </row>
    <row r="9" spans="1:13" x14ac:dyDescent="0.25">
      <c r="A9" s="31">
        <v>40364</v>
      </c>
      <c r="B9" s="24" t="s">
        <v>684</v>
      </c>
      <c r="C9" s="33" t="s">
        <v>673</v>
      </c>
      <c r="D9" s="33">
        <v>100</v>
      </c>
      <c r="E9" s="33">
        <v>154.66999999999999</v>
      </c>
      <c r="F9" s="26">
        <f t="shared" si="0"/>
        <v>15466.999999999998</v>
      </c>
      <c r="G9" s="35">
        <v>40487</v>
      </c>
      <c r="H9" s="30" t="s">
        <v>700</v>
      </c>
      <c r="I9" s="29">
        <v>100</v>
      </c>
      <c r="J9" s="29">
        <v>0</v>
      </c>
      <c r="K9" s="29">
        <v>250</v>
      </c>
      <c r="L9" s="30"/>
      <c r="M9" s="30"/>
    </row>
    <row r="10" spans="1:13" x14ac:dyDescent="0.25">
      <c r="A10" s="31" t="s">
        <v>701</v>
      </c>
      <c r="B10" s="24" t="s">
        <v>684</v>
      </c>
      <c r="C10" s="33" t="s">
        <v>673</v>
      </c>
      <c r="D10" s="33">
        <v>125</v>
      </c>
      <c r="E10" s="33">
        <v>133.97</v>
      </c>
      <c r="F10" s="26">
        <f t="shared" si="0"/>
        <v>16746.25</v>
      </c>
      <c r="G10" s="35" t="s">
        <v>702</v>
      </c>
      <c r="H10" s="30" t="s">
        <v>713</v>
      </c>
      <c r="I10" s="29">
        <v>125</v>
      </c>
      <c r="J10" s="29">
        <v>0</v>
      </c>
      <c r="K10" s="29">
        <v>375</v>
      </c>
      <c r="L10" s="30"/>
      <c r="M10" s="30"/>
    </row>
    <row r="11" spans="1:13" x14ac:dyDescent="0.25">
      <c r="A11" s="31">
        <v>40487</v>
      </c>
      <c r="B11" s="24" t="s">
        <v>678</v>
      </c>
      <c r="C11" s="25" t="s">
        <v>673</v>
      </c>
      <c r="D11" s="25">
        <v>100</v>
      </c>
      <c r="E11" s="36">
        <v>145.72999999999999</v>
      </c>
      <c r="F11" s="26">
        <f t="shared" si="0"/>
        <v>14572.999999999998</v>
      </c>
      <c r="G11" s="37" t="s">
        <v>714</v>
      </c>
      <c r="H11" s="30" t="s">
        <v>748</v>
      </c>
      <c r="I11" s="30">
        <v>100</v>
      </c>
      <c r="J11" s="29">
        <v>0</v>
      </c>
      <c r="K11" s="29">
        <v>200</v>
      </c>
      <c r="L11" s="30"/>
      <c r="M11" s="30"/>
    </row>
    <row r="12" spans="1:13" x14ac:dyDescent="0.25">
      <c r="A12" s="38">
        <v>40330</v>
      </c>
      <c r="B12" s="24" t="s">
        <v>749</v>
      </c>
      <c r="C12" s="25" t="s">
        <v>673</v>
      </c>
      <c r="D12" s="25">
        <v>400</v>
      </c>
      <c r="E12" s="36">
        <v>52.96</v>
      </c>
      <c r="F12" s="26">
        <f t="shared" si="0"/>
        <v>21184</v>
      </c>
      <c r="G12" s="39">
        <v>40243</v>
      </c>
      <c r="H12" s="40" t="s">
        <v>750</v>
      </c>
      <c r="I12" s="29">
        <v>400</v>
      </c>
      <c r="J12" s="29">
        <v>0</v>
      </c>
      <c r="K12" s="29">
        <v>400</v>
      </c>
      <c r="L12" s="30"/>
      <c r="M12" s="30"/>
    </row>
    <row r="13" spans="1:13" ht="12.75" customHeight="1" x14ac:dyDescent="0.25">
      <c r="A13" s="41">
        <v>40396</v>
      </c>
      <c r="B13" s="24" t="s">
        <v>751</v>
      </c>
      <c r="C13" s="25" t="s">
        <v>673</v>
      </c>
      <c r="D13" s="25">
        <v>100</v>
      </c>
      <c r="E13" s="36">
        <v>257.68</v>
      </c>
      <c r="F13" s="26">
        <f t="shared" si="0"/>
        <v>25768</v>
      </c>
      <c r="G13" s="27">
        <v>40457</v>
      </c>
      <c r="H13" s="28" t="s">
        <v>752</v>
      </c>
      <c r="I13" s="29">
        <v>100</v>
      </c>
      <c r="J13" s="29">
        <v>0</v>
      </c>
      <c r="K13" s="29">
        <v>100</v>
      </c>
      <c r="L13" s="30"/>
      <c r="M13" s="30"/>
    </row>
    <row r="14" spans="1:13" ht="12.75" customHeight="1" x14ac:dyDescent="0.25">
      <c r="A14" s="23" t="s">
        <v>753</v>
      </c>
      <c r="B14" s="24" t="s">
        <v>672</v>
      </c>
      <c r="C14" s="33" t="s">
        <v>673</v>
      </c>
      <c r="D14" s="33">
        <v>100</v>
      </c>
      <c r="E14" s="33">
        <v>200</v>
      </c>
      <c r="F14" s="26">
        <f t="shared" si="0"/>
        <v>20000</v>
      </c>
      <c r="G14" s="37" t="s">
        <v>754</v>
      </c>
      <c r="H14" s="30" t="s">
        <v>755</v>
      </c>
      <c r="I14" s="30">
        <v>100</v>
      </c>
      <c r="J14" s="30">
        <v>0</v>
      </c>
      <c r="K14" s="30">
        <v>100</v>
      </c>
      <c r="L14" s="30"/>
      <c r="M14" s="30"/>
    </row>
    <row r="15" spans="1:13" ht="12.75" customHeight="1" x14ac:dyDescent="0.25">
      <c r="A15" s="42">
        <v>40397</v>
      </c>
      <c r="B15" s="24" t="s">
        <v>756</v>
      </c>
      <c r="C15" s="33" t="s">
        <v>673</v>
      </c>
      <c r="D15" s="33">
        <v>55</v>
      </c>
      <c r="E15" s="33">
        <v>178.84</v>
      </c>
      <c r="F15" s="43">
        <f t="shared" si="0"/>
        <v>9836.2000000000007</v>
      </c>
      <c r="G15" s="44">
        <v>40519</v>
      </c>
      <c r="H15" s="45" t="s">
        <v>778</v>
      </c>
      <c r="I15" s="23">
        <v>55</v>
      </c>
      <c r="J15" s="23">
        <v>0</v>
      </c>
      <c r="K15" s="23">
        <v>55</v>
      </c>
      <c r="L15" s="30"/>
      <c r="M15" s="30"/>
    </row>
    <row r="16" spans="1:13" ht="12.75" customHeight="1" x14ac:dyDescent="0.25">
      <c r="A16" s="23" t="s">
        <v>779</v>
      </c>
      <c r="B16" s="24" t="s">
        <v>780</v>
      </c>
      <c r="C16" s="33" t="s">
        <v>673</v>
      </c>
      <c r="D16" s="33">
        <v>300</v>
      </c>
      <c r="E16" s="33">
        <v>211.59</v>
      </c>
      <c r="F16" s="43">
        <f t="shared" si="0"/>
        <v>63477</v>
      </c>
      <c r="G16" s="46" t="s">
        <v>781</v>
      </c>
      <c r="H16" s="45" t="s">
        <v>782</v>
      </c>
      <c r="I16" s="23">
        <v>300</v>
      </c>
      <c r="J16" s="23">
        <v>0</v>
      </c>
      <c r="K16" s="23">
        <v>300</v>
      </c>
    </row>
    <row r="17" spans="1:11" ht="12.75" customHeight="1" x14ac:dyDescent="0.25">
      <c r="A17" s="23" t="s">
        <v>783</v>
      </c>
      <c r="B17" s="24" t="s">
        <v>780</v>
      </c>
      <c r="C17" s="33" t="s">
        <v>673</v>
      </c>
      <c r="D17" s="33">
        <v>200</v>
      </c>
      <c r="E17" s="33">
        <v>225.12</v>
      </c>
      <c r="F17" s="43">
        <f t="shared" si="0"/>
        <v>45024</v>
      </c>
      <c r="G17" s="46" t="s">
        <v>784</v>
      </c>
      <c r="H17" s="45" t="s">
        <v>785</v>
      </c>
      <c r="I17" s="23">
        <v>200</v>
      </c>
      <c r="J17" s="23">
        <v>0</v>
      </c>
      <c r="K17" s="23">
        <v>500</v>
      </c>
    </row>
    <row r="18" spans="1:11" ht="12.75" customHeight="1" x14ac:dyDescent="0.25">
      <c r="A18" s="23" t="s">
        <v>786</v>
      </c>
      <c r="B18" s="24" t="s">
        <v>787</v>
      </c>
      <c r="C18" s="33" t="s">
        <v>673</v>
      </c>
      <c r="D18" s="33">
        <v>1000</v>
      </c>
      <c r="E18" s="33">
        <v>18.489999999999998</v>
      </c>
      <c r="F18" s="43">
        <f t="shared" si="0"/>
        <v>18490</v>
      </c>
      <c r="G18" s="37" t="s">
        <v>788</v>
      </c>
      <c r="H18" s="1" t="s">
        <v>789</v>
      </c>
      <c r="I18" s="1">
        <v>1000</v>
      </c>
      <c r="J18" s="1">
        <v>0</v>
      </c>
      <c r="K18" s="1">
        <v>1000</v>
      </c>
    </row>
    <row r="19" spans="1:11" x14ac:dyDescent="0.25">
      <c r="A19" s="23" t="s">
        <v>790</v>
      </c>
      <c r="B19" s="24" t="s">
        <v>791</v>
      </c>
      <c r="C19" s="33" t="s">
        <v>792</v>
      </c>
      <c r="D19" s="33">
        <v>100</v>
      </c>
      <c r="E19" s="33">
        <v>120.2</v>
      </c>
      <c r="F19" s="43">
        <f t="shared" si="0"/>
        <v>12020</v>
      </c>
      <c r="G19" s="37">
        <v>40490</v>
      </c>
      <c r="H19" s="1" t="s">
        <v>793</v>
      </c>
      <c r="I19" s="1">
        <v>100</v>
      </c>
      <c r="J19" s="1">
        <v>0</v>
      </c>
      <c r="K19" s="1">
        <v>100</v>
      </c>
    </row>
    <row r="20" spans="1:11" x14ac:dyDescent="0.25">
      <c r="A20" s="23" t="s">
        <v>790</v>
      </c>
      <c r="B20" s="24" t="s">
        <v>794</v>
      </c>
      <c r="C20" s="33" t="s">
        <v>795</v>
      </c>
      <c r="D20" s="33">
        <v>200</v>
      </c>
      <c r="E20" s="33">
        <v>56.18</v>
      </c>
      <c r="F20" s="43">
        <f t="shared" si="0"/>
        <v>11236</v>
      </c>
      <c r="G20" s="37">
        <v>40490</v>
      </c>
      <c r="H20" s="1" t="s">
        <v>796</v>
      </c>
      <c r="I20" s="1">
        <v>200</v>
      </c>
      <c r="J20" s="1">
        <v>0</v>
      </c>
      <c r="K20" s="1">
        <v>200</v>
      </c>
    </row>
    <row r="21" spans="1:11" x14ac:dyDescent="0.25">
      <c r="A21" s="23" t="s">
        <v>797</v>
      </c>
      <c r="B21" s="24" t="s">
        <v>791</v>
      </c>
      <c r="C21" s="33" t="s">
        <v>795</v>
      </c>
      <c r="D21" s="33">
        <v>150</v>
      </c>
      <c r="E21" s="33">
        <v>115.58</v>
      </c>
      <c r="F21" s="43">
        <f t="shared" si="0"/>
        <v>17337</v>
      </c>
      <c r="G21" s="37" t="s">
        <v>798</v>
      </c>
      <c r="H21" s="1" t="s">
        <v>799</v>
      </c>
      <c r="I21" s="1">
        <v>150</v>
      </c>
      <c r="J21" s="1">
        <v>0</v>
      </c>
      <c r="K21" s="1">
        <v>250</v>
      </c>
    </row>
    <row r="22" spans="1:11" x14ac:dyDescent="0.25">
      <c r="A22" s="23" t="s">
        <v>800</v>
      </c>
      <c r="B22" s="24" t="s">
        <v>801</v>
      </c>
      <c r="C22" s="33" t="s">
        <v>795</v>
      </c>
      <c r="D22" s="33">
        <v>250</v>
      </c>
      <c r="E22" s="33">
        <v>62.56</v>
      </c>
      <c r="F22" s="43">
        <f t="shared" si="0"/>
        <v>15640</v>
      </c>
      <c r="G22" s="47" t="s">
        <v>802</v>
      </c>
      <c r="H22" s="1" t="s">
        <v>803</v>
      </c>
      <c r="I22" s="1">
        <v>250</v>
      </c>
      <c r="J22" s="1">
        <v>0</v>
      </c>
      <c r="K22" s="1">
        <v>250</v>
      </c>
    </row>
    <row r="23" spans="1:11" x14ac:dyDescent="0.25">
      <c r="A23" s="23" t="s">
        <v>804</v>
      </c>
      <c r="B23" s="24" t="s">
        <v>780</v>
      </c>
      <c r="C23" s="33" t="s">
        <v>673</v>
      </c>
      <c r="D23" s="33">
        <v>100</v>
      </c>
      <c r="E23" s="33">
        <v>186.03</v>
      </c>
      <c r="F23" s="43">
        <f t="shared" si="0"/>
        <v>18603</v>
      </c>
      <c r="G23" s="37" t="s">
        <v>805</v>
      </c>
      <c r="H23" s="1" t="s">
        <v>806</v>
      </c>
      <c r="I23" s="1">
        <v>100</v>
      </c>
      <c r="J23" s="1">
        <v>0</v>
      </c>
      <c r="K23" s="1">
        <v>400</v>
      </c>
    </row>
    <row r="24" spans="1:11" x14ac:dyDescent="0.25">
      <c r="A24" s="23" t="s">
        <v>807</v>
      </c>
      <c r="B24" s="24" t="s">
        <v>780</v>
      </c>
      <c r="C24" s="33" t="s">
        <v>685</v>
      </c>
      <c r="D24" s="33">
        <v>100</v>
      </c>
      <c r="E24" s="33">
        <v>179.9</v>
      </c>
      <c r="F24" s="43">
        <f t="shared" si="0"/>
        <v>17990</v>
      </c>
      <c r="G24" s="41">
        <v>40246</v>
      </c>
      <c r="H24" s="1" t="s">
        <v>808</v>
      </c>
      <c r="I24" s="1">
        <v>100</v>
      </c>
      <c r="J24" s="1">
        <v>0</v>
      </c>
      <c r="K24" s="1">
        <v>500</v>
      </c>
    </row>
    <row r="25" spans="1:11" x14ac:dyDescent="0.25">
      <c r="A25" s="23" t="s">
        <v>809</v>
      </c>
      <c r="B25" s="24" t="s">
        <v>801</v>
      </c>
      <c r="C25" s="33" t="s">
        <v>685</v>
      </c>
      <c r="D25" s="33">
        <v>150</v>
      </c>
      <c r="E25" s="33">
        <v>63.01</v>
      </c>
      <c r="F25" s="43">
        <f t="shared" si="0"/>
        <v>9451.5</v>
      </c>
      <c r="G25" s="2" t="s">
        <v>811</v>
      </c>
      <c r="H25" s="1" t="s">
        <v>812</v>
      </c>
      <c r="I25" s="1">
        <v>150</v>
      </c>
      <c r="J25" s="1">
        <v>0</v>
      </c>
      <c r="K25" s="1">
        <v>400</v>
      </c>
    </row>
    <row r="26" spans="1:11" x14ac:dyDescent="0.25">
      <c r="A26" s="48" t="s">
        <v>813</v>
      </c>
      <c r="B26" s="49" t="s">
        <v>672</v>
      </c>
      <c r="C26" s="50" t="s">
        <v>685</v>
      </c>
      <c r="D26" s="50">
        <v>500</v>
      </c>
      <c r="E26" s="50">
        <v>207.78</v>
      </c>
      <c r="F26" s="43">
        <f t="shared" si="0"/>
        <v>103890</v>
      </c>
      <c r="G26" s="41">
        <v>40339</v>
      </c>
      <c r="H26" s="1" t="s">
        <v>814</v>
      </c>
      <c r="I26" s="1">
        <v>0</v>
      </c>
      <c r="J26" s="1">
        <v>500</v>
      </c>
      <c r="K26" s="1">
        <v>0</v>
      </c>
    </row>
    <row r="27" spans="1:11" x14ac:dyDescent="0.25">
      <c r="A27" s="2" t="s">
        <v>815</v>
      </c>
      <c r="B27" s="1" t="s">
        <v>816</v>
      </c>
      <c r="C27" s="50" t="s">
        <v>685</v>
      </c>
      <c r="D27" s="50">
        <v>200</v>
      </c>
      <c r="E27" s="50">
        <v>799.58</v>
      </c>
      <c r="F27" s="51">
        <f t="shared" si="0"/>
        <v>159916</v>
      </c>
      <c r="G27" s="41">
        <v>40400</v>
      </c>
      <c r="H27" s="1" t="s">
        <v>817</v>
      </c>
      <c r="I27" s="1">
        <v>200</v>
      </c>
      <c r="J27" s="1">
        <v>0</v>
      </c>
      <c r="K27" s="1">
        <v>200</v>
      </c>
    </row>
    <row r="28" spans="1:11" x14ac:dyDescent="0.25">
      <c r="A28" s="2" t="s">
        <v>818</v>
      </c>
      <c r="B28" s="1" t="s">
        <v>791</v>
      </c>
      <c r="C28" s="50" t="s">
        <v>685</v>
      </c>
      <c r="D28" s="50">
        <v>50</v>
      </c>
      <c r="E28" s="50">
        <v>128.63999999999999</v>
      </c>
      <c r="F28" s="51">
        <f t="shared" si="0"/>
        <v>6431.9999999999991</v>
      </c>
      <c r="G28" s="1" t="s">
        <v>819</v>
      </c>
      <c r="H28" s="1" t="s">
        <v>820</v>
      </c>
      <c r="I28" s="1">
        <v>50</v>
      </c>
      <c r="J28" s="1">
        <v>0</v>
      </c>
      <c r="K28" s="1">
        <v>150</v>
      </c>
    </row>
    <row r="29" spans="1:11" x14ac:dyDescent="0.25">
      <c r="A29" s="2" t="s">
        <v>818</v>
      </c>
      <c r="B29" s="1" t="s">
        <v>801</v>
      </c>
      <c r="C29" s="50" t="s">
        <v>685</v>
      </c>
      <c r="D29" s="50">
        <v>300</v>
      </c>
      <c r="E29" s="50">
        <v>62.61</v>
      </c>
      <c r="F29" s="51">
        <f t="shared" si="0"/>
        <v>18783</v>
      </c>
      <c r="G29" s="41" t="s">
        <v>821</v>
      </c>
      <c r="H29" s="1" t="s">
        <v>822</v>
      </c>
      <c r="I29" s="1">
        <v>300</v>
      </c>
      <c r="J29" s="1">
        <v>0</v>
      </c>
      <c r="K29" s="1">
        <v>300</v>
      </c>
    </row>
    <row r="30" spans="1:11" x14ac:dyDescent="0.25">
      <c r="A30" s="2" t="s">
        <v>823</v>
      </c>
      <c r="B30" s="1" t="s">
        <v>684</v>
      </c>
      <c r="C30" s="50" t="s">
        <v>685</v>
      </c>
      <c r="D30" s="50">
        <v>400</v>
      </c>
      <c r="E30" s="50">
        <v>183.76</v>
      </c>
      <c r="F30" s="51">
        <f t="shared" si="0"/>
        <v>73504</v>
      </c>
      <c r="G30" s="41">
        <v>40189</v>
      </c>
      <c r="H30" s="1" t="s">
        <v>824</v>
      </c>
      <c r="I30" s="1">
        <v>400</v>
      </c>
      <c r="J30" s="1">
        <v>0</v>
      </c>
      <c r="K30" s="1">
        <v>400</v>
      </c>
    </row>
    <row r="31" spans="1:11" x14ac:dyDescent="0.25">
      <c r="A31" s="37" t="s">
        <v>825</v>
      </c>
      <c r="B31" s="52" t="s">
        <v>816</v>
      </c>
      <c r="C31" s="50" t="s">
        <v>685</v>
      </c>
      <c r="D31" s="50">
        <v>50</v>
      </c>
      <c r="E31" s="51">
        <v>743.2</v>
      </c>
      <c r="F31" s="51">
        <f t="shared" si="0"/>
        <v>37160</v>
      </c>
      <c r="G31" s="2" t="s">
        <v>826</v>
      </c>
      <c r="H31" s="1" t="s">
        <v>827</v>
      </c>
      <c r="I31" s="1">
        <v>50</v>
      </c>
      <c r="J31" s="1">
        <v>0</v>
      </c>
      <c r="K31" s="1">
        <v>150</v>
      </c>
    </row>
    <row r="32" spans="1:11" x14ac:dyDescent="0.25">
      <c r="A32" s="30"/>
      <c r="B32" s="53"/>
      <c r="C32" s="50"/>
      <c r="D32" s="50"/>
      <c r="E32" s="51"/>
      <c r="F32" s="41"/>
    </row>
    <row r="33" spans="1:13" x14ac:dyDescent="0.25">
      <c r="E33" s="1" t="s">
        <v>624</v>
      </c>
      <c r="F33" s="26">
        <f>SUM(F3:F32)</f>
        <v>862606.45</v>
      </c>
    </row>
    <row r="34" spans="1:13" x14ac:dyDescent="0.25">
      <c r="A34" s="23"/>
      <c r="B34" s="24"/>
      <c r="C34" s="33"/>
      <c r="D34" s="33"/>
      <c r="E34" s="33"/>
      <c r="F34" s="26"/>
      <c r="G34" s="37"/>
      <c r="H34" s="30"/>
      <c r="I34" s="30"/>
      <c r="J34" s="30"/>
      <c r="K34" s="30"/>
      <c r="L34" s="30"/>
      <c r="M34" s="30"/>
    </row>
    <row r="35" spans="1:13" x14ac:dyDescent="0.25">
      <c r="A35" s="23"/>
      <c r="B35" s="24"/>
      <c r="C35" s="33"/>
      <c r="D35" s="33"/>
      <c r="E35" s="33"/>
      <c r="F35" s="26"/>
      <c r="G35" s="37"/>
      <c r="H35" s="30"/>
      <c r="I35" s="30"/>
      <c r="J35" s="30"/>
      <c r="K35" s="30"/>
      <c r="L35" s="30"/>
      <c r="M35" s="30"/>
    </row>
    <row r="36" spans="1:13" x14ac:dyDescent="0.25">
      <c r="G36" s="37"/>
      <c r="H36" s="30"/>
      <c r="I36" s="30"/>
      <c r="J36" s="30"/>
      <c r="K36" s="30"/>
      <c r="L36" s="30"/>
      <c r="M36" s="30"/>
    </row>
    <row r="37" spans="1:13" x14ac:dyDescent="0.25">
      <c r="F37" s="26"/>
      <c r="G37" s="37"/>
      <c r="H37" s="30"/>
      <c r="I37" s="30"/>
      <c r="J37" s="30"/>
      <c r="K37" s="30"/>
      <c r="L37" s="30"/>
      <c r="M37" s="30"/>
    </row>
    <row r="38" spans="1:13" x14ac:dyDescent="0.25">
      <c r="F38" s="26"/>
      <c r="G38" s="37"/>
      <c r="H38" s="30"/>
      <c r="I38" s="30"/>
      <c r="J38" s="30"/>
      <c r="K38" s="30"/>
      <c r="L38" s="30"/>
      <c r="M38" s="30"/>
    </row>
    <row r="39" spans="1:13" x14ac:dyDescent="0.25">
      <c r="A39" s="54" t="s">
        <v>828</v>
      </c>
      <c r="F39" s="26"/>
      <c r="G39" s="37"/>
      <c r="H39" s="30"/>
      <c r="I39" s="30"/>
      <c r="J39" s="30"/>
      <c r="K39" s="30"/>
      <c r="L39" s="30"/>
      <c r="M39" s="30"/>
    </row>
    <row r="40" spans="1:13" x14ac:dyDescent="0.25">
      <c r="A40" s="23" t="s">
        <v>681</v>
      </c>
      <c r="B40" s="24" t="s">
        <v>672</v>
      </c>
      <c r="C40" s="55" t="s">
        <v>829</v>
      </c>
      <c r="D40" s="55">
        <v>-100</v>
      </c>
      <c r="E40" s="55">
        <v>207.95</v>
      </c>
      <c r="F40" s="56">
        <f t="shared" ref="F40:F64" si="1">D40*E40</f>
        <v>-20795</v>
      </c>
      <c r="G40" s="34" t="s">
        <v>681</v>
      </c>
      <c r="H40" s="28" t="s">
        <v>830</v>
      </c>
      <c r="I40" s="29">
        <v>0</v>
      </c>
      <c r="J40" s="29">
        <v>100</v>
      </c>
      <c r="K40" s="29">
        <v>100</v>
      </c>
      <c r="L40" s="30"/>
      <c r="M40" s="30"/>
    </row>
    <row r="41" spans="1:13" ht="26.4" x14ac:dyDescent="0.25">
      <c r="A41" s="23" t="s">
        <v>681</v>
      </c>
      <c r="B41" s="24" t="s">
        <v>682</v>
      </c>
      <c r="C41" s="55" t="s">
        <v>829</v>
      </c>
      <c r="D41" s="55">
        <v>-50</v>
      </c>
      <c r="E41" s="55">
        <v>304.63</v>
      </c>
      <c r="F41" s="56">
        <f t="shared" si="1"/>
        <v>-15231.5</v>
      </c>
      <c r="G41" s="27" t="s">
        <v>683</v>
      </c>
      <c r="H41" s="30"/>
      <c r="I41" s="30"/>
      <c r="J41" s="30"/>
      <c r="K41" s="30"/>
      <c r="L41" s="30"/>
      <c r="M41" s="30"/>
    </row>
    <row r="42" spans="1:13" x14ac:dyDescent="0.25">
      <c r="A42" s="38">
        <v>40330</v>
      </c>
      <c r="B42" s="24" t="s">
        <v>672</v>
      </c>
      <c r="C42" s="55" t="s">
        <v>829</v>
      </c>
      <c r="D42" s="55">
        <v>-100</v>
      </c>
      <c r="E42" s="55">
        <v>200.19</v>
      </c>
      <c r="F42" s="56">
        <f t="shared" si="1"/>
        <v>-20019</v>
      </c>
      <c r="G42" s="27">
        <v>40184</v>
      </c>
      <c r="H42" s="28" t="s">
        <v>831</v>
      </c>
      <c r="I42" s="29">
        <v>0</v>
      </c>
      <c r="J42" s="29">
        <v>100</v>
      </c>
      <c r="K42" s="29">
        <v>0</v>
      </c>
      <c r="L42" s="30"/>
      <c r="M42" s="30"/>
    </row>
    <row r="43" spans="1:13" x14ac:dyDescent="0.25">
      <c r="A43" s="41">
        <v>40396</v>
      </c>
      <c r="B43" s="24" t="s">
        <v>832</v>
      </c>
      <c r="C43" s="55" t="s">
        <v>829</v>
      </c>
      <c r="D43" s="55">
        <v>-175</v>
      </c>
      <c r="E43" s="55">
        <v>172.88</v>
      </c>
      <c r="F43" s="56">
        <f t="shared" si="1"/>
        <v>-30254</v>
      </c>
      <c r="G43" s="35">
        <v>40396</v>
      </c>
      <c r="H43" s="30" t="s">
        <v>833</v>
      </c>
      <c r="I43" s="30">
        <v>0</v>
      </c>
      <c r="J43" s="30">
        <v>175</v>
      </c>
      <c r="K43" s="30">
        <v>200</v>
      </c>
      <c r="L43" s="30"/>
      <c r="M43" s="30"/>
    </row>
    <row r="44" spans="1:13" x14ac:dyDescent="0.25">
      <c r="A44" s="23" t="s">
        <v>834</v>
      </c>
      <c r="B44" s="24" t="s">
        <v>835</v>
      </c>
      <c r="C44" s="55" t="s">
        <v>829</v>
      </c>
      <c r="D44" s="55">
        <v>-400</v>
      </c>
      <c r="E44" s="55">
        <v>53.23</v>
      </c>
      <c r="F44" s="56">
        <f t="shared" si="1"/>
        <v>-21292</v>
      </c>
      <c r="G44" s="29" t="s">
        <v>836</v>
      </c>
      <c r="H44" s="40" t="s">
        <v>837</v>
      </c>
      <c r="I44" s="29">
        <v>0</v>
      </c>
      <c r="J44" s="29">
        <v>400</v>
      </c>
      <c r="K44" s="37">
        <v>0</v>
      </c>
      <c r="L44" s="30"/>
      <c r="M44" s="30"/>
    </row>
    <row r="45" spans="1:13" x14ac:dyDescent="0.25">
      <c r="A45" s="23" t="s">
        <v>838</v>
      </c>
      <c r="B45" s="24" t="s">
        <v>839</v>
      </c>
      <c r="C45" s="55" t="s">
        <v>829</v>
      </c>
      <c r="D45" s="55">
        <v>-100</v>
      </c>
      <c r="E45" s="55">
        <v>280.79000000000002</v>
      </c>
      <c r="F45" s="56">
        <f t="shared" si="1"/>
        <v>-28079.000000000004</v>
      </c>
      <c r="G45" s="34" t="s">
        <v>838</v>
      </c>
      <c r="H45" s="28" t="s">
        <v>840</v>
      </c>
      <c r="I45" s="29">
        <v>0</v>
      </c>
      <c r="J45" s="29">
        <v>100</v>
      </c>
      <c r="K45" s="29">
        <v>0</v>
      </c>
      <c r="L45" s="30"/>
      <c r="M45" s="30"/>
    </row>
    <row r="46" spans="1:13" x14ac:dyDescent="0.25">
      <c r="A46" s="23" t="s">
        <v>841</v>
      </c>
      <c r="B46" s="24" t="s">
        <v>672</v>
      </c>
      <c r="C46" s="55" t="s">
        <v>829</v>
      </c>
      <c r="D46" s="55">
        <v>-100</v>
      </c>
      <c r="E46" s="55">
        <v>198.5</v>
      </c>
      <c r="F46" s="56">
        <f t="shared" si="1"/>
        <v>-19850</v>
      </c>
      <c r="G46" s="37" t="s">
        <v>841</v>
      </c>
      <c r="H46" s="30" t="s">
        <v>842</v>
      </c>
      <c r="I46" s="30">
        <v>0</v>
      </c>
      <c r="J46" s="30">
        <v>100</v>
      </c>
      <c r="K46" s="30">
        <v>0</v>
      </c>
      <c r="L46" s="30"/>
      <c r="M46" s="30"/>
    </row>
    <row r="47" spans="1:13" x14ac:dyDescent="0.25">
      <c r="A47" s="23" t="s">
        <v>843</v>
      </c>
      <c r="B47" s="24" t="s">
        <v>678</v>
      </c>
      <c r="C47" s="55" t="s">
        <v>829</v>
      </c>
      <c r="D47" s="55">
        <v>-200</v>
      </c>
      <c r="E47" s="55">
        <v>166.71</v>
      </c>
      <c r="F47" s="56">
        <f t="shared" si="1"/>
        <v>-33342</v>
      </c>
      <c r="G47" s="2" t="s">
        <v>843</v>
      </c>
      <c r="H47" s="1" t="s">
        <v>844</v>
      </c>
      <c r="I47" s="1">
        <v>0</v>
      </c>
      <c r="J47" s="1">
        <v>200</v>
      </c>
      <c r="K47" s="1">
        <v>0</v>
      </c>
    </row>
    <row r="48" spans="1:13" x14ac:dyDescent="0.25">
      <c r="A48" s="23" t="s">
        <v>783</v>
      </c>
      <c r="B48" s="24" t="s">
        <v>684</v>
      </c>
      <c r="C48" s="55" t="s">
        <v>829</v>
      </c>
      <c r="D48" s="55">
        <v>-200</v>
      </c>
      <c r="E48" s="55">
        <v>181.69</v>
      </c>
      <c r="F48" s="56">
        <f t="shared" si="1"/>
        <v>-36338</v>
      </c>
      <c r="G48" s="46" t="s">
        <v>781</v>
      </c>
      <c r="H48" s="1" t="s">
        <v>845</v>
      </c>
      <c r="I48" s="1">
        <v>0</v>
      </c>
      <c r="J48" s="1">
        <v>200</v>
      </c>
      <c r="K48" s="1">
        <v>0</v>
      </c>
    </row>
    <row r="49" spans="1:13" x14ac:dyDescent="0.25">
      <c r="A49" s="23" t="s">
        <v>846</v>
      </c>
      <c r="B49" s="24" t="s">
        <v>756</v>
      </c>
      <c r="C49" s="55" t="s">
        <v>829</v>
      </c>
      <c r="D49" s="55">
        <v>-55</v>
      </c>
      <c r="E49" s="55">
        <v>183.98</v>
      </c>
      <c r="F49" s="56">
        <f t="shared" si="1"/>
        <v>-10118.9</v>
      </c>
      <c r="G49" s="46" t="s">
        <v>847</v>
      </c>
      <c r="H49" s="45" t="s">
        <v>848</v>
      </c>
      <c r="I49" s="23">
        <v>0</v>
      </c>
      <c r="J49" s="23">
        <v>55</v>
      </c>
      <c r="K49" s="23">
        <v>0</v>
      </c>
    </row>
    <row r="50" spans="1:13" x14ac:dyDescent="0.25">
      <c r="A50" s="23" t="s">
        <v>849</v>
      </c>
      <c r="B50" s="24" t="s">
        <v>675</v>
      </c>
      <c r="C50" s="55" t="s">
        <v>850</v>
      </c>
      <c r="D50" s="55">
        <v>-500</v>
      </c>
      <c r="E50" s="55">
        <v>34.43</v>
      </c>
      <c r="F50" s="56">
        <f t="shared" si="1"/>
        <v>-17215</v>
      </c>
      <c r="G50" s="44">
        <v>40337</v>
      </c>
      <c r="H50" s="45" t="s">
        <v>851</v>
      </c>
      <c r="I50" s="23">
        <v>0</v>
      </c>
      <c r="J50" s="23">
        <v>500</v>
      </c>
      <c r="K50" s="23">
        <v>0</v>
      </c>
    </row>
    <row r="51" spans="1:13" x14ac:dyDescent="0.25">
      <c r="A51" s="23" t="s">
        <v>797</v>
      </c>
      <c r="B51" s="24" t="s">
        <v>787</v>
      </c>
      <c r="C51" s="55" t="s">
        <v>850</v>
      </c>
      <c r="D51" s="55">
        <v>-500</v>
      </c>
      <c r="E51" s="55">
        <v>18.21</v>
      </c>
      <c r="F51" s="56">
        <f t="shared" si="1"/>
        <v>-9105</v>
      </c>
      <c r="G51" s="2" t="s">
        <v>852</v>
      </c>
      <c r="H51" s="1" t="s">
        <v>853</v>
      </c>
      <c r="I51" s="1">
        <v>0</v>
      </c>
      <c r="J51" s="1">
        <v>500</v>
      </c>
      <c r="K51" s="1">
        <v>500</v>
      </c>
    </row>
    <row r="52" spans="1:13" x14ac:dyDescent="0.25">
      <c r="A52" s="23" t="s">
        <v>800</v>
      </c>
      <c r="B52" s="24" t="s">
        <v>787</v>
      </c>
      <c r="C52" s="55" t="s">
        <v>850</v>
      </c>
      <c r="D52" s="55">
        <v>-500</v>
      </c>
      <c r="E52" s="55">
        <v>18.41</v>
      </c>
      <c r="F52" s="56">
        <f t="shared" si="1"/>
        <v>-9205</v>
      </c>
      <c r="G52" s="37" t="s">
        <v>854</v>
      </c>
      <c r="H52" s="1" t="s">
        <v>855</v>
      </c>
      <c r="I52" s="1">
        <v>0</v>
      </c>
      <c r="J52" s="1">
        <v>500</v>
      </c>
      <c r="K52" s="1">
        <v>0</v>
      </c>
    </row>
    <row r="53" spans="1:13" x14ac:dyDescent="0.25">
      <c r="A53" s="23" t="s">
        <v>800</v>
      </c>
      <c r="B53" s="24" t="s">
        <v>780</v>
      </c>
      <c r="C53" s="55" t="s">
        <v>850</v>
      </c>
      <c r="D53" s="55">
        <v>-200</v>
      </c>
      <c r="E53" s="55">
        <v>193.03</v>
      </c>
      <c r="F53" s="56">
        <f t="shared" si="1"/>
        <v>-38606</v>
      </c>
      <c r="G53" s="34" t="s">
        <v>854</v>
      </c>
      <c r="H53" s="45" t="s">
        <v>856</v>
      </c>
      <c r="I53" s="23">
        <v>0</v>
      </c>
      <c r="J53" s="23">
        <v>200</v>
      </c>
      <c r="K53" s="23">
        <v>300</v>
      </c>
      <c r="L53" s="30"/>
      <c r="M53" s="30"/>
    </row>
    <row r="54" spans="1:13" x14ac:dyDescent="0.25">
      <c r="A54" s="23" t="s">
        <v>804</v>
      </c>
      <c r="B54" s="24" t="s">
        <v>794</v>
      </c>
      <c r="C54" s="55" t="s">
        <v>857</v>
      </c>
      <c r="D54" s="55">
        <v>-200</v>
      </c>
      <c r="E54" s="55">
        <v>49.25</v>
      </c>
      <c r="F54" s="56">
        <f t="shared" si="1"/>
        <v>-9850</v>
      </c>
      <c r="G54" s="29" t="s">
        <v>858</v>
      </c>
      <c r="H54" s="1" t="s">
        <v>859</v>
      </c>
      <c r="I54" s="1">
        <v>0</v>
      </c>
      <c r="J54" s="1">
        <v>200</v>
      </c>
      <c r="K54" s="1">
        <v>0</v>
      </c>
    </row>
    <row r="55" spans="1:13" x14ac:dyDescent="0.25">
      <c r="A55" s="23" t="s">
        <v>860</v>
      </c>
      <c r="B55" s="24" t="s">
        <v>780</v>
      </c>
      <c r="C55" s="55" t="s">
        <v>850</v>
      </c>
      <c r="D55" s="55">
        <v>-400</v>
      </c>
      <c r="E55" s="55">
        <v>212.73</v>
      </c>
      <c r="F55" s="56">
        <f t="shared" si="1"/>
        <v>-85092</v>
      </c>
      <c r="G55" s="29" t="s">
        <v>813</v>
      </c>
      <c r="H55" s="18" t="s">
        <v>861</v>
      </c>
      <c r="I55" s="1">
        <v>0</v>
      </c>
      <c r="J55" s="1">
        <v>400</v>
      </c>
      <c r="K55" s="1">
        <v>100</v>
      </c>
    </row>
    <row r="56" spans="1:13" x14ac:dyDescent="0.25">
      <c r="A56" s="2" t="s">
        <v>815</v>
      </c>
      <c r="B56" s="1" t="s">
        <v>801</v>
      </c>
      <c r="C56" s="55" t="s">
        <v>850</v>
      </c>
      <c r="D56" s="55">
        <v>-400</v>
      </c>
      <c r="E56" s="55">
        <v>66.27</v>
      </c>
      <c r="F56" s="56">
        <f t="shared" si="1"/>
        <v>-26508</v>
      </c>
      <c r="G56" s="37" t="s">
        <v>836</v>
      </c>
      <c r="H56" s="1" t="s">
        <v>837</v>
      </c>
      <c r="I56" s="1">
        <v>0</v>
      </c>
      <c r="J56" s="1">
        <v>400</v>
      </c>
      <c r="K56" s="1">
        <v>0</v>
      </c>
    </row>
    <row r="57" spans="1:13" x14ac:dyDescent="0.25">
      <c r="A57" s="2" t="s">
        <v>815</v>
      </c>
      <c r="B57" s="1" t="s">
        <v>672</v>
      </c>
      <c r="C57" s="55" t="s">
        <v>850</v>
      </c>
      <c r="D57" s="55">
        <v>-500</v>
      </c>
      <c r="E57" s="55">
        <v>216.36</v>
      </c>
      <c r="F57" s="56">
        <f t="shared" si="1"/>
        <v>-108180</v>
      </c>
      <c r="G57" s="35">
        <v>40339</v>
      </c>
      <c r="H57" s="1" t="s">
        <v>814</v>
      </c>
      <c r="I57" s="1">
        <v>0</v>
      </c>
      <c r="J57" s="1">
        <v>500</v>
      </c>
      <c r="K57" s="1">
        <v>0</v>
      </c>
    </row>
    <row r="58" spans="1:13" x14ac:dyDescent="0.25">
      <c r="A58" s="2" t="s">
        <v>815</v>
      </c>
      <c r="B58" s="1" t="s">
        <v>791</v>
      </c>
      <c r="C58" s="55" t="s">
        <v>850</v>
      </c>
      <c r="D58" s="55">
        <v>-150</v>
      </c>
      <c r="E58" s="55">
        <v>138.6</v>
      </c>
      <c r="F58" s="56">
        <f t="shared" si="1"/>
        <v>-20790</v>
      </c>
      <c r="G58" s="57">
        <v>40339</v>
      </c>
      <c r="H58" s="1" t="s">
        <v>862</v>
      </c>
      <c r="I58" s="1">
        <v>0</v>
      </c>
      <c r="J58" s="1">
        <v>150</v>
      </c>
      <c r="K58" s="1">
        <v>100</v>
      </c>
    </row>
    <row r="59" spans="1:13" x14ac:dyDescent="0.25">
      <c r="A59" s="2" t="s">
        <v>815</v>
      </c>
      <c r="B59" s="1" t="s">
        <v>780</v>
      </c>
      <c r="C59" s="55" t="s">
        <v>850</v>
      </c>
      <c r="D59" s="55">
        <v>-100</v>
      </c>
      <c r="E59" s="55">
        <v>215.17</v>
      </c>
      <c r="F59" s="56">
        <f t="shared" si="1"/>
        <v>-21517</v>
      </c>
      <c r="G59" s="41">
        <v>40339</v>
      </c>
      <c r="H59" s="1" t="s">
        <v>863</v>
      </c>
      <c r="I59" s="1">
        <v>0</v>
      </c>
      <c r="J59" s="1">
        <v>100</v>
      </c>
      <c r="K59" s="1">
        <v>0</v>
      </c>
    </row>
    <row r="60" spans="1:13" x14ac:dyDescent="0.25">
      <c r="A60" s="2" t="s">
        <v>864</v>
      </c>
      <c r="B60" s="1" t="s">
        <v>816</v>
      </c>
      <c r="C60" s="55" t="s">
        <v>850</v>
      </c>
      <c r="D60" s="55">
        <v>-100</v>
      </c>
      <c r="E60" s="55">
        <v>765.81</v>
      </c>
      <c r="F60" s="56">
        <f t="shared" si="1"/>
        <v>-76581</v>
      </c>
      <c r="G60" s="41" t="s">
        <v>821</v>
      </c>
      <c r="H60" s="1" t="s">
        <v>865</v>
      </c>
      <c r="I60" s="1">
        <v>0</v>
      </c>
      <c r="J60" s="1">
        <v>100</v>
      </c>
      <c r="K60" s="1">
        <v>100</v>
      </c>
    </row>
    <row r="61" spans="1:13" x14ac:dyDescent="0.25">
      <c r="A61" s="2" t="s">
        <v>866</v>
      </c>
      <c r="B61" s="1" t="s">
        <v>684</v>
      </c>
      <c r="C61" s="55" t="s">
        <v>850</v>
      </c>
      <c r="D61" s="55">
        <v>-400</v>
      </c>
      <c r="E61" s="55">
        <v>180.79</v>
      </c>
      <c r="F61" s="56">
        <f t="shared" si="1"/>
        <v>-72316</v>
      </c>
      <c r="G61" s="41">
        <v>40340</v>
      </c>
      <c r="H61" s="1" t="s">
        <v>867</v>
      </c>
      <c r="I61" s="1">
        <v>0</v>
      </c>
      <c r="J61" s="1">
        <v>400</v>
      </c>
      <c r="K61" s="1">
        <v>0</v>
      </c>
    </row>
    <row r="62" spans="1:13" x14ac:dyDescent="0.25">
      <c r="A62" s="2" t="s">
        <v>868</v>
      </c>
      <c r="B62" s="1" t="s">
        <v>791</v>
      </c>
      <c r="C62" s="55" t="s">
        <v>850</v>
      </c>
      <c r="D62" s="55">
        <v>-150</v>
      </c>
      <c r="E62" s="55">
        <v>129.35</v>
      </c>
      <c r="F62" s="56">
        <f t="shared" si="1"/>
        <v>-19402.5</v>
      </c>
      <c r="G62" s="41">
        <v>40401</v>
      </c>
      <c r="H62" s="1" t="s">
        <v>869</v>
      </c>
      <c r="I62" s="1">
        <v>0</v>
      </c>
      <c r="J62" s="1">
        <v>150</v>
      </c>
      <c r="K62" s="1">
        <v>0</v>
      </c>
    </row>
    <row r="63" spans="1:13" x14ac:dyDescent="0.25">
      <c r="A63" s="2" t="s">
        <v>870</v>
      </c>
      <c r="B63" s="1" t="s">
        <v>816</v>
      </c>
      <c r="C63" s="55" t="s">
        <v>850</v>
      </c>
      <c r="D63" s="55">
        <v>-150</v>
      </c>
      <c r="E63" s="55">
        <v>704.46</v>
      </c>
      <c r="F63" s="56">
        <f t="shared" si="1"/>
        <v>-105669</v>
      </c>
      <c r="G63" s="41" t="s">
        <v>871</v>
      </c>
      <c r="H63" s="1" t="s">
        <v>872</v>
      </c>
      <c r="I63" s="1">
        <v>0</v>
      </c>
      <c r="J63" s="1">
        <v>150</v>
      </c>
      <c r="K63" s="1">
        <v>0</v>
      </c>
    </row>
    <row r="64" spans="1:13" x14ac:dyDescent="0.25">
      <c r="A64" s="2" t="s">
        <v>873</v>
      </c>
      <c r="B64" s="1" t="s">
        <v>801</v>
      </c>
      <c r="C64" s="55" t="s">
        <v>850</v>
      </c>
      <c r="D64" s="55">
        <v>-300</v>
      </c>
      <c r="E64" s="55">
        <v>58.57</v>
      </c>
      <c r="F64" s="56">
        <f t="shared" si="1"/>
        <v>-17571</v>
      </c>
      <c r="G64" s="41" t="s">
        <v>874</v>
      </c>
      <c r="H64" s="1" t="s">
        <v>875</v>
      </c>
      <c r="I64" s="1">
        <v>0</v>
      </c>
      <c r="J64" s="1">
        <v>300</v>
      </c>
      <c r="K64" s="1">
        <v>0</v>
      </c>
    </row>
    <row r="65" spans="1:13" x14ac:dyDescent="0.25">
      <c r="C65" s="55"/>
      <c r="D65" s="55"/>
      <c r="E65" s="55"/>
      <c r="F65" s="56"/>
      <c r="G65" s="41"/>
    </row>
    <row r="66" spans="1:13" x14ac:dyDescent="0.25">
      <c r="A66" s="23"/>
      <c r="B66" s="24"/>
      <c r="C66" s="55"/>
      <c r="D66" s="55"/>
      <c r="E66" s="55"/>
      <c r="F66" s="56"/>
      <c r="G66" s="58"/>
      <c r="H66" s="18"/>
    </row>
    <row r="67" spans="1:13" x14ac:dyDescent="0.25">
      <c r="E67" s="2" t="s">
        <v>659</v>
      </c>
      <c r="F67" s="59">
        <f>SUM(F40:F66)</f>
        <v>-872926.9</v>
      </c>
    </row>
    <row r="68" spans="1:13" x14ac:dyDescent="0.25">
      <c r="G68" s="60"/>
    </row>
    <row r="69" spans="1:13" x14ac:dyDescent="0.25">
      <c r="G69" s="60"/>
    </row>
    <row r="77" spans="1:13" x14ac:dyDescent="0.25">
      <c r="G77" s="37"/>
      <c r="H77" s="30"/>
      <c r="I77" s="30"/>
      <c r="J77" s="30"/>
      <c r="K77" s="30"/>
      <c r="L77" s="30"/>
      <c r="M77" s="30"/>
    </row>
    <row r="78" spans="1:13" x14ac:dyDescent="0.25">
      <c r="A78" s="54" t="s">
        <v>876</v>
      </c>
      <c r="G78" s="43"/>
      <c r="H78" s="43"/>
      <c r="I78" s="30"/>
      <c r="J78" s="30"/>
      <c r="K78" s="30"/>
      <c r="L78" s="30"/>
      <c r="M78" s="30"/>
    </row>
    <row r="79" spans="1:13" x14ac:dyDescent="0.25">
      <c r="C79" s="50"/>
      <c r="D79" s="50"/>
      <c r="E79" s="50"/>
      <c r="F79" s="51"/>
      <c r="G79" s="43"/>
      <c r="I79" s="30"/>
      <c r="J79" s="30"/>
      <c r="K79" s="30"/>
      <c r="L79" s="30"/>
      <c r="M79" s="30"/>
    </row>
    <row r="80" spans="1:13" x14ac:dyDescent="0.25">
      <c r="A80" s="37"/>
      <c r="B80" s="52"/>
      <c r="C80" s="50"/>
      <c r="D80" s="50"/>
      <c r="E80" s="51"/>
      <c r="F80" s="51"/>
      <c r="G80" s="43"/>
      <c r="H80" s="43"/>
      <c r="I80" s="23"/>
      <c r="J80" s="23"/>
      <c r="K80" s="23"/>
    </row>
    <row r="81" spans="1:8" x14ac:dyDescent="0.25">
      <c r="C81" s="50"/>
      <c r="D81" s="50"/>
      <c r="E81" s="50"/>
      <c r="F81" s="51"/>
      <c r="G81" s="43"/>
    </row>
    <row r="82" spans="1:8" x14ac:dyDescent="0.25">
      <c r="G82" s="43"/>
    </row>
    <row r="83" spans="1:8" x14ac:dyDescent="0.25">
      <c r="C83" s="50"/>
      <c r="D83" s="50"/>
      <c r="E83" s="50"/>
      <c r="F83" s="51"/>
      <c r="G83" s="43"/>
      <c r="H83" s="43"/>
    </row>
    <row r="84" spans="1:8" x14ac:dyDescent="0.25">
      <c r="C84" s="50"/>
      <c r="D84" s="50"/>
      <c r="E84" s="50"/>
      <c r="F84" s="51"/>
      <c r="G84" s="3"/>
      <c r="H84" s="43"/>
    </row>
    <row r="85" spans="1:8" x14ac:dyDescent="0.25">
      <c r="H85" s="43"/>
    </row>
    <row r="87" spans="1:8" x14ac:dyDescent="0.25">
      <c r="A87" s="41"/>
      <c r="B87" s="24"/>
      <c r="C87" s="25"/>
      <c r="D87" s="25"/>
      <c r="E87" s="36"/>
      <c r="F87" s="26"/>
      <c r="G87" s="23"/>
    </row>
    <row r="89" spans="1:8" x14ac:dyDescent="0.25">
      <c r="E89" s="2" t="s">
        <v>877</v>
      </c>
      <c r="F89" s="59">
        <f>SUM(F79:F88)</f>
        <v>0</v>
      </c>
    </row>
    <row r="92" spans="1:8" x14ac:dyDescent="0.25">
      <c r="E92" s="2" t="s">
        <v>878</v>
      </c>
      <c r="F92" s="60">
        <f>-F67-(F33-F89)</f>
        <v>10320.45000000007</v>
      </c>
    </row>
    <row r="94" spans="1:8" x14ac:dyDescent="0.25">
      <c r="B94" s="59"/>
    </row>
    <row r="95" spans="1:8" x14ac:dyDescent="0.25">
      <c r="G95" s="46"/>
    </row>
    <row r="96" spans="1:8" x14ac:dyDescent="0.25">
      <c r="A96" s="61"/>
      <c r="B96" s="62"/>
      <c r="C96" s="62"/>
      <c r="D96" s="62"/>
      <c r="E96" s="62"/>
      <c r="F96" s="63"/>
      <c r="G96" s="61"/>
      <c r="H96" s="62"/>
    </row>
    <row r="97" spans="1:8" x14ac:dyDescent="0.25">
      <c r="A97" s="49"/>
      <c r="B97" s="49"/>
      <c r="C97" s="49"/>
      <c r="D97" s="50"/>
      <c r="E97" s="50"/>
      <c r="F97" s="50"/>
      <c r="G97" s="50"/>
      <c r="H97" s="62"/>
    </row>
    <row r="98" spans="1:8" x14ac:dyDescent="0.25">
      <c r="A98" s="49"/>
      <c r="B98" s="49"/>
      <c r="C98" s="49"/>
      <c r="D98" s="50"/>
      <c r="E98" s="50"/>
      <c r="F98" s="50"/>
      <c r="G98" s="50"/>
      <c r="H98" s="62"/>
    </row>
    <row r="99" spans="1:8" x14ac:dyDescent="0.25">
      <c r="A99" s="49"/>
      <c r="B99" s="49"/>
      <c r="C99" s="49"/>
      <c r="D99" s="50"/>
      <c r="E99" s="50"/>
      <c r="F99" s="50"/>
      <c r="G99" s="50"/>
      <c r="H99" s="62"/>
    </row>
    <row r="100" spans="1:8" x14ac:dyDescent="0.25">
      <c r="A100" s="49"/>
      <c r="B100" s="49"/>
      <c r="C100" s="49"/>
      <c r="D100" s="50"/>
      <c r="E100" s="50"/>
      <c r="F100" s="50"/>
      <c r="G100" s="50"/>
      <c r="H100" s="62"/>
    </row>
    <row r="101" spans="1:8" x14ac:dyDescent="0.25">
      <c r="A101" s="49"/>
      <c r="B101" s="49"/>
      <c r="C101" s="49"/>
      <c r="D101" s="64"/>
      <c r="E101" s="64"/>
      <c r="F101" s="64"/>
      <c r="G101" s="64"/>
      <c r="H101" s="62"/>
    </row>
    <row r="102" spans="1:8" x14ac:dyDescent="0.25">
      <c r="A102" s="49"/>
      <c r="B102" s="49"/>
      <c r="C102" s="49"/>
      <c r="D102" s="64"/>
      <c r="E102" s="64"/>
      <c r="F102" s="64"/>
      <c r="G102" s="64"/>
      <c r="H102" s="62"/>
    </row>
    <row r="103" spans="1:8" x14ac:dyDescent="0.25">
      <c r="A103" s="49"/>
      <c r="B103" s="24"/>
      <c r="C103" s="24"/>
      <c r="D103" s="24"/>
      <c r="E103" s="55"/>
      <c r="F103" s="55"/>
      <c r="G103" s="55"/>
      <c r="H103" s="55"/>
    </row>
    <row r="104" spans="1:8" x14ac:dyDescent="0.25">
      <c r="A104" s="24"/>
      <c r="B104" s="24"/>
      <c r="C104" s="24"/>
      <c r="D104" s="24"/>
      <c r="E104" s="55"/>
      <c r="F104" s="55"/>
      <c r="G104" s="55"/>
      <c r="H104" s="55"/>
    </row>
    <row r="105" spans="1:8" x14ac:dyDescent="0.25">
      <c r="A105" s="24"/>
      <c r="B105" s="24"/>
      <c r="C105" s="24"/>
      <c r="D105" s="24"/>
      <c r="E105" s="33"/>
      <c r="F105" s="33"/>
      <c r="G105" s="33"/>
      <c r="H105" s="33"/>
    </row>
    <row r="106" spans="1:8" x14ac:dyDescent="0.25">
      <c r="A106" s="24"/>
      <c r="B106" s="24"/>
      <c r="C106" s="24"/>
      <c r="D106" s="55"/>
      <c r="E106" s="55"/>
      <c r="F106" s="55"/>
      <c r="G106" s="55"/>
      <c r="H106" s="62"/>
    </row>
    <row r="107" spans="1:8" x14ac:dyDescent="0.25">
      <c r="A107" s="49"/>
      <c r="B107" s="49"/>
      <c r="C107" s="49"/>
      <c r="D107" s="64"/>
      <c r="E107" s="64"/>
      <c r="F107" s="64"/>
      <c r="G107" s="64"/>
      <c r="H107" s="62"/>
    </row>
    <row r="108" spans="1:8" x14ac:dyDescent="0.25">
      <c r="A108" s="49"/>
      <c r="B108" s="24"/>
      <c r="C108" s="24"/>
      <c r="D108" s="24"/>
      <c r="E108" s="33"/>
      <c r="F108" s="33"/>
      <c r="G108" s="33"/>
      <c r="H108" s="33"/>
    </row>
    <row r="109" spans="1:8" x14ac:dyDescent="0.25">
      <c r="A109" s="24"/>
      <c r="B109" s="24"/>
      <c r="C109" s="24"/>
      <c r="D109" s="24"/>
      <c r="E109" s="33"/>
      <c r="F109" s="33"/>
      <c r="G109" s="33"/>
      <c r="H109" s="33"/>
    </row>
    <row r="110" spans="1:8" x14ac:dyDescent="0.25">
      <c r="A110" s="49"/>
      <c r="B110" s="24"/>
      <c r="C110" s="24"/>
      <c r="D110" s="24"/>
      <c r="E110" s="55"/>
      <c r="F110" s="55"/>
      <c r="G110" s="55"/>
      <c r="H110" s="55"/>
    </row>
    <row r="111" spans="1:8" x14ac:dyDescent="0.25">
      <c r="A111" s="49"/>
      <c r="B111" s="24"/>
      <c r="C111" s="24"/>
      <c r="D111" s="24"/>
      <c r="E111" s="33"/>
      <c r="F111" s="33"/>
      <c r="G111" s="33"/>
      <c r="H111" s="43"/>
    </row>
    <row r="112" spans="1:8" x14ac:dyDescent="0.25">
      <c r="A112" s="49"/>
      <c r="B112" s="49"/>
      <c r="C112" s="49"/>
      <c r="D112" s="50"/>
      <c r="E112" s="50"/>
      <c r="F112" s="50"/>
      <c r="G112" s="50"/>
      <c r="H112" s="62"/>
    </row>
    <row r="113" spans="1:8" x14ac:dyDescent="0.25">
      <c r="A113" s="49"/>
      <c r="B113" s="49"/>
      <c r="C113" s="49"/>
      <c r="D113" s="50"/>
      <c r="E113" s="50"/>
      <c r="F113" s="50"/>
      <c r="G113" s="50"/>
      <c r="H113" s="62"/>
    </row>
    <row r="114" spans="1:8" x14ac:dyDescent="0.25">
      <c r="A114" s="61"/>
      <c r="B114" s="62"/>
      <c r="C114" s="62"/>
      <c r="D114" s="62"/>
      <c r="E114" s="62"/>
      <c r="F114" s="62"/>
      <c r="G114" s="61"/>
      <c r="H114" s="62"/>
    </row>
  </sheetData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S43"/>
  <sheetViews>
    <sheetView topLeftCell="A4" workbookViewId="0">
      <selection activeCell="P22" sqref="P22"/>
    </sheetView>
  </sheetViews>
  <sheetFormatPr defaultColWidth="9.21875" defaultRowHeight="13.2" x14ac:dyDescent="0.25"/>
  <cols>
    <col min="1" max="1" width="10.44140625" style="1" bestFit="1" customWidth="1"/>
    <col min="2" max="2" width="17.21875" style="76" bestFit="1" customWidth="1"/>
    <col min="3" max="3" width="10" style="1" bestFit="1" customWidth="1"/>
    <col min="4" max="4" width="10.44140625" style="1" bestFit="1" customWidth="1"/>
    <col min="5" max="5" width="9.77734375" style="1" bestFit="1" customWidth="1"/>
    <col min="6" max="6" width="14.21875" style="1" bestFit="1" customWidth="1"/>
    <col min="7" max="7" width="12.5546875" style="78" bestFit="1" customWidth="1"/>
    <col min="8" max="8" width="9.21875" style="1"/>
    <col min="9" max="9" width="9.21875" style="1" customWidth="1"/>
    <col min="10" max="10" width="10" style="1" bestFit="1" customWidth="1"/>
    <col min="11" max="15" width="9.21875" style="1"/>
    <col min="16" max="16" width="11.44140625" style="1" bestFit="1" customWidth="1"/>
    <col min="17" max="17" width="9.77734375" style="1" bestFit="1" customWidth="1"/>
    <col min="18" max="16384" width="9.21875" style="1"/>
  </cols>
  <sheetData>
    <row r="2" spans="1:18" ht="26.4" x14ac:dyDescent="0.25">
      <c r="A2" s="207" t="s">
        <v>879</v>
      </c>
      <c r="B2" s="207" t="s">
        <v>880</v>
      </c>
      <c r="C2" s="208" t="s">
        <v>881</v>
      </c>
      <c r="D2" s="209" t="s">
        <v>882</v>
      </c>
      <c r="E2" s="208" t="s">
        <v>883</v>
      </c>
      <c r="F2" s="209" t="s">
        <v>884</v>
      </c>
      <c r="G2" s="208" t="s">
        <v>885</v>
      </c>
      <c r="H2" s="208" t="s">
        <v>886</v>
      </c>
      <c r="I2" s="208" t="s">
        <v>887</v>
      </c>
      <c r="J2" s="208" t="s">
        <v>888</v>
      </c>
      <c r="K2" s="208" t="s">
        <v>889</v>
      </c>
      <c r="L2" s="208" t="s">
        <v>890</v>
      </c>
      <c r="M2" s="208" t="s">
        <v>891</v>
      </c>
      <c r="N2" s="208" t="s">
        <v>892</v>
      </c>
      <c r="O2" s="208" t="s">
        <v>893</v>
      </c>
      <c r="P2" s="208" t="s">
        <v>894</v>
      </c>
      <c r="Q2" s="210"/>
      <c r="R2" s="211" t="s">
        <v>895</v>
      </c>
    </row>
    <row r="3" spans="1:18" x14ac:dyDescent="0.25">
      <c r="A3" s="65" t="s">
        <v>896</v>
      </c>
      <c r="B3" s="66">
        <v>22000007027169</v>
      </c>
      <c r="C3" s="67">
        <v>0.64068287037037031</v>
      </c>
      <c r="D3" s="62">
        <v>2479</v>
      </c>
      <c r="E3" s="67">
        <v>0.64068287037037031</v>
      </c>
      <c r="F3" s="62" t="s">
        <v>897</v>
      </c>
      <c r="G3" s="61">
        <v>1.5645</v>
      </c>
      <c r="H3" s="61" t="s">
        <v>899</v>
      </c>
      <c r="I3" s="61">
        <v>523.06449999999995</v>
      </c>
      <c r="J3" s="49"/>
      <c r="K3" s="61">
        <v>521.5</v>
      </c>
      <c r="L3" s="61">
        <v>7822.5</v>
      </c>
      <c r="M3" s="61">
        <v>23.467500000000001</v>
      </c>
      <c r="N3" s="61">
        <v>2.44</v>
      </c>
      <c r="O3" s="61">
        <v>9.74</v>
      </c>
      <c r="P3" s="61">
        <v>-7845.9674999999997</v>
      </c>
      <c r="R3" s="59"/>
    </row>
    <row r="4" spans="1:18" x14ac:dyDescent="0.25">
      <c r="A4" s="65" t="s">
        <v>896</v>
      </c>
      <c r="B4" s="66">
        <v>22000007027169</v>
      </c>
      <c r="C4" s="67">
        <v>0.64068287037037031</v>
      </c>
      <c r="D4" s="62">
        <v>2480</v>
      </c>
      <c r="E4" s="67">
        <v>0.64068287037037031</v>
      </c>
      <c r="F4" s="62" t="s">
        <v>897</v>
      </c>
      <c r="G4" s="61">
        <v>1.5645</v>
      </c>
      <c r="H4" s="61" t="s">
        <v>900</v>
      </c>
      <c r="I4" s="61">
        <v>523.06449999999995</v>
      </c>
      <c r="J4" s="49"/>
      <c r="K4" s="61">
        <v>521.5</v>
      </c>
      <c r="L4" s="61">
        <v>2607.5</v>
      </c>
      <c r="M4" s="61">
        <v>7.8224999999999998</v>
      </c>
      <c r="N4" s="61">
        <v>0.81</v>
      </c>
      <c r="O4" s="61">
        <v>3.26</v>
      </c>
      <c r="P4" s="61">
        <v>-2615.3225000000002</v>
      </c>
      <c r="R4" s="68">
        <v>-17.649999999999999</v>
      </c>
    </row>
    <row r="5" spans="1:18" x14ac:dyDescent="0.25">
      <c r="A5" s="69">
        <v>40217</v>
      </c>
      <c r="B5" s="66">
        <v>20000006027935</v>
      </c>
      <c r="C5" s="67">
        <v>0.64166666666666672</v>
      </c>
      <c r="D5" s="62">
        <v>9811</v>
      </c>
      <c r="E5" s="67">
        <v>0.64187499999999997</v>
      </c>
      <c r="F5" s="62" t="s">
        <v>897</v>
      </c>
      <c r="G5" s="61">
        <v>1.6559999999999999</v>
      </c>
      <c r="H5" s="48"/>
      <c r="I5" s="61">
        <v>550.34400000000005</v>
      </c>
      <c r="J5" s="61">
        <v>20</v>
      </c>
      <c r="K5" s="61">
        <v>552</v>
      </c>
      <c r="L5" s="61">
        <v>11040</v>
      </c>
      <c r="M5" s="61">
        <v>33.119999999999997</v>
      </c>
      <c r="N5" s="61">
        <v>3.44</v>
      </c>
      <c r="O5" s="61">
        <v>13.8</v>
      </c>
      <c r="P5" s="61">
        <v>11006.88</v>
      </c>
      <c r="R5" s="59"/>
    </row>
    <row r="6" spans="1:18" x14ac:dyDescent="0.25">
      <c r="A6" s="69">
        <v>40217</v>
      </c>
      <c r="B6" s="66">
        <v>19000017021865</v>
      </c>
      <c r="C6" s="67">
        <v>0.59928240740740735</v>
      </c>
      <c r="D6" s="62">
        <v>7935</v>
      </c>
      <c r="E6" s="67">
        <v>0.60483796296296299</v>
      </c>
      <c r="F6" s="62" t="s">
        <v>901</v>
      </c>
      <c r="G6" s="61">
        <v>0.62250000000000005</v>
      </c>
      <c r="H6" s="61" t="s">
        <v>902</v>
      </c>
      <c r="I6" s="61">
        <v>208.1225</v>
      </c>
      <c r="J6" s="49"/>
      <c r="K6" s="61">
        <v>207.5</v>
      </c>
      <c r="L6" s="61">
        <v>10375</v>
      </c>
      <c r="M6" s="61">
        <v>31.125</v>
      </c>
      <c r="N6" s="61">
        <v>3.23</v>
      </c>
      <c r="O6" s="61">
        <v>13.2</v>
      </c>
      <c r="P6" s="61">
        <v>-10406.125</v>
      </c>
      <c r="R6" s="68">
        <v>-36.31</v>
      </c>
    </row>
    <row r="7" spans="1:18" x14ac:dyDescent="0.25">
      <c r="A7" s="70">
        <v>40245</v>
      </c>
      <c r="B7" s="66">
        <v>2010080334152720</v>
      </c>
      <c r="C7" s="67">
        <v>0.42005787037037035</v>
      </c>
      <c r="D7" s="62">
        <v>33761897</v>
      </c>
      <c r="E7" s="67">
        <v>0.42009259259259263</v>
      </c>
      <c r="F7" s="62" t="s">
        <v>903</v>
      </c>
      <c r="G7" s="71">
        <v>0.39140000000000003</v>
      </c>
      <c r="H7" s="61" t="s">
        <v>902</v>
      </c>
      <c r="I7" s="62">
        <v>130.84</v>
      </c>
      <c r="J7" s="62"/>
      <c r="K7" s="62">
        <v>130.44999999999999</v>
      </c>
      <c r="L7" s="62">
        <v>6522.5</v>
      </c>
      <c r="M7" s="62">
        <v>19.57</v>
      </c>
      <c r="N7" s="62">
        <v>2.04</v>
      </c>
      <c r="O7" s="62">
        <v>8.11</v>
      </c>
      <c r="P7" s="62">
        <v>-6542.07</v>
      </c>
      <c r="R7" s="59"/>
    </row>
    <row r="8" spans="1:18" x14ac:dyDescent="0.25">
      <c r="A8" s="70">
        <v>40245</v>
      </c>
      <c r="B8" s="66">
        <v>2010080334152720</v>
      </c>
      <c r="C8" s="67">
        <v>0.42005787037037035</v>
      </c>
      <c r="D8" s="62">
        <v>33762015</v>
      </c>
      <c r="E8" s="67">
        <v>0.42010416666666667</v>
      </c>
      <c r="F8" s="62" t="s">
        <v>903</v>
      </c>
      <c r="G8" s="71">
        <v>0.39140000000000003</v>
      </c>
      <c r="H8" s="61" t="s">
        <v>904</v>
      </c>
      <c r="I8" s="62">
        <v>130.84</v>
      </c>
      <c r="J8" s="62"/>
      <c r="K8" s="62">
        <v>130.44999999999999</v>
      </c>
      <c r="L8" s="62">
        <v>3913.5</v>
      </c>
      <c r="M8" s="62">
        <v>11.742000000000001</v>
      </c>
      <c r="N8" s="62">
        <v>1.22</v>
      </c>
      <c r="O8" s="62">
        <v>4.8899999999999997</v>
      </c>
      <c r="P8" s="62">
        <v>-3925.2420000000002</v>
      </c>
      <c r="R8" s="63">
        <v>-17.66</v>
      </c>
    </row>
    <row r="9" spans="1:18" x14ac:dyDescent="0.25">
      <c r="A9" s="70">
        <v>40276</v>
      </c>
      <c r="B9" s="66">
        <v>23000054012462</v>
      </c>
      <c r="C9" s="67">
        <v>0.45170138888888894</v>
      </c>
      <c r="D9" s="62">
        <v>1847</v>
      </c>
      <c r="E9" s="67">
        <v>0.45174768518518515</v>
      </c>
      <c r="F9" s="62" t="s">
        <v>905</v>
      </c>
      <c r="G9" s="61">
        <v>0.621</v>
      </c>
      <c r="H9" s="61" t="s">
        <v>902</v>
      </c>
      <c r="I9" s="61">
        <v>207.62100000000001</v>
      </c>
      <c r="J9" s="49"/>
      <c r="K9" s="61">
        <v>207</v>
      </c>
      <c r="L9" s="61">
        <v>10350</v>
      </c>
      <c r="M9" s="61">
        <v>31.05</v>
      </c>
      <c r="N9" s="61">
        <v>3.22</v>
      </c>
      <c r="O9" s="61">
        <v>13.33</v>
      </c>
      <c r="P9" s="61">
        <v>-10381.049999999999</v>
      </c>
      <c r="R9" s="59"/>
    </row>
    <row r="10" spans="1:18" x14ac:dyDescent="0.25">
      <c r="A10" s="70">
        <v>40276</v>
      </c>
      <c r="B10" s="66">
        <v>18000054012862</v>
      </c>
      <c r="C10" s="67">
        <v>0.44836805555555559</v>
      </c>
      <c r="D10" s="62">
        <v>2343</v>
      </c>
      <c r="E10" s="67">
        <v>0.44895833333333335</v>
      </c>
      <c r="F10" s="62" t="s">
        <v>901</v>
      </c>
      <c r="G10" s="61">
        <v>0.65639999999999998</v>
      </c>
      <c r="H10" s="48"/>
      <c r="I10" s="61">
        <v>218.14359999999999</v>
      </c>
      <c r="J10" s="61" t="s">
        <v>902</v>
      </c>
      <c r="K10" s="61">
        <v>218.8</v>
      </c>
      <c r="L10" s="61">
        <v>10940</v>
      </c>
      <c r="M10" s="61">
        <v>32.82</v>
      </c>
      <c r="N10" s="61">
        <v>3.41</v>
      </c>
      <c r="O10" s="61">
        <v>13.68</v>
      </c>
      <c r="P10" s="61">
        <v>10907.18</v>
      </c>
      <c r="R10" s="68">
        <v>-36.26</v>
      </c>
    </row>
    <row r="11" spans="1:18" x14ac:dyDescent="0.25">
      <c r="A11" s="70">
        <v>40337</v>
      </c>
      <c r="B11" s="66">
        <v>2010080634390440</v>
      </c>
      <c r="C11" s="67">
        <v>0.44943287037037033</v>
      </c>
      <c r="D11" s="62">
        <v>33874059</v>
      </c>
      <c r="E11" s="67">
        <v>0.44966435185185188</v>
      </c>
      <c r="F11" s="62" t="s">
        <v>903</v>
      </c>
      <c r="G11" s="72">
        <v>0.36270000000000002</v>
      </c>
      <c r="H11" s="62"/>
      <c r="I11" s="62">
        <v>120.54</v>
      </c>
      <c r="J11" s="62" t="s">
        <v>906</v>
      </c>
      <c r="K11" s="62">
        <v>120.9</v>
      </c>
      <c r="L11" s="62">
        <v>9672</v>
      </c>
      <c r="M11" s="62">
        <v>29.015999999999998</v>
      </c>
      <c r="N11" s="62">
        <v>3.02</v>
      </c>
      <c r="O11" s="62">
        <v>12</v>
      </c>
      <c r="P11" s="73">
        <v>9642.9840000000004</v>
      </c>
      <c r="Q11" s="74"/>
      <c r="R11" s="63">
        <v>-17.39</v>
      </c>
    </row>
    <row r="12" spans="1:18" x14ac:dyDescent="0.25">
      <c r="A12" s="70">
        <v>40429</v>
      </c>
      <c r="B12" s="66">
        <v>15000007015174</v>
      </c>
      <c r="C12" s="67">
        <v>0.47600694444444441</v>
      </c>
      <c r="D12" s="62">
        <v>1441</v>
      </c>
      <c r="E12" s="67">
        <v>0.47600694444444441</v>
      </c>
      <c r="F12" s="62" t="s">
        <v>907</v>
      </c>
      <c r="G12" s="72">
        <v>0.12230000000000001</v>
      </c>
      <c r="H12" s="62">
        <v>15</v>
      </c>
      <c r="I12" s="62">
        <v>407.82229999999998</v>
      </c>
      <c r="J12" s="62"/>
      <c r="K12" s="62">
        <v>407.7</v>
      </c>
      <c r="L12" s="62">
        <v>6115.5</v>
      </c>
      <c r="M12" s="62">
        <v>1.8345</v>
      </c>
      <c r="N12" s="62">
        <v>0.21</v>
      </c>
      <c r="O12" s="62"/>
      <c r="P12" s="62">
        <v>-6117.3344999999999</v>
      </c>
      <c r="R12" s="59"/>
    </row>
    <row r="13" spans="1:18" x14ac:dyDescent="0.25">
      <c r="A13" s="70">
        <v>40429</v>
      </c>
      <c r="B13" s="66">
        <v>14000007024836</v>
      </c>
      <c r="C13" s="67">
        <v>0.63989583333333333</v>
      </c>
      <c r="D13" s="62">
        <v>2365</v>
      </c>
      <c r="E13" s="67">
        <v>0.63989583333333333</v>
      </c>
      <c r="F13" s="1" t="s">
        <v>907</v>
      </c>
      <c r="G13" s="75">
        <v>0.12479999999999999</v>
      </c>
      <c r="H13" s="62"/>
      <c r="I13" s="62">
        <v>415.87520000000001</v>
      </c>
      <c r="J13" s="62">
        <v>15</v>
      </c>
      <c r="K13" s="62">
        <v>416</v>
      </c>
      <c r="L13" s="62">
        <v>6240</v>
      </c>
      <c r="M13" s="62">
        <v>1.8720000000000001</v>
      </c>
      <c r="N13" s="62">
        <v>0.21</v>
      </c>
      <c r="O13" s="62">
        <v>2</v>
      </c>
      <c r="P13" s="62">
        <v>6238.1279999999997</v>
      </c>
      <c r="R13" s="59">
        <v>-32.083500000000001</v>
      </c>
    </row>
    <row r="14" spans="1:18" x14ac:dyDescent="0.25">
      <c r="A14" s="70">
        <v>40429</v>
      </c>
      <c r="B14" s="76">
        <v>2010080903167320</v>
      </c>
      <c r="C14" s="77">
        <v>0.63021990740740741</v>
      </c>
      <c r="D14" s="1">
        <v>2096903</v>
      </c>
      <c r="E14" s="77">
        <v>0.63023148148148145</v>
      </c>
      <c r="F14" s="1" t="s">
        <v>908</v>
      </c>
      <c r="G14" s="75">
        <v>0.21479999999999999</v>
      </c>
      <c r="H14" s="1" t="s">
        <v>909</v>
      </c>
      <c r="I14" s="1">
        <v>71.81</v>
      </c>
      <c r="K14" s="1">
        <v>71.599999999999994</v>
      </c>
      <c r="L14" s="1">
        <v>10740</v>
      </c>
      <c r="M14" s="1">
        <v>32.22</v>
      </c>
      <c r="N14" s="1">
        <v>3.35</v>
      </c>
      <c r="O14" s="1">
        <v>13</v>
      </c>
      <c r="P14" s="1">
        <v>-10772.22</v>
      </c>
      <c r="R14" s="59">
        <v>-17.79</v>
      </c>
    </row>
    <row r="15" spans="1:18" x14ac:dyDescent="0.25">
      <c r="A15" s="57">
        <v>40459</v>
      </c>
      <c r="B15" s="76">
        <v>14000024010905</v>
      </c>
      <c r="C15" s="67">
        <v>0.45109953703703703</v>
      </c>
      <c r="D15" s="62">
        <v>2607</v>
      </c>
      <c r="E15" s="67">
        <v>0.45134259259259263</v>
      </c>
      <c r="F15" s="62" t="s">
        <v>905</v>
      </c>
      <c r="G15" s="75">
        <v>0.65759999999999996</v>
      </c>
      <c r="H15" s="61"/>
      <c r="I15" s="61">
        <v>218.54239999999999</v>
      </c>
      <c r="J15" s="49" t="s">
        <v>902</v>
      </c>
      <c r="K15" s="61">
        <v>219.2</v>
      </c>
      <c r="L15" s="61">
        <v>10960</v>
      </c>
      <c r="M15" s="62">
        <v>32.880000000000003</v>
      </c>
      <c r="N15" s="1">
        <v>3.41</v>
      </c>
      <c r="O15" s="1">
        <v>14</v>
      </c>
      <c r="P15" s="1">
        <v>10927.12</v>
      </c>
      <c r="R15" s="59">
        <v>-18.77</v>
      </c>
    </row>
    <row r="16" spans="1:18" x14ac:dyDescent="0.25">
      <c r="A16" s="57">
        <v>40490</v>
      </c>
      <c r="B16" s="76">
        <v>2010081135497190</v>
      </c>
      <c r="C16" s="77">
        <v>0.60115740740740742</v>
      </c>
      <c r="D16" s="1">
        <v>34698534</v>
      </c>
      <c r="E16" s="77">
        <v>0.60116898148148146</v>
      </c>
      <c r="F16" s="1" t="s">
        <v>910</v>
      </c>
      <c r="G16" s="75">
        <v>0.12</v>
      </c>
      <c r="H16" s="1" t="s">
        <v>911</v>
      </c>
      <c r="I16" s="1">
        <v>40.119999999999997</v>
      </c>
      <c r="K16" s="1">
        <v>40</v>
      </c>
      <c r="L16" s="1">
        <v>10000</v>
      </c>
      <c r="M16" s="1">
        <v>30</v>
      </c>
      <c r="N16" s="1">
        <v>3.12</v>
      </c>
      <c r="O16" s="1">
        <v>13</v>
      </c>
      <c r="P16" s="1">
        <v>-10030</v>
      </c>
      <c r="R16" s="59">
        <v>-17.46</v>
      </c>
    </row>
    <row r="17" spans="1:19" x14ac:dyDescent="0.25">
      <c r="A17" s="2" t="s">
        <v>912</v>
      </c>
      <c r="B17" s="76">
        <v>2010081802519740</v>
      </c>
      <c r="C17" s="77">
        <v>0.54893518518518525</v>
      </c>
      <c r="D17" s="1">
        <v>1638141</v>
      </c>
      <c r="E17" s="77">
        <v>0.56087962962962956</v>
      </c>
      <c r="F17" s="1" t="s">
        <v>908</v>
      </c>
      <c r="G17" s="75">
        <v>0.20039999999999999</v>
      </c>
      <c r="I17" s="1">
        <v>66.599999999999994</v>
      </c>
      <c r="J17" s="1" t="s">
        <v>913</v>
      </c>
      <c r="K17" s="1">
        <v>66.8</v>
      </c>
      <c r="L17" s="1">
        <v>9218.4</v>
      </c>
      <c r="M17" s="1">
        <v>27.655200000000001</v>
      </c>
      <c r="N17" s="1">
        <v>2.88</v>
      </c>
      <c r="O17" s="1">
        <v>11.86</v>
      </c>
      <c r="P17" s="1">
        <v>9190.7448000000004</v>
      </c>
      <c r="R17" s="59"/>
    </row>
    <row r="18" spans="1:19" x14ac:dyDescent="0.25">
      <c r="A18" s="2" t="s">
        <v>912</v>
      </c>
      <c r="B18" s="76">
        <v>2010081802519740</v>
      </c>
      <c r="C18" s="77">
        <v>0.54893518518518525</v>
      </c>
      <c r="D18" s="1">
        <v>1646606</v>
      </c>
      <c r="E18" s="77">
        <v>0.5618171296296296</v>
      </c>
      <c r="F18" s="1" t="s">
        <v>908</v>
      </c>
      <c r="G18" s="75">
        <v>0.20039999999999999</v>
      </c>
      <c r="I18" s="1">
        <v>66.599999999999994</v>
      </c>
      <c r="J18" s="1" t="s">
        <v>914</v>
      </c>
      <c r="K18" s="1">
        <v>66.8</v>
      </c>
      <c r="L18" s="1">
        <v>801.6</v>
      </c>
      <c r="M18" s="1">
        <v>2.4047999999999998</v>
      </c>
      <c r="N18" s="1">
        <v>0.25</v>
      </c>
      <c r="O18" s="1">
        <v>1</v>
      </c>
      <c r="P18" s="1">
        <v>799.1952</v>
      </c>
      <c r="R18" s="59"/>
    </row>
    <row r="19" spans="1:19" x14ac:dyDescent="0.25">
      <c r="A19" s="2" t="s">
        <v>912</v>
      </c>
      <c r="B19" s="76">
        <v>2010081834579290</v>
      </c>
      <c r="C19" s="77">
        <v>0.53989583333333335</v>
      </c>
      <c r="D19" s="1">
        <v>34397267</v>
      </c>
      <c r="E19" s="77">
        <v>0.53989583333333335</v>
      </c>
      <c r="F19" s="1" t="s">
        <v>910</v>
      </c>
      <c r="G19" s="75">
        <v>0.1166</v>
      </c>
      <c r="I19" s="1">
        <v>38.729999999999997</v>
      </c>
      <c r="J19" s="1" t="s">
        <v>911</v>
      </c>
      <c r="K19" s="1">
        <v>38.85</v>
      </c>
      <c r="L19" s="1">
        <v>9712.5</v>
      </c>
      <c r="M19" s="1">
        <v>29.15</v>
      </c>
      <c r="N19" s="1">
        <v>3.04</v>
      </c>
      <c r="O19" s="1">
        <v>12.14</v>
      </c>
      <c r="P19" s="1">
        <v>9683.35</v>
      </c>
      <c r="R19" s="59">
        <v>-33.799999999999997</v>
      </c>
    </row>
    <row r="20" spans="1:19" x14ac:dyDescent="0.25">
      <c r="A20" s="2" t="s">
        <v>915</v>
      </c>
      <c r="B20" s="76">
        <v>12000020022467</v>
      </c>
      <c r="C20" s="77">
        <v>0.46893518518518523</v>
      </c>
      <c r="D20" s="1">
        <v>1073</v>
      </c>
      <c r="E20" s="77">
        <v>0.46893518518518523</v>
      </c>
      <c r="F20" s="1" t="s">
        <v>916</v>
      </c>
      <c r="H20" s="1" t="s">
        <v>917</v>
      </c>
      <c r="I20" s="1">
        <v>29.237500000000001</v>
      </c>
      <c r="K20" s="1">
        <v>29.1</v>
      </c>
      <c r="L20" s="1">
        <v>1574</v>
      </c>
      <c r="M20" s="1">
        <v>4.7249999999999996</v>
      </c>
      <c r="N20" s="1">
        <v>0.49</v>
      </c>
      <c r="O20" s="1">
        <v>1.86</v>
      </c>
      <c r="P20" s="1">
        <v>-1578.825</v>
      </c>
      <c r="R20" s="59"/>
    </row>
    <row r="21" spans="1:19" x14ac:dyDescent="0.25">
      <c r="A21" s="2" t="s">
        <v>915</v>
      </c>
      <c r="B21" s="66">
        <v>19000023026356</v>
      </c>
      <c r="C21" s="67">
        <v>0.47069444444444447</v>
      </c>
      <c r="D21" s="62">
        <v>1076</v>
      </c>
      <c r="E21" s="67">
        <v>0.48373842592592592</v>
      </c>
      <c r="F21" s="1" t="s">
        <v>916</v>
      </c>
      <c r="G21" s="79"/>
      <c r="H21" s="62" t="s">
        <v>906</v>
      </c>
      <c r="I21" s="62">
        <v>19.735312499999999</v>
      </c>
      <c r="J21" s="62"/>
      <c r="K21" s="1">
        <v>29.1</v>
      </c>
      <c r="L21" s="62">
        <v>2332</v>
      </c>
      <c r="M21" s="62">
        <v>7</v>
      </c>
      <c r="N21" s="62">
        <v>0.73</v>
      </c>
      <c r="O21" s="1">
        <v>2.92</v>
      </c>
      <c r="P21" s="1">
        <v>-2339</v>
      </c>
      <c r="R21" s="59"/>
    </row>
    <row r="22" spans="1:19" x14ac:dyDescent="0.25">
      <c r="A22" s="2" t="s">
        <v>915</v>
      </c>
      <c r="B22" s="66">
        <v>19000023026356</v>
      </c>
      <c r="C22" s="67">
        <v>0.47069444444444447</v>
      </c>
      <c r="D22" s="62">
        <v>1077</v>
      </c>
      <c r="E22" s="67">
        <v>0.48998842592592595</v>
      </c>
      <c r="F22" s="1" t="s">
        <v>916</v>
      </c>
      <c r="G22" s="79"/>
      <c r="H22" s="62" t="s">
        <v>1006</v>
      </c>
      <c r="I22" s="62">
        <v>29.237500000000001</v>
      </c>
      <c r="J22" s="62"/>
      <c r="K22" s="1">
        <v>29.1</v>
      </c>
      <c r="L22" s="62">
        <v>3381.4</v>
      </c>
      <c r="M22" s="62">
        <v>10.15</v>
      </c>
      <c r="N22" s="62">
        <v>1.05</v>
      </c>
      <c r="O22" s="1">
        <v>4.2300000000000004</v>
      </c>
      <c r="P22" s="1">
        <v>-3391.55</v>
      </c>
      <c r="R22" s="59">
        <v>-21.155000000000001</v>
      </c>
    </row>
    <row r="23" spans="1:19" x14ac:dyDescent="0.25">
      <c r="A23" s="2" t="s">
        <v>858</v>
      </c>
      <c r="B23" s="76">
        <v>15000067023964</v>
      </c>
      <c r="C23" s="77">
        <v>0.44158564814814816</v>
      </c>
      <c r="D23" s="1">
        <v>1011</v>
      </c>
      <c r="E23" s="77">
        <v>0.44167824074074075</v>
      </c>
      <c r="F23" s="1" t="s">
        <v>916</v>
      </c>
      <c r="G23" s="75">
        <v>8.7300000000000003E-2</v>
      </c>
      <c r="H23" s="1" t="s">
        <v>911</v>
      </c>
      <c r="I23" s="1">
        <v>29.1873</v>
      </c>
      <c r="K23" s="1">
        <v>29.1</v>
      </c>
      <c r="L23" s="1">
        <v>7275</v>
      </c>
      <c r="M23" s="1">
        <v>21.824999999999999</v>
      </c>
      <c r="N23" s="1">
        <v>2.2599999999999998</v>
      </c>
      <c r="O23" s="1">
        <v>9</v>
      </c>
      <c r="P23" s="1">
        <v>-7296.8249999999998</v>
      </c>
      <c r="R23" s="59">
        <v>-21.184999999999999</v>
      </c>
    </row>
    <row r="24" spans="1:19" x14ac:dyDescent="0.25">
      <c r="A24" s="57">
        <v>40187</v>
      </c>
      <c r="B24" s="66">
        <v>22000023028334</v>
      </c>
      <c r="C24" s="67">
        <v>0.59001157407407401</v>
      </c>
      <c r="D24" s="62">
        <v>1012</v>
      </c>
      <c r="E24" s="67">
        <v>0.59001157407407401</v>
      </c>
      <c r="F24" s="62" t="s">
        <v>916</v>
      </c>
      <c r="G24" s="72">
        <v>8.1000000000000003E-2</v>
      </c>
      <c r="H24" s="62"/>
      <c r="I24" s="62">
        <v>26.919</v>
      </c>
      <c r="J24" s="62" t="s">
        <v>1007</v>
      </c>
      <c r="K24" s="62">
        <v>27</v>
      </c>
      <c r="L24" s="62">
        <v>13500</v>
      </c>
      <c r="M24" s="62">
        <v>40.5</v>
      </c>
      <c r="N24" s="62">
        <v>4.22</v>
      </c>
      <c r="O24" s="1">
        <v>17</v>
      </c>
      <c r="P24" s="1">
        <v>13459.5</v>
      </c>
      <c r="R24" s="59">
        <v>-23.02</v>
      </c>
    </row>
    <row r="25" spans="1:19" x14ac:dyDescent="0.25">
      <c r="A25" s="57">
        <v>40246</v>
      </c>
      <c r="B25" s="66">
        <v>2010090334544220</v>
      </c>
      <c r="C25" s="67">
        <v>0.46393518518518517</v>
      </c>
      <c r="D25" s="62">
        <v>33991921</v>
      </c>
      <c r="E25" s="67">
        <v>0.46434027777777781</v>
      </c>
      <c r="F25" s="62" t="s">
        <v>1008</v>
      </c>
      <c r="G25" s="72">
        <v>0.52800000000000002</v>
      </c>
      <c r="H25" s="62" t="s">
        <v>1009</v>
      </c>
      <c r="I25" s="62">
        <v>176.53</v>
      </c>
      <c r="J25" s="62"/>
      <c r="K25" s="62">
        <v>176</v>
      </c>
      <c r="L25" s="62">
        <v>17600</v>
      </c>
      <c r="M25" s="62">
        <v>52.8</v>
      </c>
      <c r="N25" s="62">
        <v>5.5</v>
      </c>
      <c r="O25" s="1">
        <v>22</v>
      </c>
      <c r="P25" s="1">
        <v>-17652</v>
      </c>
      <c r="R25" s="59">
        <v>-29.85</v>
      </c>
    </row>
    <row r="26" spans="1:19" x14ac:dyDescent="0.25">
      <c r="A26" s="2" t="s">
        <v>1010</v>
      </c>
      <c r="B26" s="66">
        <v>2010091335806560</v>
      </c>
      <c r="C26" s="67">
        <v>0.60765046296296299</v>
      </c>
      <c r="D26" s="62">
        <v>35023442</v>
      </c>
      <c r="E26" s="67">
        <v>0.60768518518518522</v>
      </c>
      <c r="F26" s="62" t="s">
        <v>1008</v>
      </c>
      <c r="G26" s="72">
        <v>0.54649999999999999</v>
      </c>
      <c r="H26" s="62"/>
      <c r="I26" s="62">
        <v>181.6</v>
      </c>
      <c r="J26" s="62" t="s">
        <v>1009</v>
      </c>
      <c r="K26" s="62">
        <v>182.15</v>
      </c>
      <c r="L26" s="62">
        <v>18215</v>
      </c>
      <c r="M26" s="62">
        <v>54.65</v>
      </c>
      <c r="N26" s="62">
        <v>5.69</v>
      </c>
      <c r="O26" s="1">
        <v>23</v>
      </c>
      <c r="P26" s="1">
        <v>18160.349999999999</v>
      </c>
      <c r="R26" s="59">
        <v>-31.12</v>
      </c>
    </row>
    <row r="27" spans="1:19" x14ac:dyDescent="0.25">
      <c r="R27" s="59">
        <v>210</v>
      </c>
      <c r="S27" s="1" t="s">
        <v>1011</v>
      </c>
    </row>
    <row r="28" spans="1:19" x14ac:dyDescent="0.25">
      <c r="R28" s="59">
        <f>-36.4+-60.66</f>
        <v>-97.06</v>
      </c>
      <c r="S28" s="1" t="s">
        <v>1012</v>
      </c>
    </row>
    <row r="29" spans="1:19" x14ac:dyDescent="0.25">
      <c r="R29" s="59"/>
    </row>
    <row r="30" spans="1:19" x14ac:dyDescent="0.25">
      <c r="F30" s="61" t="s">
        <v>1013</v>
      </c>
      <c r="G30" s="80">
        <v>20000</v>
      </c>
    </row>
    <row r="31" spans="1:19" x14ac:dyDescent="0.25">
      <c r="B31" s="66"/>
      <c r="C31" s="62"/>
      <c r="D31" s="62"/>
      <c r="E31" s="62"/>
      <c r="F31" s="62"/>
      <c r="G31" s="79"/>
      <c r="H31" s="62"/>
      <c r="I31" s="62"/>
      <c r="J31" s="61" t="s">
        <v>1038</v>
      </c>
      <c r="K31" s="62">
        <f>SUM(P3:P29)</f>
        <v>-878.09950000000026</v>
      </c>
      <c r="L31" s="62"/>
      <c r="M31" s="62"/>
      <c r="N31" s="62"/>
    </row>
    <row r="32" spans="1:19" x14ac:dyDescent="0.25">
      <c r="B32" s="66"/>
      <c r="C32" s="62"/>
      <c r="D32" s="62"/>
      <c r="E32" s="62"/>
      <c r="F32" s="61" t="s">
        <v>1039</v>
      </c>
      <c r="G32" s="72">
        <v>0</v>
      </c>
      <c r="H32" s="62">
        <f>G32/100</f>
        <v>0</v>
      </c>
      <c r="I32" s="62"/>
      <c r="J32" s="61" t="s">
        <v>1040</v>
      </c>
      <c r="K32" s="63">
        <f>SUM(R3:R29)</f>
        <v>-258.56349999999998</v>
      </c>
      <c r="L32" s="62"/>
      <c r="M32" s="62"/>
      <c r="N32" s="62"/>
    </row>
    <row r="33" spans="2:14" x14ac:dyDescent="0.25">
      <c r="B33" s="66"/>
      <c r="C33" s="62"/>
      <c r="D33" s="62"/>
      <c r="E33" s="62"/>
      <c r="F33" s="61" t="s">
        <v>1041</v>
      </c>
      <c r="G33" s="81">
        <f>18923.2-60.66</f>
        <v>18862.54</v>
      </c>
      <c r="H33" s="62"/>
      <c r="I33" s="81"/>
      <c r="J33" s="61" t="s">
        <v>1042</v>
      </c>
      <c r="K33" s="62">
        <v>-0.8</v>
      </c>
      <c r="L33" s="62"/>
      <c r="M33" s="62"/>
      <c r="N33" s="62"/>
    </row>
    <row r="34" spans="2:14" x14ac:dyDescent="0.25">
      <c r="B34" s="66"/>
      <c r="C34" s="62"/>
      <c r="D34" s="62"/>
      <c r="E34" s="62"/>
      <c r="F34" s="62"/>
      <c r="G34" s="79"/>
      <c r="H34" s="62"/>
      <c r="I34" s="62"/>
      <c r="J34" s="82"/>
      <c r="K34" s="83" t="s">
        <v>1043</v>
      </c>
      <c r="L34" s="62"/>
      <c r="M34" s="62"/>
      <c r="N34" s="62"/>
    </row>
    <row r="35" spans="2:14" x14ac:dyDescent="0.25">
      <c r="B35" s="66"/>
      <c r="C35" s="67"/>
      <c r="D35" s="62"/>
      <c r="E35" s="67"/>
      <c r="F35" s="61" t="s">
        <v>1044</v>
      </c>
      <c r="G35" s="18">
        <f>G32+G33</f>
        <v>18862.54</v>
      </c>
      <c r="H35" s="48"/>
      <c r="I35" s="61"/>
      <c r="J35" s="61" t="s">
        <v>1045</v>
      </c>
      <c r="K35" s="62">
        <f>SUM(K31:K34)</f>
        <v>-1137.4630000000002</v>
      </c>
      <c r="L35" s="62"/>
      <c r="M35" s="62"/>
      <c r="N35" s="62"/>
    </row>
    <row r="36" spans="2:14" x14ac:dyDescent="0.25">
      <c r="B36" s="66"/>
      <c r="C36" s="67"/>
      <c r="D36" s="62"/>
      <c r="E36" s="67"/>
      <c r="F36" s="61"/>
      <c r="G36" s="80"/>
      <c r="H36" s="48"/>
      <c r="I36" s="61"/>
      <c r="J36" s="61"/>
      <c r="K36" s="63"/>
      <c r="L36" s="61"/>
      <c r="M36" s="62"/>
      <c r="N36" s="62"/>
    </row>
    <row r="37" spans="2:14" x14ac:dyDescent="0.25">
      <c r="B37" s="66"/>
      <c r="C37" s="62"/>
      <c r="D37" s="62"/>
      <c r="E37" s="62"/>
      <c r="G37" s="75"/>
      <c r="H37" s="62"/>
      <c r="I37" s="81"/>
      <c r="J37" s="62"/>
      <c r="K37" s="81"/>
      <c r="L37" s="62"/>
      <c r="M37" s="62"/>
      <c r="N37" s="62"/>
    </row>
    <row r="38" spans="2:14" x14ac:dyDescent="0.25">
      <c r="B38" s="66"/>
      <c r="C38" s="62"/>
      <c r="D38" s="62"/>
      <c r="E38" s="62"/>
      <c r="F38" s="2" t="s">
        <v>1046</v>
      </c>
      <c r="G38" s="18">
        <f>G35-G30</f>
        <v>-1137.4599999999991</v>
      </c>
      <c r="H38" s="62"/>
      <c r="I38" s="62"/>
      <c r="J38" s="62"/>
      <c r="K38" s="62"/>
      <c r="L38" s="62"/>
      <c r="M38" s="62"/>
      <c r="N38" s="62"/>
    </row>
    <row r="39" spans="2:14" x14ac:dyDescent="0.25">
      <c r="B39" s="66"/>
      <c r="C39" s="62"/>
      <c r="D39" s="62"/>
      <c r="E39" s="62"/>
      <c r="F39" s="2" t="s">
        <v>1047</v>
      </c>
      <c r="G39" s="84">
        <f>G38/G30</f>
        <v>-5.6872999999999958E-2</v>
      </c>
      <c r="H39" s="62"/>
      <c r="I39" s="62"/>
      <c r="J39" s="61" t="s">
        <v>1048</v>
      </c>
      <c r="K39" s="81">
        <f>G35+-K35</f>
        <v>20000.003000000001</v>
      </c>
      <c r="L39" s="62"/>
      <c r="M39" s="62"/>
      <c r="N39" s="62"/>
    </row>
    <row r="40" spans="2:14" x14ac:dyDescent="0.25">
      <c r="B40" s="66"/>
      <c r="C40" s="62"/>
      <c r="D40" s="62"/>
      <c r="E40" s="62"/>
      <c r="H40" s="62"/>
      <c r="I40" s="62"/>
      <c r="L40" s="62"/>
      <c r="M40" s="62"/>
      <c r="N40" s="62"/>
    </row>
    <row r="41" spans="2:14" x14ac:dyDescent="0.25">
      <c r="B41" s="66"/>
      <c r="C41" s="62"/>
      <c r="D41" s="62"/>
      <c r="E41" s="62"/>
      <c r="F41" s="2"/>
      <c r="G41" s="18"/>
      <c r="H41" s="62"/>
      <c r="I41" s="62"/>
      <c r="J41" s="62"/>
      <c r="K41" s="62"/>
      <c r="L41" s="62"/>
      <c r="M41" s="62"/>
      <c r="N41" s="62"/>
    </row>
    <row r="42" spans="2:14" x14ac:dyDescent="0.25">
      <c r="B42" s="66"/>
      <c r="C42" s="62"/>
      <c r="D42" s="62"/>
      <c r="E42" s="62"/>
      <c r="F42" s="62"/>
      <c r="G42" s="79"/>
      <c r="H42" s="62"/>
      <c r="I42" s="62"/>
      <c r="J42" s="62"/>
      <c r="K42" s="62"/>
      <c r="L42" s="62"/>
      <c r="M42" s="62"/>
      <c r="N42" s="62"/>
    </row>
    <row r="43" spans="2:14" x14ac:dyDescent="0.25">
      <c r="B43" s="66"/>
      <c r="C43" s="62"/>
      <c r="D43" s="62"/>
      <c r="E43" s="62"/>
      <c r="F43" s="62"/>
      <c r="G43" s="79"/>
      <c r="H43" s="62"/>
      <c r="I43" s="62"/>
      <c r="J43" s="62"/>
      <c r="K43" s="62"/>
      <c r="L43" s="62"/>
      <c r="M43" s="62"/>
      <c r="N43" s="62"/>
    </row>
  </sheetData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148"/>
  <sheetViews>
    <sheetView topLeftCell="A106" workbookViewId="0">
      <selection activeCell="P22" sqref="P22"/>
    </sheetView>
  </sheetViews>
  <sheetFormatPr defaultColWidth="9.21875" defaultRowHeight="13.2" x14ac:dyDescent="0.25"/>
  <cols>
    <col min="1" max="7" width="10.77734375" style="91" customWidth="1"/>
    <col min="8" max="8" width="25.77734375" style="91" customWidth="1"/>
    <col min="9" max="9" width="9.21875" style="91" customWidth="1"/>
    <col min="10" max="10" width="9.21875" style="91"/>
    <col min="11" max="11" width="20.77734375" style="91" customWidth="1"/>
    <col min="12" max="12" width="10.77734375" style="91" customWidth="1"/>
    <col min="13" max="16384" width="9.21875" style="1"/>
  </cols>
  <sheetData>
    <row r="1" spans="1:12" ht="23.4" x14ac:dyDescent="0.25">
      <c r="A1" s="85" t="s">
        <v>184</v>
      </c>
      <c r="B1" s="85" t="s">
        <v>185</v>
      </c>
      <c r="C1" s="85" t="s">
        <v>186</v>
      </c>
      <c r="D1" s="85" t="s">
        <v>187</v>
      </c>
      <c r="E1" s="85" t="s">
        <v>188</v>
      </c>
      <c r="F1" s="85" t="s">
        <v>189</v>
      </c>
      <c r="G1" s="85" t="s">
        <v>190</v>
      </c>
      <c r="H1" s="85" t="s">
        <v>191</v>
      </c>
      <c r="I1" s="85" t="s">
        <v>192</v>
      </c>
      <c r="J1" s="85" t="s">
        <v>193</v>
      </c>
      <c r="K1" s="85" t="s">
        <v>194</v>
      </c>
      <c r="L1" s="85" t="s">
        <v>195</v>
      </c>
    </row>
    <row r="2" spans="1:12" x14ac:dyDescent="0.25">
      <c r="A2" s="86" t="s">
        <v>1049</v>
      </c>
      <c r="B2" s="87"/>
      <c r="C2" s="87"/>
      <c r="D2" s="87"/>
      <c r="E2" s="87"/>
      <c r="F2" s="88"/>
      <c r="G2" s="89"/>
      <c r="H2" s="89"/>
      <c r="I2" s="89"/>
      <c r="J2" s="87"/>
      <c r="K2" s="89"/>
      <c r="L2" s="87"/>
    </row>
    <row r="3" spans="1:12" x14ac:dyDescent="0.25">
      <c r="A3" s="90">
        <v>39729</v>
      </c>
      <c r="B3" s="87" t="s">
        <v>282</v>
      </c>
      <c r="C3" s="87" t="s">
        <v>197</v>
      </c>
      <c r="D3" s="87">
        <v>300</v>
      </c>
      <c r="E3" s="87">
        <v>12.35</v>
      </c>
      <c r="F3" s="88">
        <v>3705</v>
      </c>
      <c r="G3" s="91">
        <v>36.31</v>
      </c>
      <c r="H3" s="91" t="s">
        <v>1050</v>
      </c>
      <c r="I3" s="91">
        <v>2008192</v>
      </c>
      <c r="J3" s="87" t="s">
        <v>199</v>
      </c>
      <c r="K3" s="91" t="s">
        <v>1051</v>
      </c>
      <c r="L3" s="87" t="s">
        <v>201</v>
      </c>
    </row>
    <row r="4" spans="1:12" x14ac:dyDescent="0.25">
      <c r="A4" s="90">
        <v>39728</v>
      </c>
      <c r="B4" s="87" t="s">
        <v>282</v>
      </c>
      <c r="C4" s="87" t="s">
        <v>197</v>
      </c>
      <c r="D4" s="87">
        <v>1000</v>
      </c>
      <c r="E4" s="87">
        <v>13.1</v>
      </c>
      <c r="F4" s="88">
        <v>13100</v>
      </c>
      <c r="G4" s="91">
        <v>128.58000000000001</v>
      </c>
      <c r="H4" s="91" t="s">
        <v>1052</v>
      </c>
      <c r="I4" s="91">
        <v>2008191</v>
      </c>
      <c r="J4" s="87" t="s">
        <v>199</v>
      </c>
      <c r="K4" s="91" t="s">
        <v>1051</v>
      </c>
      <c r="L4" s="87" t="s">
        <v>201</v>
      </c>
    </row>
    <row r="5" spans="1:12" x14ac:dyDescent="0.25">
      <c r="A5" s="90">
        <v>39728</v>
      </c>
      <c r="B5" s="87" t="s">
        <v>282</v>
      </c>
      <c r="C5" s="87" t="s">
        <v>197</v>
      </c>
      <c r="D5" s="87">
        <v>700</v>
      </c>
      <c r="E5" s="87">
        <v>13.1</v>
      </c>
      <c r="F5" s="88">
        <v>9170</v>
      </c>
      <c r="G5" s="91">
        <v>90</v>
      </c>
      <c r="H5" s="91" t="s">
        <v>1053</v>
      </c>
      <c r="I5" s="91">
        <v>2008191</v>
      </c>
      <c r="J5" s="87" t="s">
        <v>199</v>
      </c>
      <c r="K5" s="91" t="s">
        <v>1051</v>
      </c>
      <c r="L5" s="87" t="s">
        <v>201</v>
      </c>
    </row>
    <row r="6" spans="1:12" x14ac:dyDescent="0.25">
      <c r="A6" s="90"/>
      <c r="B6" s="87"/>
      <c r="C6" s="87"/>
      <c r="D6" s="87"/>
      <c r="E6" s="87"/>
      <c r="F6" s="88"/>
      <c r="G6" s="89"/>
      <c r="H6" s="89"/>
      <c r="I6" s="89"/>
      <c r="J6" s="87"/>
      <c r="K6" s="89"/>
      <c r="L6" s="87"/>
    </row>
    <row r="7" spans="1:12" x14ac:dyDescent="0.25">
      <c r="A7" s="92" t="s">
        <v>1054</v>
      </c>
    </row>
    <row r="8" spans="1:12" x14ac:dyDescent="0.25">
      <c r="A8" s="90">
        <v>39903</v>
      </c>
      <c r="B8" s="87" t="s">
        <v>1055</v>
      </c>
      <c r="C8" s="87" t="s">
        <v>197</v>
      </c>
      <c r="D8" s="87">
        <v>175</v>
      </c>
      <c r="E8" s="87">
        <v>29.4</v>
      </c>
      <c r="F8" s="88">
        <v>5145</v>
      </c>
      <c r="G8" s="91">
        <v>49.67</v>
      </c>
      <c r="H8" s="91" t="s">
        <v>1056</v>
      </c>
      <c r="I8" s="91">
        <v>2009059</v>
      </c>
      <c r="J8" s="87" t="s">
        <v>199</v>
      </c>
      <c r="K8" s="91" t="s">
        <v>1051</v>
      </c>
      <c r="L8" s="87" t="s">
        <v>201</v>
      </c>
    </row>
    <row r="9" spans="1:12" x14ac:dyDescent="0.25">
      <c r="A9" s="92" t="s">
        <v>2053</v>
      </c>
    </row>
    <row r="10" spans="1:12" x14ac:dyDescent="0.25">
      <c r="A10" s="90">
        <v>40235</v>
      </c>
      <c r="B10" s="87" t="s">
        <v>1058</v>
      </c>
      <c r="C10" s="87" t="s">
        <v>197</v>
      </c>
      <c r="D10" s="87">
        <v>25</v>
      </c>
      <c r="E10" s="87">
        <v>138.30000000000001</v>
      </c>
      <c r="F10" s="88">
        <v>3457.5</v>
      </c>
      <c r="G10" s="91">
        <v>32.369999999999997</v>
      </c>
      <c r="H10" s="91" t="s">
        <v>1059</v>
      </c>
      <c r="I10" s="91">
        <v>2010038</v>
      </c>
      <c r="J10" s="87" t="s">
        <v>199</v>
      </c>
      <c r="K10" s="91" t="s">
        <v>200</v>
      </c>
      <c r="L10" s="87" t="s">
        <v>201</v>
      </c>
    </row>
    <row r="11" spans="1:12" x14ac:dyDescent="0.25">
      <c r="A11" s="90">
        <v>40226</v>
      </c>
      <c r="B11" s="87" t="s">
        <v>298</v>
      </c>
      <c r="C11" s="87" t="s">
        <v>197</v>
      </c>
      <c r="D11" s="87">
        <v>300</v>
      </c>
      <c r="E11" s="87">
        <v>21.5</v>
      </c>
      <c r="F11" s="88">
        <v>6450</v>
      </c>
      <c r="G11" s="91">
        <v>48.11</v>
      </c>
      <c r="H11" s="91" t="s">
        <v>1060</v>
      </c>
      <c r="I11" s="91">
        <v>2010031</v>
      </c>
      <c r="J11" s="87" t="s">
        <v>199</v>
      </c>
      <c r="K11" s="91" t="s">
        <v>200</v>
      </c>
      <c r="L11" s="87" t="s">
        <v>201</v>
      </c>
    </row>
    <row r="12" spans="1:12" x14ac:dyDescent="0.25">
      <c r="A12" s="90">
        <v>40206</v>
      </c>
      <c r="B12" s="87" t="s">
        <v>298</v>
      </c>
      <c r="C12" s="87" t="s">
        <v>197</v>
      </c>
      <c r="D12" s="87">
        <v>100</v>
      </c>
      <c r="E12" s="87">
        <v>24.4</v>
      </c>
      <c r="F12" s="88">
        <v>2440</v>
      </c>
      <c r="G12" s="91">
        <v>30.96</v>
      </c>
      <c r="H12" s="91" t="s">
        <v>1061</v>
      </c>
      <c r="I12" s="91">
        <v>200910204</v>
      </c>
      <c r="J12" s="87" t="s">
        <v>199</v>
      </c>
      <c r="K12" s="91" t="s">
        <v>200</v>
      </c>
      <c r="L12" s="87" t="s">
        <v>204</v>
      </c>
    </row>
    <row r="13" spans="1:12" x14ac:dyDescent="0.25">
      <c r="A13" s="90">
        <v>40205</v>
      </c>
      <c r="B13" s="87" t="s">
        <v>298</v>
      </c>
      <c r="C13" s="87" t="s">
        <v>197</v>
      </c>
      <c r="D13" s="87">
        <v>200</v>
      </c>
      <c r="E13" s="87">
        <v>24.05</v>
      </c>
      <c r="F13" s="88">
        <v>4810</v>
      </c>
      <c r="G13" s="91">
        <v>35.85</v>
      </c>
      <c r="H13" s="91" t="s">
        <v>1062</v>
      </c>
      <c r="I13" s="91">
        <v>200910203</v>
      </c>
      <c r="J13" s="87" t="s">
        <v>199</v>
      </c>
      <c r="K13" s="91" t="s">
        <v>200</v>
      </c>
      <c r="L13" s="87" t="s">
        <v>204</v>
      </c>
    </row>
    <row r="14" spans="1:12" x14ac:dyDescent="0.25">
      <c r="A14" s="90">
        <v>40200</v>
      </c>
      <c r="B14" s="87" t="s">
        <v>298</v>
      </c>
      <c r="C14" s="87" t="s">
        <v>197</v>
      </c>
      <c r="D14" s="87">
        <v>400</v>
      </c>
      <c r="E14" s="87">
        <v>25.9</v>
      </c>
      <c r="F14" s="88">
        <v>10360</v>
      </c>
      <c r="G14" s="91">
        <v>77.23</v>
      </c>
      <c r="H14" s="91" t="s">
        <v>1064</v>
      </c>
      <c r="I14" s="91">
        <v>2010015</v>
      </c>
      <c r="J14" s="87" t="s">
        <v>199</v>
      </c>
      <c r="K14" s="91" t="s">
        <v>200</v>
      </c>
      <c r="L14" s="87" t="s">
        <v>201</v>
      </c>
    </row>
    <row r="15" spans="1:12" x14ac:dyDescent="0.25">
      <c r="A15" s="90">
        <v>40200</v>
      </c>
      <c r="B15" s="87" t="s">
        <v>1058</v>
      </c>
      <c r="C15" s="87" t="s">
        <v>197</v>
      </c>
      <c r="D15" s="87">
        <v>50</v>
      </c>
      <c r="E15" s="87">
        <v>149.65</v>
      </c>
      <c r="F15" s="88">
        <v>7482.5</v>
      </c>
      <c r="G15" s="91">
        <v>55.76</v>
      </c>
      <c r="H15" s="91" t="s">
        <v>1065</v>
      </c>
      <c r="I15" s="91">
        <v>2010015</v>
      </c>
      <c r="J15" s="87" t="s">
        <v>199</v>
      </c>
      <c r="K15" s="91" t="s">
        <v>200</v>
      </c>
      <c r="L15" s="87" t="s">
        <v>201</v>
      </c>
    </row>
    <row r="16" spans="1:12" x14ac:dyDescent="0.25">
      <c r="A16" s="90">
        <v>40192</v>
      </c>
      <c r="B16" s="87" t="s">
        <v>1058</v>
      </c>
      <c r="C16" s="87" t="s">
        <v>197</v>
      </c>
      <c r="D16" s="87">
        <v>50</v>
      </c>
      <c r="E16" s="87">
        <v>158.24</v>
      </c>
      <c r="F16" s="88">
        <v>7912.05</v>
      </c>
      <c r="G16" s="91">
        <v>58.96</v>
      </c>
      <c r="H16" s="91" t="s">
        <v>1066</v>
      </c>
      <c r="I16" s="91">
        <v>2010009</v>
      </c>
      <c r="J16" s="87" t="s">
        <v>199</v>
      </c>
      <c r="K16" s="91" t="s">
        <v>200</v>
      </c>
      <c r="L16" s="87" t="s">
        <v>201</v>
      </c>
    </row>
    <row r="17" spans="1:12" x14ac:dyDescent="0.25">
      <c r="A17" s="90">
        <v>40186</v>
      </c>
      <c r="B17" s="87" t="s">
        <v>465</v>
      </c>
      <c r="C17" s="87" t="s">
        <v>197</v>
      </c>
      <c r="D17" s="87">
        <v>5000</v>
      </c>
      <c r="E17" s="87">
        <v>0.67</v>
      </c>
      <c r="F17" s="88">
        <v>3350</v>
      </c>
      <c r="G17" s="91">
        <v>32.19</v>
      </c>
      <c r="H17" s="91" t="s">
        <v>1067</v>
      </c>
      <c r="I17" s="91">
        <v>200910191</v>
      </c>
      <c r="J17" s="87" t="s">
        <v>199</v>
      </c>
      <c r="K17" s="91" t="s">
        <v>200</v>
      </c>
      <c r="L17" s="87" t="s">
        <v>204</v>
      </c>
    </row>
    <row r="18" spans="1:12" x14ac:dyDescent="0.25">
      <c r="A18" s="90">
        <v>40170</v>
      </c>
      <c r="B18" s="87" t="s">
        <v>465</v>
      </c>
      <c r="C18" s="87" t="s">
        <v>197</v>
      </c>
      <c r="D18" s="87">
        <v>5000</v>
      </c>
      <c r="E18" s="87">
        <v>0.65</v>
      </c>
      <c r="F18" s="88">
        <v>3264.94</v>
      </c>
      <c r="G18" s="91">
        <v>32.06</v>
      </c>
      <c r="H18" s="91" t="s">
        <v>1068</v>
      </c>
      <c r="I18" s="91">
        <v>200910182</v>
      </c>
      <c r="J18" s="87" t="s">
        <v>199</v>
      </c>
      <c r="K18" s="91" t="s">
        <v>200</v>
      </c>
      <c r="L18" s="87" t="s">
        <v>204</v>
      </c>
    </row>
    <row r="19" spans="1:12" x14ac:dyDescent="0.25">
      <c r="A19" s="90">
        <v>40158</v>
      </c>
      <c r="B19" s="87" t="s">
        <v>1069</v>
      </c>
      <c r="C19" s="87" t="s">
        <v>197</v>
      </c>
      <c r="D19" s="87">
        <v>150</v>
      </c>
      <c r="E19" s="87">
        <v>75.599999999999994</v>
      </c>
      <c r="F19" s="88">
        <v>11340</v>
      </c>
      <c r="G19" s="91">
        <v>109.53</v>
      </c>
      <c r="H19" s="91" t="s">
        <v>1070</v>
      </c>
      <c r="I19" s="91">
        <v>2009231</v>
      </c>
      <c r="J19" s="87" t="s">
        <v>199</v>
      </c>
      <c r="K19" s="91" t="s">
        <v>200</v>
      </c>
      <c r="L19" s="87" t="s">
        <v>201</v>
      </c>
    </row>
    <row r="20" spans="1:12" x14ac:dyDescent="0.25">
      <c r="A20" s="90">
        <v>40144</v>
      </c>
      <c r="B20" s="87" t="s">
        <v>1071</v>
      </c>
      <c r="C20" s="87" t="s">
        <v>197</v>
      </c>
      <c r="D20" s="87">
        <v>100</v>
      </c>
      <c r="E20" s="87">
        <v>48.25</v>
      </c>
      <c r="F20" s="88">
        <v>4825</v>
      </c>
      <c r="G20" s="91">
        <v>46.6</v>
      </c>
      <c r="H20" s="91" t="s">
        <v>1072</v>
      </c>
      <c r="I20" s="91">
        <v>2009221</v>
      </c>
      <c r="J20" s="87" t="s">
        <v>199</v>
      </c>
      <c r="K20" s="91" t="s">
        <v>200</v>
      </c>
      <c r="L20" s="87" t="s">
        <v>201</v>
      </c>
    </row>
    <row r="21" spans="1:12" x14ac:dyDescent="0.25">
      <c r="A21" s="90">
        <v>40129</v>
      </c>
      <c r="B21" s="87" t="s">
        <v>1071</v>
      </c>
      <c r="C21" s="87" t="s">
        <v>197</v>
      </c>
      <c r="D21" s="87">
        <v>100</v>
      </c>
      <c r="E21" s="87">
        <v>53</v>
      </c>
      <c r="F21" s="88">
        <v>5300</v>
      </c>
      <c r="G21" s="91">
        <v>51.19</v>
      </c>
      <c r="H21" s="91" t="s">
        <v>1073</v>
      </c>
      <c r="I21" s="91">
        <v>2009210</v>
      </c>
      <c r="J21" s="87" t="s">
        <v>199</v>
      </c>
      <c r="K21" s="91" t="s">
        <v>200</v>
      </c>
      <c r="L21" s="87" t="s">
        <v>201</v>
      </c>
    </row>
    <row r="22" spans="1:12" x14ac:dyDescent="0.25">
      <c r="A22" s="90">
        <v>40121</v>
      </c>
      <c r="B22" s="87" t="s">
        <v>1074</v>
      </c>
      <c r="C22" s="87" t="s">
        <v>197</v>
      </c>
      <c r="D22" s="87">
        <v>100</v>
      </c>
      <c r="E22" s="87">
        <v>39.4</v>
      </c>
      <c r="F22" s="88">
        <v>3940</v>
      </c>
      <c r="G22" s="91">
        <v>38.049999999999997</v>
      </c>
      <c r="H22" s="91" t="s">
        <v>1075</v>
      </c>
      <c r="I22" s="91">
        <v>2009204</v>
      </c>
      <c r="J22" s="87" t="s">
        <v>199</v>
      </c>
      <c r="K22" s="91" t="s">
        <v>200</v>
      </c>
      <c r="L22" s="87" t="s">
        <v>201</v>
      </c>
    </row>
    <row r="23" spans="1:12" x14ac:dyDescent="0.25">
      <c r="A23" s="90">
        <v>40102</v>
      </c>
      <c r="B23" s="87" t="s">
        <v>1076</v>
      </c>
      <c r="C23" s="87" t="s">
        <v>197</v>
      </c>
      <c r="D23" s="87">
        <v>60</v>
      </c>
      <c r="E23" s="87">
        <v>132</v>
      </c>
      <c r="F23" s="88">
        <v>7920</v>
      </c>
      <c r="G23" s="91">
        <v>76.489999999999995</v>
      </c>
      <c r="H23" s="91" t="s">
        <v>1077</v>
      </c>
      <c r="I23" s="91">
        <v>2009192</v>
      </c>
      <c r="J23" s="87" t="s">
        <v>199</v>
      </c>
      <c r="K23" s="91" t="s">
        <v>200</v>
      </c>
      <c r="L23" s="87" t="s">
        <v>201</v>
      </c>
    </row>
    <row r="24" spans="1:12" x14ac:dyDescent="0.25">
      <c r="A24" s="90">
        <v>40098</v>
      </c>
      <c r="B24" s="87" t="s">
        <v>1078</v>
      </c>
      <c r="C24" s="87" t="s">
        <v>197</v>
      </c>
      <c r="D24" s="87">
        <v>50</v>
      </c>
      <c r="E24" s="87">
        <v>185</v>
      </c>
      <c r="F24" s="88">
        <v>9250</v>
      </c>
      <c r="G24" s="91">
        <v>89.33</v>
      </c>
      <c r="H24" s="91" t="s">
        <v>1079</v>
      </c>
      <c r="I24" s="91">
        <v>2009189</v>
      </c>
      <c r="J24" s="87" t="s">
        <v>307</v>
      </c>
      <c r="K24" s="91" t="s">
        <v>200</v>
      </c>
      <c r="L24" s="87" t="s">
        <v>201</v>
      </c>
    </row>
    <row r="25" spans="1:12" x14ac:dyDescent="0.25">
      <c r="A25" s="90">
        <v>40095</v>
      </c>
      <c r="B25" s="87" t="s">
        <v>1080</v>
      </c>
      <c r="C25" s="87" t="s">
        <v>197</v>
      </c>
      <c r="D25" s="87">
        <v>200</v>
      </c>
      <c r="E25" s="87">
        <v>37.799999999999997</v>
      </c>
      <c r="F25" s="88">
        <v>7560</v>
      </c>
      <c r="G25" s="91">
        <v>73.010000000000005</v>
      </c>
      <c r="H25" s="91" t="s">
        <v>1081</v>
      </c>
      <c r="I25" s="91">
        <v>2009188</v>
      </c>
      <c r="J25" s="87" t="s">
        <v>199</v>
      </c>
      <c r="K25" s="91" t="s">
        <v>200</v>
      </c>
      <c r="L25" s="87" t="s">
        <v>201</v>
      </c>
    </row>
    <row r="26" spans="1:12" x14ac:dyDescent="0.25">
      <c r="A26" s="90">
        <v>40095</v>
      </c>
      <c r="B26" s="87" t="s">
        <v>1074</v>
      </c>
      <c r="C26" s="87" t="s">
        <v>197</v>
      </c>
      <c r="D26" s="87">
        <v>100</v>
      </c>
      <c r="E26" s="87">
        <v>56.45</v>
      </c>
      <c r="F26" s="88">
        <v>5645</v>
      </c>
      <c r="G26" s="91">
        <v>54.53</v>
      </c>
      <c r="H26" s="91" t="s">
        <v>1082</v>
      </c>
      <c r="I26" s="91">
        <v>2009188</v>
      </c>
      <c r="J26" s="87" t="s">
        <v>199</v>
      </c>
      <c r="K26" s="91" t="s">
        <v>200</v>
      </c>
      <c r="L26" s="87" t="s">
        <v>201</v>
      </c>
    </row>
    <row r="27" spans="1:12" x14ac:dyDescent="0.25">
      <c r="A27" s="90">
        <v>40094</v>
      </c>
      <c r="B27" s="87" t="s">
        <v>1074</v>
      </c>
      <c r="C27" s="87" t="s">
        <v>197</v>
      </c>
      <c r="D27" s="87">
        <v>100</v>
      </c>
      <c r="E27" s="87">
        <v>56.9</v>
      </c>
      <c r="F27" s="88">
        <v>5689.5</v>
      </c>
      <c r="G27" s="91">
        <v>54.96</v>
      </c>
      <c r="H27" s="91" t="s">
        <v>1083</v>
      </c>
      <c r="I27" s="91">
        <v>2009187</v>
      </c>
      <c r="J27" s="87" t="s">
        <v>199</v>
      </c>
      <c r="K27" s="91" t="s">
        <v>200</v>
      </c>
      <c r="L27" s="87" t="s">
        <v>201</v>
      </c>
    </row>
    <row r="28" spans="1:12" x14ac:dyDescent="0.25">
      <c r="A28" s="90">
        <v>40091</v>
      </c>
      <c r="B28" s="87" t="s">
        <v>1084</v>
      </c>
      <c r="C28" s="87" t="s">
        <v>197</v>
      </c>
      <c r="D28" s="87">
        <v>200</v>
      </c>
      <c r="E28" s="87">
        <v>49.84</v>
      </c>
      <c r="F28" s="88">
        <v>9968.2000000000007</v>
      </c>
      <c r="G28" s="91">
        <v>96.26</v>
      </c>
      <c r="H28" s="91" t="s">
        <v>1085</v>
      </c>
      <c r="I28" s="91">
        <v>2009184</v>
      </c>
      <c r="J28" s="87" t="s">
        <v>199</v>
      </c>
      <c r="K28" s="91" t="s">
        <v>200</v>
      </c>
      <c r="L28" s="87" t="s">
        <v>201</v>
      </c>
    </row>
    <row r="29" spans="1:12" x14ac:dyDescent="0.25">
      <c r="A29" s="90">
        <v>40091</v>
      </c>
      <c r="B29" s="87" t="s">
        <v>1086</v>
      </c>
      <c r="C29" s="87" t="s">
        <v>197</v>
      </c>
      <c r="D29" s="87">
        <v>120</v>
      </c>
      <c r="E29" s="87">
        <v>80.650000000000006</v>
      </c>
      <c r="F29" s="88">
        <v>9678</v>
      </c>
      <c r="G29" s="91">
        <v>93.47</v>
      </c>
      <c r="H29" s="91" t="s">
        <v>1087</v>
      </c>
      <c r="I29" s="91">
        <v>2009184</v>
      </c>
      <c r="J29" s="87" t="s">
        <v>199</v>
      </c>
      <c r="K29" s="91" t="s">
        <v>200</v>
      </c>
      <c r="L29" s="87" t="s">
        <v>201</v>
      </c>
    </row>
    <row r="30" spans="1:12" x14ac:dyDescent="0.25">
      <c r="A30" s="90">
        <v>40080</v>
      </c>
      <c r="B30" s="87" t="s">
        <v>1086</v>
      </c>
      <c r="C30" s="87" t="s">
        <v>197</v>
      </c>
      <c r="D30" s="87">
        <v>300</v>
      </c>
      <c r="E30" s="87">
        <v>80.7</v>
      </c>
      <c r="F30" s="88">
        <v>24210</v>
      </c>
      <c r="G30" s="91">
        <v>233.9</v>
      </c>
      <c r="H30" s="91" t="s">
        <v>1088</v>
      </c>
      <c r="I30" s="91">
        <v>2009179</v>
      </c>
      <c r="J30" s="87" t="s">
        <v>199</v>
      </c>
      <c r="K30" s="91" t="s">
        <v>200</v>
      </c>
      <c r="L30" s="87" t="s">
        <v>201</v>
      </c>
    </row>
    <row r="31" spans="1:12" x14ac:dyDescent="0.25">
      <c r="A31" s="90">
        <v>40079</v>
      </c>
      <c r="B31" s="87" t="s">
        <v>1089</v>
      </c>
      <c r="C31" s="87" t="s">
        <v>197</v>
      </c>
      <c r="D31" s="87">
        <v>100</v>
      </c>
      <c r="E31" s="87">
        <v>111.35</v>
      </c>
      <c r="F31" s="88">
        <v>11135</v>
      </c>
      <c r="G31" s="91">
        <v>107.57</v>
      </c>
      <c r="H31" s="91" t="s">
        <v>1090</v>
      </c>
      <c r="I31" s="91">
        <v>2009178</v>
      </c>
      <c r="J31" s="87" t="s">
        <v>199</v>
      </c>
      <c r="K31" s="91" t="s">
        <v>200</v>
      </c>
      <c r="L31" s="87" t="s">
        <v>201</v>
      </c>
    </row>
    <row r="32" spans="1:12" x14ac:dyDescent="0.25">
      <c r="A32" s="90">
        <v>40079</v>
      </c>
      <c r="B32" s="87" t="s">
        <v>1089</v>
      </c>
      <c r="C32" s="87" t="s">
        <v>197</v>
      </c>
      <c r="D32" s="87">
        <v>100</v>
      </c>
      <c r="E32" s="87">
        <v>111.35</v>
      </c>
      <c r="F32" s="88">
        <v>11135</v>
      </c>
      <c r="G32" s="91">
        <v>107.57</v>
      </c>
      <c r="H32" s="91" t="s">
        <v>1091</v>
      </c>
      <c r="I32" s="91">
        <v>2009178</v>
      </c>
      <c r="J32" s="87" t="s">
        <v>199</v>
      </c>
      <c r="K32" s="91" t="s">
        <v>200</v>
      </c>
      <c r="L32" s="87" t="s">
        <v>201</v>
      </c>
    </row>
    <row r="33" spans="1:12" x14ac:dyDescent="0.25">
      <c r="A33" s="90">
        <v>40067</v>
      </c>
      <c r="B33" s="87" t="s">
        <v>1092</v>
      </c>
      <c r="C33" s="87" t="s">
        <v>197</v>
      </c>
      <c r="D33" s="87">
        <v>700</v>
      </c>
      <c r="E33" s="87">
        <v>35.75</v>
      </c>
      <c r="F33" s="88">
        <v>25025</v>
      </c>
      <c r="G33" s="91">
        <v>241.77</v>
      </c>
      <c r="H33" s="91" t="s">
        <v>1093</v>
      </c>
      <c r="I33" s="91">
        <v>2009171</v>
      </c>
      <c r="J33" s="87" t="s">
        <v>199</v>
      </c>
      <c r="K33" s="91" t="s">
        <v>200</v>
      </c>
      <c r="L33" s="87" t="s">
        <v>201</v>
      </c>
    </row>
    <row r="34" spans="1:12" x14ac:dyDescent="0.25">
      <c r="A34" s="90">
        <v>40067</v>
      </c>
      <c r="B34" s="87" t="s">
        <v>1094</v>
      </c>
      <c r="C34" s="87" t="s">
        <v>197</v>
      </c>
      <c r="D34" s="87">
        <v>90</v>
      </c>
      <c r="E34" s="87">
        <v>257.45</v>
      </c>
      <c r="F34" s="88">
        <v>23170.5</v>
      </c>
      <c r="G34" s="91">
        <v>223.85</v>
      </c>
      <c r="H34" s="91" t="s">
        <v>1095</v>
      </c>
      <c r="I34" s="91">
        <v>2009171</v>
      </c>
      <c r="J34" s="87" t="s">
        <v>199</v>
      </c>
      <c r="K34" s="91" t="s">
        <v>200</v>
      </c>
      <c r="L34" s="87" t="s">
        <v>201</v>
      </c>
    </row>
    <row r="35" spans="1:12" x14ac:dyDescent="0.25">
      <c r="A35" s="5">
        <v>40064</v>
      </c>
      <c r="B35" s="7" t="s">
        <v>1096</v>
      </c>
      <c r="C35" s="7" t="s">
        <v>197</v>
      </c>
      <c r="D35" s="7">
        <v>300</v>
      </c>
      <c r="E35" s="7">
        <v>169.7</v>
      </c>
      <c r="F35" s="14">
        <v>50910</v>
      </c>
      <c r="G35" s="91">
        <v>31.08</v>
      </c>
      <c r="H35" s="91" t="s">
        <v>1097</v>
      </c>
      <c r="I35" s="91">
        <v>2009168</v>
      </c>
      <c r="J35" s="7" t="s">
        <v>199</v>
      </c>
      <c r="K35" s="7" t="s">
        <v>1098</v>
      </c>
      <c r="L35" s="7" t="s">
        <v>201</v>
      </c>
    </row>
    <row r="36" spans="1:12" x14ac:dyDescent="0.25">
      <c r="A36" s="90">
        <v>40064</v>
      </c>
      <c r="B36" s="87" t="s">
        <v>1086</v>
      </c>
      <c r="C36" s="87" t="s">
        <v>197</v>
      </c>
      <c r="D36" s="87">
        <v>200</v>
      </c>
      <c r="E36" s="87">
        <v>85.6</v>
      </c>
      <c r="F36" s="88">
        <v>17120</v>
      </c>
      <c r="G36" s="91">
        <v>165.4</v>
      </c>
      <c r="H36" s="91" t="s">
        <v>1099</v>
      </c>
      <c r="I36" s="91">
        <v>2009168</v>
      </c>
      <c r="J36" s="87" t="s">
        <v>199</v>
      </c>
      <c r="K36" s="91" t="s">
        <v>200</v>
      </c>
      <c r="L36" s="87" t="s">
        <v>201</v>
      </c>
    </row>
    <row r="37" spans="1:12" x14ac:dyDescent="0.25">
      <c r="A37" s="90">
        <v>40063</v>
      </c>
      <c r="B37" s="87" t="s">
        <v>1086</v>
      </c>
      <c r="C37" s="87" t="s">
        <v>197</v>
      </c>
      <c r="D37" s="87">
        <v>200</v>
      </c>
      <c r="E37" s="87">
        <v>84.75</v>
      </c>
      <c r="F37" s="88">
        <v>16950</v>
      </c>
      <c r="G37" s="91">
        <v>163.77000000000001</v>
      </c>
      <c r="H37" s="91" t="s">
        <v>1100</v>
      </c>
      <c r="I37" s="91">
        <v>2009167</v>
      </c>
      <c r="J37" s="87" t="s">
        <v>199</v>
      </c>
      <c r="K37" s="91" t="s">
        <v>200</v>
      </c>
      <c r="L37" s="87" t="s">
        <v>201</v>
      </c>
    </row>
    <row r="38" spans="1:12" x14ac:dyDescent="0.25">
      <c r="A38" s="90">
        <v>40060</v>
      </c>
      <c r="B38" s="87" t="s">
        <v>1101</v>
      </c>
      <c r="C38" s="87" t="s">
        <v>197</v>
      </c>
      <c r="D38" s="87">
        <v>20</v>
      </c>
      <c r="E38" s="87">
        <v>552.6</v>
      </c>
      <c r="F38" s="88">
        <v>11052</v>
      </c>
      <c r="G38" s="91">
        <v>106.78</v>
      </c>
      <c r="H38" s="91" t="s">
        <v>1102</v>
      </c>
      <c r="I38" s="91">
        <v>2009166</v>
      </c>
      <c r="J38" s="87" t="s">
        <v>199</v>
      </c>
      <c r="K38" s="91" t="s">
        <v>200</v>
      </c>
      <c r="L38" s="87" t="s">
        <v>201</v>
      </c>
    </row>
    <row r="39" spans="1:12" x14ac:dyDescent="0.25">
      <c r="A39" s="90">
        <v>40059</v>
      </c>
      <c r="B39" s="87" t="s">
        <v>1103</v>
      </c>
      <c r="C39" s="87" t="s">
        <v>197</v>
      </c>
      <c r="D39" s="87">
        <v>25</v>
      </c>
      <c r="E39" s="87">
        <v>420.6</v>
      </c>
      <c r="F39" s="88">
        <v>10515</v>
      </c>
      <c r="G39" s="91">
        <v>101.59</v>
      </c>
      <c r="H39" s="91" t="s">
        <v>1104</v>
      </c>
      <c r="I39" s="91">
        <v>2009165</v>
      </c>
      <c r="J39" s="87" t="s">
        <v>199</v>
      </c>
      <c r="K39" s="91" t="s">
        <v>200</v>
      </c>
      <c r="L39" s="87" t="s">
        <v>201</v>
      </c>
    </row>
    <row r="40" spans="1:12" x14ac:dyDescent="0.25">
      <c r="A40" s="90">
        <v>40057</v>
      </c>
      <c r="B40" s="87" t="s">
        <v>1105</v>
      </c>
      <c r="C40" s="87" t="s">
        <v>197</v>
      </c>
      <c r="D40" s="87">
        <v>200</v>
      </c>
      <c r="E40" s="87">
        <v>48.7</v>
      </c>
      <c r="F40" s="88">
        <v>9740</v>
      </c>
      <c r="G40" s="91">
        <v>94.12</v>
      </c>
      <c r="H40" s="91" t="s">
        <v>1106</v>
      </c>
      <c r="I40" s="91">
        <v>2009163</v>
      </c>
      <c r="J40" s="87" t="s">
        <v>199</v>
      </c>
      <c r="K40" s="91" t="s">
        <v>200</v>
      </c>
      <c r="L40" s="87" t="s">
        <v>201</v>
      </c>
    </row>
    <row r="41" spans="1:12" x14ac:dyDescent="0.25">
      <c r="A41" s="90">
        <v>40057</v>
      </c>
      <c r="B41" s="87" t="s">
        <v>1107</v>
      </c>
      <c r="C41" s="87" t="s">
        <v>197</v>
      </c>
      <c r="D41" s="87">
        <v>125</v>
      </c>
      <c r="E41" s="87">
        <v>81.8</v>
      </c>
      <c r="F41" s="88">
        <v>10225</v>
      </c>
      <c r="G41" s="91">
        <v>98.8</v>
      </c>
      <c r="H41" s="91" t="s">
        <v>1108</v>
      </c>
      <c r="I41" s="91">
        <v>2009163</v>
      </c>
      <c r="J41" s="87" t="s">
        <v>199</v>
      </c>
      <c r="K41" s="91" t="s">
        <v>200</v>
      </c>
      <c r="L41" s="87" t="s">
        <v>201</v>
      </c>
    </row>
    <row r="42" spans="1:12" x14ac:dyDescent="0.25">
      <c r="A42" s="90">
        <v>40057</v>
      </c>
      <c r="B42" s="87" t="s">
        <v>1109</v>
      </c>
      <c r="C42" s="87" t="s">
        <v>197</v>
      </c>
      <c r="D42" s="87">
        <v>100</v>
      </c>
      <c r="E42" s="87">
        <v>99.7</v>
      </c>
      <c r="F42" s="88">
        <v>9970</v>
      </c>
      <c r="G42" s="91">
        <v>96.33</v>
      </c>
      <c r="H42" s="91" t="s">
        <v>1110</v>
      </c>
      <c r="I42" s="91">
        <v>2009163</v>
      </c>
      <c r="J42" s="87" t="s">
        <v>199</v>
      </c>
      <c r="K42" s="91" t="s">
        <v>200</v>
      </c>
      <c r="L42" s="87" t="s">
        <v>201</v>
      </c>
    </row>
    <row r="43" spans="1:12" x14ac:dyDescent="0.25">
      <c r="A43" s="90">
        <v>40056</v>
      </c>
      <c r="B43" s="87" t="s">
        <v>1111</v>
      </c>
      <c r="C43" s="87" t="s">
        <v>197</v>
      </c>
      <c r="D43" s="87">
        <v>175</v>
      </c>
      <c r="E43" s="87">
        <v>57</v>
      </c>
      <c r="F43" s="88">
        <v>9975</v>
      </c>
      <c r="G43" s="91">
        <v>96.37</v>
      </c>
      <c r="H43" s="91" t="s">
        <v>1112</v>
      </c>
      <c r="I43" s="91">
        <v>200910105</v>
      </c>
      <c r="J43" s="87" t="s">
        <v>199</v>
      </c>
      <c r="K43" s="91" t="s">
        <v>200</v>
      </c>
      <c r="L43" s="87" t="s">
        <v>204</v>
      </c>
    </row>
    <row r="44" spans="1:12" x14ac:dyDescent="0.25">
      <c r="A44" s="90">
        <v>40039</v>
      </c>
      <c r="B44" s="87" t="s">
        <v>1113</v>
      </c>
      <c r="C44" s="87" t="s">
        <v>197</v>
      </c>
      <c r="D44" s="87">
        <v>50</v>
      </c>
      <c r="E44" s="87">
        <v>205.9</v>
      </c>
      <c r="F44" s="88">
        <v>10295</v>
      </c>
      <c r="G44" s="91">
        <v>99.48</v>
      </c>
      <c r="H44" s="91" t="s">
        <v>1114</v>
      </c>
      <c r="I44" s="91">
        <v>2009151</v>
      </c>
      <c r="J44" s="87" t="s">
        <v>199</v>
      </c>
      <c r="K44" s="91" t="s">
        <v>200</v>
      </c>
      <c r="L44" s="87" t="s">
        <v>201</v>
      </c>
    </row>
    <row r="45" spans="1:12" x14ac:dyDescent="0.25">
      <c r="A45" s="5">
        <v>40010</v>
      </c>
      <c r="B45" s="7" t="s">
        <v>1115</v>
      </c>
      <c r="C45" s="7" t="s">
        <v>197</v>
      </c>
      <c r="D45" s="7">
        <v>500</v>
      </c>
      <c r="E45" s="7">
        <v>57.5</v>
      </c>
      <c r="F45" s="14">
        <v>28750</v>
      </c>
      <c r="G45" s="91">
        <v>18.25</v>
      </c>
      <c r="H45" s="91" t="s">
        <v>1116</v>
      </c>
      <c r="I45" s="91">
        <v>2009130</v>
      </c>
      <c r="J45" s="7" t="s">
        <v>199</v>
      </c>
      <c r="K45" s="7" t="s">
        <v>1098</v>
      </c>
      <c r="L45" s="7" t="s">
        <v>201</v>
      </c>
    </row>
    <row r="46" spans="1:12" x14ac:dyDescent="0.25">
      <c r="A46" s="5">
        <v>40010</v>
      </c>
      <c r="B46" s="7" t="s">
        <v>1115</v>
      </c>
      <c r="C46" s="7" t="s">
        <v>197</v>
      </c>
      <c r="D46" s="7">
        <v>230</v>
      </c>
      <c r="E46" s="7">
        <v>57</v>
      </c>
      <c r="F46" s="14">
        <v>13110</v>
      </c>
      <c r="G46" s="91">
        <v>17.3</v>
      </c>
      <c r="H46" s="91" t="s">
        <v>1117</v>
      </c>
      <c r="I46" s="91">
        <v>2009130</v>
      </c>
      <c r="J46" s="7" t="s">
        <v>199</v>
      </c>
      <c r="K46" s="7" t="s">
        <v>1098</v>
      </c>
      <c r="L46" s="7" t="s">
        <v>201</v>
      </c>
    </row>
    <row r="47" spans="1:12" x14ac:dyDescent="0.25">
      <c r="A47" s="90">
        <v>39989</v>
      </c>
      <c r="B47" s="87" t="s">
        <v>1111</v>
      </c>
      <c r="C47" s="87" t="s">
        <v>197</v>
      </c>
      <c r="D47" s="87">
        <v>75</v>
      </c>
      <c r="E47" s="87">
        <v>59.5</v>
      </c>
      <c r="F47" s="88">
        <v>4462.5</v>
      </c>
      <c r="G47" s="91">
        <v>43.14</v>
      </c>
      <c r="H47" s="91" t="s">
        <v>1118</v>
      </c>
      <c r="I47" s="91">
        <v>200910058</v>
      </c>
      <c r="J47" s="87" t="s">
        <v>199</v>
      </c>
      <c r="K47" s="91" t="s">
        <v>200</v>
      </c>
      <c r="L47" s="87" t="s">
        <v>204</v>
      </c>
    </row>
    <row r="48" spans="1:12" x14ac:dyDescent="0.25">
      <c r="A48" s="90">
        <v>39983</v>
      </c>
      <c r="B48" s="87" t="s">
        <v>1113</v>
      </c>
      <c r="C48" s="87" t="s">
        <v>197</v>
      </c>
      <c r="D48" s="87">
        <v>24</v>
      </c>
      <c r="E48" s="87">
        <v>194.1</v>
      </c>
      <c r="F48" s="88">
        <v>4658.3999999999996</v>
      </c>
      <c r="G48" s="91">
        <v>45.01</v>
      </c>
      <c r="H48" s="91" t="s">
        <v>1119</v>
      </c>
      <c r="I48" s="91">
        <v>2009111</v>
      </c>
      <c r="J48" s="87" t="s">
        <v>199</v>
      </c>
      <c r="K48" s="91" t="s">
        <v>200</v>
      </c>
      <c r="L48" s="87" t="s">
        <v>201</v>
      </c>
    </row>
    <row r="49" spans="1:12" x14ac:dyDescent="0.25">
      <c r="A49" s="90">
        <v>39980</v>
      </c>
      <c r="B49" s="87" t="s">
        <v>1120</v>
      </c>
      <c r="C49" s="87" t="s">
        <v>197</v>
      </c>
      <c r="D49" s="87">
        <v>210</v>
      </c>
      <c r="E49" s="87">
        <v>24</v>
      </c>
      <c r="F49" s="88">
        <v>5040</v>
      </c>
      <c r="G49" s="91">
        <v>48.71</v>
      </c>
      <c r="H49" s="91" t="s">
        <v>1141</v>
      </c>
      <c r="I49" s="91">
        <v>2009108</v>
      </c>
      <c r="J49" s="87" t="s">
        <v>199</v>
      </c>
      <c r="K49" s="91" t="s">
        <v>200</v>
      </c>
      <c r="L49" s="87" t="s">
        <v>201</v>
      </c>
    </row>
    <row r="50" spans="1:12" x14ac:dyDescent="0.25">
      <c r="A50" s="90">
        <v>39976</v>
      </c>
      <c r="B50" s="87" t="s">
        <v>1142</v>
      </c>
      <c r="C50" s="87" t="s">
        <v>197</v>
      </c>
      <c r="D50" s="87">
        <v>20</v>
      </c>
      <c r="E50" s="87">
        <v>134.19999999999999</v>
      </c>
      <c r="F50" s="88">
        <v>2684</v>
      </c>
      <c r="G50" s="91">
        <v>31.31</v>
      </c>
      <c r="H50" s="91" t="s">
        <v>1143</v>
      </c>
      <c r="I50" s="91">
        <v>2009106</v>
      </c>
      <c r="J50" s="87" t="s">
        <v>199</v>
      </c>
      <c r="K50" s="91" t="s">
        <v>200</v>
      </c>
      <c r="L50" s="87" t="s">
        <v>201</v>
      </c>
    </row>
    <row r="51" spans="1:12" x14ac:dyDescent="0.25">
      <c r="A51" s="90">
        <v>39975</v>
      </c>
      <c r="B51" s="87" t="s">
        <v>1142</v>
      </c>
      <c r="C51" s="87" t="s">
        <v>197</v>
      </c>
      <c r="D51" s="87">
        <v>60</v>
      </c>
      <c r="E51" s="87">
        <v>134</v>
      </c>
      <c r="F51" s="88">
        <v>8040</v>
      </c>
      <c r="G51" s="91">
        <v>77.69</v>
      </c>
      <c r="H51" s="91" t="s">
        <v>1144</v>
      </c>
      <c r="I51" s="91">
        <v>2009105</v>
      </c>
      <c r="J51" s="87" t="s">
        <v>199</v>
      </c>
      <c r="K51" s="91" t="s">
        <v>200</v>
      </c>
      <c r="L51" s="87" t="s">
        <v>201</v>
      </c>
    </row>
    <row r="52" spans="1:12" x14ac:dyDescent="0.25">
      <c r="A52" s="90">
        <v>39973</v>
      </c>
      <c r="B52" s="87" t="s">
        <v>1145</v>
      </c>
      <c r="C52" s="87" t="s">
        <v>197</v>
      </c>
      <c r="D52" s="87">
        <v>130</v>
      </c>
      <c r="E52" s="87">
        <v>30.15</v>
      </c>
      <c r="F52" s="88">
        <v>3919.5</v>
      </c>
      <c r="G52" s="91">
        <v>37.86</v>
      </c>
      <c r="H52" s="91" t="s">
        <v>1146</v>
      </c>
      <c r="I52" s="91">
        <v>2009103</v>
      </c>
      <c r="J52" s="87" t="s">
        <v>199</v>
      </c>
      <c r="K52" s="91" t="s">
        <v>200</v>
      </c>
      <c r="L52" s="87" t="s">
        <v>201</v>
      </c>
    </row>
    <row r="53" spans="1:12" x14ac:dyDescent="0.25">
      <c r="A53" s="90">
        <v>39972</v>
      </c>
      <c r="B53" s="87" t="s">
        <v>1147</v>
      </c>
      <c r="C53" s="87" t="s">
        <v>197</v>
      </c>
      <c r="D53" s="87">
        <v>75</v>
      </c>
      <c r="E53" s="87">
        <v>63</v>
      </c>
      <c r="F53" s="88">
        <v>4725</v>
      </c>
      <c r="G53" s="91">
        <v>45.67</v>
      </c>
      <c r="H53" s="91" t="s">
        <v>1148</v>
      </c>
      <c r="I53" s="91">
        <v>2009102</v>
      </c>
      <c r="J53" s="87" t="s">
        <v>199</v>
      </c>
      <c r="K53" s="91" t="s">
        <v>200</v>
      </c>
      <c r="L53" s="87" t="s">
        <v>201</v>
      </c>
    </row>
    <row r="54" spans="1:12" x14ac:dyDescent="0.25">
      <c r="A54" s="90">
        <v>39972</v>
      </c>
      <c r="B54" s="87" t="s">
        <v>1149</v>
      </c>
      <c r="C54" s="87" t="s">
        <v>197</v>
      </c>
      <c r="D54" s="87">
        <v>18</v>
      </c>
      <c r="E54" s="87">
        <v>168.8</v>
      </c>
      <c r="F54" s="88">
        <v>3038.4</v>
      </c>
      <c r="G54" s="91">
        <v>31.8</v>
      </c>
      <c r="H54" s="91" t="s">
        <v>1150</v>
      </c>
      <c r="I54" s="91">
        <v>2009102</v>
      </c>
      <c r="J54" s="87" t="s">
        <v>199</v>
      </c>
      <c r="K54" s="91" t="s">
        <v>200</v>
      </c>
      <c r="L54" s="87" t="s">
        <v>201</v>
      </c>
    </row>
    <row r="55" spans="1:12" x14ac:dyDescent="0.25">
      <c r="A55" s="90">
        <v>39969</v>
      </c>
      <c r="B55" s="87" t="s">
        <v>1149</v>
      </c>
      <c r="C55" s="87" t="s">
        <v>197</v>
      </c>
      <c r="D55" s="87">
        <v>17</v>
      </c>
      <c r="E55" s="87">
        <v>176.3</v>
      </c>
      <c r="F55" s="88">
        <v>2997.1</v>
      </c>
      <c r="G55" s="91">
        <v>31.75</v>
      </c>
      <c r="H55" s="91" t="s">
        <v>1151</v>
      </c>
      <c r="I55" s="91">
        <v>2009101</v>
      </c>
      <c r="J55" s="87" t="s">
        <v>199</v>
      </c>
      <c r="K55" s="91" t="s">
        <v>200</v>
      </c>
      <c r="L55" s="87" t="s">
        <v>201</v>
      </c>
    </row>
    <row r="56" spans="1:12" x14ac:dyDescent="0.25">
      <c r="A56" s="90">
        <v>39969</v>
      </c>
      <c r="B56" s="87" t="s">
        <v>1147</v>
      </c>
      <c r="C56" s="87" t="s">
        <v>197</v>
      </c>
      <c r="D56" s="87">
        <v>100</v>
      </c>
      <c r="E56" s="87">
        <v>71.7</v>
      </c>
      <c r="F56" s="88">
        <v>7170</v>
      </c>
      <c r="G56" s="91">
        <v>69.290000000000006</v>
      </c>
      <c r="H56" s="91" t="s">
        <v>1152</v>
      </c>
      <c r="I56" s="91">
        <v>2009101</v>
      </c>
      <c r="J56" s="87" t="s">
        <v>199</v>
      </c>
      <c r="K56" s="91" t="s">
        <v>200</v>
      </c>
      <c r="L56" s="87" t="s">
        <v>201</v>
      </c>
    </row>
    <row r="57" spans="1:12" x14ac:dyDescent="0.25">
      <c r="A57" s="90">
        <v>39967</v>
      </c>
      <c r="B57" s="87" t="s">
        <v>1153</v>
      </c>
      <c r="C57" s="87" t="s">
        <v>197</v>
      </c>
      <c r="D57" s="87">
        <v>100</v>
      </c>
      <c r="E57" s="87">
        <v>71.7</v>
      </c>
      <c r="F57" s="88">
        <v>7170</v>
      </c>
      <c r="G57" s="91">
        <v>69.290000000000006</v>
      </c>
      <c r="H57" s="91" t="s">
        <v>1154</v>
      </c>
      <c r="I57" s="91">
        <v>2009099</v>
      </c>
      <c r="J57" s="87" t="s">
        <v>199</v>
      </c>
      <c r="K57" s="91" t="s">
        <v>200</v>
      </c>
      <c r="L57" s="87" t="s">
        <v>201</v>
      </c>
    </row>
    <row r="58" spans="1:12" x14ac:dyDescent="0.25">
      <c r="A58" s="90">
        <v>39967</v>
      </c>
      <c r="B58" s="87" t="s">
        <v>1153</v>
      </c>
      <c r="C58" s="87" t="s">
        <v>197</v>
      </c>
      <c r="D58" s="87">
        <v>50</v>
      </c>
      <c r="E58" s="87">
        <v>72</v>
      </c>
      <c r="F58" s="88">
        <v>3600</v>
      </c>
      <c r="G58" s="91">
        <v>34.79</v>
      </c>
      <c r="H58" s="91" t="s">
        <v>1155</v>
      </c>
      <c r="I58" s="91">
        <v>2009099</v>
      </c>
      <c r="J58" s="87" t="s">
        <v>199</v>
      </c>
      <c r="K58" s="91" t="s">
        <v>200</v>
      </c>
      <c r="L58" s="87" t="s">
        <v>201</v>
      </c>
    </row>
    <row r="59" spans="1:12" x14ac:dyDescent="0.25">
      <c r="A59" s="90">
        <v>39966</v>
      </c>
      <c r="B59" s="87" t="s">
        <v>1156</v>
      </c>
      <c r="C59" s="87" t="s">
        <v>197</v>
      </c>
      <c r="D59" s="87">
        <v>60</v>
      </c>
      <c r="E59" s="87">
        <v>131.94999999999999</v>
      </c>
      <c r="F59" s="88">
        <v>7916.7</v>
      </c>
      <c r="G59" s="91">
        <v>76.510000000000005</v>
      </c>
      <c r="H59" s="91" t="s">
        <v>1157</v>
      </c>
      <c r="I59" s="91">
        <v>2009098</v>
      </c>
      <c r="J59" s="87" t="s">
        <v>199</v>
      </c>
      <c r="K59" s="91" t="s">
        <v>200</v>
      </c>
      <c r="L59" s="87" t="s">
        <v>201</v>
      </c>
    </row>
    <row r="60" spans="1:12" x14ac:dyDescent="0.25">
      <c r="A60" s="90">
        <v>39962</v>
      </c>
      <c r="B60" s="87" t="s">
        <v>1158</v>
      </c>
      <c r="C60" s="87" t="s">
        <v>197</v>
      </c>
      <c r="D60" s="87">
        <v>30</v>
      </c>
      <c r="E60" s="87">
        <v>146.25</v>
      </c>
      <c r="F60" s="88">
        <v>4387.5</v>
      </c>
      <c r="G60" s="91">
        <v>36.54</v>
      </c>
      <c r="H60" s="91" t="s">
        <v>1159</v>
      </c>
      <c r="I60" s="91">
        <v>200910039</v>
      </c>
      <c r="J60" s="87" t="s">
        <v>199</v>
      </c>
      <c r="K60" s="91" t="s">
        <v>200</v>
      </c>
      <c r="L60" s="87" t="s">
        <v>204</v>
      </c>
    </row>
    <row r="61" spans="1:12" x14ac:dyDescent="0.25">
      <c r="A61" s="90">
        <v>39962</v>
      </c>
      <c r="B61" s="87" t="s">
        <v>1160</v>
      </c>
      <c r="C61" s="87" t="s">
        <v>197</v>
      </c>
      <c r="D61" s="87">
        <v>225</v>
      </c>
      <c r="E61" s="87">
        <v>41.98</v>
      </c>
      <c r="F61" s="88">
        <v>9445</v>
      </c>
      <c r="G61" s="91">
        <v>91.22</v>
      </c>
      <c r="H61" s="91" t="s">
        <v>1161</v>
      </c>
      <c r="I61" s="91">
        <v>2009096</v>
      </c>
      <c r="J61" s="87" t="s">
        <v>199</v>
      </c>
      <c r="K61" s="91" t="s">
        <v>200</v>
      </c>
      <c r="L61" s="87" t="s">
        <v>201</v>
      </c>
    </row>
    <row r="62" spans="1:12" x14ac:dyDescent="0.25">
      <c r="A62" s="90">
        <v>39962</v>
      </c>
      <c r="B62" s="87" t="s">
        <v>1149</v>
      </c>
      <c r="C62" s="87" t="s">
        <v>197</v>
      </c>
      <c r="D62" s="87">
        <v>25</v>
      </c>
      <c r="E62" s="87">
        <v>180.6</v>
      </c>
      <c r="F62" s="88">
        <v>4515</v>
      </c>
      <c r="G62" s="91">
        <v>37.6</v>
      </c>
      <c r="H62" s="91" t="s">
        <v>1162</v>
      </c>
      <c r="I62" s="91">
        <v>2009096</v>
      </c>
      <c r="J62" s="87" t="s">
        <v>199</v>
      </c>
      <c r="K62" s="91" t="s">
        <v>200</v>
      </c>
      <c r="L62" s="87" t="s">
        <v>201</v>
      </c>
    </row>
    <row r="63" spans="1:12" x14ac:dyDescent="0.25">
      <c r="A63" s="90">
        <v>39962</v>
      </c>
      <c r="B63" s="87" t="s">
        <v>1163</v>
      </c>
      <c r="C63" s="87" t="s">
        <v>197</v>
      </c>
      <c r="D63" s="87">
        <v>25</v>
      </c>
      <c r="E63" s="87">
        <v>371.2</v>
      </c>
      <c r="F63" s="88">
        <v>9280</v>
      </c>
      <c r="G63" s="91">
        <v>89.62</v>
      </c>
      <c r="H63" s="91" t="s">
        <v>1164</v>
      </c>
      <c r="I63" s="91">
        <v>2009096</v>
      </c>
      <c r="J63" s="87" t="s">
        <v>199</v>
      </c>
      <c r="K63" s="91" t="s">
        <v>200</v>
      </c>
      <c r="L63" s="87" t="s">
        <v>201</v>
      </c>
    </row>
    <row r="64" spans="1:12" x14ac:dyDescent="0.25">
      <c r="A64" s="90">
        <v>39939</v>
      </c>
      <c r="B64" s="87" t="s">
        <v>1086</v>
      </c>
      <c r="C64" s="87" t="s">
        <v>197</v>
      </c>
      <c r="D64" s="87">
        <v>100</v>
      </c>
      <c r="E64" s="87">
        <v>41.8</v>
      </c>
      <c r="F64" s="88">
        <v>4180</v>
      </c>
      <c r="G64" s="91">
        <v>40.369999999999997</v>
      </c>
      <c r="H64" s="91" t="s">
        <v>1165</v>
      </c>
      <c r="I64" s="91">
        <v>200910022</v>
      </c>
      <c r="J64" s="87" t="s">
        <v>199</v>
      </c>
      <c r="K64" s="91" t="s">
        <v>200</v>
      </c>
      <c r="L64" s="87" t="s">
        <v>204</v>
      </c>
    </row>
    <row r="65" spans="1:12" x14ac:dyDescent="0.25">
      <c r="A65" s="90">
        <v>39937</v>
      </c>
      <c r="B65" s="87" t="s">
        <v>1166</v>
      </c>
      <c r="C65" s="87" t="s">
        <v>197</v>
      </c>
      <c r="D65" s="87">
        <v>10</v>
      </c>
      <c r="E65" s="87">
        <v>473.25</v>
      </c>
      <c r="F65" s="88">
        <v>4732.5</v>
      </c>
      <c r="G65" s="91">
        <v>45.71</v>
      </c>
      <c r="H65" s="91" t="s">
        <v>1167</v>
      </c>
      <c r="I65" s="91">
        <v>2009077</v>
      </c>
      <c r="J65" s="87" t="s">
        <v>199</v>
      </c>
      <c r="K65" s="91" t="s">
        <v>200</v>
      </c>
      <c r="L65" s="87" t="s">
        <v>201</v>
      </c>
    </row>
    <row r="66" spans="1:12" x14ac:dyDescent="0.25">
      <c r="A66" s="90">
        <v>39932</v>
      </c>
      <c r="B66" s="87" t="s">
        <v>1168</v>
      </c>
      <c r="C66" s="87" t="s">
        <v>197</v>
      </c>
      <c r="D66" s="87">
        <v>200</v>
      </c>
      <c r="E66" s="87">
        <v>25.18</v>
      </c>
      <c r="F66" s="88">
        <v>5035</v>
      </c>
      <c r="G66" s="91">
        <v>48.66</v>
      </c>
      <c r="H66" s="91" t="s">
        <v>1169</v>
      </c>
      <c r="I66" s="91">
        <v>200910019</v>
      </c>
      <c r="J66" s="87" t="s">
        <v>199</v>
      </c>
      <c r="K66" s="91" t="s">
        <v>200</v>
      </c>
      <c r="L66" s="87" t="s">
        <v>204</v>
      </c>
    </row>
    <row r="67" spans="1:12" x14ac:dyDescent="0.25">
      <c r="A67" s="90">
        <v>39909</v>
      </c>
      <c r="B67" s="87" t="s">
        <v>1170</v>
      </c>
      <c r="C67" s="87" t="s">
        <v>197</v>
      </c>
      <c r="D67" s="87">
        <v>200</v>
      </c>
      <c r="E67" s="87">
        <v>31.2</v>
      </c>
      <c r="F67" s="88">
        <v>6239.95</v>
      </c>
      <c r="G67" s="91">
        <v>60.26</v>
      </c>
      <c r="H67" s="91" t="s">
        <v>1171</v>
      </c>
      <c r="I67" s="91">
        <v>2009062</v>
      </c>
      <c r="J67" s="87" t="s">
        <v>199</v>
      </c>
      <c r="K67" s="91" t="s">
        <v>200</v>
      </c>
      <c r="L67" s="87" t="s">
        <v>201</v>
      </c>
    </row>
    <row r="68" spans="1:12" x14ac:dyDescent="0.25">
      <c r="A68" s="90">
        <v>39904</v>
      </c>
      <c r="B68" s="87" t="s">
        <v>1055</v>
      </c>
      <c r="C68" s="87" t="s">
        <v>197</v>
      </c>
      <c r="D68" s="87">
        <v>125</v>
      </c>
      <c r="E68" s="87">
        <v>28.85</v>
      </c>
      <c r="F68" s="88">
        <v>3606.25</v>
      </c>
      <c r="G68" s="91">
        <v>34.840000000000003</v>
      </c>
      <c r="H68" s="91" t="s">
        <v>1172</v>
      </c>
      <c r="I68" s="91">
        <v>2009060</v>
      </c>
      <c r="J68" s="87" t="s">
        <v>199</v>
      </c>
      <c r="K68" s="91" t="s">
        <v>200</v>
      </c>
      <c r="L68" s="87" t="s">
        <v>201</v>
      </c>
    </row>
    <row r="69" spans="1:12" x14ac:dyDescent="0.25">
      <c r="F69" s="88">
        <f>SUM(F8:F68)</f>
        <v>545917.99</v>
      </c>
      <c r="G69" s="91">
        <f>SUM(G8:G68)</f>
        <v>4368.1500000000005</v>
      </c>
      <c r="J69" s="87"/>
    </row>
    <row r="70" spans="1:12" x14ac:dyDescent="0.25">
      <c r="F70" s="165" t="s">
        <v>624</v>
      </c>
      <c r="G70" s="88">
        <f>F69+G69</f>
        <v>550286.14</v>
      </c>
    </row>
    <row r="72" spans="1:12" x14ac:dyDescent="0.25">
      <c r="A72" s="92" t="s">
        <v>1057</v>
      </c>
    </row>
    <row r="73" spans="1:12" x14ac:dyDescent="0.25">
      <c r="A73" s="90">
        <v>40267</v>
      </c>
      <c r="B73" s="87" t="s">
        <v>1058</v>
      </c>
      <c r="C73" s="87" t="s">
        <v>369</v>
      </c>
      <c r="D73" s="87">
        <v>125</v>
      </c>
      <c r="E73" s="87">
        <v>153.30000000000001</v>
      </c>
      <c r="F73" s="88">
        <v>19162.5</v>
      </c>
      <c r="G73" s="91">
        <v>142.79</v>
      </c>
      <c r="H73" s="91" t="s">
        <v>1173</v>
      </c>
      <c r="I73" s="91">
        <v>2010058</v>
      </c>
      <c r="J73" s="87" t="s">
        <v>199</v>
      </c>
      <c r="K73" s="91" t="s">
        <v>200</v>
      </c>
      <c r="L73" s="87" t="s">
        <v>201</v>
      </c>
    </row>
    <row r="74" spans="1:12" x14ac:dyDescent="0.25">
      <c r="A74" s="90">
        <v>40253</v>
      </c>
      <c r="B74" s="87" t="s">
        <v>298</v>
      </c>
      <c r="C74" s="87" t="s">
        <v>369</v>
      </c>
      <c r="D74" s="87">
        <v>400</v>
      </c>
      <c r="E74" s="87">
        <v>18.899999999999999</v>
      </c>
      <c r="F74" s="88">
        <v>7558.45</v>
      </c>
      <c r="G74" s="91">
        <v>56.37</v>
      </c>
      <c r="H74" s="91" t="s">
        <v>1174</v>
      </c>
      <c r="I74" s="91">
        <v>200910236</v>
      </c>
      <c r="J74" s="87" t="s">
        <v>199</v>
      </c>
      <c r="K74" s="91" t="s">
        <v>200</v>
      </c>
      <c r="L74" s="87" t="s">
        <v>204</v>
      </c>
    </row>
    <row r="75" spans="1:12" x14ac:dyDescent="0.25">
      <c r="A75" s="90">
        <v>40253</v>
      </c>
      <c r="B75" s="87" t="s">
        <v>1071</v>
      </c>
      <c r="C75" s="87" t="s">
        <v>369</v>
      </c>
      <c r="D75" s="87">
        <v>25</v>
      </c>
      <c r="E75" s="87">
        <v>68.900000000000006</v>
      </c>
      <c r="F75" s="88">
        <v>1722.5</v>
      </c>
      <c r="G75" s="91">
        <v>29.97</v>
      </c>
      <c r="H75" s="91" t="s">
        <v>1175</v>
      </c>
      <c r="I75" s="91">
        <v>2010049</v>
      </c>
      <c r="J75" s="87" t="s">
        <v>199</v>
      </c>
      <c r="K75" s="91" t="s">
        <v>200</v>
      </c>
      <c r="L75" s="87" t="s">
        <v>201</v>
      </c>
    </row>
    <row r="76" spans="1:12" x14ac:dyDescent="0.25">
      <c r="A76" s="90">
        <v>40252</v>
      </c>
      <c r="B76" s="87" t="s">
        <v>1071</v>
      </c>
      <c r="C76" s="87" t="s">
        <v>369</v>
      </c>
      <c r="D76" s="87">
        <v>175</v>
      </c>
      <c r="E76" s="87">
        <v>64</v>
      </c>
      <c r="F76" s="88">
        <v>11200</v>
      </c>
      <c r="G76" s="91">
        <v>83.45</v>
      </c>
      <c r="H76" s="91" t="s">
        <v>1176</v>
      </c>
      <c r="I76" s="91">
        <v>2010048</v>
      </c>
      <c r="J76" s="87" t="s">
        <v>199</v>
      </c>
      <c r="K76" s="91" t="s">
        <v>200</v>
      </c>
      <c r="L76" s="87" t="s">
        <v>201</v>
      </c>
    </row>
    <row r="77" spans="1:12" x14ac:dyDescent="0.25">
      <c r="A77" s="90">
        <v>40252</v>
      </c>
      <c r="B77" s="87" t="s">
        <v>298</v>
      </c>
      <c r="C77" s="87" t="s">
        <v>369</v>
      </c>
      <c r="D77" s="87">
        <v>600</v>
      </c>
      <c r="E77" s="87">
        <v>18.8</v>
      </c>
      <c r="F77" s="88">
        <v>11280</v>
      </c>
      <c r="G77" s="91">
        <v>84.12</v>
      </c>
      <c r="H77" s="91" t="s">
        <v>1177</v>
      </c>
      <c r="I77" s="91">
        <v>2010048</v>
      </c>
      <c r="J77" s="87" t="s">
        <v>199</v>
      </c>
      <c r="K77" s="91" t="s">
        <v>200</v>
      </c>
      <c r="L77" s="87" t="s">
        <v>201</v>
      </c>
    </row>
    <row r="78" spans="1:12" x14ac:dyDescent="0.25">
      <c r="A78" s="90">
        <v>40205</v>
      </c>
      <c r="B78" s="87" t="s">
        <v>465</v>
      </c>
      <c r="C78" s="87" t="s">
        <v>369</v>
      </c>
      <c r="D78" s="87">
        <v>10000</v>
      </c>
      <c r="E78" s="87">
        <v>0.74</v>
      </c>
      <c r="F78" s="88">
        <v>7400</v>
      </c>
      <c r="G78" s="91">
        <v>55.25</v>
      </c>
      <c r="H78" s="91" t="s">
        <v>1178</v>
      </c>
      <c r="I78" s="91">
        <v>200910203</v>
      </c>
      <c r="J78" s="87" t="s">
        <v>199</v>
      </c>
      <c r="K78" s="91" t="s">
        <v>200</v>
      </c>
      <c r="L78" s="87" t="s">
        <v>204</v>
      </c>
    </row>
    <row r="79" spans="1:12" x14ac:dyDescent="0.25">
      <c r="A79" s="90">
        <v>40190</v>
      </c>
      <c r="B79" s="87" t="s">
        <v>1069</v>
      </c>
      <c r="C79" s="87" t="s">
        <v>369</v>
      </c>
      <c r="D79" s="87">
        <v>150</v>
      </c>
      <c r="E79" s="87">
        <v>85.1</v>
      </c>
      <c r="F79" s="88">
        <v>12765</v>
      </c>
      <c r="G79" s="91">
        <v>95.15</v>
      </c>
      <c r="H79" s="91" t="s">
        <v>1179</v>
      </c>
      <c r="I79" s="91">
        <v>2010007</v>
      </c>
      <c r="J79" s="87" t="s">
        <v>199</v>
      </c>
      <c r="K79" s="91" t="s">
        <v>200</v>
      </c>
      <c r="L79" s="87" t="s">
        <v>201</v>
      </c>
    </row>
    <row r="80" spans="1:12" x14ac:dyDescent="0.25">
      <c r="A80" s="90">
        <v>40129</v>
      </c>
      <c r="B80" s="87" t="s">
        <v>1074</v>
      </c>
      <c r="C80" s="87" t="s">
        <v>369</v>
      </c>
      <c r="D80" s="87">
        <v>100</v>
      </c>
      <c r="E80" s="87">
        <v>40.450000000000003</v>
      </c>
      <c r="F80" s="88">
        <v>4045</v>
      </c>
      <c r="G80" s="91">
        <v>39.07</v>
      </c>
      <c r="H80" s="91" t="s">
        <v>1180</v>
      </c>
      <c r="I80" s="91">
        <v>2009210</v>
      </c>
      <c r="J80" s="87" t="s">
        <v>199</v>
      </c>
      <c r="K80" s="91" t="s">
        <v>200</v>
      </c>
      <c r="L80" s="87" t="s">
        <v>201</v>
      </c>
    </row>
    <row r="81" spans="1:12" x14ac:dyDescent="0.25">
      <c r="A81" s="90">
        <v>40126</v>
      </c>
      <c r="B81" s="87" t="s">
        <v>1076</v>
      </c>
      <c r="C81" s="87" t="s">
        <v>369</v>
      </c>
      <c r="D81" s="87">
        <v>60</v>
      </c>
      <c r="E81" s="87">
        <v>128.28</v>
      </c>
      <c r="F81" s="88">
        <v>7697</v>
      </c>
      <c r="G81" s="91">
        <v>74.33</v>
      </c>
      <c r="H81" s="91" t="s">
        <v>1181</v>
      </c>
      <c r="I81" s="91">
        <v>200910150</v>
      </c>
      <c r="J81" s="87" t="s">
        <v>199</v>
      </c>
      <c r="K81" s="91" t="s">
        <v>200</v>
      </c>
      <c r="L81" s="87" t="s">
        <v>204</v>
      </c>
    </row>
    <row r="82" spans="1:12" x14ac:dyDescent="0.25">
      <c r="A82" s="90">
        <v>40102</v>
      </c>
      <c r="B82" s="87" t="s">
        <v>1078</v>
      </c>
      <c r="C82" s="87" t="s">
        <v>369</v>
      </c>
      <c r="D82" s="87">
        <v>25</v>
      </c>
      <c r="E82" s="87">
        <v>186</v>
      </c>
      <c r="F82" s="88">
        <v>4650</v>
      </c>
      <c r="G82" s="91">
        <v>44.91</v>
      </c>
      <c r="H82" s="91" t="s">
        <v>1182</v>
      </c>
      <c r="I82" s="91">
        <v>200910135</v>
      </c>
      <c r="J82" s="87" t="s">
        <v>307</v>
      </c>
      <c r="K82" s="91" t="s">
        <v>200</v>
      </c>
      <c r="L82" s="87" t="s">
        <v>204</v>
      </c>
    </row>
    <row r="83" spans="1:12" x14ac:dyDescent="0.25">
      <c r="A83" s="90">
        <v>40102</v>
      </c>
      <c r="B83" s="87" t="s">
        <v>1078</v>
      </c>
      <c r="C83" s="87" t="s">
        <v>369</v>
      </c>
      <c r="D83" s="87">
        <v>25</v>
      </c>
      <c r="E83" s="87">
        <v>186.75</v>
      </c>
      <c r="F83" s="88">
        <v>4668.75</v>
      </c>
      <c r="G83" s="91">
        <v>45.09</v>
      </c>
      <c r="H83" s="91" t="s">
        <v>1183</v>
      </c>
      <c r="I83" s="91">
        <v>2009192</v>
      </c>
      <c r="J83" s="87" t="s">
        <v>307</v>
      </c>
      <c r="K83" s="91" t="s">
        <v>200</v>
      </c>
      <c r="L83" s="87" t="s">
        <v>201</v>
      </c>
    </row>
    <row r="84" spans="1:12" x14ac:dyDescent="0.25">
      <c r="A84" s="5">
        <v>40100</v>
      </c>
      <c r="B84" s="7" t="s">
        <v>1074</v>
      </c>
      <c r="C84" s="7" t="s">
        <v>369</v>
      </c>
      <c r="D84" s="7">
        <v>100</v>
      </c>
      <c r="E84" s="7">
        <v>55.3</v>
      </c>
      <c r="F84" s="14">
        <v>5530</v>
      </c>
      <c r="G84" s="91">
        <v>53.4</v>
      </c>
      <c r="H84" s="91" t="s">
        <v>1184</v>
      </c>
      <c r="I84" s="91">
        <v>2009190</v>
      </c>
      <c r="J84" s="7" t="s">
        <v>199</v>
      </c>
      <c r="K84" s="7" t="s">
        <v>1185</v>
      </c>
      <c r="L84" s="7" t="s">
        <v>201</v>
      </c>
    </row>
    <row r="85" spans="1:12" x14ac:dyDescent="0.25">
      <c r="A85" s="90">
        <v>40100</v>
      </c>
      <c r="B85" s="87" t="s">
        <v>1074</v>
      </c>
      <c r="C85" s="87" t="s">
        <v>369</v>
      </c>
      <c r="D85" s="87">
        <v>100</v>
      </c>
      <c r="E85" s="87">
        <v>55.35</v>
      </c>
      <c r="F85" s="88">
        <v>5535</v>
      </c>
      <c r="G85" s="91">
        <v>53.45</v>
      </c>
      <c r="H85" s="91" t="s">
        <v>1186</v>
      </c>
      <c r="I85" s="91">
        <v>2009190</v>
      </c>
      <c r="J85" s="87" t="s">
        <v>199</v>
      </c>
      <c r="K85" s="91" t="s">
        <v>200</v>
      </c>
      <c r="L85" s="87" t="s">
        <v>201</v>
      </c>
    </row>
    <row r="86" spans="1:12" x14ac:dyDescent="0.25">
      <c r="A86" s="90">
        <v>40098</v>
      </c>
      <c r="B86" s="87" t="s">
        <v>1084</v>
      </c>
      <c r="C86" s="87" t="s">
        <v>369</v>
      </c>
      <c r="D86" s="87">
        <v>200</v>
      </c>
      <c r="E86" s="87">
        <v>45.45</v>
      </c>
      <c r="F86" s="88">
        <v>9090</v>
      </c>
      <c r="G86" s="91">
        <v>87.78</v>
      </c>
      <c r="H86" s="91" t="s">
        <v>1187</v>
      </c>
      <c r="I86" s="91">
        <v>2009189</v>
      </c>
      <c r="J86" s="87" t="s">
        <v>199</v>
      </c>
      <c r="K86" s="91" t="s">
        <v>200</v>
      </c>
      <c r="L86" s="87" t="s">
        <v>201</v>
      </c>
    </row>
    <row r="87" spans="1:12" x14ac:dyDescent="0.25">
      <c r="A87" s="5">
        <v>40098</v>
      </c>
      <c r="B87" s="7" t="s">
        <v>1080</v>
      </c>
      <c r="C87" s="7" t="s">
        <v>369</v>
      </c>
      <c r="D87" s="7">
        <v>200</v>
      </c>
      <c r="E87" s="7">
        <v>39.9</v>
      </c>
      <c r="F87" s="14">
        <v>7980</v>
      </c>
      <c r="G87" s="91">
        <v>77.08</v>
      </c>
      <c r="H87" s="91" t="s">
        <v>1188</v>
      </c>
      <c r="I87" s="91">
        <v>2009189</v>
      </c>
      <c r="J87" s="7" t="s">
        <v>199</v>
      </c>
      <c r="K87" s="7" t="s">
        <v>1185</v>
      </c>
      <c r="L87" s="7" t="s">
        <v>201</v>
      </c>
    </row>
    <row r="88" spans="1:12" x14ac:dyDescent="0.25">
      <c r="A88" s="5">
        <v>40093</v>
      </c>
      <c r="B88" s="7" t="s">
        <v>1086</v>
      </c>
      <c r="C88" s="7" t="s">
        <v>369</v>
      </c>
      <c r="D88" s="7">
        <v>120</v>
      </c>
      <c r="E88" s="7">
        <v>79.650000000000006</v>
      </c>
      <c r="F88" s="14">
        <v>9558</v>
      </c>
      <c r="G88" s="91">
        <v>92.32</v>
      </c>
      <c r="H88" s="91" t="s">
        <v>1189</v>
      </c>
      <c r="I88" s="91">
        <v>2009186</v>
      </c>
      <c r="J88" s="7" t="s">
        <v>199</v>
      </c>
      <c r="K88" s="7" t="s">
        <v>1185</v>
      </c>
      <c r="L88" s="7" t="s">
        <v>201</v>
      </c>
    </row>
    <row r="89" spans="1:12" x14ac:dyDescent="0.25">
      <c r="A89" s="90">
        <v>40086</v>
      </c>
      <c r="B89" s="87" t="s">
        <v>1089</v>
      </c>
      <c r="C89" s="87" t="s">
        <v>369</v>
      </c>
      <c r="D89" s="87">
        <v>200</v>
      </c>
      <c r="E89" s="87">
        <v>111.95</v>
      </c>
      <c r="F89" s="88">
        <v>22390</v>
      </c>
      <c r="G89" s="91">
        <v>216.33</v>
      </c>
      <c r="H89" s="91" t="s">
        <v>1190</v>
      </c>
      <c r="I89" s="91">
        <v>2009182</v>
      </c>
      <c r="J89" s="87" t="s">
        <v>199</v>
      </c>
      <c r="K89" s="91" t="s">
        <v>200</v>
      </c>
      <c r="L89" s="87" t="s">
        <v>201</v>
      </c>
    </row>
    <row r="90" spans="1:12" x14ac:dyDescent="0.25">
      <c r="A90" s="5">
        <v>40085</v>
      </c>
      <c r="B90" s="7" t="s">
        <v>1086</v>
      </c>
      <c r="C90" s="7" t="s">
        <v>369</v>
      </c>
      <c r="D90" s="7">
        <v>300</v>
      </c>
      <c r="E90" s="7">
        <v>82.5</v>
      </c>
      <c r="F90" s="14">
        <v>24750</v>
      </c>
      <c r="G90" s="91">
        <v>239.14</v>
      </c>
      <c r="H90" s="91" t="s">
        <v>1191</v>
      </c>
      <c r="I90" s="91">
        <v>2009181</v>
      </c>
      <c r="J90" s="7" t="s">
        <v>199</v>
      </c>
      <c r="K90" s="7" t="s">
        <v>1185</v>
      </c>
      <c r="L90" s="7" t="s">
        <v>201</v>
      </c>
    </row>
    <row r="91" spans="1:12" x14ac:dyDescent="0.25">
      <c r="A91" s="90">
        <v>40073</v>
      </c>
      <c r="B91" s="87" t="s">
        <v>1092</v>
      </c>
      <c r="C91" s="87" t="s">
        <v>369</v>
      </c>
      <c r="D91" s="87">
        <v>700</v>
      </c>
      <c r="E91" s="87">
        <v>37.75</v>
      </c>
      <c r="F91" s="88">
        <v>26425</v>
      </c>
      <c r="G91" s="91">
        <v>255.35</v>
      </c>
      <c r="H91" s="91" t="s">
        <v>1192</v>
      </c>
      <c r="I91" s="91">
        <v>200910118</v>
      </c>
      <c r="J91" s="87" t="s">
        <v>199</v>
      </c>
      <c r="K91" s="91" t="s">
        <v>200</v>
      </c>
      <c r="L91" s="87" t="s">
        <v>204</v>
      </c>
    </row>
    <row r="92" spans="1:12" x14ac:dyDescent="0.25">
      <c r="A92" s="90">
        <v>40073</v>
      </c>
      <c r="B92" s="87" t="s">
        <v>1094</v>
      </c>
      <c r="C92" s="87" t="s">
        <v>369</v>
      </c>
      <c r="D92" s="87">
        <v>90</v>
      </c>
      <c r="E92" s="87">
        <v>320.7</v>
      </c>
      <c r="F92" s="88">
        <v>28863</v>
      </c>
      <c r="G92" s="91">
        <v>278.87</v>
      </c>
      <c r="H92" s="91" t="s">
        <v>1193</v>
      </c>
      <c r="I92" s="91">
        <v>2009175</v>
      </c>
      <c r="J92" s="87" t="s">
        <v>199</v>
      </c>
      <c r="K92" s="91" t="s">
        <v>200</v>
      </c>
      <c r="L92" s="87" t="s">
        <v>201</v>
      </c>
    </row>
    <row r="93" spans="1:12" x14ac:dyDescent="0.25">
      <c r="A93" s="90">
        <v>40067</v>
      </c>
      <c r="B93" s="87" t="s">
        <v>1086</v>
      </c>
      <c r="C93" s="87" t="s">
        <v>369</v>
      </c>
      <c r="D93" s="87">
        <v>400</v>
      </c>
      <c r="E93" s="87">
        <v>81.8</v>
      </c>
      <c r="F93" s="88">
        <v>32720</v>
      </c>
      <c r="G93" s="91">
        <v>316.14</v>
      </c>
      <c r="H93" s="91" t="s">
        <v>1194</v>
      </c>
      <c r="I93" s="91">
        <v>2009171</v>
      </c>
      <c r="J93" s="87" t="s">
        <v>199</v>
      </c>
      <c r="K93" s="91" t="s">
        <v>200</v>
      </c>
      <c r="L93" s="87" t="s">
        <v>201</v>
      </c>
    </row>
    <row r="94" spans="1:12" x14ac:dyDescent="0.25">
      <c r="A94" s="90">
        <v>40067</v>
      </c>
      <c r="B94" s="87" t="s">
        <v>1101</v>
      </c>
      <c r="C94" s="87" t="s">
        <v>369</v>
      </c>
      <c r="D94" s="87">
        <v>20</v>
      </c>
      <c r="E94" s="87">
        <v>552</v>
      </c>
      <c r="F94" s="88">
        <v>11040</v>
      </c>
      <c r="G94" s="91">
        <v>106.66</v>
      </c>
      <c r="H94" s="91" t="s">
        <v>1195</v>
      </c>
      <c r="I94" s="91">
        <v>2009171</v>
      </c>
      <c r="J94" s="87" t="s">
        <v>199</v>
      </c>
      <c r="K94" s="91" t="s">
        <v>200</v>
      </c>
      <c r="L94" s="87" t="s">
        <v>201</v>
      </c>
    </row>
    <row r="95" spans="1:12" x14ac:dyDescent="0.25">
      <c r="A95" s="5">
        <v>40064</v>
      </c>
      <c r="B95" s="7" t="s">
        <v>1096</v>
      </c>
      <c r="C95" s="7" t="s">
        <v>369</v>
      </c>
      <c r="D95" s="7">
        <v>300</v>
      </c>
      <c r="E95" s="7">
        <v>171.5</v>
      </c>
      <c r="F95" s="14">
        <v>51451.25</v>
      </c>
      <c r="G95" s="91">
        <v>44.28</v>
      </c>
      <c r="H95" s="91" t="s">
        <v>1196</v>
      </c>
      <c r="I95" s="91">
        <v>2009168</v>
      </c>
      <c r="J95" s="7" t="s">
        <v>199</v>
      </c>
      <c r="K95" s="7" t="s">
        <v>1098</v>
      </c>
      <c r="L95" s="7" t="s">
        <v>201</v>
      </c>
    </row>
    <row r="96" spans="1:12" x14ac:dyDescent="0.25">
      <c r="A96" s="90">
        <v>40064</v>
      </c>
      <c r="B96" s="87" t="s">
        <v>1107</v>
      </c>
      <c r="C96" s="87" t="s">
        <v>369</v>
      </c>
      <c r="D96" s="87">
        <v>125</v>
      </c>
      <c r="E96" s="87">
        <v>81.349999999999994</v>
      </c>
      <c r="F96" s="88">
        <v>10168.75</v>
      </c>
      <c r="G96" s="91">
        <v>98.23</v>
      </c>
      <c r="H96" s="91" t="s">
        <v>1197</v>
      </c>
      <c r="I96" s="91">
        <v>2009168</v>
      </c>
      <c r="J96" s="87" t="s">
        <v>199</v>
      </c>
      <c r="K96" s="91" t="s">
        <v>200</v>
      </c>
      <c r="L96" s="87" t="s">
        <v>201</v>
      </c>
    </row>
    <row r="97" spans="1:12" x14ac:dyDescent="0.25">
      <c r="A97" s="5">
        <v>40063</v>
      </c>
      <c r="B97" s="7" t="s">
        <v>1103</v>
      </c>
      <c r="C97" s="7" t="s">
        <v>369</v>
      </c>
      <c r="D97" s="7">
        <v>25</v>
      </c>
      <c r="E97" s="7">
        <v>435.75</v>
      </c>
      <c r="F97" s="14">
        <v>10893.75</v>
      </c>
      <c r="G97" s="91">
        <v>105.25</v>
      </c>
      <c r="H97" s="91" t="s">
        <v>1198</v>
      </c>
      <c r="I97" s="91">
        <v>2009167</v>
      </c>
      <c r="J97" s="7" t="s">
        <v>199</v>
      </c>
      <c r="K97" s="7" t="s">
        <v>1185</v>
      </c>
      <c r="L97" s="7" t="s">
        <v>201</v>
      </c>
    </row>
    <row r="98" spans="1:12" x14ac:dyDescent="0.25">
      <c r="A98" s="90">
        <v>40063</v>
      </c>
      <c r="B98" s="87" t="s">
        <v>1111</v>
      </c>
      <c r="C98" s="87" t="s">
        <v>369</v>
      </c>
      <c r="D98" s="87">
        <v>175</v>
      </c>
      <c r="E98" s="87">
        <v>59</v>
      </c>
      <c r="F98" s="88">
        <v>10325</v>
      </c>
      <c r="G98" s="91">
        <v>99.76</v>
      </c>
      <c r="H98" s="91" t="s">
        <v>1199</v>
      </c>
      <c r="I98" s="91">
        <v>2009167</v>
      </c>
      <c r="J98" s="87" t="s">
        <v>199</v>
      </c>
      <c r="K98" s="91" t="s">
        <v>200</v>
      </c>
      <c r="L98" s="87" t="s">
        <v>201</v>
      </c>
    </row>
    <row r="99" spans="1:12" x14ac:dyDescent="0.25">
      <c r="A99" s="5">
        <v>40059</v>
      </c>
      <c r="B99" s="7" t="s">
        <v>1105</v>
      </c>
      <c r="C99" s="7" t="s">
        <v>369</v>
      </c>
      <c r="D99" s="7">
        <v>200</v>
      </c>
      <c r="E99" s="7">
        <v>45.3</v>
      </c>
      <c r="F99" s="14">
        <v>9060</v>
      </c>
      <c r="G99" s="91">
        <v>87.55</v>
      </c>
      <c r="H99" s="91" t="s">
        <v>1200</v>
      </c>
      <c r="I99" s="91">
        <v>2009165</v>
      </c>
      <c r="J99" s="7" t="s">
        <v>199</v>
      </c>
      <c r="K99" s="7" t="s">
        <v>1185</v>
      </c>
      <c r="L99" s="7" t="s">
        <v>201</v>
      </c>
    </row>
    <row r="100" spans="1:12" x14ac:dyDescent="0.25">
      <c r="A100" s="5">
        <v>40058</v>
      </c>
      <c r="B100" s="7" t="s">
        <v>1109</v>
      </c>
      <c r="C100" s="7" t="s">
        <v>369</v>
      </c>
      <c r="D100" s="7">
        <v>100</v>
      </c>
      <c r="E100" s="7">
        <v>97.85</v>
      </c>
      <c r="F100" s="14">
        <v>9785</v>
      </c>
      <c r="G100" s="91">
        <v>94.54</v>
      </c>
      <c r="H100" s="91" t="s">
        <v>1201</v>
      </c>
      <c r="I100" s="91">
        <v>2009164</v>
      </c>
      <c r="J100" s="7" t="s">
        <v>199</v>
      </c>
      <c r="K100" s="7" t="s">
        <v>1185</v>
      </c>
      <c r="L100" s="7" t="s">
        <v>201</v>
      </c>
    </row>
    <row r="101" spans="1:12" x14ac:dyDescent="0.25">
      <c r="A101" s="90">
        <v>40053</v>
      </c>
      <c r="B101" s="87" t="s">
        <v>1113</v>
      </c>
      <c r="C101" s="87" t="s">
        <v>369</v>
      </c>
      <c r="D101" s="87">
        <v>50</v>
      </c>
      <c r="E101" s="87">
        <v>210</v>
      </c>
      <c r="F101" s="88">
        <v>10500</v>
      </c>
      <c r="G101" s="91">
        <v>101.45</v>
      </c>
      <c r="H101" s="91" t="s">
        <v>1202</v>
      </c>
      <c r="I101" s="91">
        <v>2009161</v>
      </c>
      <c r="J101" s="87" t="s">
        <v>199</v>
      </c>
      <c r="K101" s="91" t="s">
        <v>200</v>
      </c>
      <c r="L101" s="87" t="s">
        <v>201</v>
      </c>
    </row>
    <row r="102" spans="1:12" x14ac:dyDescent="0.25">
      <c r="A102" s="5">
        <v>40010</v>
      </c>
      <c r="B102" s="7" t="s">
        <v>1115</v>
      </c>
      <c r="C102" s="7" t="s">
        <v>369</v>
      </c>
      <c r="D102" s="7">
        <v>500</v>
      </c>
      <c r="E102" s="7">
        <v>56.5</v>
      </c>
      <c r="F102" s="14">
        <v>28248.75</v>
      </c>
      <c r="G102" s="91">
        <v>25.26</v>
      </c>
      <c r="H102" s="91" t="s">
        <v>1203</v>
      </c>
      <c r="I102" s="91">
        <v>2009130</v>
      </c>
      <c r="J102" s="7" t="s">
        <v>199</v>
      </c>
      <c r="K102" s="7" t="s">
        <v>1098</v>
      </c>
      <c r="L102" s="7" t="s">
        <v>201</v>
      </c>
    </row>
    <row r="103" spans="1:12" x14ac:dyDescent="0.25">
      <c r="A103" s="5">
        <v>40010</v>
      </c>
      <c r="B103" s="7" t="s">
        <v>1115</v>
      </c>
      <c r="C103" s="7" t="s">
        <v>369</v>
      </c>
      <c r="D103" s="7">
        <v>230</v>
      </c>
      <c r="E103" s="7">
        <v>56.65</v>
      </c>
      <c r="F103" s="14">
        <v>13029.5</v>
      </c>
      <c r="G103" s="91">
        <v>20.56</v>
      </c>
      <c r="H103" s="91" t="s">
        <v>1204</v>
      </c>
      <c r="I103" s="91">
        <v>2009130</v>
      </c>
      <c r="J103" s="7" t="s">
        <v>199</v>
      </c>
      <c r="K103" s="7" t="s">
        <v>1098</v>
      </c>
      <c r="L103" s="7" t="s">
        <v>201</v>
      </c>
    </row>
    <row r="104" spans="1:12" x14ac:dyDescent="0.25">
      <c r="A104" s="90">
        <v>40000</v>
      </c>
      <c r="B104" s="87" t="s">
        <v>1113</v>
      </c>
      <c r="C104" s="87" t="s">
        <v>369</v>
      </c>
      <c r="D104" s="87">
        <v>24</v>
      </c>
      <c r="E104" s="87">
        <v>195.7</v>
      </c>
      <c r="F104" s="88">
        <v>4696.8</v>
      </c>
      <c r="G104" s="91">
        <v>45.39</v>
      </c>
      <c r="H104" s="91" t="s">
        <v>1205</v>
      </c>
      <c r="I104" s="91">
        <v>200910065</v>
      </c>
      <c r="J104" s="87" t="s">
        <v>199</v>
      </c>
      <c r="K104" s="91" t="s">
        <v>200</v>
      </c>
      <c r="L104" s="87" t="s">
        <v>204</v>
      </c>
    </row>
    <row r="105" spans="1:12" x14ac:dyDescent="0.25">
      <c r="A105" s="90">
        <v>39996</v>
      </c>
      <c r="B105" s="87" t="s">
        <v>1120</v>
      </c>
      <c r="C105" s="87" t="s">
        <v>369</v>
      </c>
      <c r="D105" s="87">
        <v>140</v>
      </c>
      <c r="E105" s="87">
        <v>19.899999999999999</v>
      </c>
      <c r="F105" s="88">
        <v>2786</v>
      </c>
      <c r="G105" s="91">
        <v>34.75</v>
      </c>
      <c r="H105" s="91" t="s">
        <v>1206</v>
      </c>
      <c r="I105" s="91">
        <v>2009120</v>
      </c>
      <c r="J105" s="87" t="s">
        <v>199</v>
      </c>
      <c r="K105" s="91" t="s">
        <v>200</v>
      </c>
      <c r="L105" s="87" t="s">
        <v>201</v>
      </c>
    </row>
    <row r="106" spans="1:12" x14ac:dyDescent="0.25">
      <c r="A106" s="90">
        <v>39994</v>
      </c>
      <c r="B106" s="87" t="s">
        <v>1111</v>
      </c>
      <c r="C106" s="87" t="s">
        <v>369</v>
      </c>
      <c r="D106" s="87">
        <v>75</v>
      </c>
      <c r="E106" s="87">
        <v>58.75</v>
      </c>
      <c r="F106" s="88">
        <v>4406.25</v>
      </c>
      <c r="G106" s="91">
        <v>54.94</v>
      </c>
      <c r="H106" s="91" t="s">
        <v>1207</v>
      </c>
      <c r="I106" s="91">
        <v>2009118</v>
      </c>
      <c r="J106" s="87" t="s">
        <v>199</v>
      </c>
      <c r="K106" s="91" t="s">
        <v>200</v>
      </c>
      <c r="L106" s="87" t="s">
        <v>201</v>
      </c>
    </row>
    <row r="107" spans="1:12" x14ac:dyDescent="0.25">
      <c r="A107" s="90">
        <v>39994</v>
      </c>
      <c r="B107" s="87" t="s">
        <v>1120</v>
      </c>
      <c r="C107" s="87" t="s">
        <v>369</v>
      </c>
      <c r="D107" s="87">
        <v>70</v>
      </c>
      <c r="E107" s="87">
        <v>20.25</v>
      </c>
      <c r="F107" s="88">
        <v>1417.5</v>
      </c>
      <c r="G107" s="91">
        <v>17.399999999999999</v>
      </c>
      <c r="H107" s="91" t="s">
        <v>1208</v>
      </c>
      <c r="I107" s="91">
        <v>2009118</v>
      </c>
      <c r="J107" s="87" t="s">
        <v>199</v>
      </c>
      <c r="K107" s="91" t="s">
        <v>200</v>
      </c>
      <c r="L107" s="87" t="s">
        <v>201</v>
      </c>
    </row>
    <row r="108" spans="1:12" x14ac:dyDescent="0.25">
      <c r="A108" s="90">
        <v>39989</v>
      </c>
      <c r="B108" s="87" t="s">
        <v>1142</v>
      </c>
      <c r="C108" s="87" t="s">
        <v>369</v>
      </c>
      <c r="D108" s="87">
        <v>40</v>
      </c>
      <c r="E108" s="87">
        <v>112.5</v>
      </c>
      <c r="F108" s="88">
        <v>4500</v>
      </c>
      <c r="G108" s="91">
        <v>43.49</v>
      </c>
      <c r="H108" s="91" t="s">
        <v>1209</v>
      </c>
      <c r="I108" s="91">
        <v>200910058</v>
      </c>
      <c r="J108" s="87" t="s">
        <v>199</v>
      </c>
      <c r="K108" s="91" t="s">
        <v>200</v>
      </c>
      <c r="L108" s="87" t="s">
        <v>204</v>
      </c>
    </row>
    <row r="109" spans="1:12" x14ac:dyDescent="0.25">
      <c r="A109" s="90">
        <v>39983</v>
      </c>
      <c r="B109" s="87" t="s">
        <v>1142</v>
      </c>
      <c r="C109" s="87" t="s">
        <v>369</v>
      </c>
      <c r="D109" s="87">
        <v>40</v>
      </c>
      <c r="E109" s="87">
        <v>118.45</v>
      </c>
      <c r="F109" s="88">
        <v>4738</v>
      </c>
      <c r="G109" s="91">
        <v>45.78</v>
      </c>
      <c r="H109" s="91" t="s">
        <v>1210</v>
      </c>
      <c r="I109" s="91">
        <v>2009111</v>
      </c>
      <c r="J109" s="87" t="s">
        <v>199</v>
      </c>
      <c r="K109" s="91" t="s">
        <v>200</v>
      </c>
      <c r="L109" s="87" t="s">
        <v>201</v>
      </c>
    </row>
    <row r="110" spans="1:12" x14ac:dyDescent="0.25">
      <c r="A110" s="90">
        <v>39980</v>
      </c>
      <c r="B110" s="87" t="s">
        <v>1149</v>
      </c>
      <c r="C110" s="87" t="s">
        <v>369</v>
      </c>
      <c r="D110" s="87">
        <v>35</v>
      </c>
      <c r="E110" s="87">
        <v>165.6</v>
      </c>
      <c r="F110" s="88">
        <v>5796</v>
      </c>
      <c r="G110" s="91">
        <v>56.02</v>
      </c>
      <c r="H110" s="91" t="s">
        <v>1211</v>
      </c>
      <c r="I110" s="91">
        <v>2009108</v>
      </c>
      <c r="J110" s="87" t="s">
        <v>199</v>
      </c>
      <c r="K110" s="91" t="s">
        <v>200</v>
      </c>
      <c r="L110" s="87" t="s">
        <v>201</v>
      </c>
    </row>
    <row r="111" spans="1:12" x14ac:dyDescent="0.25">
      <c r="A111" s="90">
        <v>39976</v>
      </c>
      <c r="B111" s="87" t="s">
        <v>1145</v>
      </c>
      <c r="C111" s="87" t="s">
        <v>369</v>
      </c>
      <c r="D111" s="87">
        <v>130</v>
      </c>
      <c r="E111" s="87">
        <v>27.96</v>
      </c>
      <c r="F111" s="88">
        <v>3635</v>
      </c>
      <c r="G111" s="91">
        <v>35.130000000000003</v>
      </c>
      <c r="H111" s="91" t="s">
        <v>1264</v>
      </c>
      <c r="I111" s="91">
        <v>2009106</v>
      </c>
      <c r="J111" s="87" t="s">
        <v>199</v>
      </c>
      <c r="K111" s="91" t="s">
        <v>200</v>
      </c>
      <c r="L111" s="87" t="s">
        <v>201</v>
      </c>
    </row>
    <row r="112" spans="1:12" x14ac:dyDescent="0.25">
      <c r="A112" s="90">
        <v>39975</v>
      </c>
      <c r="B112" s="87" t="s">
        <v>1147</v>
      </c>
      <c r="C112" s="87" t="s">
        <v>369</v>
      </c>
      <c r="D112" s="87">
        <v>175</v>
      </c>
      <c r="E112" s="87">
        <v>61.8</v>
      </c>
      <c r="F112" s="88">
        <v>10815</v>
      </c>
      <c r="G112" s="91">
        <v>134.72999999999999</v>
      </c>
      <c r="H112" s="91" t="s">
        <v>1265</v>
      </c>
      <c r="I112" s="91">
        <v>2009105</v>
      </c>
      <c r="J112" s="87" t="s">
        <v>199</v>
      </c>
      <c r="K112" s="91" t="s">
        <v>200</v>
      </c>
      <c r="L112" s="87" t="s">
        <v>201</v>
      </c>
    </row>
    <row r="113" spans="1:12" x14ac:dyDescent="0.25">
      <c r="A113" s="90">
        <v>39972</v>
      </c>
      <c r="B113" s="87" t="s">
        <v>1153</v>
      </c>
      <c r="C113" s="87" t="s">
        <v>369</v>
      </c>
      <c r="D113" s="87">
        <v>50</v>
      </c>
      <c r="E113" s="87">
        <v>71.8</v>
      </c>
      <c r="F113" s="88">
        <v>3590</v>
      </c>
      <c r="G113" s="91">
        <v>34.700000000000003</v>
      </c>
      <c r="H113" s="91" t="s">
        <v>1266</v>
      </c>
      <c r="I113" s="91">
        <v>2009102</v>
      </c>
      <c r="J113" s="87" t="s">
        <v>199</v>
      </c>
      <c r="K113" s="91" t="s">
        <v>200</v>
      </c>
      <c r="L113" s="87" t="s">
        <v>201</v>
      </c>
    </row>
    <row r="114" spans="1:12" x14ac:dyDescent="0.25">
      <c r="A114" s="90">
        <v>39972</v>
      </c>
      <c r="B114" s="87" t="s">
        <v>1156</v>
      </c>
      <c r="C114" s="87" t="s">
        <v>369</v>
      </c>
      <c r="D114" s="87">
        <v>60</v>
      </c>
      <c r="E114" s="87">
        <v>141.19999999999999</v>
      </c>
      <c r="F114" s="88">
        <v>8472</v>
      </c>
      <c r="G114" s="91">
        <v>81.86</v>
      </c>
      <c r="H114" s="91" t="s">
        <v>1267</v>
      </c>
      <c r="I114" s="91">
        <v>2009102</v>
      </c>
      <c r="J114" s="87" t="s">
        <v>199</v>
      </c>
      <c r="K114" s="91" t="s">
        <v>200</v>
      </c>
      <c r="L114" s="87" t="s">
        <v>201</v>
      </c>
    </row>
    <row r="115" spans="1:12" x14ac:dyDescent="0.25">
      <c r="A115" s="5">
        <v>39969</v>
      </c>
      <c r="B115" s="7" t="s">
        <v>1153</v>
      </c>
      <c r="C115" s="7" t="s">
        <v>369</v>
      </c>
      <c r="D115" s="7">
        <v>100</v>
      </c>
      <c r="E115" s="7">
        <v>74.2</v>
      </c>
      <c r="F115" s="14">
        <v>7420</v>
      </c>
      <c r="G115" s="91">
        <v>71.7</v>
      </c>
      <c r="H115" s="91" t="s">
        <v>1268</v>
      </c>
      <c r="I115" s="91">
        <v>2009101</v>
      </c>
      <c r="J115" s="7" t="s">
        <v>199</v>
      </c>
      <c r="K115" s="7" t="s">
        <v>1185</v>
      </c>
      <c r="L115" s="7" t="s">
        <v>201</v>
      </c>
    </row>
    <row r="116" spans="1:12" x14ac:dyDescent="0.25">
      <c r="A116" s="90">
        <v>39967</v>
      </c>
      <c r="B116" s="87" t="s">
        <v>1160</v>
      </c>
      <c r="C116" s="87" t="s">
        <v>369</v>
      </c>
      <c r="D116" s="87">
        <v>225</v>
      </c>
      <c r="E116" s="87">
        <v>45.25</v>
      </c>
      <c r="F116" s="88">
        <v>10181.25</v>
      </c>
      <c r="G116" s="91">
        <v>98.39</v>
      </c>
      <c r="H116" s="91" t="s">
        <v>1269</v>
      </c>
      <c r="I116" s="91">
        <v>2009099</v>
      </c>
      <c r="J116" s="87" t="s">
        <v>199</v>
      </c>
      <c r="K116" s="91" t="s">
        <v>200</v>
      </c>
      <c r="L116" s="87" t="s">
        <v>201</v>
      </c>
    </row>
    <row r="117" spans="1:12" x14ac:dyDescent="0.25">
      <c r="A117" s="5">
        <v>39966</v>
      </c>
      <c r="B117" s="7" t="s">
        <v>1163</v>
      </c>
      <c r="C117" s="7" t="s">
        <v>369</v>
      </c>
      <c r="D117" s="7">
        <v>25</v>
      </c>
      <c r="E117" s="7">
        <v>364.45</v>
      </c>
      <c r="F117" s="14">
        <v>9111.25</v>
      </c>
      <c r="G117" s="91">
        <v>88.04</v>
      </c>
      <c r="H117" s="91" t="s">
        <v>1270</v>
      </c>
      <c r="I117" s="91">
        <v>2009098</v>
      </c>
      <c r="J117" s="7" t="s">
        <v>199</v>
      </c>
      <c r="K117" s="7" t="s">
        <v>1185</v>
      </c>
      <c r="L117" s="7" t="s">
        <v>201</v>
      </c>
    </row>
    <row r="118" spans="1:12" x14ac:dyDescent="0.25">
      <c r="A118" s="90">
        <v>39962</v>
      </c>
      <c r="B118" s="87" t="s">
        <v>1158</v>
      </c>
      <c r="C118" s="87" t="s">
        <v>369</v>
      </c>
      <c r="D118" s="87">
        <v>30</v>
      </c>
      <c r="E118" s="87">
        <v>143.5</v>
      </c>
      <c r="F118" s="88">
        <v>4305</v>
      </c>
      <c r="G118" s="91">
        <v>1.32</v>
      </c>
      <c r="H118" s="91" t="s">
        <v>1271</v>
      </c>
      <c r="I118" s="91">
        <v>200910039</v>
      </c>
      <c r="J118" s="87" t="s">
        <v>199</v>
      </c>
      <c r="K118" s="91" t="s">
        <v>200</v>
      </c>
      <c r="L118" s="87" t="s">
        <v>204</v>
      </c>
    </row>
    <row r="119" spans="1:12" x14ac:dyDescent="0.25">
      <c r="A119" s="90">
        <v>39962</v>
      </c>
      <c r="B119" s="87" t="s">
        <v>1149</v>
      </c>
      <c r="C119" s="87" t="s">
        <v>369</v>
      </c>
      <c r="D119" s="87">
        <v>25</v>
      </c>
      <c r="E119" s="87">
        <v>178.4</v>
      </c>
      <c r="F119" s="88">
        <v>4460</v>
      </c>
      <c r="G119" s="91">
        <v>1.37</v>
      </c>
      <c r="H119" s="91" t="s">
        <v>1272</v>
      </c>
      <c r="I119" s="91">
        <v>2009096</v>
      </c>
      <c r="J119" s="87" t="s">
        <v>199</v>
      </c>
      <c r="K119" s="91" t="s">
        <v>200</v>
      </c>
      <c r="L119" s="87" t="s">
        <v>201</v>
      </c>
    </row>
    <row r="120" spans="1:12" x14ac:dyDescent="0.25">
      <c r="A120" s="90">
        <v>39952</v>
      </c>
      <c r="B120" s="87" t="s">
        <v>1166</v>
      </c>
      <c r="C120" s="87" t="s">
        <v>369</v>
      </c>
      <c r="D120" s="87">
        <v>10</v>
      </c>
      <c r="E120" s="87">
        <v>673</v>
      </c>
      <c r="F120" s="88">
        <v>6730</v>
      </c>
      <c r="G120" s="91">
        <v>83.55</v>
      </c>
      <c r="H120" s="91" t="s">
        <v>1273</v>
      </c>
      <c r="I120" s="91">
        <v>2009088</v>
      </c>
      <c r="J120" s="87" t="s">
        <v>199</v>
      </c>
      <c r="K120" s="91" t="s">
        <v>200</v>
      </c>
      <c r="L120" s="87" t="s">
        <v>201</v>
      </c>
    </row>
    <row r="121" spans="1:12" x14ac:dyDescent="0.25">
      <c r="A121" s="90">
        <v>39944</v>
      </c>
      <c r="B121" s="87" t="s">
        <v>1086</v>
      </c>
      <c r="C121" s="87" t="s">
        <v>369</v>
      </c>
      <c r="D121" s="87">
        <v>100</v>
      </c>
      <c r="E121" s="87">
        <v>38.65</v>
      </c>
      <c r="F121" s="88">
        <v>3865</v>
      </c>
      <c r="G121" s="91">
        <v>48.38</v>
      </c>
      <c r="H121" s="91" t="s">
        <v>1274</v>
      </c>
      <c r="I121" s="91">
        <v>2009082</v>
      </c>
      <c r="J121" s="87" t="s">
        <v>199</v>
      </c>
      <c r="K121" s="91" t="s">
        <v>200</v>
      </c>
      <c r="L121" s="87" t="s">
        <v>201</v>
      </c>
    </row>
    <row r="122" spans="1:12" x14ac:dyDescent="0.25">
      <c r="A122" s="90">
        <v>39940</v>
      </c>
      <c r="B122" s="87" t="s">
        <v>1168</v>
      </c>
      <c r="C122" s="87" t="s">
        <v>369</v>
      </c>
      <c r="D122" s="87">
        <v>100</v>
      </c>
      <c r="E122" s="87">
        <v>25.5</v>
      </c>
      <c r="F122" s="88">
        <v>2550</v>
      </c>
      <c r="G122" s="91">
        <v>31.12</v>
      </c>
      <c r="H122" s="91" t="s">
        <v>1275</v>
      </c>
      <c r="I122" s="91">
        <v>200910023</v>
      </c>
      <c r="J122" s="87" t="s">
        <v>199</v>
      </c>
      <c r="K122" s="91" t="s">
        <v>200</v>
      </c>
      <c r="L122" s="87" t="s">
        <v>204</v>
      </c>
    </row>
    <row r="123" spans="1:12" x14ac:dyDescent="0.25">
      <c r="A123" s="90">
        <v>39939</v>
      </c>
      <c r="B123" s="87" t="s">
        <v>1168</v>
      </c>
      <c r="C123" s="87" t="s">
        <v>369</v>
      </c>
      <c r="D123" s="87">
        <v>100</v>
      </c>
      <c r="E123" s="87">
        <v>24.7</v>
      </c>
      <c r="F123" s="88">
        <v>2470.35</v>
      </c>
      <c r="G123" s="91">
        <v>31</v>
      </c>
      <c r="H123" s="91" t="s">
        <v>1276</v>
      </c>
      <c r="I123" s="91">
        <v>200910022</v>
      </c>
      <c r="J123" s="87" t="s">
        <v>199</v>
      </c>
      <c r="K123" s="91" t="s">
        <v>200</v>
      </c>
      <c r="L123" s="87" t="s">
        <v>204</v>
      </c>
    </row>
    <row r="124" spans="1:12" x14ac:dyDescent="0.25">
      <c r="A124" s="90">
        <v>39932</v>
      </c>
      <c r="B124" s="87" t="s">
        <v>1170</v>
      </c>
      <c r="C124" s="87" t="s">
        <v>369</v>
      </c>
      <c r="D124" s="87">
        <v>200</v>
      </c>
      <c r="E124" s="87">
        <v>29.5</v>
      </c>
      <c r="F124" s="88">
        <v>5900</v>
      </c>
      <c r="G124" s="91">
        <v>57</v>
      </c>
      <c r="H124" s="91" t="s">
        <v>1277</v>
      </c>
      <c r="I124" s="91">
        <v>200910019</v>
      </c>
      <c r="J124" s="87" t="s">
        <v>199</v>
      </c>
      <c r="K124" s="91" t="s">
        <v>200</v>
      </c>
      <c r="L124" s="87" t="s">
        <v>204</v>
      </c>
    </row>
    <row r="125" spans="1:12" x14ac:dyDescent="0.25">
      <c r="A125" s="5">
        <v>39905</v>
      </c>
      <c r="B125" s="7" t="s">
        <v>1055</v>
      </c>
      <c r="C125" s="7" t="s">
        <v>369</v>
      </c>
      <c r="D125" s="7">
        <v>175</v>
      </c>
      <c r="E125" s="7">
        <v>34</v>
      </c>
      <c r="F125" s="14">
        <v>5950</v>
      </c>
      <c r="G125" s="91">
        <v>57.47</v>
      </c>
      <c r="H125" s="91" t="s">
        <v>1278</v>
      </c>
      <c r="I125" s="91">
        <v>2009061</v>
      </c>
      <c r="J125" s="7" t="s">
        <v>199</v>
      </c>
      <c r="K125" s="7" t="s">
        <v>1185</v>
      </c>
      <c r="L125" s="7" t="s">
        <v>201</v>
      </c>
    </row>
    <row r="126" spans="1:12" x14ac:dyDescent="0.25">
      <c r="A126" s="5">
        <v>39905</v>
      </c>
      <c r="B126" s="7" t="s">
        <v>1055</v>
      </c>
      <c r="C126" s="7" t="s">
        <v>369</v>
      </c>
      <c r="D126" s="7">
        <v>125</v>
      </c>
      <c r="E126" s="7">
        <v>33.950000000000003</v>
      </c>
      <c r="F126" s="14">
        <v>4243.75</v>
      </c>
      <c r="G126" s="91">
        <v>40.98</v>
      </c>
      <c r="H126" s="91" t="s">
        <v>1279</v>
      </c>
      <c r="I126" s="91">
        <v>2009061</v>
      </c>
      <c r="J126" s="7" t="s">
        <v>199</v>
      </c>
      <c r="K126" s="7" t="s">
        <v>1185</v>
      </c>
      <c r="L126" s="7" t="s">
        <v>201</v>
      </c>
    </row>
    <row r="127" spans="1:12" x14ac:dyDescent="0.25">
      <c r="D127" s="91">
        <f>SUM(D73:D126)</f>
        <v>17874</v>
      </c>
      <c r="F127" s="88">
        <f>SUM(F73:F126)</f>
        <v>551531.35</v>
      </c>
      <c r="G127" s="91">
        <f>SUM(G73:G126)</f>
        <v>4398.41</v>
      </c>
      <c r="J127" s="87"/>
    </row>
    <row r="128" spans="1:12" x14ac:dyDescent="0.25">
      <c r="F128" s="88" t="s">
        <v>659</v>
      </c>
      <c r="G128" s="88">
        <f>F127-G127</f>
        <v>547132.93999999994</v>
      </c>
    </row>
    <row r="129" spans="1:12" x14ac:dyDescent="0.25">
      <c r="A129" s="54" t="s">
        <v>1280</v>
      </c>
    </row>
    <row r="130" spans="1:12" x14ac:dyDescent="0.25">
      <c r="F130" s="17" t="s">
        <v>660</v>
      </c>
      <c r="G130" s="94">
        <f>G128-G70</f>
        <v>-3153.2000000000698</v>
      </c>
    </row>
    <row r="133" spans="1:12" x14ac:dyDescent="0.25">
      <c r="A133" s="54" t="s">
        <v>1281</v>
      </c>
    </row>
    <row r="134" spans="1:12" x14ac:dyDescent="0.25">
      <c r="A134" s="90">
        <v>40144</v>
      </c>
      <c r="B134" s="87" t="s">
        <v>361</v>
      </c>
      <c r="C134" s="87" t="s">
        <v>197</v>
      </c>
      <c r="D134" s="87">
        <v>20</v>
      </c>
      <c r="E134" s="87">
        <v>123.6</v>
      </c>
      <c r="F134" s="88">
        <v>2472</v>
      </c>
      <c r="G134" s="91">
        <v>31.01</v>
      </c>
      <c r="H134" s="91" t="s">
        <v>1282</v>
      </c>
      <c r="I134" s="91">
        <v>2009221</v>
      </c>
      <c r="J134" s="87" t="s">
        <v>199</v>
      </c>
      <c r="K134" s="91" t="s">
        <v>200</v>
      </c>
      <c r="L134" s="87" t="s">
        <v>201</v>
      </c>
    </row>
    <row r="135" spans="1:12" x14ac:dyDescent="0.25">
      <c r="A135" s="90">
        <v>40102</v>
      </c>
      <c r="B135" s="87" t="s">
        <v>361</v>
      </c>
      <c r="C135" s="87" t="s">
        <v>197</v>
      </c>
      <c r="D135" s="87">
        <v>40</v>
      </c>
      <c r="E135" s="87">
        <v>137</v>
      </c>
      <c r="F135" s="88">
        <v>5480</v>
      </c>
      <c r="G135" s="91">
        <v>52.92</v>
      </c>
      <c r="H135" s="91" t="s">
        <v>1283</v>
      </c>
      <c r="I135" s="91">
        <v>2009192</v>
      </c>
      <c r="J135" s="87" t="s">
        <v>199</v>
      </c>
      <c r="K135" s="91" t="s">
        <v>200</v>
      </c>
      <c r="L135" s="87" t="s">
        <v>201</v>
      </c>
    </row>
    <row r="136" spans="1:12" x14ac:dyDescent="0.25">
      <c r="A136" s="90">
        <v>40102</v>
      </c>
      <c r="B136" s="87" t="s">
        <v>361</v>
      </c>
      <c r="C136" s="87" t="s">
        <v>197</v>
      </c>
      <c r="D136" s="87">
        <v>40</v>
      </c>
      <c r="E136" s="87">
        <v>136.5</v>
      </c>
      <c r="F136" s="88">
        <v>5460</v>
      </c>
      <c r="G136" s="91">
        <v>52.74</v>
      </c>
      <c r="H136" s="91" t="s">
        <v>1284</v>
      </c>
      <c r="I136" s="91">
        <v>2009192</v>
      </c>
      <c r="J136" s="87" t="s">
        <v>199</v>
      </c>
      <c r="K136" s="91" t="s">
        <v>200</v>
      </c>
      <c r="L136" s="87" t="s">
        <v>201</v>
      </c>
    </row>
    <row r="137" spans="1:12" x14ac:dyDescent="0.25">
      <c r="A137" s="90">
        <v>40116</v>
      </c>
      <c r="B137" s="87" t="s">
        <v>235</v>
      </c>
      <c r="C137" s="87" t="s">
        <v>197</v>
      </c>
      <c r="D137" s="87">
        <v>100</v>
      </c>
      <c r="E137" s="87">
        <v>20.3</v>
      </c>
      <c r="F137" s="88">
        <v>2030</v>
      </c>
      <c r="G137" s="91">
        <v>30.39</v>
      </c>
      <c r="H137" s="91" t="s">
        <v>1285</v>
      </c>
      <c r="I137" s="91">
        <v>200910145</v>
      </c>
      <c r="J137" s="87" t="s">
        <v>199</v>
      </c>
      <c r="K137" s="91" t="s">
        <v>200</v>
      </c>
      <c r="L137" s="87" t="s">
        <v>204</v>
      </c>
    </row>
    <row r="138" spans="1:12" x14ac:dyDescent="0.25">
      <c r="A138" s="90">
        <v>40115</v>
      </c>
      <c r="B138" s="87" t="s">
        <v>235</v>
      </c>
      <c r="C138" s="87" t="s">
        <v>197</v>
      </c>
      <c r="D138" s="87">
        <v>400</v>
      </c>
      <c r="E138" s="87">
        <v>18.95</v>
      </c>
      <c r="F138" s="88">
        <v>7580</v>
      </c>
      <c r="G138" s="91">
        <v>73.2</v>
      </c>
      <c r="H138" s="91" t="s">
        <v>1286</v>
      </c>
      <c r="I138" s="91">
        <v>2009201</v>
      </c>
      <c r="J138" s="87" t="s">
        <v>199</v>
      </c>
      <c r="K138" s="91" t="s">
        <v>200</v>
      </c>
      <c r="L138" s="87" t="s">
        <v>201</v>
      </c>
    </row>
    <row r="139" spans="1:12" x14ac:dyDescent="0.25">
      <c r="A139" s="90">
        <v>40098</v>
      </c>
      <c r="B139" s="87" t="s">
        <v>235</v>
      </c>
      <c r="C139" s="87" t="s">
        <v>197</v>
      </c>
      <c r="D139" s="87">
        <v>500</v>
      </c>
      <c r="E139" s="87">
        <v>21.75</v>
      </c>
      <c r="F139" s="88">
        <v>10875</v>
      </c>
      <c r="G139" s="91">
        <v>105.04</v>
      </c>
      <c r="H139" s="91" t="s">
        <v>1287</v>
      </c>
      <c r="I139" s="91">
        <v>2009189</v>
      </c>
      <c r="J139" s="87" t="s">
        <v>199</v>
      </c>
      <c r="K139" s="91" t="s">
        <v>200</v>
      </c>
      <c r="L139" s="87" t="s">
        <v>201</v>
      </c>
    </row>
    <row r="140" spans="1:12" x14ac:dyDescent="0.25">
      <c r="A140" s="90">
        <v>40267</v>
      </c>
      <c r="B140" s="87" t="s">
        <v>255</v>
      </c>
      <c r="C140" s="87" t="s">
        <v>197</v>
      </c>
      <c r="D140" s="87">
        <v>1000</v>
      </c>
      <c r="E140" s="87">
        <v>9.0500000000000007</v>
      </c>
      <c r="F140" s="88">
        <v>9050</v>
      </c>
      <c r="G140" s="91">
        <v>67.41</v>
      </c>
      <c r="H140" s="91" t="s">
        <v>1288</v>
      </c>
      <c r="I140" s="91">
        <v>2010058</v>
      </c>
      <c r="J140" s="87" t="s">
        <v>199</v>
      </c>
      <c r="K140" s="91" t="s">
        <v>200</v>
      </c>
      <c r="L140" s="87" t="s">
        <v>201</v>
      </c>
    </row>
    <row r="141" spans="1:12" x14ac:dyDescent="0.25">
      <c r="A141" s="90">
        <v>40252</v>
      </c>
      <c r="B141" s="87" t="s">
        <v>255</v>
      </c>
      <c r="C141" s="87" t="s">
        <v>197</v>
      </c>
      <c r="D141" s="87">
        <v>1000</v>
      </c>
      <c r="E141" s="87">
        <v>10.65</v>
      </c>
      <c r="F141" s="88">
        <v>10650</v>
      </c>
      <c r="G141" s="91">
        <v>79.41</v>
      </c>
      <c r="H141" s="91" t="s">
        <v>1289</v>
      </c>
      <c r="I141" s="91">
        <v>2010048</v>
      </c>
      <c r="J141" s="87" t="s">
        <v>199</v>
      </c>
      <c r="K141" s="91" t="s">
        <v>200</v>
      </c>
      <c r="L141" s="87" t="s">
        <v>201</v>
      </c>
    </row>
    <row r="142" spans="1:12" x14ac:dyDescent="0.25">
      <c r="A142" s="90">
        <v>40252</v>
      </c>
      <c r="B142" s="87" t="s">
        <v>255</v>
      </c>
      <c r="C142" s="87" t="s">
        <v>197</v>
      </c>
      <c r="D142" s="87">
        <v>1000</v>
      </c>
      <c r="E142" s="87">
        <v>10.65</v>
      </c>
      <c r="F142" s="88">
        <v>10650</v>
      </c>
      <c r="G142" s="91">
        <v>79.41</v>
      </c>
      <c r="H142" s="91" t="s">
        <v>1290</v>
      </c>
      <c r="I142" s="91">
        <v>2010048</v>
      </c>
      <c r="J142" s="87" t="s">
        <v>199</v>
      </c>
      <c r="K142" s="91" t="s">
        <v>200</v>
      </c>
      <c r="L142" s="87" t="s">
        <v>201</v>
      </c>
    </row>
    <row r="143" spans="1:12" x14ac:dyDescent="0.25">
      <c r="A143" s="90">
        <v>40268</v>
      </c>
      <c r="B143" s="87" t="s">
        <v>465</v>
      </c>
      <c r="C143" s="87" t="s">
        <v>197</v>
      </c>
      <c r="D143" s="87">
        <v>10000</v>
      </c>
      <c r="E143" s="87">
        <v>0.51</v>
      </c>
      <c r="F143" s="88">
        <v>5100</v>
      </c>
      <c r="G143" s="91">
        <v>38.380000000000003</v>
      </c>
      <c r="H143" s="91" t="s">
        <v>1291</v>
      </c>
      <c r="I143" s="91">
        <v>201011002</v>
      </c>
      <c r="J143" s="87" t="s">
        <v>307</v>
      </c>
      <c r="K143" s="91" t="s">
        <v>200</v>
      </c>
      <c r="L143" s="87" t="s">
        <v>204</v>
      </c>
    </row>
    <row r="144" spans="1:12" x14ac:dyDescent="0.25">
      <c r="A144" s="90"/>
      <c r="B144" s="87"/>
      <c r="C144" s="87"/>
      <c r="D144" s="87"/>
      <c r="E144" s="87"/>
      <c r="F144" s="88"/>
      <c r="G144" s="89"/>
      <c r="H144" s="89"/>
      <c r="I144" s="89"/>
      <c r="J144" s="87"/>
      <c r="K144" s="89"/>
      <c r="L144" s="87"/>
    </row>
    <row r="145" spans="1:12" x14ac:dyDescent="0.25">
      <c r="A145" s="54" t="s">
        <v>1292</v>
      </c>
    </row>
    <row r="146" spans="1:12" x14ac:dyDescent="0.25">
      <c r="A146" s="90">
        <v>39729</v>
      </c>
      <c r="B146" s="87" t="s">
        <v>282</v>
      </c>
      <c r="C146" s="87" t="s">
        <v>197</v>
      </c>
      <c r="D146" s="87">
        <v>300</v>
      </c>
      <c r="E146" s="87">
        <v>12.35</v>
      </c>
      <c r="F146" s="88">
        <v>3705</v>
      </c>
      <c r="G146" s="91">
        <v>36.31</v>
      </c>
      <c r="H146" s="91" t="s">
        <v>1050</v>
      </c>
      <c r="I146" s="91">
        <v>2008192</v>
      </c>
      <c r="J146" s="87" t="s">
        <v>199</v>
      </c>
      <c r="K146" s="91" t="s">
        <v>1051</v>
      </c>
      <c r="L146" s="87" t="s">
        <v>201</v>
      </c>
    </row>
    <row r="147" spans="1:12" x14ac:dyDescent="0.25">
      <c r="A147" s="90">
        <v>39728</v>
      </c>
      <c r="B147" s="87" t="s">
        <v>282</v>
      </c>
      <c r="C147" s="87" t="s">
        <v>197</v>
      </c>
      <c r="D147" s="87">
        <v>1000</v>
      </c>
      <c r="E147" s="87">
        <v>13.1</v>
      </c>
      <c r="F147" s="88">
        <v>13100</v>
      </c>
      <c r="G147" s="91">
        <v>128.58000000000001</v>
      </c>
      <c r="H147" s="91" t="s">
        <v>1052</v>
      </c>
      <c r="I147" s="91">
        <v>2008191</v>
      </c>
      <c r="J147" s="87" t="s">
        <v>199</v>
      </c>
      <c r="K147" s="91" t="s">
        <v>1051</v>
      </c>
      <c r="L147" s="87" t="s">
        <v>201</v>
      </c>
    </row>
    <row r="148" spans="1:12" x14ac:dyDescent="0.25">
      <c r="A148" s="90">
        <v>39728</v>
      </c>
      <c r="B148" s="87" t="s">
        <v>282</v>
      </c>
      <c r="C148" s="87" t="s">
        <v>197</v>
      </c>
      <c r="D148" s="87">
        <v>700</v>
      </c>
      <c r="E148" s="87">
        <v>13.1</v>
      </c>
      <c r="F148" s="88">
        <v>9170</v>
      </c>
      <c r="G148" s="91">
        <v>90</v>
      </c>
      <c r="H148" s="91" t="s">
        <v>1053</v>
      </c>
      <c r="I148" s="91">
        <v>2008191</v>
      </c>
      <c r="J148" s="87" t="s">
        <v>199</v>
      </c>
      <c r="K148" s="91" t="s">
        <v>1051</v>
      </c>
      <c r="L148" s="87" t="s">
        <v>201</v>
      </c>
    </row>
  </sheetData>
  <phoneticPr fontId="10" type="noConversion"/>
  <pageMargins left="0.75" right="0.75" top="1" bottom="1" header="0.5" footer="0.5"/>
  <pageSetup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76"/>
  <sheetViews>
    <sheetView topLeftCell="A49" workbookViewId="0">
      <selection activeCell="P22" sqref="P22"/>
    </sheetView>
  </sheetViews>
  <sheetFormatPr defaultColWidth="9.21875" defaultRowHeight="13.2" x14ac:dyDescent="0.25"/>
  <cols>
    <col min="1" max="1" width="9.21875" style="1"/>
    <col min="2" max="2" width="30.77734375" style="1" customWidth="1"/>
    <col min="3" max="5" width="9.21875" style="1"/>
    <col min="6" max="7" width="10.21875" style="12" bestFit="1" customWidth="1"/>
    <col min="8" max="8" width="25.77734375" style="76" customWidth="1"/>
    <col min="9" max="16384" width="9.21875" style="1"/>
  </cols>
  <sheetData>
    <row r="1" spans="1:8" x14ac:dyDescent="0.25">
      <c r="A1" s="95" t="s">
        <v>467</v>
      </c>
      <c r="B1" s="95" t="s">
        <v>468</v>
      </c>
      <c r="C1" s="95" t="s">
        <v>186</v>
      </c>
      <c r="D1" s="95" t="s">
        <v>469</v>
      </c>
      <c r="E1" s="96" t="s">
        <v>188</v>
      </c>
      <c r="F1" s="95" t="s">
        <v>470</v>
      </c>
      <c r="G1" s="97" t="s">
        <v>471</v>
      </c>
      <c r="H1" s="98" t="s">
        <v>191</v>
      </c>
    </row>
    <row r="2" spans="1:8" x14ac:dyDescent="0.25">
      <c r="A2" s="5">
        <v>40009</v>
      </c>
      <c r="B2" s="6" t="s">
        <v>1293</v>
      </c>
      <c r="C2" s="7" t="s">
        <v>197</v>
      </c>
      <c r="D2" s="7">
        <v>800</v>
      </c>
      <c r="E2" s="8">
        <v>2</v>
      </c>
      <c r="F2" s="9">
        <v>1600</v>
      </c>
      <c r="G2" s="1">
        <v>105.69</v>
      </c>
      <c r="H2" s="1" t="s">
        <v>1294</v>
      </c>
    </row>
    <row r="3" spans="1:8" x14ac:dyDescent="0.25">
      <c r="A3" s="5">
        <v>39911</v>
      </c>
      <c r="B3" s="6" t="s">
        <v>1295</v>
      </c>
      <c r="C3" s="7" t="s">
        <v>197</v>
      </c>
      <c r="D3" s="7">
        <v>50</v>
      </c>
      <c r="E3" s="8">
        <v>95.8</v>
      </c>
      <c r="F3" s="9">
        <v>4790</v>
      </c>
      <c r="G3" s="1">
        <v>107.29</v>
      </c>
      <c r="H3" s="1" t="s">
        <v>1296</v>
      </c>
    </row>
    <row r="4" spans="1:8" x14ac:dyDescent="0.25">
      <c r="A4" s="5">
        <v>39912</v>
      </c>
      <c r="B4" s="6" t="s">
        <v>1295</v>
      </c>
      <c r="C4" s="7" t="s">
        <v>197</v>
      </c>
      <c r="D4" s="7">
        <v>50</v>
      </c>
      <c r="E4" s="8">
        <v>73.5</v>
      </c>
      <c r="F4" s="9">
        <v>3675</v>
      </c>
      <c r="G4" s="1">
        <v>18.47</v>
      </c>
      <c r="H4" s="1" t="s">
        <v>1297</v>
      </c>
    </row>
    <row r="5" spans="1:8" x14ac:dyDescent="0.25">
      <c r="A5" s="5">
        <v>39916</v>
      </c>
      <c r="B5" s="6" t="s">
        <v>1295</v>
      </c>
      <c r="C5" s="7" t="s">
        <v>197</v>
      </c>
      <c r="D5" s="7">
        <v>50</v>
      </c>
      <c r="E5" s="8">
        <v>71.5</v>
      </c>
      <c r="F5" s="9">
        <v>3575</v>
      </c>
      <c r="G5" s="1">
        <v>18.420000000000002</v>
      </c>
      <c r="H5" s="1" t="s">
        <v>1298</v>
      </c>
    </row>
    <row r="6" spans="1:8" x14ac:dyDescent="0.25">
      <c r="A6" s="5">
        <v>39916</v>
      </c>
      <c r="B6" s="6" t="s">
        <v>1299</v>
      </c>
      <c r="C6" s="7" t="s">
        <v>197</v>
      </c>
      <c r="D6" s="7">
        <v>50</v>
      </c>
      <c r="E6" s="8">
        <v>55.15</v>
      </c>
      <c r="F6" s="9">
        <v>2757.5</v>
      </c>
      <c r="G6" s="1">
        <v>106.23</v>
      </c>
      <c r="H6" s="1" t="s">
        <v>1300</v>
      </c>
    </row>
    <row r="7" spans="1:8" x14ac:dyDescent="0.25">
      <c r="A7" s="5">
        <v>39918</v>
      </c>
      <c r="B7" s="6" t="s">
        <v>1301</v>
      </c>
      <c r="C7" s="7" t="s">
        <v>197</v>
      </c>
      <c r="D7" s="7">
        <v>50</v>
      </c>
      <c r="E7" s="8">
        <v>74</v>
      </c>
      <c r="F7" s="9">
        <v>3700</v>
      </c>
      <c r="G7" s="1">
        <v>106.71</v>
      </c>
      <c r="H7" s="1" t="s">
        <v>1302</v>
      </c>
    </row>
    <row r="8" spans="1:8" x14ac:dyDescent="0.25">
      <c r="A8" s="5">
        <v>39923</v>
      </c>
      <c r="B8" s="6" t="s">
        <v>1303</v>
      </c>
      <c r="C8" s="7" t="s">
        <v>197</v>
      </c>
      <c r="D8" s="7">
        <v>50</v>
      </c>
      <c r="E8" s="8">
        <v>64</v>
      </c>
      <c r="F8" s="9">
        <v>3200</v>
      </c>
      <c r="G8" s="1">
        <v>18.22</v>
      </c>
      <c r="H8" s="1" t="s">
        <v>1304</v>
      </c>
    </row>
    <row r="9" spans="1:8" x14ac:dyDescent="0.25">
      <c r="A9" s="5">
        <v>39926</v>
      </c>
      <c r="B9" s="6" t="s">
        <v>1295</v>
      </c>
      <c r="C9" s="7" t="s">
        <v>197</v>
      </c>
      <c r="D9" s="7">
        <v>50</v>
      </c>
      <c r="E9" s="8">
        <v>56</v>
      </c>
      <c r="F9" s="9">
        <v>2800</v>
      </c>
      <c r="G9" s="1">
        <v>106.25</v>
      </c>
      <c r="H9" s="1" t="s">
        <v>1305</v>
      </c>
    </row>
    <row r="10" spans="1:8" x14ac:dyDescent="0.25">
      <c r="A10" s="5">
        <v>39927</v>
      </c>
      <c r="B10" s="6" t="s">
        <v>1301</v>
      </c>
      <c r="C10" s="7" t="s">
        <v>197</v>
      </c>
      <c r="D10" s="7">
        <v>100</v>
      </c>
      <c r="E10" s="8">
        <v>29.5</v>
      </c>
      <c r="F10" s="9">
        <v>2950</v>
      </c>
      <c r="G10" s="1">
        <v>211.12</v>
      </c>
      <c r="H10" s="1" t="s">
        <v>1306</v>
      </c>
    </row>
    <row r="11" spans="1:8" x14ac:dyDescent="0.25">
      <c r="A11" s="5">
        <v>39927</v>
      </c>
      <c r="B11" s="6" t="s">
        <v>1307</v>
      </c>
      <c r="C11" s="7" t="s">
        <v>197</v>
      </c>
      <c r="D11" s="7">
        <v>50</v>
      </c>
      <c r="E11" s="8">
        <v>66</v>
      </c>
      <c r="F11" s="9">
        <v>3300</v>
      </c>
      <c r="G11" s="1">
        <v>106.51</v>
      </c>
      <c r="H11" s="1" t="s">
        <v>1308</v>
      </c>
    </row>
    <row r="12" spans="1:8" x14ac:dyDescent="0.25">
      <c r="A12" s="5">
        <v>39932</v>
      </c>
      <c r="B12" s="6" t="s">
        <v>1301</v>
      </c>
      <c r="C12" s="7" t="s">
        <v>197</v>
      </c>
      <c r="D12" s="7">
        <v>100</v>
      </c>
      <c r="E12" s="8">
        <v>6.25</v>
      </c>
      <c r="F12" s="8">
        <v>625</v>
      </c>
      <c r="G12" s="1">
        <v>209.89</v>
      </c>
      <c r="H12" s="1" t="s">
        <v>1309</v>
      </c>
    </row>
    <row r="13" spans="1:8" x14ac:dyDescent="0.25">
      <c r="A13" s="5">
        <v>39932</v>
      </c>
      <c r="B13" s="6" t="s">
        <v>1301</v>
      </c>
      <c r="C13" s="7" t="s">
        <v>197</v>
      </c>
      <c r="D13" s="7">
        <v>50</v>
      </c>
      <c r="E13" s="8">
        <v>7</v>
      </c>
      <c r="F13" s="8">
        <v>350</v>
      </c>
      <c r="G13" s="1">
        <v>104.97</v>
      </c>
      <c r="H13" s="1" t="s">
        <v>1310</v>
      </c>
    </row>
    <row r="14" spans="1:8" x14ac:dyDescent="0.25">
      <c r="A14" s="5">
        <v>39932</v>
      </c>
      <c r="B14" s="6" t="s">
        <v>1301</v>
      </c>
      <c r="C14" s="7" t="s">
        <v>197</v>
      </c>
      <c r="D14" s="7">
        <v>50</v>
      </c>
      <c r="E14" s="8">
        <v>6.75</v>
      </c>
      <c r="F14" s="8">
        <v>337.5</v>
      </c>
      <c r="G14" s="1">
        <v>104.96</v>
      </c>
      <c r="H14" s="1" t="s">
        <v>1328</v>
      </c>
    </row>
    <row r="15" spans="1:8" x14ac:dyDescent="0.25">
      <c r="A15" s="5">
        <v>39932</v>
      </c>
      <c r="B15" s="6" t="s">
        <v>1329</v>
      </c>
      <c r="C15" s="7" t="s">
        <v>197</v>
      </c>
      <c r="D15" s="7">
        <v>50</v>
      </c>
      <c r="E15" s="8">
        <v>131</v>
      </c>
      <c r="F15" s="9">
        <v>6550</v>
      </c>
      <c r="G15" s="1">
        <v>108.2</v>
      </c>
      <c r="H15" s="1" t="s">
        <v>1330</v>
      </c>
    </row>
    <row r="16" spans="1:8" x14ac:dyDescent="0.25">
      <c r="A16" s="5">
        <v>39962</v>
      </c>
      <c r="B16" s="6" t="s">
        <v>1331</v>
      </c>
      <c r="C16" s="7" t="s">
        <v>197</v>
      </c>
      <c r="D16" s="7">
        <v>50</v>
      </c>
      <c r="E16" s="8">
        <v>49.3</v>
      </c>
      <c r="F16" s="9">
        <v>2465</v>
      </c>
      <c r="G16" s="1">
        <v>106.06</v>
      </c>
      <c r="H16" s="1" t="s">
        <v>1332</v>
      </c>
    </row>
    <row r="17" spans="1:8" x14ac:dyDescent="0.25">
      <c r="A17" s="5">
        <v>39966</v>
      </c>
      <c r="B17" s="6" t="s">
        <v>1333</v>
      </c>
      <c r="C17" s="7" t="s">
        <v>197</v>
      </c>
      <c r="D17" s="7">
        <v>100</v>
      </c>
      <c r="E17" s="8">
        <v>24.2</v>
      </c>
      <c r="F17" s="9">
        <v>2420</v>
      </c>
      <c r="G17" s="1">
        <v>210.94</v>
      </c>
      <c r="H17" s="1" t="s">
        <v>1334</v>
      </c>
    </row>
    <row r="18" spans="1:8" x14ac:dyDescent="0.25">
      <c r="A18" s="5">
        <v>39975</v>
      </c>
      <c r="B18" s="6" t="s">
        <v>1335</v>
      </c>
      <c r="C18" s="7" t="s">
        <v>197</v>
      </c>
      <c r="D18" s="7">
        <v>50</v>
      </c>
      <c r="E18" s="8">
        <v>28.4</v>
      </c>
      <c r="F18" s="9">
        <v>1420</v>
      </c>
      <c r="G18" s="1">
        <v>105.59</v>
      </c>
      <c r="H18" s="1" t="s">
        <v>1336</v>
      </c>
    </row>
    <row r="19" spans="1:8" x14ac:dyDescent="0.25">
      <c r="A19" s="5">
        <v>39994</v>
      </c>
      <c r="B19" s="6" t="s">
        <v>1337</v>
      </c>
      <c r="C19" s="7" t="s">
        <v>197</v>
      </c>
      <c r="D19" s="7">
        <v>100</v>
      </c>
      <c r="E19" s="8">
        <v>48.5</v>
      </c>
      <c r="F19" s="9">
        <v>4850</v>
      </c>
      <c r="G19" s="1">
        <v>212.35</v>
      </c>
      <c r="H19" s="1" t="s">
        <v>1338</v>
      </c>
    </row>
    <row r="20" spans="1:8" x14ac:dyDescent="0.25">
      <c r="A20" s="5">
        <v>40008</v>
      </c>
      <c r="B20" s="6" t="s">
        <v>1344</v>
      </c>
      <c r="C20" s="7" t="s">
        <v>197</v>
      </c>
      <c r="D20" s="7">
        <v>50</v>
      </c>
      <c r="E20" s="8">
        <v>70.95</v>
      </c>
      <c r="F20" s="9">
        <v>3547.5</v>
      </c>
      <c r="G20" s="1">
        <v>106.8</v>
      </c>
      <c r="H20" s="1" t="s">
        <v>1345</v>
      </c>
    </row>
    <row r="21" spans="1:8" x14ac:dyDescent="0.25">
      <c r="A21" s="5">
        <v>40011</v>
      </c>
      <c r="B21" s="6" t="s">
        <v>1346</v>
      </c>
      <c r="C21" s="7" t="s">
        <v>197</v>
      </c>
      <c r="D21" s="7">
        <v>50</v>
      </c>
      <c r="E21" s="8">
        <v>48.3</v>
      </c>
      <c r="F21" s="9">
        <v>2415</v>
      </c>
      <c r="G21" s="1">
        <v>17.93</v>
      </c>
      <c r="H21" s="1" t="s">
        <v>1347</v>
      </c>
    </row>
    <row r="22" spans="1:8" x14ac:dyDescent="0.25">
      <c r="A22" s="5">
        <v>40011</v>
      </c>
      <c r="B22" s="6" t="s">
        <v>1348</v>
      </c>
      <c r="C22" s="7" t="s">
        <v>197</v>
      </c>
      <c r="D22" s="7">
        <v>50</v>
      </c>
      <c r="E22" s="8">
        <v>77.900000000000006</v>
      </c>
      <c r="F22" s="9">
        <v>3895</v>
      </c>
      <c r="G22" s="1">
        <v>107.01</v>
      </c>
      <c r="H22" s="1" t="s">
        <v>1349</v>
      </c>
    </row>
    <row r="23" spans="1:8" x14ac:dyDescent="0.25">
      <c r="A23" s="5">
        <v>40086</v>
      </c>
      <c r="B23" s="6" t="s">
        <v>1350</v>
      </c>
      <c r="C23" s="7" t="s">
        <v>197</v>
      </c>
      <c r="D23" s="7">
        <v>50</v>
      </c>
      <c r="E23" s="8">
        <v>68.8</v>
      </c>
      <c r="F23" s="9">
        <v>3440</v>
      </c>
      <c r="G23" s="1">
        <v>106.75</v>
      </c>
      <c r="H23" s="1" t="s">
        <v>1351</v>
      </c>
    </row>
    <row r="24" spans="1:8" x14ac:dyDescent="0.25">
      <c r="A24" s="5">
        <v>40100</v>
      </c>
      <c r="B24" s="6" t="s">
        <v>1350</v>
      </c>
      <c r="C24" s="7" t="s">
        <v>197</v>
      </c>
      <c r="D24" s="7">
        <v>100</v>
      </c>
      <c r="E24" s="8">
        <v>36.6</v>
      </c>
      <c r="F24" s="9">
        <v>3660</v>
      </c>
      <c r="G24" s="1">
        <v>211.66</v>
      </c>
      <c r="H24" s="1" t="s">
        <v>1352</v>
      </c>
    </row>
    <row r="25" spans="1:8" x14ac:dyDescent="0.25">
      <c r="A25" s="5">
        <v>40102</v>
      </c>
      <c r="B25" s="6" t="s">
        <v>1350</v>
      </c>
      <c r="C25" s="7" t="s">
        <v>197</v>
      </c>
      <c r="D25" s="7">
        <v>50</v>
      </c>
      <c r="E25" s="8">
        <v>24.25</v>
      </c>
      <c r="F25" s="9">
        <v>1212.5</v>
      </c>
      <c r="G25" s="1">
        <v>105.47</v>
      </c>
      <c r="H25" s="1" t="s">
        <v>1353</v>
      </c>
    </row>
    <row r="26" spans="1:8" x14ac:dyDescent="0.25">
      <c r="A26" s="5">
        <v>40135</v>
      </c>
      <c r="B26" s="6" t="s">
        <v>1354</v>
      </c>
      <c r="C26" s="7" t="s">
        <v>197</v>
      </c>
      <c r="D26" s="7">
        <v>50</v>
      </c>
      <c r="E26" s="8">
        <v>40.200000000000003</v>
      </c>
      <c r="F26" s="9">
        <v>2010</v>
      </c>
      <c r="G26" s="1">
        <v>105.93</v>
      </c>
      <c r="H26" s="1" t="s">
        <v>1355</v>
      </c>
    </row>
    <row r="27" spans="1:8" x14ac:dyDescent="0.25">
      <c r="A27" s="5">
        <v>40203</v>
      </c>
      <c r="B27" s="6" t="s">
        <v>1356</v>
      </c>
      <c r="C27" s="7" t="s">
        <v>197</v>
      </c>
      <c r="D27" s="7">
        <v>100</v>
      </c>
      <c r="E27" s="8">
        <v>13</v>
      </c>
      <c r="F27" s="9">
        <v>1300</v>
      </c>
      <c r="G27" s="1">
        <v>210.32</v>
      </c>
      <c r="H27" s="1" t="s">
        <v>1357</v>
      </c>
    </row>
    <row r="28" spans="1:8" x14ac:dyDescent="0.25">
      <c r="A28" s="5">
        <v>39941</v>
      </c>
      <c r="B28" s="6" t="s">
        <v>1358</v>
      </c>
      <c r="C28" s="7" t="s">
        <v>197</v>
      </c>
      <c r="D28" s="7">
        <v>1625</v>
      </c>
      <c r="E28" s="8">
        <v>2.7</v>
      </c>
      <c r="F28" s="9">
        <v>4387.5</v>
      </c>
      <c r="G28" s="1">
        <v>107.07</v>
      </c>
      <c r="H28" s="1" t="s">
        <v>1359</v>
      </c>
    </row>
    <row r="29" spans="1:8" x14ac:dyDescent="0.25">
      <c r="A29" s="5">
        <v>39944</v>
      </c>
      <c r="B29" s="6" t="s">
        <v>1360</v>
      </c>
      <c r="C29" s="7" t="s">
        <v>197</v>
      </c>
      <c r="D29" s="7">
        <v>1625</v>
      </c>
      <c r="E29" s="8">
        <v>3.8</v>
      </c>
      <c r="F29" s="9">
        <v>6175</v>
      </c>
      <c r="G29" s="1">
        <v>108</v>
      </c>
      <c r="H29" s="1" t="s">
        <v>1361</v>
      </c>
    </row>
    <row r="30" spans="1:8" x14ac:dyDescent="0.25">
      <c r="A30" s="5">
        <v>39947</v>
      </c>
      <c r="B30" s="6" t="s">
        <v>1358</v>
      </c>
      <c r="C30" s="7" t="s">
        <v>197</v>
      </c>
      <c r="D30" s="7">
        <v>1625</v>
      </c>
      <c r="E30" s="8">
        <v>1.7</v>
      </c>
      <c r="F30" s="9">
        <v>2762.5</v>
      </c>
      <c r="G30" s="1">
        <v>106.23</v>
      </c>
      <c r="H30" s="1" t="s">
        <v>1362</v>
      </c>
    </row>
    <row r="31" spans="1:8" x14ac:dyDescent="0.25">
      <c r="A31" s="5">
        <v>39953</v>
      </c>
      <c r="B31" s="6" t="s">
        <v>1363</v>
      </c>
      <c r="C31" s="7" t="s">
        <v>197</v>
      </c>
      <c r="D31" s="7">
        <v>1625</v>
      </c>
      <c r="E31" s="8">
        <v>0.75</v>
      </c>
      <c r="F31" s="9">
        <v>1218.75</v>
      </c>
      <c r="G31" s="1">
        <v>105.41</v>
      </c>
      <c r="H31" s="1" t="s">
        <v>1364</v>
      </c>
    </row>
    <row r="32" spans="1:8" x14ac:dyDescent="0.25">
      <c r="A32" s="5">
        <v>39959</v>
      </c>
      <c r="B32" s="6" t="s">
        <v>1369</v>
      </c>
      <c r="C32" s="7" t="s">
        <v>197</v>
      </c>
      <c r="D32" s="7">
        <v>1625</v>
      </c>
      <c r="E32" s="8">
        <v>1.55</v>
      </c>
      <c r="F32" s="9">
        <v>2518.75</v>
      </c>
      <c r="G32" s="1">
        <v>106.1</v>
      </c>
      <c r="H32" s="1" t="s">
        <v>1370</v>
      </c>
    </row>
    <row r="33" spans="1:8" x14ac:dyDescent="0.25">
      <c r="A33" s="5">
        <v>39997</v>
      </c>
      <c r="B33" s="6" t="s">
        <v>1371</v>
      </c>
      <c r="C33" s="7" t="s">
        <v>197</v>
      </c>
      <c r="D33" s="7">
        <v>1625</v>
      </c>
      <c r="E33" s="8">
        <v>5.0999999999999996</v>
      </c>
      <c r="F33" s="9">
        <v>8287.5</v>
      </c>
      <c r="G33" s="1">
        <v>109.53</v>
      </c>
      <c r="H33" s="1" t="s">
        <v>1372</v>
      </c>
    </row>
    <row r="34" spans="1:8" x14ac:dyDescent="0.25">
      <c r="A34" s="5">
        <v>40000</v>
      </c>
      <c r="B34" s="6" t="s">
        <v>1373</v>
      </c>
      <c r="C34" s="7" t="s">
        <v>197</v>
      </c>
      <c r="D34" s="7">
        <v>1625</v>
      </c>
      <c r="E34" s="8">
        <v>5</v>
      </c>
      <c r="F34" s="9">
        <v>8125</v>
      </c>
      <c r="G34" s="1">
        <v>109.43</v>
      </c>
      <c r="H34" s="1" t="s">
        <v>1374</v>
      </c>
    </row>
    <row r="35" spans="1:8" x14ac:dyDescent="0.25">
      <c r="A35" s="5">
        <v>40004</v>
      </c>
      <c r="B35" s="6" t="s">
        <v>1371</v>
      </c>
      <c r="C35" s="7" t="s">
        <v>197</v>
      </c>
      <c r="D35" s="7">
        <v>1625</v>
      </c>
      <c r="E35" s="8">
        <v>0.9</v>
      </c>
      <c r="F35" s="9">
        <v>1462.5</v>
      </c>
      <c r="G35" s="1">
        <v>105.62</v>
      </c>
      <c r="H35" s="1" t="s">
        <v>1375</v>
      </c>
    </row>
    <row r="36" spans="1:8" x14ac:dyDescent="0.25">
      <c r="A36" s="5">
        <v>40046</v>
      </c>
      <c r="B36" s="6" t="s">
        <v>1376</v>
      </c>
      <c r="C36" s="7" t="s">
        <v>197</v>
      </c>
      <c r="D36" s="7">
        <v>1625</v>
      </c>
      <c r="E36" s="8">
        <v>1.55</v>
      </c>
      <c r="F36" s="9">
        <v>2518.75</v>
      </c>
      <c r="G36" s="1">
        <v>106.22</v>
      </c>
      <c r="H36" s="1" t="s">
        <v>1377</v>
      </c>
    </row>
    <row r="37" spans="1:8" x14ac:dyDescent="0.25">
      <c r="A37" s="5">
        <v>39924</v>
      </c>
      <c r="B37" s="6" t="s">
        <v>1378</v>
      </c>
      <c r="C37" s="7" t="s">
        <v>197</v>
      </c>
      <c r="D37" s="7">
        <v>1600</v>
      </c>
      <c r="E37" s="8">
        <v>1.3</v>
      </c>
      <c r="F37" s="9">
        <v>2080</v>
      </c>
      <c r="G37" s="1">
        <v>105.86</v>
      </c>
      <c r="H37" s="1" t="s">
        <v>1379</v>
      </c>
    </row>
    <row r="38" spans="1:8" x14ac:dyDescent="0.25">
      <c r="A38" s="5">
        <v>39926</v>
      </c>
      <c r="B38" s="6" t="s">
        <v>1380</v>
      </c>
      <c r="C38" s="7" t="s">
        <v>197</v>
      </c>
      <c r="D38" s="7">
        <v>1600</v>
      </c>
      <c r="E38" s="8">
        <v>1.5</v>
      </c>
      <c r="F38" s="9">
        <v>2400</v>
      </c>
      <c r="G38" s="1">
        <v>106.03</v>
      </c>
      <c r="H38" s="1" t="s">
        <v>1381</v>
      </c>
    </row>
    <row r="39" spans="1:8" x14ac:dyDescent="0.25">
      <c r="A39" s="5">
        <v>39967</v>
      </c>
      <c r="B39" s="6" t="s">
        <v>1382</v>
      </c>
      <c r="C39" s="7" t="s">
        <v>197</v>
      </c>
      <c r="D39" s="7">
        <v>1400</v>
      </c>
      <c r="E39" s="8">
        <v>1.5</v>
      </c>
      <c r="F39" s="9">
        <v>2100</v>
      </c>
      <c r="G39" s="1">
        <v>105.97</v>
      </c>
      <c r="H39" s="1" t="s">
        <v>1383</v>
      </c>
    </row>
    <row r="40" spans="1:8" x14ac:dyDescent="0.25">
      <c r="F40" s="9">
        <f>SUM(F2:F39)</f>
        <v>116881.25</v>
      </c>
      <c r="G40" s="1">
        <f>SUM(G2:G39)</f>
        <v>4321.2099999999991</v>
      </c>
    </row>
    <row r="41" spans="1:8" x14ac:dyDescent="0.25">
      <c r="F41" s="12" t="s">
        <v>624</v>
      </c>
      <c r="G41" s="1">
        <f>F40+G40</f>
        <v>121202.45999999999</v>
      </c>
    </row>
    <row r="42" spans="1:8" x14ac:dyDescent="0.25">
      <c r="G42" s="1"/>
    </row>
    <row r="43" spans="1:8" x14ac:dyDescent="0.25">
      <c r="A43" s="5">
        <v>40010</v>
      </c>
      <c r="B43" s="6" t="s">
        <v>1293</v>
      </c>
      <c r="C43" s="7" t="s">
        <v>369</v>
      </c>
      <c r="D43" s="7">
        <v>800</v>
      </c>
      <c r="E43" s="8">
        <v>1.8</v>
      </c>
      <c r="F43" s="9">
        <v>1440</v>
      </c>
      <c r="G43" s="1">
        <v>105.84</v>
      </c>
      <c r="H43" s="1" t="s">
        <v>1384</v>
      </c>
    </row>
    <row r="44" spans="1:8" x14ac:dyDescent="0.25">
      <c r="A44" s="5">
        <v>39912</v>
      </c>
      <c r="B44" s="6" t="s">
        <v>1295</v>
      </c>
      <c r="C44" s="7" t="s">
        <v>369</v>
      </c>
      <c r="D44" s="7">
        <v>50</v>
      </c>
      <c r="E44" s="8">
        <v>99</v>
      </c>
      <c r="F44" s="9">
        <v>4950</v>
      </c>
      <c r="G44" s="1">
        <v>108.21</v>
      </c>
      <c r="H44" s="1" t="s">
        <v>1385</v>
      </c>
    </row>
    <row r="45" spans="1:8" x14ac:dyDescent="0.25">
      <c r="A45" s="5">
        <v>39916</v>
      </c>
      <c r="B45" s="6" t="s">
        <v>1295</v>
      </c>
      <c r="C45" s="7" t="s">
        <v>369</v>
      </c>
      <c r="D45" s="7">
        <v>50</v>
      </c>
      <c r="E45" s="8">
        <v>84</v>
      </c>
      <c r="F45" s="9">
        <v>4200</v>
      </c>
      <c r="G45" s="1">
        <v>107.68</v>
      </c>
      <c r="H45" s="1" t="s">
        <v>1386</v>
      </c>
    </row>
    <row r="46" spans="1:8" x14ac:dyDescent="0.25">
      <c r="A46" s="5">
        <v>39916</v>
      </c>
      <c r="B46" s="6" t="s">
        <v>1295</v>
      </c>
      <c r="C46" s="7" t="s">
        <v>369</v>
      </c>
      <c r="D46" s="7">
        <v>50</v>
      </c>
      <c r="E46" s="8">
        <v>76</v>
      </c>
      <c r="F46" s="9">
        <v>3800</v>
      </c>
      <c r="G46" s="1">
        <v>107.42</v>
      </c>
      <c r="H46" s="1" t="s">
        <v>1387</v>
      </c>
    </row>
    <row r="47" spans="1:8" x14ac:dyDescent="0.25">
      <c r="A47" s="5">
        <v>39918</v>
      </c>
      <c r="B47" s="6" t="s">
        <v>1299</v>
      </c>
      <c r="C47" s="7" t="s">
        <v>369</v>
      </c>
      <c r="D47" s="7">
        <v>50</v>
      </c>
      <c r="E47" s="8">
        <v>95</v>
      </c>
      <c r="F47" s="9">
        <v>4750</v>
      </c>
      <c r="G47" s="1">
        <v>108.08</v>
      </c>
      <c r="H47" s="1" t="s">
        <v>1388</v>
      </c>
    </row>
    <row r="48" spans="1:8" x14ac:dyDescent="0.25">
      <c r="A48" s="5">
        <v>39920</v>
      </c>
      <c r="B48" s="6" t="s">
        <v>1301</v>
      </c>
      <c r="C48" s="7" t="s">
        <v>369</v>
      </c>
      <c r="D48" s="7">
        <v>50</v>
      </c>
      <c r="E48" s="8">
        <v>120</v>
      </c>
      <c r="F48" s="9">
        <v>6000</v>
      </c>
      <c r="G48" s="1">
        <v>108.93</v>
      </c>
      <c r="H48" s="1" t="s">
        <v>1389</v>
      </c>
    </row>
    <row r="49" spans="1:8" x14ac:dyDescent="0.25">
      <c r="A49" s="5">
        <v>39923</v>
      </c>
      <c r="B49" s="6" t="s">
        <v>1303</v>
      </c>
      <c r="C49" s="7" t="s">
        <v>369</v>
      </c>
      <c r="D49" s="7">
        <v>50</v>
      </c>
      <c r="E49" s="8">
        <v>70</v>
      </c>
      <c r="F49" s="9">
        <v>3500</v>
      </c>
      <c r="G49" s="1">
        <v>107.21</v>
      </c>
      <c r="H49" s="1" t="s">
        <v>1390</v>
      </c>
    </row>
    <row r="50" spans="1:8" x14ac:dyDescent="0.25">
      <c r="A50" s="5">
        <v>39926</v>
      </c>
      <c r="B50" s="6" t="s">
        <v>1295</v>
      </c>
      <c r="C50" s="7" t="s">
        <v>369</v>
      </c>
      <c r="D50" s="7">
        <v>50</v>
      </c>
      <c r="E50" s="8">
        <v>42.25</v>
      </c>
      <c r="F50" s="9">
        <v>2112.5</v>
      </c>
      <c r="G50" s="1">
        <v>18.010000000000002</v>
      </c>
      <c r="H50" s="1" t="s">
        <v>1391</v>
      </c>
    </row>
    <row r="51" spans="1:8" x14ac:dyDescent="0.25">
      <c r="A51" s="5">
        <v>39931</v>
      </c>
      <c r="B51" s="6" t="s">
        <v>1301</v>
      </c>
      <c r="C51" s="7" t="s">
        <v>369</v>
      </c>
      <c r="D51" s="7">
        <v>100</v>
      </c>
      <c r="E51" s="8">
        <v>40</v>
      </c>
      <c r="F51" s="9">
        <v>4000</v>
      </c>
      <c r="G51" s="1">
        <v>212.34</v>
      </c>
      <c r="H51" s="1" t="s">
        <v>1392</v>
      </c>
    </row>
    <row r="52" spans="1:8" x14ac:dyDescent="0.25">
      <c r="A52" s="5">
        <v>39931</v>
      </c>
      <c r="B52" s="6" t="s">
        <v>1307</v>
      </c>
      <c r="C52" s="7" t="s">
        <v>369</v>
      </c>
      <c r="D52" s="7">
        <v>50</v>
      </c>
      <c r="E52" s="8">
        <v>115</v>
      </c>
      <c r="F52" s="9">
        <v>5750</v>
      </c>
      <c r="G52" s="1">
        <v>108.77</v>
      </c>
      <c r="H52" s="1" t="s">
        <v>1393</v>
      </c>
    </row>
    <row r="53" spans="1:8" x14ac:dyDescent="0.25">
      <c r="A53" s="5">
        <v>39937</v>
      </c>
      <c r="B53" s="6" t="s">
        <v>1329</v>
      </c>
      <c r="C53" s="7" t="s">
        <v>369</v>
      </c>
      <c r="D53" s="7">
        <v>50</v>
      </c>
      <c r="E53" s="8">
        <v>88</v>
      </c>
      <c r="F53" s="9">
        <v>4400</v>
      </c>
      <c r="G53" s="1">
        <v>107.83</v>
      </c>
      <c r="H53" s="1" t="s">
        <v>1394</v>
      </c>
    </row>
    <row r="54" spans="1:8" x14ac:dyDescent="0.25">
      <c r="A54" s="5">
        <v>39965</v>
      </c>
      <c r="B54" s="6" t="s">
        <v>1331</v>
      </c>
      <c r="C54" s="7" t="s">
        <v>369</v>
      </c>
      <c r="D54" s="7">
        <v>50</v>
      </c>
      <c r="E54" s="8">
        <v>38.700000000000003</v>
      </c>
      <c r="F54" s="9">
        <v>1935</v>
      </c>
      <c r="G54" s="1">
        <v>106.22</v>
      </c>
      <c r="H54" s="1" t="s">
        <v>0</v>
      </c>
    </row>
    <row r="55" spans="1:8" x14ac:dyDescent="0.25">
      <c r="A55" s="5">
        <v>39967</v>
      </c>
      <c r="B55" s="6" t="s">
        <v>1333</v>
      </c>
      <c r="C55" s="7" t="s">
        <v>369</v>
      </c>
      <c r="D55" s="7">
        <v>100</v>
      </c>
      <c r="E55" s="8">
        <v>23.6</v>
      </c>
      <c r="F55" s="9">
        <v>2360</v>
      </c>
      <c r="G55" s="1">
        <v>211.3</v>
      </c>
      <c r="H55" s="1" t="s">
        <v>1</v>
      </c>
    </row>
    <row r="56" spans="1:8" x14ac:dyDescent="0.25">
      <c r="A56" s="5">
        <v>39976</v>
      </c>
      <c r="B56" s="6" t="s">
        <v>1335</v>
      </c>
      <c r="C56" s="7" t="s">
        <v>369</v>
      </c>
      <c r="D56" s="7">
        <v>50</v>
      </c>
      <c r="E56" s="8">
        <v>19.3</v>
      </c>
      <c r="F56" s="8">
        <v>965</v>
      </c>
      <c r="G56" s="1">
        <v>105.49</v>
      </c>
      <c r="H56" s="1" t="s">
        <v>2</v>
      </c>
    </row>
    <row r="57" spans="1:8" x14ac:dyDescent="0.25">
      <c r="A57" s="5">
        <v>39996</v>
      </c>
      <c r="B57" s="6" t="s">
        <v>1337</v>
      </c>
      <c r="C57" s="7" t="s">
        <v>369</v>
      </c>
      <c r="D57" s="7">
        <v>100</v>
      </c>
      <c r="E57" s="8">
        <v>52.7</v>
      </c>
      <c r="F57" s="9">
        <v>5270</v>
      </c>
      <c r="G57" s="1">
        <v>213.49</v>
      </c>
      <c r="H57" s="1" t="s">
        <v>3</v>
      </c>
    </row>
    <row r="58" spans="1:8" x14ac:dyDescent="0.25">
      <c r="A58" s="5">
        <v>40009</v>
      </c>
      <c r="B58" s="6" t="s">
        <v>1344</v>
      </c>
      <c r="C58" s="7" t="s">
        <v>369</v>
      </c>
      <c r="D58" s="7">
        <v>50</v>
      </c>
      <c r="E58" s="8">
        <v>102.5</v>
      </c>
      <c r="F58" s="9">
        <v>5125</v>
      </c>
      <c r="G58" s="1">
        <v>108.58</v>
      </c>
      <c r="H58" s="1" t="s">
        <v>4</v>
      </c>
    </row>
    <row r="59" spans="1:8" x14ac:dyDescent="0.25">
      <c r="A59" s="5">
        <v>40011</v>
      </c>
      <c r="B59" s="6" t="s">
        <v>1346</v>
      </c>
      <c r="C59" s="7" t="s">
        <v>369</v>
      </c>
      <c r="D59" s="7">
        <v>50</v>
      </c>
      <c r="E59" s="8">
        <v>48.6</v>
      </c>
      <c r="F59" s="9">
        <v>2430</v>
      </c>
      <c r="G59" s="1">
        <v>106.58</v>
      </c>
      <c r="H59" s="1" t="s">
        <v>5</v>
      </c>
    </row>
    <row r="60" spans="1:8" x14ac:dyDescent="0.25">
      <c r="A60" s="5">
        <v>40018</v>
      </c>
      <c r="B60" s="6" t="s">
        <v>1348</v>
      </c>
      <c r="C60" s="7" t="s">
        <v>369</v>
      </c>
      <c r="D60" s="7">
        <v>50</v>
      </c>
      <c r="E60" s="8">
        <v>10</v>
      </c>
      <c r="F60" s="8">
        <v>500</v>
      </c>
      <c r="G60" s="1">
        <v>105.16</v>
      </c>
      <c r="H60" s="1" t="s">
        <v>6</v>
      </c>
    </row>
    <row r="61" spans="1:8" x14ac:dyDescent="0.25">
      <c r="A61" s="5">
        <v>40087</v>
      </c>
      <c r="B61" s="6" t="s">
        <v>1350</v>
      </c>
      <c r="C61" s="7" t="s">
        <v>369</v>
      </c>
      <c r="D61" s="7">
        <v>50</v>
      </c>
      <c r="E61" s="8">
        <v>69</v>
      </c>
      <c r="F61" s="9">
        <v>3450</v>
      </c>
      <c r="G61" s="1">
        <v>107.34</v>
      </c>
      <c r="H61" s="1" t="s">
        <v>7</v>
      </c>
    </row>
    <row r="62" spans="1:8" x14ac:dyDescent="0.25">
      <c r="A62" s="5">
        <v>40113</v>
      </c>
      <c r="B62" s="6" t="s">
        <v>1350</v>
      </c>
      <c r="C62" s="7" t="s">
        <v>369</v>
      </c>
      <c r="D62" s="7">
        <v>150</v>
      </c>
      <c r="E62" s="8">
        <v>42</v>
      </c>
      <c r="F62" s="9">
        <v>6300</v>
      </c>
      <c r="G62" s="1">
        <v>319.04000000000002</v>
      </c>
      <c r="H62" s="1" t="s">
        <v>8</v>
      </c>
    </row>
    <row r="63" spans="1:8" x14ac:dyDescent="0.25">
      <c r="A63" s="5">
        <v>39944</v>
      </c>
      <c r="B63" s="6" t="s">
        <v>1358</v>
      </c>
      <c r="C63" s="7" t="s">
        <v>369</v>
      </c>
      <c r="D63" s="7">
        <v>1625</v>
      </c>
      <c r="E63" s="8">
        <v>1.7</v>
      </c>
      <c r="F63" s="9">
        <v>2762.5</v>
      </c>
      <c r="G63" s="1">
        <v>106.7</v>
      </c>
      <c r="H63" s="1" t="s">
        <v>9</v>
      </c>
    </row>
    <row r="64" spans="1:8" x14ac:dyDescent="0.25">
      <c r="A64" s="5">
        <v>39960</v>
      </c>
      <c r="B64" s="6" t="s">
        <v>1369</v>
      </c>
      <c r="C64" s="7" t="s">
        <v>369</v>
      </c>
      <c r="D64" s="7">
        <v>1625</v>
      </c>
      <c r="E64" s="8">
        <v>4.2</v>
      </c>
      <c r="F64" s="9">
        <v>6825</v>
      </c>
      <c r="G64" s="1">
        <v>109.49</v>
      </c>
      <c r="H64" s="1" t="s">
        <v>10</v>
      </c>
    </row>
    <row r="65" spans="1:8" x14ac:dyDescent="0.25">
      <c r="A65" s="5">
        <v>39960</v>
      </c>
      <c r="B65" s="6" t="s">
        <v>1363</v>
      </c>
      <c r="C65" s="7" t="s">
        <v>369</v>
      </c>
      <c r="D65" s="7">
        <v>1625</v>
      </c>
      <c r="E65" s="8">
        <v>0.4</v>
      </c>
      <c r="F65" s="8">
        <v>650</v>
      </c>
      <c r="G65" s="1">
        <v>105.23</v>
      </c>
      <c r="H65" s="1" t="s">
        <v>11</v>
      </c>
    </row>
    <row r="66" spans="1:8" x14ac:dyDescent="0.25">
      <c r="A66" s="5">
        <v>40000</v>
      </c>
      <c r="B66" s="6" t="s">
        <v>1371</v>
      </c>
      <c r="C66" s="7" t="s">
        <v>369</v>
      </c>
      <c r="D66" s="7">
        <v>1625</v>
      </c>
      <c r="E66" s="8">
        <v>2.4</v>
      </c>
      <c r="F66" s="9">
        <v>3900</v>
      </c>
      <c r="G66" s="1">
        <v>107.67</v>
      </c>
      <c r="H66" s="1" t="s">
        <v>12</v>
      </c>
    </row>
    <row r="67" spans="1:8" x14ac:dyDescent="0.25">
      <c r="A67" s="5">
        <v>40008</v>
      </c>
      <c r="B67" s="6" t="s">
        <v>1373</v>
      </c>
      <c r="C67" s="7" t="s">
        <v>369</v>
      </c>
      <c r="D67" s="7">
        <v>1625</v>
      </c>
      <c r="E67" s="8">
        <v>2.6</v>
      </c>
      <c r="F67" s="9">
        <v>4225</v>
      </c>
      <c r="G67" s="1">
        <v>107.91</v>
      </c>
      <c r="H67" s="1" t="s">
        <v>13</v>
      </c>
    </row>
    <row r="68" spans="1:8" x14ac:dyDescent="0.25">
      <c r="A68" s="5">
        <v>40008</v>
      </c>
      <c r="B68" s="6" t="s">
        <v>1371</v>
      </c>
      <c r="C68" s="7" t="s">
        <v>369</v>
      </c>
      <c r="D68" s="7">
        <v>1625</v>
      </c>
      <c r="E68" s="8">
        <v>0.6</v>
      </c>
      <c r="F68" s="8">
        <v>975</v>
      </c>
      <c r="G68" s="1">
        <v>105.51</v>
      </c>
      <c r="H68" s="1" t="s">
        <v>14</v>
      </c>
    </row>
    <row r="69" spans="1:8" x14ac:dyDescent="0.25">
      <c r="A69" s="5">
        <v>40050</v>
      </c>
      <c r="B69" s="6" t="s">
        <v>1376</v>
      </c>
      <c r="C69" s="7" t="s">
        <v>369</v>
      </c>
      <c r="D69" s="7">
        <v>1625</v>
      </c>
      <c r="E69" s="8">
        <v>2.65</v>
      </c>
      <c r="F69" s="9">
        <v>4306.25</v>
      </c>
      <c r="G69" s="1">
        <v>107.97</v>
      </c>
      <c r="H69" s="1" t="s">
        <v>15</v>
      </c>
    </row>
    <row r="70" spans="1:8" x14ac:dyDescent="0.25">
      <c r="A70" s="5">
        <v>39930</v>
      </c>
      <c r="B70" s="6" t="s">
        <v>1380</v>
      </c>
      <c r="C70" s="7" t="s">
        <v>369</v>
      </c>
      <c r="D70" s="7">
        <v>1600</v>
      </c>
      <c r="E70" s="8">
        <v>0.4</v>
      </c>
      <c r="F70" s="8">
        <v>640</v>
      </c>
      <c r="G70" s="1">
        <v>105.22</v>
      </c>
      <c r="H70" s="1" t="s">
        <v>16</v>
      </c>
    </row>
    <row r="71" spans="1:8" x14ac:dyDescent="0.25">
      <c r="A71" s="5">
        <v>39967</v>
      </c>
      <c r="B71" s="6" t="s">
        <v>1382</v>
      </c>
      <c r="C71" s="7" t="s">
        <v>369</v>
      </c>
      <c r="D71" s="7">
        <v>1400</v>
      </c>
      <c r="E71" s="8">
        <v>1.3</v>
      </c>
      <c r="F71" s="9">
        <v>1820</v>
      </c>
      <c r="G71" s="1">
        <v>17.899999999999999</v>
      </c>
      <c r="H71" s="1" t="s">
        <v>17</v>
      </c>
    </row>
    <row r="72" spans="1:8" x14ac:dyDescent="0.25">
      <c r="F72" s="9">
        <f>SUM(F43:F71)</f>
        <v>99341.25</v>
      </c>
      <c r="G72" s="1">
        <f>SUM(G43:G71)</f>
        <v>3457.1199999999994</v>
      </c>
    </row>
    <row r="73" spans="1:8" x14ac:dyDescent="0.25">
      <c r="F73" s="9" t="s">
        <v>659</v>
      </c>
      <c r="G73" s="1">
        <f>F72-G72</f>
        <v>95884.13</v>
      </c>
    </row>
    <row r="74" spans="1:8" x14ac:dyDescent="0.25">
      <c r="G74" s="1"/>
    </row>
    <row r="75" spans="1:8" x14ac:dyDescent="0.25">
      <c r="G75" s="1"/>
    </row>
    <row r="76" spans="1:8" x14ac:dyDescent="0.25">
      <c r="F76" s="17" t="s">
        <v>660</v>
      </c>
      <c r="G76" s="1">
        <f>G73-G41</f>
        <v>-25318.329999999987</v>
      </c>
    </row>
  </sheetData>
  <autoFilter ref="A1:H1"/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32"/>
  <sheetViews>
    <sheetView workbookViewId="0">
      <selection activeCell="P22" sqref="P22"/>
    </sheetView>
  </sheetViews>
  <sheetFormatPr defaultColWidth="9.21875" defaultRowHeight="13.2" x14ac:dyDescent="0.25"/>
  <cols>
    <col min="1" max="1" width="21.77734375" style="1" customWidth="1"/>
    <col min="2" max="2" width="31.5546875" style="1" customWidth="1"/>
    <col min="3" max="5" width="9.21875" style="1"/>
    <col min="6" max="6" width="9.21875" style="2"/>
    <col min="7" max="7" width="11.77734375" style="2" customWidth="1"/>
    <col min="8" max="8" width="59.5546875" style="1" customWidth="1"/>
    <col min="9" max="16384" width="9.21875" style="1"/>
  </cols>
  <sheetData>
    <row r="1" spans="1:11" x14ac:dyDescent="0.25">
      <c r="A1" s="21" t="s">
        <v>661</v>
      </c>
      <c r="B1" s="20" t="s">
        <v>662</v>
      </c>
      <c r="C1" s="21" t="s">
        <v>663</v>
      </c>
      <c r="D1" s="21" t="s">
        <v>469</v>
      </c>
      <c r="E1" s="21" t="s">
        <v>664</v>
      </c>
      <c r="F1" s="99" t="s">
        <v>470</v>
      </c>
      <c r="G1" s="22" t="s">
        <v>665</v>
      </c>
      <c r="H1" s="20" t="s">
        <v>666</v>
      </c>
      <c r="I1" s="20" t="s">
        <v>667</v>
      </c>
      <c r="J1" s="20" t="s">
        <v>668</v>
      </c>
      <c r="K1" s="20" t="s">
        <v>669</v>
      </c>
    </row>
    <row r="2" spans="1:11" ht="15" customHeight="1" x14ac:dyDescent="0.25">
      <c r="A2" s="24" t="s">
        <v>18</v>
      </c>
      <c r="B2" s="24" t="s">
        <v>672</v>
      </c>
      <c r="C2" s="25" t="s">
        <v>673</v>
      </c>
      <c r="D2" s="25">
        <v>50</v>
      </c>
      <c r="E2" s="25">
        <v>193.59</v>
      </c>
      <c r="F2" s="26">
        <f t="shared" ref="F2:F8" si="0">D2*E2</f>
        <v>9679.5</v>
      </c>
      <c r="G2" s="46" t="s">
        <v>19</v>
      </c>
      <c r="H2" s="45" t="s">
        <v>23</v>
      </c>
      <c r="I2" s="23">
        <v>50</v>
      </c>
      <c r="J2" s="23">
        <v>0</v>
      </c>
      <c r="K2" s="23">
        <v>50</v>
      </c>
    </row>
    <row r="3" spans="1:11" ht="15" customHeight="1" x14ac:dyDescent="0.25">
      <c r="A3" s="24" t="s">
        <v>24</v>
      </c>
      <c r="B3" s="24" t="s">
        <v>672</v>
      </c>
      <c r="C3" s="25" t="s">
        <v>673</v>
      </c>
      <c r="D3" s="25">
        <v>26</v>
      </c>
      <c r="E3" s="25">
        <v>194.52</v>
      </c>
      <c r="F3" s="26">
        <f t="shared" si="0"/>
        <v>5057.5200000000004</v>
      </c>
      <c r="G3" s="46" t="s">
        <v>25</v>
      </c>
      <c r="H3" s="45" t="s">
        <v>26</v>
      </c>
      <c r="I3" s="23">
        <v>26</v>
      </c>
      <c r="J3" s="23">
        <v>0</v>
      </c>
      <c r="K3" s="23">
        <v>76</v>
      </c>
    </row>
    <row r="4" spans="1:11" ht="15" customHeight="1" x14ac:dyDescent="0.25">
      <c r="A4" s="24" t="s">
        <v>27</v>
      </c>
      <c r="B4" s="24" t="s">
        <v>675</v>
      </c>
      <c r="C4" s="25" t="s">
        <v>673</v>
      </c>
      <c r="D4" s="25">
        <v>700</v>
      </c>
      <c r="E4" s="25">
        <v>17.14</v>
      </c>
      <c r="F4" s="26">
        <f t="shared" si="0"/>
        <v>11998</v>
      </c>
      <c r="G4" s="46" t="s">
        <v>1439</v>
      </c>
      <c r="H4" s="45" t="s">
        <v>1440</v>
      </c>
      <c r="I4" s="23">
        <v>700</v>
      </c>
      <c r="J4" s="23">
        <v>0</v>
      </c>
      <c r="K4" s="23">
        <v>700</v>
      </c>
    </row>
    <row r="5" spans="1:11" ht="15" customHeight="1" x14ac:dyDescent="0.25">
      <c r="A5" s="24" t="s">
        <v>1441</v>
      </c>
      <c r="B5" s="24" t="s">
        <v>675</v>
      </c>
      <c r="C5" s="25" t="s">
        <v>673</v>
      </c>
      <c r="D5" s="25">
        <v>200</v>
      </c>
      <c r="E5" s="25">
        <v>16.829999999999998</v>
      </c>
      <c r="F5" s="26">
        <f t="shared" si="0"/>
        <v>3365.9999999999995</v>
      </c>
      <c r="G5" s="46" t="s">
        <v>1442</v>
      </c>
      <c r="H5" s="45" t="s">
        <v>1448</v>
      </c>
      <c r="I5" s="23">
        <v>200</v>
      </c>
      <c r="J5" s="23">
        <v>0</v>
      </c>
      <c r="K5" s="23">
        <v>900</v>
      </c>
    </row>
    <row r="6" spans="1:11" ht="15" customHeight="1" x14ac:dyDescent="0.25">
      <c r="A6" s="24" t="s">
        <v>1449</v>
      </c>
      <c r="B6" s="24" t="s">
        <v>1450</v>
      </c>
      <c r="C6" s="25" t="s">
        <v>673</v>
      </c>
      <c r="D6" s="25">
        <v>100</v>
      </c>
      <c r="E6" s="25">
        <v>118.24</v>
      </c>
      <c r="F6" s="26">
        <f t="shared" si="0"/>
        <v>11824</v>
      </c>
      <c r="G6" s="100">
        <v>39941</v>
      </c>
      <c r="H6" s="45" t="s">
        <v>1451</v>
      </c>
      <c r="I6" s="23">
        <v>100</v>
      </c>
      <c r="J6" s="23">
        <v>0</v>
      </c>
      <c r="K6" s="23">
        <v>100</v>
      </c>
    </row>
    <row r="7" spans="1:11" ht="15" customHeight="1" x14ac:dyDescent="0.25">
      <c r="A7" s="24" t="s">
        <v>1452</v>
      </c>
      <c r="B7" s="24" t="s">
        <v>1450</v>
      </c>
      <c r="C7" s="25" t="s">
        <v>673</v>
      </c>
      <c r="D7" s="25">
        <v>50</v>
      </c>
      <c r="E7" s="25">
        <v>115.87</v>
      </c>
      <c r="F7" s="26">
        <f t="shared" si="0"/>
        <v>5793.5</v>
      </c>
      <c r="G7" s="100">
        <v>39972</v>
      </c>
      <c r="H7" s="45" t="s">
        <v>1453</v>
      </c>
      <c r="I7" s="23">
        <v>50</v>
      </c>
      <c r="J7" s="23">
        <v>0</v>
      </c>
      <c r="K7" s="23">
        <v>150</v>
      </c>
    </row>
    <row r="8" spans="1:11" ht="15" customHeight="1" x14ac:dyDescent="0.25">
      <c r="A8" s="24" t="s">
        <v>1454</v>
      </c>
      <c r="B8" s="24" t="s">
        <v>1450</v>
      </c>
      <c r="C8" s="25" t="s">
        <v>673</v>
      </c>
      <c r="D8" s="25">
        <v>50</v>
      </c>
      <c r="E8" s="25">
        <v>106.08</v>
      </c>
      <c r="F8" s="26">
        <f t="shared" si="0"/>
        <v>5304</v>
      </c>
      <c r="G8" s="46" t="s">
        <v>1455</v>
      </c>
      <c r="H8" s="45" t="s">
        <v>83</v>
      </c>
      <c r="I8" s="23">
        <v>50</v>
      </c>
      <c r="J8" s="23">
        <v>0</v>
      </c>
      <c r="K8" s="23">
        <v>200</v>
      </c>
    </row>
    <row r="9" spans="1:11" ht="15" customHeight="1" x14ac:dyDescent="0.25">
      <c r="A9" s="24"/>
      <c r="B9" s="24"/>
      <c r="C9" s="25"/>
      <c r="D9" s="25"/>
      <c r="E9" s="25" t="s">
        <v>624</v>
      </c>
      <c r="F9" s="26">
        <f>SUM(F2:F8)</f>
        <v>53022.520000000004</v>
      </c>
      <c r="G9" s="100"/>
      <c r="H9" s="45"/>
      <c r="I9" s="23"/>
      <c r="J9" s="23"/>
      <c r="K9" s="23"/>
    </row>
    <row r="10" spans="1:11" ht="15" customHeight="1" x14ac:dyDescent="0.25">
      <c r="A10" s="24"/>
      <c r="B10" s="24"/>
      <c r="C10" s="25"/>
      <c r="D10" s="25"/>
      <c r="E10" s="25"/>
      <c r="F10" s="26"/>
      <c r="G10" s="100"/>
      <c r="H10" s="45"/>
      <c r="I10" s="23"/>
      <c r="J10" s="23"/>
      <c r="K10" s="23"/>
    </row>
    <row r="11" spans="1:11" ht="15" customHeight="1" x14ac:dyDescent="0.25">
      <c r="A11" s="24" t="s">
        <v>27</v>
      </c>
      <c r="B11" s="24" t="s">
        <v>672</v>
      </c>
      <c r="C11" s="101" t="s">
        <v>857</v>
      </c>
      <c r="D11" s="101">
        <v>-76</v>
      </c>
      <c r="E11" s="101">
        <v>191.64</v>
      </c>
      <c r="F11" s="56">
        <f>D11*E11</f>
        <v>-14564.64</v>
      </c>
      <c r="G11" s="100">
        <v>40093</v>
      </c>
      <c r="H11" s="45" t="s">
        <v>84</v>
      </c>
      <c r="I11" s="23">
        <v>0</v>
      </c>
      <c r="J11" s="23">
        <v>76</v>
      </c>
      <c r="K11" s="23">
        <v>0</v>
      </c>
    </row>
    <row r="12" spans="1:11" ht="15" customHeight="1" x14ac:dyDescent="0.25">
      <c r="A12" s="24" t="s">
        <v>85</v>
      </c>
      <c r="B12" s="24" t="s">
        <v>675</v>
      </c>
      <c r="C12" s="101" t="s">
        <v>857</v>
      </c>
      <c r="D12" s="101">
        <v>-800</v>
      </c>
      <c r="E12" s="101">
        <v>18.71</v>
      </c>
      <c r="F12" s="56">
        <f>D12*E12</f>
        <v>-14968</v>
      </c>
      <c r="G12" s="46" t="s">
        <v>86</v>
      </c>
      <c r="H12" s="45" t="s">
        <v>87</v>
      </c>
      <c r="I12" s="23">
        <v>0</v>
      </c>
      <c r="J12" s="23">
        <v>800</v>
      </c>
      <c r="K12" s="23">
        <v>100</v>
      </c>
    </row>
    <row r="13" spans="1:11" ht="15" customHeight="1" x14ac:dyDescent="0.25">
      <c r="A13" s="24" t="s">
        <v>88</v>
      </c>
      <c r="B13" s="24" t="s">
        <v>675</v>
      </c>
      <c r="C13" s="101" t="s">
        <v>857</v>
      </c>
      <c r="D13" s="101">
        <v>-100</v>
      </c>
      <c r="E13" s="101">
        <v>20</v>
      </c>
      <c r="F13" s="56">
        <f>D13*E13</f>
        <v>-2000</v>
      </c>
      <c r="G13" s="46" t="s">
        <v>89</v>
      </c>
      <c r="H13" s="45" t="s">
        <v>1475</v>
      </c>
      <c r="I13" s="23">
        <v>0</v>
      </c>
      <c r="J13" s="23">
        <v>100</v>
      </c>
      <c r="K13" s="23">
        <v>0</v>
      </c>
    </row>
    <row r="14" spans="1:11" ht="15" customHeight="1" x14ac:dyDescent="0.25">
      <c r="A14" s="24" t="s">
        <v>1476</v>
      </c>
      <c r="B14" s="24" t="s">
        <v>1450</v>
      </c>
      <c r="C14" s="101" t="s">
        <v>857</v>
      </c>
      <c r="D14" s="101">
        <v>-200</v>
      </c>
      <c r="E14" s="101">
        <v>121.39</v>
      </c>
      <c r="F14" s="56">
        <f>D14*E14</f>
        <v>-24278</v>
      </c>
      <c r="G14" s="46" t="s">
        <v>1477</v>
      </c>
      <c r="H14" s="45" t="s">
        <v>1506</v>
      </c>
      <c r="I14" s="23">
        <v>0</v>
      </c>
      <c r="J14" s="23">
        <v>200</v>
      </c>
      <c r="K14" s="23">
        <v>0</v>
      </c>
    </row>
    <row r="15" spans="1:11" x14ac:dyDescent="0.25">
      <c r="E15" s="2" t="s">
        <v>659</v>
      </c>
      <c r="F15" s="60">
        <f>SUM(F11:F14)</f>
        <v>-55810.64</v>
      </c>
    </row>
    <row r="16" spans="1:11" x14ac:dyDescent="0.25">
      <c r="A16" s="54" t="s">
        <v>1280</v>
      </c>
    </row>
    <row r="17" spans="1:11" x14ac:dyDescent="0.25">
      <c r="A17" s="2"/>
      <c r="D17" s="102"/>
      <c r="E17" s="102" t="s">
        <v>660</v>
      </c>
      <c r="F17" s="102">
        <f>(F15*-1)-F9</f>
        <v>2788.1199999999953</v>
      </c>
    </row>
    <row r="18" spans="1:11" x14ac:dyDescent="0.25">
      <c r="A18" s="54" t="s">
        <v>1281</v>
      </c>
      <c r="D18" s="102"/>
      <c r="E18" s="102"/>
      <c r="F18" s="102"/>
    </row>
    <row r="19" spans="1:11" ht="15" customHeight="1" x14ac:dyDescent="0.25">
      <c r="A19" s="24" t="s">
        <v>1507</v>
      </c>
      <c r="B19" s="24" t="s">
        <v>672</v>
      </c>
      <c r="C19" s="25" t="s">
        <v>673</v>
      </c>
      <c r="D19" s="25">
        <v>200</v>
      </c>
      <c r="E19" s="25">
        <v>221.65</v>
      </c>
      <c r="F19" s="26">
        <f>D19*E19</f>
        <v>44330</v>
      </c>
      <c r="G19" s="100">
        <v>40180</v>
      </c>
      <c r="H19" s="45" t="s">
        <v>674</v>
      </c>
      <c r="I19" s="23">
        <v>200</v>
      </c>
      <c r="J19" s="23">
        <v>0</v>
      </c>
      <c r="K19" s="23">
        <v>200</v>
      </c>
    </row>
    <row r="20" spans="1:11" ht="15" customHeight="1" x14ac:dyDescent="0.25">
      <c r="A20" s="24" t="s">
        <v>1508</v>
      </c>
      <c r="B20" s="24" t="s">
        <v>675</v>
      </c>
      <c r="C20" s="25" t="s">
        <v>673</v>
      </c>
      <c r="D20" s="25">
        <v>500</v>
      </c>
      <c r="E20" s="25">
        <v>22.36</v>
      </c>
      <c r="F20" s="26">
        <f>D20*E20</f>
        <v>11180</v>
      </c>
      <c r="G20" s="100">
        <v>40003</v>
      </c>
      <c r="H20" s="45" t="s">
        <v>676</v>
      </c>
      <c r="I20" s="23">
        <v>500</v>
      </c>
      <c r="J20" s="23">
        <v>0</v>
      </c>
      <c r="K20" s="23">
        <v>500</v>
      </c>
    </row>
    <row r="21" spans="1:11" ht="15" customHeight="1" x14ac:dyDescent="0.25">
      <c r="A21" s="24" t="s">
        <v>1509</v>
      </c>
      <c r="B21" s="24" t="s">
        <v>678</v>
      </c>
      <c r="C21" s="25" t="s">
        <v>673</v>
      </c>
      <c r="D21" s="25">
        <v>100</v>
      </c>
      <c r="E21" s="25">
        <v>138.99</v>
      </c>
      <c r="F21" s="26">
        <f>D21*E21</f>
        <v>13899</v>
      </c>
      <c r="G21" s="100">
        <v>40240</v>
      </c>
      <c r="H21" s="45" t="s">
        <v>679</v>
      </c>
      <c r="I21" s="23">
        <v>100</v>
      </c>
      <c r="J21" s="23">
        <v>0</v>
      </c>
      <c r="K21" s="23">
        <v>100</v>
      </c>
    </row>
    <row r="32" spans="1:11" x14ac:dyDescent="0.25">
      <c r="A32" s="45"/>
    </row>
  </sheetData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227"/>
  <sheetViews>
    <sheetView topLeftCell="A50" workbookViewId="0">
      <selection activeCell="P22" sqref="P22"/>
    </sheetView>
  </sheetViews>
  <sheetFormatPr defaultColWidth="9.21875" defaultRowHeight="13.2" x14ac:dyDescent="0.25"/>
  <cols>
    <col min="1" max="7" width="10.77734375" style="91" customWidth="1"/>
    <col min="8" max="8" width="25.77734375" style="91" customWidth="1"/>
    <col min="9" max="9" width="9.21875" style="91" customWidth="1"/>
    <col min="10" max="10" width="9.21875" style="91"/>
    <col min="11" max="11" width="20.77734375" style="91" customWidth="1"/>
    <col min="12" max="12" width="10.77734375" style="91" customWidth="1"/>
    <col min="13" max="16384" width="9.21875" style="1"/>
  </cols>
  <sheetData>
    <row r="1" spans="1:12" ht="23.4" x14ac:dyDescent="0.25">
      <c r="A1" s="103" t="s">
        <v>184</v>
      </c>
      <c r="B1" s="103" t="s">
        <v>185</v>
      </c>
      <c r="C1" s="103" t="s">
        <v>186</v>
      </c>
      <c r="D1" s="103" t="s">
        <v>187</v>
      </c>
      <c r="E1" s="103" t="s">
        <v>188</v>
      </c>
      <c r="F1" s="103" t="s">
        <v>189</v>
      </c>
      <c r="G1" s="103" t="s">
        <v>190</v>
      </c>
      <c r="H1" s="103" t="s">
        <v>191</v>
      </c>
      <c r="I1" s="103" t="s">
        <v>192</v>
      </c>
      <c r="J1" s="103" t="s">
        <v>193</v>
      </c>
      <c r="K1" s="103" t="s">
        <v>194</v>
      </c>
      <c r="L1" s="103" t="s">
        <v>195</v>
      </c>
    </row>
    <row r="2" spans="1:12" x14ac:dyDescent="0.25">
      <c r="A2" s="92" t="s">
        <v>1054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</row>
    <row r="3" spans="1:12" x14ac:dyDescent="0.25">
      <c r="A3" s="90">
        <v>39532</v>
      </c>
      <c r="B3" s="87" t="s">
        <v>1510</v>
      </c>
      <c r="C3" s="87" t="s">
        <v>197</v>
      </c>
      <c r="D3" s="105">
        <v>7</v>
      </c>
      <c r="E3" s="88">
        <v>2055</v>
      </c>
      <c r="F3" s="88">
        <v>14385</v>
      </c>
      <c r="G3" s="91">
        <v>139.19999999999999</v>
      </c>
      <c r="H3" s="91" t="s">
        <v>1511</v>
      </c>
      <c r="I3" s="91">
        <v>200708249</v>
      </c>
      <c r="J3" s="87" t="s">
        <v>199</v>
      </c>
      <c r="K3" s="91" t="s">
        <v>1051</v>
      </c>
      <c r="L3" s="87" t="s">
        <v>204</v>
      </c>
    </row>
    <row r="4" spans="1:12" x14ac:dyDescent="0.25">
      <c r="A4" s="90">
        <v>39472</v>
      </c>
      <c r="B4" s="87" t="s">
        <v>1512</v>
      </c>
      <c r="C4" s="87" t="s">
        <v>197</v>
      </c>
      <c r="D4" s="105">
        <v>7</v>
      </c>
      <c r="E4" s="87">
        <v>856.4</v>
      </c>
      <c r="F4" s="88">
        <v>5994.8</v>
      </c>
      <c r="G4" s="91">
        <v>58.01</v>
      </c>
      <c r="H4" s="91" t="s">
        <v>1513</v>
      </c>
      <c r="I4" s="91">
        <v>2008019</v>
      </c>
      <c r="J4" s="87" t="s">
        <v>199</v>
      </c>
      <c r="K4" s="91" t="s">
        <v>1051</v>
      </c>
      <c r="L4" s="87" t="s">
        <v>201</v>
      </c>
    </row>
    <row r="5" spans="1:12" x14ac:dyDescent="0.25">
      <c r="A5" s="90">
        <v>39469</v>
      </c>
      <c r="B5" s="87" t="s">
        <v>1512</v>
      </c>
      <c r="C5" s="87" t="s">
        <v>197</v>
      </c>
      <c r="D5" s="105">
        <v>5</v>
      </c>
      <c r="E5" s="87">
        <v>900.95</v>
      </c>
      <c r="F5" s="88">
        <v>4504.75</v>
      </c>
      <c r="G5" s="91">
        <v>43.59</v>
      </c>
      <c r="H5" s="91" t="s">
        <v>1514</v>
      </c>
      <c r="I5" s="91">
        <v>2008016</v>
      </c>
      <c r="J5" s="87" t="s">
        <v>199</v>
      </c>
      <c r="K5" s="91" t="s">
        <v>1051</v>
      </c>
      <c r="L5" s="87" t="s">
        <v>201</v>
      </c>
    </row>
    <row r="6" spans="1:12" x14ac:dyDescent="0.25">
      <c r="A6" s="90">
        <v>39426</v>
      </c>
      <c r="B6" s="87" t="s">
        <v>1512</v>
      </c>
      <c r="C6" s="87" t="s">
        <v>197</v>
      </c>
      <c r="D6" s="105">
        <v>15</v>
      </c>
      <c r="E6" s="88">
        <v>1030.05</v>
      </c>
      <c r="F6" s="88">
        <v>15450.75</v>
      </c>
      <c r="G6" s="91">
        <v>149.51</v>
      </c>
      <c r="H6" s="91" t="s">
        <v>1515</v>
      </c>
      <c r="I6" s="91">
        <v>2007236</v>
      </c>
      <c r="J6" s="87" t="s">
        <v>199</v>
      </c>
      <c r="K6" s="91" t="s">
        <v>1051</v>
      </c>
      <c r="L6" s="87" t="s">
        <v>201</v>
      </c>
    </row>
    <row r="7" spans="1:12" x14ac:dyDescent="0.25">
      <c r="A7" s="90">
        <v>39409</v>
      </c>
      <c r="B7" s="87" t="s">
        <v>1512</v>
      </c>
      <c r="C7" s="87" t="s">
        <v>197</v>
      </c>
      <c r="D7" s="105">
        <v>3</v>
      </c>
      <c r="E7" s="88">
        <v>1020.2</v>
      </c>
      <c r="F7" s="88">
        <v>3060.6</v>
      </c>
      <c r="G7" s="91">
        <v>31.92</v>
      </c>
      <c r="H7" s="91" t="s">
        <v>1516</v>
      </c>
      <c r="I7" s="91">
        <v>200708167</v>
      </c>
      <c r="J7" s="87" t="s">
        <v>307</v>
      </c>
      <c r="K7" s="91" t="s">
        <v>1051</v>
      </c>
      <c r="L7" s="87" t="s">
        <v>204</v>
      </c>
    </row>
    <row r="8" spans="1:12" x14ac:dyDescent="0.25">
      <c r="A8" s="90">
        <v>39533</v>
      </c>
      <c r="B8" s="87" t="s">
        <v>282</v>
      </c>
      <c r="C8" s="87" t="s">
        <v>197</v>
      </c>
      <c r="D8" s="105">
        <v>120</v>
      </c>
      <c r="E8" s="87">
        <v>17.05</v>
      </c>
      <c r="F8" s="88">
        <v>2046</v>
      </c>
      <c r="G8" s="91">
        <v>30.64</v>
      </c>
      <c r="H8" s="91" t="s">
        <v>1517</v>
      </c>
      <c r="I8" s="91">
        <v>200708250</v>
      </c>
      <c r="J8" s="87" t="s">
        <v>199</v>
      </c>
      <c r="K8" s="91" t="s">
        <v>1051</v>
      </c>
      <c r="L8" s="87" t="s">
        <v>204</v>
      </c>
    </row>
    <row r="9" spans="1:12" x14ac:dyDescent="0.25">
      <c r="A9" s="90">
        <v>39486</v>
      </c>
      <c r="B9" s="87" t="s">
        <v>282</v>
      </c>
      <c r="C9" s="87" t="s">
        <v>197</v>
      </c>
      <c r="D9" s="105">
        <v>100</v>
      </c>
      <c r="E9" s="87">
        <v>30.8</v>
      </c>
      <c r="F9" s="88">
        <v>3080</v>
      </c>
      <c r="G9" s="91">
        <v>29.81</v>
      </c>
      <c r="H9" s="91" t="s">
        <v>1518</v>
      </c>
      <c r="I9" s="91">
        <v>200708220</v>
      </c>
      <c r="J9" s="87" t="s">
        <v>307</v>
      </c>
      <c r="K9" s="91" t="s">
        <v>1051</v>
      </c>
      <c r="L9" s="87" t="s">
        <v>204</v>
      </c>
    </row>
    <row r="10" spans="1:12" x14ac:dyDescent="0.25">
      <c r="A10" s="90">
        <v>39485</v>
      </c>
      <c r="B10" s="87" t="s">
        <v>282</v>
      </c>
      <c r="C10" s="87" t="s">
        <v>197</v>
      </c>
      <c r="D10" s="105">
        <v>100</v>
      </c>
      <c r="E10" s="87">
        <v>34.200000000000003</v>
      </c>
      <c r="F10" s="88">
        <v>3420</v>
      </c>
      <c r="G10" s="91">
        <v>33.1</v>
      </c>
      <c r="H10" s="91" t="s">
        <v>1519</v>
      </c>
      <c r="I10" s="91">
        <v>200708219</v>
      </c>
      <c r="J10" s="87" t="s">
        <v>307</v>
      </c>
      <c r="K10" s="91" t="s">
        <v>1051</v>
      </c>
      <c r="L10" s="87" t="s">
        <v>204</v>
      </c>
    </row>
    <row r="11" spans="1:12" x14ac:dyDescent="0.25">
      <c r="A11" s="90">
        <v>39456</v>
      </c>
      <c r="B11" s="87" t="s">
        <v>282</v>
      </c>
      <c r="C11" s="87" t="s">
        <v>197</v>
      </c>
      <c r="D11" s="105">
        <v>100</v>
      </c>
      <c r="E11" s="87">
        <v>42.25</v>
      </c>
      <c r="F11" s="88">
        <v>4225</v>
      </c>
      <c r="G11" s="91">
        <v>40.89</v>
      </c>
      <c r="H11" s="91" t="s">
        <v>1520</v>
      </c>
      <c r="I11" s="91">
        <v>2008007</v>
      </c>
      <c r="J11" s="87" t="s">
        <v>307</v>
      </c>
      <c r="K11" s="91" t="s">
        <v>1051</v>
      </c>
      <c r="L11" s="87" t="s">
        <v>201</v>
      </c>
    </row>
    <row r="12" spans="1:12" x14ac:dyDescent="0.25">
      <c r="A12" s="90">
        <v>39449</v>
      </c>
      <c r="B12" s="87" t="s">
        <v>282</v>
      </c>
      <c r="C12" s="87" t="s">
        <v>197</v>
      </c>
      <c r="D12" s="105">
        <v>100</v>
      </c>
      <c r="E12" s="87">
        <v>49.05</v>
      </c>
      <c r="F12" s="88">
        <v>4905</v>
      </c>
      <c r="G12" s="91">
        <v>47.47</v>
      </c>
      <c r="H12" s="91" t="s">
        <v>1521</v>
      </c>
      <c r="I12" s="91">
        <v>2008002</v>
      </c>
      <c r="J12" s="87" t="s">
        <v>307</v>
      </c>
      <c r="K12" s="91" t="s">
        <v>1051</v>
      </c>
      <c r="L12" s="87" t="s">
        <v>201</v>
      </c>
    </row>
    <row r="13" spans="1:12" x14ac:dyDescent="0.25">
      <c r="A13" s="90">
        <v>39440</v>
      </c>
      <c r="B13" s="87" t="s">
        <v>282</v>
      </c>
      <c r="C13" s="87" t="s">
        <v>197</v>
      </c>
      <c r="D13" s="105">
        <v>400</v>
      </c>
      <c r="E13" s="87">
        <v>44</v>
      </c>
      <c r="F13" s="88">
        <v>17600</v>
      </c>
      <c r="G13" s="91">
        <v>170.32</v>
      </c>
      <c r="H13" s="91" t="s">
        <v>1522</v>
      </c>
      <c r="I13" s="91">
        <v>2007245</v>
      </c>
      <c r="J13" s="87" t="s">
        <v>307</v>
      </c>
      <c r="K13" s="91" t="s">
        <v>1051</v>
      </c>
      <c r="L13" s="87" t="s">
        <v>201</v>
      </c>
    </row>
    <row r="14" spans="1:12" x14ac:dyDescent="0.25">
      <c r="A14" s="90">
        <v>39434</v>
      </c>
      <c r="B14" s="87" t="s">
        <v>282</v>
      </c>
      <c r="C14" s="87" t="s">
        <v>197</v>
      </c>
      <c r="D14" s="105">
        <v>75</v>
      </c>
      <c r="E14" s="87">
        <v>39.4</v>
      </c>
      <c r="F14" s="88">
        <v>2955</v>
      </c>
      <c r="G14" s="91">
        <v>28.59</v>
      </c>
      <c r="H14" s="91" t="s">
        <v>1523</v>
      </c>
      <c r="I14" s="91">
        <v>200708184</v>
      </c>
      <c r="J14" s="87" t="s">
        <v>307</v>
      </c>
      <c r="K14" s="91" t="s">
        <v>1051</v>
      </c>
      <c r="L14" s="87" t="s">
        <v>204</v>
      </c>
    </row>
    <row r="15" spans="1:12" x14ac:dyDescent="0.25">
      <c r="A15" s="90">
        <v>39430</v>
      </c>
      <c r="B15" s="87" t="s">
        <v>282</v>
      </c>
      <c r="C15" s="87" t="s">
        <v>197</v>
      </c>
      <c r="D15" s="105">
        <v>300</v>
      </c>
      <c r="E15" s="87">
        <v>41.5</v>
      </c>
      <c r="F15" s="88">
        <v>12450</v>
      </c>
      <c r="G15" s="91">
        <v>120.5</v>
      </c>
      <c r="H15" s="91" t="s">
        <v>1524</v>
      </c>
      <c r="I15" s="91">
        <v>200708182</v>
      </c>
      <c r="J15" s="87" t="s">
        <v>307</v>
      </c>
      <c r="K15" s="91" t="s">
        <v>1051</v>
      </c>
      <c r="L15" s="87" t="s">
        <v>204</v>
      </c>
    </row>
    <row r="16" spans="1:12" x14ac:dyDescent="0.25">
      <c r="A16" s="90">
        <v>39429</v>
      </c>
      <c r="B16" s="87" t="s">
        <v>282</v>
      </c>
      <c r="C16" s="87" t="s">
        <v>197</v>
      </c>
      <c r="D16" s="105">
        <v>125</v>
      </c>
      <c r="E16" s="87">
        <v>43.5</v>
      </c>
      <c r="F16" s="88">
        <v>5437.5</v>
      </c>
      <c r="G16" s="91">
        <v>52.63</v>
      </c>
      <c r="H16" s="91" t="s">
        <v>1525</v>
      </c>
      <c r="I16" s="91">
        <v>200708181</v>
      </c>
      <c r="J16" s="87" t="s">
        <v>307</v>
      </c>
      <c r="K16" s="91" t="s">
        <v>1051</v>
      </c>
      <c r="L16" s="87" t="s">
        <v>204</v>
      </c>
    </row>
    <row r="17" spans="1:12" x14ac:dyDescent="0.25">
      <c r="A17" s="90">
        <v>39520</v>
      </c>
      <c r="B17" s="87" t="s">
        <v>1526</v>
      </c>
      <c r="C17" s="87" t="s">
        <v>197</v>
      </c>
      <c r="D17" s="105">
        <v>75</v>
      </c>
      <c r="E17" s="87">
        <v>219</v>
      </c>
      <c r="F17" s="88">
        <v>16425</v>
      </c>
      <c r="G17" s="91">
        <v>158.94</v>
      </c>
      <c r="H17" s="91" t="s">
        <v>1527</v>
      </c>
      <c r="I17" s="91">
        <v>200708243</v>
      </c>
      <c r="J17" s="87" t="s">
        <v>199</v>
      </c>
      <c r="K17" s="91" t="s">
        <v>1051</v>
      </c>
      <c r="L17" s="87" t="s">
        <v>204</v>
      </c>
    </row>
    <row r="18" spans="1:12" x14ac:dyDescent="0.25">
      <c r="A18" s="90">
        <v>39511</v>
      </c>
      <c r="B18" s="87" t="s">
        <v>1526</v>
      </c>
      <c r="C18" s="87" t="s">
        <v>197</v>
      </c>
      <c r="D18" s="105">
        <v>24</v>
      </c>
      <c r="E18" s="87">
        <v>226.45</v>
      </c>
      <c r="F18" s="88">
        <v>5434.8</v>
      </c>
      <c r="G18" s="91">
        <v>52.59</v>
      </c>
      <c r="H18" s="91" t="s">
        <v>1528</v>
      </c>
      <c r="I18" s="91">
        <v>2008046</v>
      </c>
      <c r="J18" s="87" t="s">
        <v>199</v>
      </c>
      <c r="K18" s="91" t="s">
        <v>1051</v>
      </c>
      <c r="L18" s="87" t="s">
        <v>201</v>
      </c>
    </row>
    <row r="19" spans="1:12" x14ac:dyDescent="0.25">
      <c r="A19" s="90">
        <v>39499</v>
      </c>
      <c r="B19" s="87" t="s">
        <v>1526</v>
      </c>
      <c r="C19" s="87" t="s">
        <v>197</v>
      </c>
      <c r="D19" s="105">
        <v>75</v>
      </c>
      <c r="E19" s="87">
        <v>258.89999999999998</v>
      </c>
      <c r="F19" s="88">
        <v>19417.5</v>
      </c>
      <c r="G19" s="91">
        <v>187.9</v>
      </c>
      <c r="H19" s="91" t="s">
        <v>1529</v>
      </c>
      <c r="I19" s="91">
        <v>200708229</v>
      </c>
      <c r="J19" s="87" t="s">
        <v>199</v>
      </c>
      <c r="K19" s="91" t="s">
        <v>1051</v>
      </c>
      <c r="L19" s="87" t="s">
        <v>204</v>
      </c>
    </row>
    <row r="20" spans="1:12" x14ac:dyDescent="0.25">
      <c r="A20" s="90">
        <v>39497</v>
      </c>
      <c r="B20" s="87" t="s">
        <v>1526</v>
      </c>
      <c r="C20" s="87" t="s">
        <v>197</v>
      </c>
      <c r="D20" s="105">
        <v>25</v>
      </c>
      <c r="E20" s="87">
        <v>267.5</v>
      </c>
      <c r="F20" s="88">
        <v>6687.5</v>
      </c>
      <c r="G20" s="91">
        <v>64.72</v>
      </c>
      <c r="H20" s="91" t="s">
        <v>1530</v>
      </c>
      <c r="I20" s="91">
        <v>2008036</v>
      </c>
      <c r="J20" s="87" t="s">
        <v>199</v>
      </c>
      <c r="K20" s="91" t="s">
        <v>1051</v>
      </c>
      <c r="L20" s="87" t="s">
        <v>201</v>
      </c>
    </row>
    <row r="21" spans="1:12" x14ac:dyDescent="0.25">
      <c r="A21" s="90">
        <v>39493</v>
      </c>
      <c r="B21" s="87" t="s">
        <v>1526</v>
      </c>
      <c r="C21" s="87" t="s">
        <v>197</v>
      </c>
      <c r="D21" s="105">
        <v>50</v>
      </c>
      <c r="E21" s="87">
        <v>277.5</v>
      </c>
      <c r="F21" s="88">
        <v>13875</v>
      </c>
      <c r="G21" s="91">
        <v>134.27000000000001</v>
      </c>
      <c r="H21" s="91" t="s">
        <v>1531</v>
      </c>
      <c r="I21" s="91">
        <v>2008034</v>
      </c>
      <c r="J21" s="87" t="s">
        <v>199</v>
      </c>
      <c r="K21" s="91" t="s">
        <v>1051</v>
      </c>
      <c r="L21" s="87" t="s">
        <v>201</v>
      </c>
    </row>
    <row r="22" spans="1:12" x14ac:dyDescent="0.25">
      <c r="A22" s="90">
        <v>40123</v>
      </c>
      <c r="B22" s="87" t="s">
        <v>1532</v>
      </c>
      <c r="C22" s="87" t="s">
        <v>197</v>
      </c>
      <c r="D22" s="105">
        <v>100</v>
      </c>
      <c r="E22" s="87">
        <v>525</v>
      </c>
      <c r="F22" s="88">
        <f>D22*E22</f>
        <v>52500</v>
      </c>
      <c r="G22" s="91">
        <v>0</v>
      </c>
      <c r="H22" s="91" t="s">
        <v>1533</v>
      </c>
      <c r="J22" s="87" t="s">
        <v>1534</v>
      </c>
      <c r="K22" s="91" t="s">
        <v>1051</v>
      </c>
      <c r="L22" s="87"/>
    </row>
    <row r="23" spans="1:12" x14ac:dyDescent="0.25">
      <c r="A23" s="90">
        <v>39534</v>
      </c>
      <c r="B23" s="87" t="s">
        <v>1535</v>
      </c>
      <c r="C23" s="87" t="s">
        <v>197</v>
      </c>
      <c r="D23" s="105">
        <v>50</v>
      </c>
      <c r="E23" s="87">
        <v>136</v>
      </c>
      <c r="F23" s="88">
        <v>6800</v>
      </c>
      <c r="G23" s="91">
        <v>65.81</v>
      </c>
      <c r="H23" s="91" t="s">
        <v>1536</v>
      </c>
      <c r="I23" s="91">
        <v>2008060</v>
      </c>
      <c r="J23" s="87" t="s">
        <v>199</v>
      </c>
      <c r="K23" s="91" t="s">
        <v>1051</v>
      </c>
      <c r="L23" s="87" t="s">
        <v>201</v>
      </c>
    </row>
    <row r="24" spans="1:12" x14ac:dyDescent="0.25">
      <c r="A24" s="90">
        <v>39534</v>
      </c>
      <c r="B24" s="87" t="s">
        <v>1535</v>
      </c>
      <c r="C24" s="87" t="s">
        <v>197</v>
      </c>
      <c r="D24" s="105">
        <v>25</v>
      </c>
      <c r="E24" s="87">
        <v>137</v>
      </c>
      <c r="F24" s="88">
        <v>3425</v>
      </c>
      <c r="G24" s="91">
        <v>33.14</v>
      </c>
      <c r="H24" s="91" t="s">
        <v>1537</v>
      </c>
      <c r="I24" s="91">
        <v>2008060</v>
      </c>
      <c r="J24" s="87" t="s">
        <v>199</v>
      </c>
      <c r="K24" s="91" t="s">
        <v>1051</v>
      </c>
      <c r="L24" s="87" t="s">
        <v>201</v>
      </c>
    </row>
    <row r="25" spans="1:12" x14ac:dyDescent="0.25">
      <c r="A25" s="92" t="s">
        <v>1538</v>
      </c>
      <c r="B25" s="104"/>
      <c r="C25" s="104"/>
      <c r="D25" s="106"/>
      <c r="E25" s="104"/>
      <c r="F25" s="104"/>
      <c r="G25" s="104"/>
      <c r="H25" s="104"/>
      <c r="I25" s="104"/>
      <c r="J25" s="104"/>
      <c r="K25" s="104"/>
      <c r="L25" s="104"/>
    </row>
    <row r="26" spans="1:12" x14ac:dyDescent="0.25">
      <c r="A26" s="90">
        <v>39896</v>
      </c>
      <c r="B26" s="87" t="s">
        <v>1539</v>
      </c>
      <c r="C26" s="87" t="s">
        <v>197</v>
      </c>
      <c r="D26" s="87">
        <v>100</v>
      </c>
      <c r="E26" s="87">
        <v>48.1</v>
      </c>
      <c r="F26" s="88">
        <v>4810</v>
      </c>
      <c r="G26" s="91">
        <v>46.46</v>
      </c>
      <c r="H26" s="91" t="s">
        <v>1540</v>
      </c>
      <c r="I26" s="91">
        <v>2009054</v>
      </c>
      <c r="J26" s="87" t="s">
        <v>199</v>
      </c>
      <c r="K26" s="91" t="s">
        <v>1051</v>
      </c>
      <c r="L26" s="87" t="s">
        <v>201</v>
      </c>
    </row>
    <row r="27" spans="1:12" x14ac:dyDescent="0.25">
      <c r="A27" s="90">
        <v>39896</v>
      </c>
      <c r="B27" s="87" t="s">
        <v>1541</v>
      </c>
      <c r="C27" s="87" t="s">
        <v>197</v>
      </c>
      <c r="D27" s="87">
        <v>80</v>
      </c>
      <c r="E27" s="87">
        <v>54.7</v>
      </c>
      <c r="F27" s="88">
        <v>4376</v>
      </c>
      <c r="G27" s="91">
        <v>42.27</v>
      </c>
      <c r="H27" s="91" t="s">
        <v>1542</v>
      </c>
      <c r="I27" s="91">
        <v>2009054</v>
      </c>
      <c r="J27" s="87" t="s">
        <v>199</v>
      </c>
      <c r="K27" s="91" t="s">
        <v>1051</v>
      </c>
      <c r="L27" s="87" t="s">
        <v>201</v>
      </c>
    </row>
    <row r="28" spans="1:12" x14ac:dyDescent="0.25">
      <c r="A28" s="90">
        <v>39827</v>
      </c>
      <c r="B28" s="87" t="s">
        <v>1543</v>
      </c>
      <c r="C28" s="87" t="s">
        <v>197</v>
      </c>
      <c r="D28" s="87">
        <v>20</v>
      </c>
      <c r="E28" s="87">
        <v>218</v>
      </c>
      <c r="F28" s="88">
        <v>4360</v>
      </c>
      <c r="G28" s="91">
        <v>42.78</v>
      </c>
      <c r="H28" s="91" t="s">
        <v>1544</v>
      </c>
      <c r="I28" s="91">
        <v>2009009</v>
      </c>
      <c r="J28" s="87" t="s">
        <v>199</v>
      </c>
      <c r="K28" s="91" t="s">
        <v>1051</v>
      </c>
      <c r="L28" s="87" t="s">
        <v>201</v>
      </c>
    </row>
    <row r="29" spans="1:12" x14ac:dyDescent="0.25">
      <c r="A29" s="90">
        <v>39820</v>
      </c>
      <c r="B29" s="87" t="s">
        <v>1545</v>
      </c>
      <c r="C29" s="87" t="s">
        <v>197</v>
      </c>
      <c r="D29" s="87">
        <v>150</v>
      </c>
      <c r="E29" s="87">
        <v>62</v>
      </c>
      <c r="F29" s="88">
        <v>9300</v>
      </c>
      <c r="G29" s="91">
        <v>91.27</v>
      </c>
      <c r="H29" s="91" t="s">
        <v>1546</v>
      </c>
      <c r="I29" s="91">
        <v>2009005</v>
      </c>
      <c r="J29" s="87" t="s">
        <v>199</v>
      </c>
      <c r="K29" s="91" t="s">
        <v>1051</v>
      </c>
      <c r="L29" s="87" t="s">
        <v>201</v>
      </c>
    </row>
    <row r="30" spans="1:12" x14ac:dyDescent="0.25">
      <c r="A30" s="90">
        <v>39814</v>
      </c>
      <c r="B30" s="87" t="s">
        <v>1547</v>
      </c>
      <c r="C30" s="87" t="s">
        <v>197</v>
      </c>
      <c r="D30" s="87">
        <v>100</v>
      </c>
      <c r="E30" s="87">
        <v>76.55</v>
      </c>
      <c r="F30" s="88">
        <v>7655</v>
      </c>
      <c r="G30" s="91">
        <v>75.12</v>
      </c>
      <c r="H30" s="91" t="s">
        <v>1548</v>
      </c>
      <c r="I30" s="91">
        <v>2009001</v>
      </c>
      <c r="J30" s="87" t="s">
        <v>199</v>
      </c>
      <c r="K30" s="91" t="s">
        <v>1051</v>
      </c>
      <c r="L30" s="87" t="s">
        <v>201</v>
      </c>
    </row>
    <row r="31" spans="1:12" x14ac:dyDescent="0.25">
      <c r="A31" s="90">
        <v>39811</v>
      </c>
      <c r="B31" s="87" t="s">
        <v>1549</v>
      </c>
      <c r="C31" s="87" t="s">
        <v>197</v>
      </c>
      <c r="D31" s="87">
        <v>10</v>
      </c>
      <c r="E31" s="87">
        <v>730.3</v>
      </c>
      <c r="F31" s="88">
        <v>7303</v>
      </c>
      <c r="G31" s="91">
        <v>71.650000000000006</v>
      </c>
      <c r="H31" s="91" t="s">
        <v>1550</v>
      </c>
      <c r="I31" s="91">
        <v>2008244</v>
      </c>
      <c r="J31" s="87" t="s">
        <v>199</v>
      </c>
      <c r="K31" s="91" t="s">
        <v>1051</v>
      </c>
      <c r="L31" s="87" t="s">
        <v>201</v>
      </c>
    </row>
    <row r="32" spans="1:12" x14ac:dyDescent="0.25">
      <c r="A32" s="90">
        <v>39801</v>
      </c>
      <c r="B32" s="87" t="s">
        <v>1551</v>
      </c>
      <c r="C32" s="87" t="s">
        <v>197</v>
      </c>
      <c r="D32" s="87">
        <v>8</v>
      </c>
      <c r="E32" s="88">
        <v>1153.8</v>
      </c>
      <c r="F32" s="88">
        <v>9230.4</v>
      </c>
      <c r="G32" s="91">
        <v>90.57</v>
      </c>
      <c r="H32" s="91" t="s">
        <v>1552</v>
      </c>
      <c r="I32" s="91">
        <v>2008239</v>
      </c>
      <c r="J32" s="87" t="s">
        <v>199</v>
      </c>
      <c r="K32" s="91" t="s">
        <v>1051</v>
      </c>
      <c r="L32" s="87" t="s">
        <v>201</v>
      </c>
    </row>
    <row r="33" spans="1:12" x14ac:dyDescent="0.25">
      <c r="A33" s="90">
        <v>39786</v>
      </c>
      <c r="B33" s="87" t="s">
        <v>1553</v>
      </c>
      <c r="C33" s="87" t="s">
        <v>197</v>
      </c>
      <c r="D33" s="87">
        <v>75</v>
      </c>
      <c r="E33" s="87">
        <v>88.25</v>
      </c>
      <c r="F33" s="88">
        <v>6618.75</v>
      </c>
      <c r="G33" s="91">
        <v>64.930000000000007</v>
      </c>
      <c r="H33" s="91" t="s">
        <v>1554</v>
      </c>
      <c r="I33" s="91">
        <v>200809169</v>
      </c>
      <c r="J33" s="87" t="s">
        <v>199</v>
      </c>
      <c r="K33" s="91" t="s">
        <v>1051</v>
      </c>
      <c r="L33" s="87" t="s">
        <v>204</v>
      </c>
    </row>
    <row r="34" spans="1:12" x14ac:dyDescent="0.25">
      <c r="A34" s="90">
        <v>39785</v>
      </c>
      <c r="B34" s="87" t="s">
        <v>1555</v>
      </c>
      <c r="C34" s="87" t="s">
        <v>197</v>
      </c>
      <c r="D34" s="87">
        <v>100</v>
      </c>
      <c r="E34" s="87">
        <v>82.25</v>
      </c>
      <c r="F34" s="88">
        <v>8225</v>
      </c>
      <c r="G34" s="91">
        <v>80.7</v>
      </c>
      <c r="H34" s="91" t="s">
        <v>1556</v>
      </c>
      <c r="I34" s="91">
        <v>2008228</v>
      </c>
      <c r="J34" s="87" t="s">
        <v>199</v>
      </c>
      <c r="K34" s="91" t="s">
        <v>1051</v>
      </c>
      <c r="L34" s="87" t="s">
        <v>201</v>
      </c>
    </row>
    <row r="35" spans="1:12" x14ac:dyDescent="0.25">
      <c r="A35" s="90">
        <v>39785</v>
      </c>
      <c r="B35" s="87" t="s">
        <v>1539</v>
      </c>
      <c r="C35" s="87" t="s">
        <v>197</v>
      </c>
      <c r="D35" s="87">
        <v>150</v>
      </c>
      <c r="E35" s="87">
        <v>33.15</v>
      </c>
      <c r="F35" s="88">
        <v>4972.5</v>
      </c>
      <c r="G35" s="91">
        <v>48.8</v>
      </c>
      <c r="H35" s="91" t="s">
        <v>1557</v>
      </c>
      <c r="I35" s="91">
        <v>2008228</v>
      </c>
      <c r="J35" s="87" t="s">
        <v>199</v>
      </c>
      <c r="K35" s="91" t="s">
        <v>1051</v>
      </c>
      <c r="L35" s="87" t="s">
        <v>201</v>
      </c>
    </row>
    <row r="36" spans="1:12" x14ac:dyDescent="0.25">
      <c r="A36" s="90">
        <v>39785</v>
      </c>
      <c r="B36" s="87" t="s">
        <v>1543</v>
      </c>
      <c r="C36" s="87" t="s">
        <v>197</v>
      </c>
      <c r="D36" s="87">
        <v>30</v>
      </c>
      <c r="E36" s="87">
        <v>224.56</v>
      </c>
      <c r="F36" s="88">
        <v>6736.8</v>
      </c>
      <c r="G36" s="91">
        <v>66.099999999999994</v>
      </c>
      <c r="H36" s="91" t="s">
        <v>1558</v>
      </c>
      <c r="I36" s="91">
        <v>2008228</v>
      </c>
      <c r="J36" s="87" t="s">
        <v>199</v>
      </c>
      <c r="K36" s="91" t="s">
        <v>1051</v>
      </c>
      <c r="L36" s="87" t="s">
        <v>201</v>
      </c>
    </row>
    <row r="37" spans="1:12" x14ac:dyDescent="0.25">
      <c r="A37" s="90">
        <v>39785</v>
      </c>
      <c r="B37" s="87" t="s">
        <v>1559</v>
      </c>
      <c r="C37" s="87" t="s">
        <v>197</v>
      </c>
      <c r="D37" s="87">
        <v>7</v>
      </c>
      <c r="E37" s="88">
        <v>1095</v>
      </c>
      <c r="F37" s="88">
        <v>7665</v>
      </c>
      <c r="G37" s="91">
        <v>75.2</v>
      </c>
      <c r="H37" s="91" t="s">
        <v>1560</v>
      </c>
      <c r="I37" s="91">
        <v>2008228</v>
      </c>
      <c r="J37" s="87" t="s">
        <v>199</v>
      </c>
      <c r="K37" s="91" t="s">
        <v>1051</v>
      </c>
      <c r="L37" s="87" t="s">
        <v>201</v>
      </c>
    </row>
    <row r="38" spans="1:12" x14ac:dyDescent="0.25">
      <c r="A38" s="90">
        <v>39783</v>
      </c>
      <c r="B38" s="87" t="s">
        <v>1561</v>
      </c>
      <c r="C38" s="87" t="s">
        <v>197</v>
      </c>
      <c r="D38" s="87">
        <v>50</v>
      </c>
      <c r="E38" s="87">
        <v>125</v>
      </c>
      <c r="F38" s="88">
        <v>6250</v>
      </c>
      <c r="G38" s="91">
        <v>61.33</v>
      </c>
      <c r="H38" s="91" t="s">
        <v>1562</v>
      </c>
      <c r="I38" s="91">
        <v>2008226</v>
      </c>
      <c r="J38" s="87" t="s">
        <v>199</v>
      </c>
      <c r="K38" s="91" t="s">
        <v>1051</v>
      </c>
      <c r="L38" s="87" t="s">
        <v>201</v>
      </c>
    </row>
    <row r="39" spans="1:12" x14ac:dyDescent="0.25">
      <c r="A39" s="90">
        <v>39780</v>
      </c>
      <c r="B39" s="87" t="s">
        <v>1563</v>
      </c>
      <c r="C39" s="87" t="s">
        <v>197</v>
      </c>
      <c r="D39" s="87">
        <v>50</v>
      </c>
      <c r="E39" s="87">
        <v>120</v>
      </c>
      <c r="F39" s="88">
        <v>6000</v>
      </c>
      <c r="G39" s="91">
        <v>58.87</v>
      </c>
      <c r="H39" s="91" t="s">
        <v>1564</v>
      </c>
      <c r="I39" s="91">
        <v>2008225</v>
      </c>
      <c r="J39" s="87" t="s">
        <v>199</v>
      </c>
      <c r="K39" s="91" t="s">
        <v>1051</v>
      </c>
      <c r="L39" s="87" t="s">
        <v>201</v>
      </c>
    </row>
    <row r="40" spans="1:12" x14ac:dyDescent="0.25">
      <c r="A40" s="90">
        <v>39777</v>
      </c>
      <c r="B40" s="87" t="s">
        <v>1585</v>
      </c>
      <c r="C40" s="87" t="s">
        <v>197</v>
      </c>
      <c r="D40" s="87">
        <v>100</v>
      </c>
      <c r="E40" s="87">
        <v>145.5</v>
      </c>
      <c r="F40" s="88">
        <v>14550</v>
      </c>
      <c r="G40" s="91">
        <v>142.78</v>
      </c>
      <c r="H40" s="91" t="s">
        <v>1586</v>
      </c>
      <c r="I40" s="91">
        <v>2008223</v>
      </c>
      <c r="J40" s="87" t="s">
        <v>199</v>
      </c>
      <c r="K40" s="91" t="s">
        <v>1051</v>
      </c>
      <c r="L40" s="87" t="s">
        <v>201</v>
      </c>
    </row>
    <row r="41" spans="1:12" x14ac:dyDescent="0.25">
      <c r="A41" s="90">
        <v>39734</v>
      </c>
      <c r="B41" s="87" t="s">
        <v>1555</v>
      </c>
      <c r="C41" s="87" t="s">
        <v>197</v>
      </c>
      <c r="D41" s="87">
        <v>50</v>
      </c>
      <c r="E41" s="87">
        <v>145.16</v>
      </c>
      <c r="F41" s="88">
        <v>7258</v>
      </c>
      <c r="G41" s="91">
        <v>71.22</v>
      </c>
      <c r="H41" s="91" t="s">
        <v>1587</v>
      </c>
      <c r="I41" s="91">
        <v>2008194</v>
      </c>
      <c r="J41" s="87" t="s">
        <v>199</v>
      </c>
      <c r="K41" s="91" t="s">
        <v>1051</v>
      </c>
      <c r="L41" s="87" t="s">
        <v>201</v>
      </c>
    </row>
    <row r="42" spans="1:12" x14ac:dyDescent="0.25">
      <c r="A42" s="90">
        <v>39720</v>
      </c>
      <c r="B42" s="87" t="s">
        <v>1588</v>
      </c>
      <c r="C42" s="87" t="s">
        <v>197</v>
      </c>
      <c r="D42" s="87">
        <v>100</v>
      </c>
      <c r="E42" s="87">
        <v>96.15</v>
      </c>
      <c r="F42" s="88">
        <v>9615</v>
      </c>
      <c r="G42" s="91">
        <v>94.33</v>
      </c>
      <c r="H42" s="91" t="s">
        <v>1589</v>
      </c>
      <c r="I42" s="91">
        <v>200809126</v>
      </c>
      <c r="J42" s="87" t="s">
        <v>199</v>
      </c>
      <c r="K42" s="91" t="s">
        <v>1051</v>
      </c>
      <c r="L42" s="87" t="s">
        <v>204</v>
      </c>
    </row>
    <row r="43" spans="1:12" x14ac:dyDescent="0.25">
      <c r="A43" s="90">
        <v>39720</v>
      </c>
      <c r="B43" s="87" t="s">
        <v>1532</v>
      </c>
      <c r="C43" s="87" t="s">
        <v>197</v>
      </c>
      <c r="D43" s="87">
        <v>50</v>
      </c>
      <c r="E43" s="87">
        <v>354.55</v>
      </c>
      <c r="F43" s="88">
        <v>17727.599999999999</v>
      </c>
      <c r="G43" s="91">
        <v>173.95</v>
      </c>
      <c r="H43" s="91" t="s">
        <v>1590</v>
      </c>
      <c r="I43" s="91">
        <v>2008186</v>
      </c>
      <c r="J43" s="87" t="s">
        <v>199</v>
      </c>
      <c r="K43" s="91" t="s">
        <v>1051</v>
      </c>
      <c r="L43" s="87" t="s">
        <v>201</v>
      </c>
    </row>
    <row r="44" spans="1:12" x14ac:dyDescent="0.25">
      <c r="A44" s="90">
        <v>39720</v>
      </c>
      <c r="B44" s="87" t="s">
        <v>1532</v>
      </c>
      <c r="C44" s="87" t="s">
        <v>197</v>
      </c>
      <c r="D44" s="87">
        <v>25</v>
      </c>
      <c r="E44" s="87">
        <v>339.3</v>
      </c>
      <c r="F44" s="88">
        <v>8482.5</v>
      </c>
      <c r="G44" s="91">
        <v>83.23</v>
      </c>
      <c r="H44" s="91" t="s">
        <v>1591</v>
      </c>
      <c r="I44" s="91">
        <v>2008186</v>
      </c>
      <c r="J44" s="87" t="s">
        <v>199</v>
      </c>
      <c r="K44" s="91" t="s">
        <v>1051</v>
      </c>
      <c r="L44" s="87" t="s">
        <v>201</v>
      </c>
    </row>
    <row r="45" spans="1:12" x14ac:dyDescent="0.25">
      <c r="A45" s="90">
        <v>39720</v>
      </c>
      <c r="B45" s="87" t="s">
        <v>1555</v>
      </c>
      <c r="C45" s="87" t="s">
        <v>197</v>
      </c>
      <c r="D45" s="87">
        <v>50</v>
      </c>
      <c r="E45" s="87">
        <v>206.3</v>
      </c>
      <c r="F45" s="88">
        <v>10315</v>
      </c>
      <c r="G45" s="91">
        <v>101.22</v>
      </c>
      <c r="H45" s="91" t="s">
        <v>1592</v>
      </c>
      <c r="I45" s="91">
        <v>2008186</v>
      </c>
      <c r="J45" s="87" t="s">
        <v>199</v>
      </c>
      <c r="K45" s="91" t="s">
        <v>1051</v>
      </c>
      <c r="L45" s="87" t="s">
        <v>201</v>
      </c>
    </row>
    <row r="46" spans="1:12" x14ac:dyDescent="0.25">
      <c r="A46" s="90">
        <v>39720</v>
      </c>
      <c r="B46" s="87" t="s">
        <v>1532</v>
      </c>
      <c r="C46" s="87" t="s">
        <v>197</v>
      </c>
      <c r="D46" s="87">
        <v>15</v>
      </c>
      <c r="E46" s="87">
        <v>337</v>
      </c>
      <c r="F46" s="88">
        <v>5055</v>
      </c>
      <c r="G46" s="91">
        <v>49.61</v>
      </c>
      <c r="H46" s="91" t="s">
        <v>1593</v>
      </c>
      <c r="I46" s="91">
        <v>2008186</v>
      </c>
      <c r="J46" s="87" t="s">
        <v>199</v>
      </c>
      <c r="K46" s="91" t="s">
        <v>1051</v>
      </c>
      <c r="L46" s="87" t="s">
        <v>201</v>
      </c>
    </row>
    <row r="47" spans="1:12" x14ac:dyDescent="0.25">
      <c r="A47" s="90">
        <v>39708</v>
      </c>
      <c r="B47" s="87" t="s">
        <v>1563</v>
      </c>
      <c r="C47" s="87" t="s">
        <v>197</v>
      </c>
      <c r="D47" s="87">
        <v>20</v>
      </c>
      <c r="E47" s="87">
        <v>310.93</v>
      </c>
      <c r="F47" s="88">
        <v>6218.6</v>
      </c>
      <c r="G47" s="91">
        <v>61.01</v>
      </c>
      <c r="H47" s="91" t="s">
        <v>1594</v>
      </c>
      <c r="I47" s="91">
        <v>2008178</v>
      </c>
      <c r="J47" s="87" t="s">
        <v>199</v>
      </c>
      <c r="K47" s="91" t="s">
        <v>1051</v>
      </c>
      <c r="L47" s="87" t="s">
        <v>201</v>
      </c>
    </row>
    <row r="48" spans="1:12" x14ac:dyDescent="0.25">
      <c r="A48" s="90">
        <v>39708</v>
      </c>
      <c r="B48" s="87" t="s">
        <v>1588</v>
      </c>
      <c r="C48" s="87" t="s">
        <v>197</v>
      </c>
      <c r="D48" s="87">
        <v>100</v>
      </c>
      <c r="E48" s="87">
        <v>98.25</v>
      </c>
      <c r="F48" s="88">
        <v>9825</v>
      </c>
      <c r="G48" s="91">
        <v>96.4</v>
      </c>
      <c r="H48" s="91" t="s">
        <v>1595</v>
      </c>
      <c r="I48" s="91">
        <v>2008178</v>
      </c>
      <c r="J48" s="87" t="s">
        <v>199</v>
      </c>
      <c r="K48" s="91" t="s">
        <v>1051</v>
      </c>
      <c r="L48" s="87" t="s">
        <v>201</v>
      </c>
    </row>
    <row r="49" spans="1:12" x14ac:dyDescent="0.25">
      <c r="A49" s="90">
        <v>39708</v>
      </c>
      <c r="B49" s="87" t="s">
        <v>1526</v>
      </c>
      <c r="C49" s="87" t="s">
        <v>197</v>
      </c>
      <c r="D49" s="87">
        <v>29</v>
      </c>
      <c r="E49" s="87">
        <v>137</v>
      </c>
      <c r="F49" s="88">
        <v>3973</v>
      </c>
      <c r="G49" s="91">
        <v>38.99</v>
      </c>
      <c r="H49" s="91" t="s">
        <v>1596</v>
      </c>
      <c r="I49" s="91">
        <v>2008178</v>
      </c>
      <c r="J49" s="87" t="s">
        <v>199</v>
      </c>
      <c r="K49" s="91" t="s">
        <v>1051</v>
      </c>
      <c r="L49" s="87" t="s">
        <v>201</v>
      </c>
    </row>
    <row r="50" spans="1:12" x14ac:dyDescent="0.25">
      <c r="A50" s="90">
        <v>39706</v>
      </c>
      <c r="B50" s="87" t="s">
        <v>1526</v>
      </c>
      <c r="C50" s="87" t="s">
        <v>197</v>
      </c>
      <c r="D50" s="87">
        <v>23</v>
      </c>
      <c r="E50" s="87">
        <v>145</v>
      </c>
      <c r="F50" s="88">
        <v>3335</v>
      </c>
      <c r="G50" s="91">
        <v>32.72</v>
      </c>
      <c r="H50" s="91" t="s">
        <v>1597</v>
      </c>
      <c r="I50" s="91">
        <v>200809116</v>
      </c>
      <c r="J50" s="87" t="s">
        <v>199</v>
      </c>
      <c r="K50" s="91" t="s">
        <v>1051</v>
      </c>
      <c r="L50" s="87" t="s">
        <v>204</v>
      </c>
    </row>
    <row r="51" spans="1:12" x14ac:dyDescent="0.25">
      <c r="A51" s="90">
        <v>39703</v>
      </c>
      <c r="B51" s="87" t="s">
        <v>1526</v>
      </c>
      <c r="C51" s="87" t="s">
        <v>197</v>
      </c>
      <c r="D51" s="87">
        <v>38</v>
      </c>
      <c r="E51" s="87">
        <v>156.35</v>
      </c>
      <c r="F51" s="88">
        <v>5941.3</v>
      </c>
      <c r="G51" s="91">
        <v>57.5</v>
      </c>
      <c r="H51" s="91" t="s">
        <v>1598</v>
      </c>
      <c r="I51" s="91">
        <v>200809115</v>
      </c>
      <c r="J51" s="87" t="s">
        <v>199</v>
      </c>
      <c r="K51" s="91" t="s">
        <v>1051</v>
      </c>
      <c r="L51" s="87" t="s">
        <v>204</v>
      </c>
    </row>
    <row r="52" spans="1:12" x14ac:dyDescent="0.25">
      <c r="A52" s="90">
        <v>39703</v>
      </c>
      <c r="B52" s="87" t="s">
        <v>1555</v>
      </c>
      <c r="C52" s="87" t="s">
        <v>197</v>
      </c>
      <c r="D52" s="87">
        <v>50</v>
      </c>
      <c r="E52" s="87">
        <v>270.10000000000002</v>
      </c>
      <c r="F52" s="88">
        <v>13505</v>
      </c>
      <c r="G52" s="91">
        <v>130.69</v>
      </c>
      <c r="H52" s="91" t="s">
        <v>1599</v>
      </c>
      <c r="I52" s="91">
        <v>2008175</v>
      </c>
      <c r="J52" s="87" t="s">
        <v>199</v>
      </c>
      <c r="K52" s="91" t="s">
        <v>1051</v>
      </c>
      <c r="L52" s="87" t="s">
        <v>201</v>
      </c>
    </row>
    <row r="53" spans="1:12" x14ac:dyDescent="0.25">
      <c r="A53" s="90">
        <v>39700</v>
      </c>
      <c r="B53" s="87" t="s">
        <v>1563</v>
      </c>
      <c r="C53" s="87" t="s">
        <v>197</v>
      </c>
      <c r="D53" s="87">
        <v>30</v>
      </c>
      <c r="E53" s="87">
        <v>359.9</v>
      </c>
      <c r="F53" s="88">
        <v>10796.9</v>
      </c>
      <c r="G53" s="91">
        <v>104.48</v>
      </c>
      <c r="H53" s="91" t="s">
        <v>1600</v>
      </c>
      <c r="I53" s="91">
        <v>2008172</v>
      </c>
      <c r="J53" s="87" t="s">
        <v>199</v>
      </c>
      <c r="K53" s="91" t="s">
        <v>1051</v>
      </c>
      <c r="L53" s="87" t="s">
        <v>201</v>
      </c>
    </row>
    <row r="54" spans="1:12" x14ac:dyDescent="0.25">
      <c r="A54" s="90">
        <v>39681</v>
      </c>
      <c r="B54" s="87" t="s">
        <v>1601</v>
      </c>
      <c r="C54" s="87" t="s">
        <v>197</v>
      </c>
      <c r="D54" s="87">
        <v>100</v>
      </c>
      <c r="E54" s="87">
        <v>77.150000000000006</v>
      </c>
      <c r="F54" s="88">
        <v>7715</v>
      </c>
      <c r="G54" s="91">
        <v>74.650000000000006</v>
      </c>
      <c r="H54" s="91" t="s">
        <v>1602</v>
      </c>
      <c r="I54" s="91">
        <v>2008160</v>
      </c>
      <c r="J54" s="87" t="s">
        <v>199</v>
      </c>
      <c r="K54" s="91" t="s">
        <v>1051</v>
      </c>
      <c r="L54" s="87" t="s">
        <v>201</v>
      </c>
    </row>
    <row r="55" spans="1:12" x14ac:dyDescent="0.25">
      <c r="A55" s="90">
        <v>39680</v>
      </c>
      <c r="B55" s="87" t="s">
        <v>282</v>
      </c>
      <c r="C55" s="87" t="s">
        <v>197</v>
      </c>
      <c r="D55" s="87">
        <v>300</v>
      </c>
      <c r="E55" s="87">
        <v>23.5</v>
      </c>
      <c r="F55" s="88">
        <v>7050</v>
      </c>
      <c r="G55" s="91">
        <v>68.239999999999995</v>
      </c>
      <c r="H55" s="91" t="s">
        <v>1603</v>
      </c>
      <c r="I55" s="91">
        <v>2008159</v>
      </c>
      <c r="J55" s="87" t="s">
        <v>199</v>
      </c>
      <c r="K55" s="91" t="s">
        <v>1051</v>
      </c>
      <c r="L55" s="87" t="s">
        <v>201</v>
      </c>
    </row>
    <row r="56" spans="1:12" x14ac:dyDescent="0.25">
      <c r="A56" s="90">
        <v>39679</v>
      </c>
      <c r="B56" s="87" t="s">
        <v>282</v>
      </c>
      <c r="C56" s="87" t="s">
        <v>197</v>
      </c>
      <c r="D56" s="87">
        <v>200</v>
      </c>
      <c r="E56" s="87">
        <v>22.35</v>
      </c>
      <c r="F56" s="88">
        <v>4470</v>
      </c>
      <c r="G56" s="91">
        <v>43.25</v>
      </c>
      <c r="H56" s="91" t="s">
        <v>1604</v>
      </c>
      <c r="I56" s="91">
        <v>2008158</v>
      </c>
      <c r="J56" s="87" t="s">
        <v>199</v>
      </c>
      <c r="K56" s="91" t="s">
        <v>1051</v>
      </c>
      <c r="L56" s="87" t="s">
        <v>201</v>
      </c>
    </row>
    <row r="57" spans="1:12" x14ac:dyDescent="0.25">
      <c r="A57" s="90">
        <v>39668</v>
      </c>
      <c r="B57" s="87" t="s">
        <v>1605</v>
      </c>
      <c r="C57" s="87" t="s">
        <v>197</v>
      </c>
      <c r="D57" s="87">
        <v>5</v>
      </c>
      <c r="E57" s="88">
        <v>2491.0500000000002</v>
      </c>
      <c r="F57" s="88">
        <v>12455.25</v>
      </c>
      <c r="G57" s="91">
        <v>120.53</v>
      </c>
      <c r="H57" s="91" t="s">
        <v>1606</v>
      </c>
      <c r="I57" s="91">
        <v>2008152</v>
      </c>
      <c r="J57" s="87" t="s">
        <v>199</v>
      </c>
      <c r="K57" s="91" t="s">
        <v>1051</v>
      </c>
      <c r="L57" s="87" t="s">
        <v>201</v>
      </c>
    </row>
    <row r="58" spans="1:12" x14ac:dyDescent="0.25">
      <c r="A58" s="90">
        <v>39667</v>
      </c>
      <c r="B58" s="87" t="s">
        <v>1601</v>
      </c>
      <c r="C58" s="87" t="s">
        <v>197</v>
      </c>
      <c r="D58" s="87">
        <v>100</v>
      </c>
      <c r="E58" s="87">
        <v>86.4</v>
      </c>
      <c r="F58" s="88">
        <v>8640</v>
      </c>
      <c r="G58" s="91">
        <v>83.61</v>
      </c>
      <c r="H58" s="91" t="s">
        <v>1607</v>
      </c>
      <c r="I58" s="91">
        <v>2008151</v>
      </c>
      <c r="J58" s="87" t="s">
        <v>199</v>
      </c>
      <c r="K58" s="91" t="s">
        <v>1051</v>
      </c>
      <c r="L58" s="87" t="s">
        <v>201</v>
      </c>
    </row>
    <row r="59" spans="1:12" x14ac:dyDescent="0.25">
      <c r="A59" s="90">
        <v>39660</v>
      </c>
      <c r="B59" s="87" t="s">
        <v>1608</v>
      </c>
      <c r="C59" s="87" t="s">
        <v>197</v>
      </c>
      <c r="D59" s="87">
        <v>8</v>
      </c>
      <c r="E59" s="87">
        <v>350.2</v>
      </c>
      <c r="F59" s="88">
        <v>2801.6</v>
      </c>
      <c r="G59" s="91">
        <v>31.59</v>
      </c>
      <c r="H59" s="91" t="s">
        <v>1609</v>
      </c>
      <c r="I59" s="91">
        <v>2008146</v>
      </c>
      <c r="J59" s="87" t="s">
        <v>199</v>
      </c>
      <c r="K59" s="91" t="s">
        <v>1051</v>
      </c>
      <c r="L59" s="87" t="s">
        <v>201</v>
      </c>
    </row>
    <row r="60" spans="1:12" x14ac:dyDescent="0.25">
      <c r="A60" s="90">
        <v>39659</v>
      </c>
      <c r="B60" s="87" t="s">
        <v>1608</v>
      </c>
      <c r="C60" s="87" t="s">
        <v>197</v>
      </c>
      <c r="D60" s="87">
        <v>20</v>
      </c>
      <c r="E60" s="87">
        <v>356</v>
      </c>
      <c r="F60" s="88">
        <v>7120</v>
      </c>
      <c r="G60" s="91">
        <v>68.900000000000006</v>
      </c>
      <c r="H60" s="91" t="s">
        <v>1610</v>
      </c>
      <c r="I60" s="91">
        <v>2008145</v>
      </c>
      <c r="J60" s="87" t="s">
        <v>199</v>
      </c>
      <c r="K60" s="91" t="s">
        <v>1051</v>
      </c>
      <c r="L60" s="87" t="s">
        <v>201</v>
      </c>
    </row>
    <row r="61" spans="1:12" x14ac:dyDescent="0.25">
      <c r="A61" s="90">
        <v>39658</v>
      </c>
      <c r="B61" s="87" t="s">
        <v>1526</v>
      </c>
      <c r="C61" s="87" t="s">
        <v>197</v>
      </c>
      <c r="D61" s="87">
        <v>50</v>
      </c>
      <c r="E61" s="87">
        <v>153.69999999999999</v>
      </c>
      <c r="F61" s="88">
        <v>7685</v>
      </c>
      <c r="G61" s="91">
        <v>74.38</v>
      </c>
      <c r="H61" s="91" t="s">
        <v>1611</v>
      </c>
      <c r="I61" s="91">
        <v>2008144</v>
      </c>
      <c r="J61" s="87" t="s">
        <v>199</v>
      </c>
      <c r="K61" s="91" t="s">
        <v>1051</v>
      </c>
      <c r="L61" s="87" t="s">
        <v>201</v>
      </c>
    </row>
    <row r="62" spans="1:12" x14ac:dyDescent="0.25">
      <c r="A62" s="90">
        <v>39658</v>
      </c>
      <c r="B62" s="87" t="s">
        <v>1526</v>
      </c>
      <c r="C62" s="87" t="s">
        <v>197</v>
      </c>
      <c r="D62" s="87">
        <v>50</v>
      </c>
      <c r="E62" s="87">
        <v>152.69999999999999</v>
      </c>
      <c r="F62" s="88">
        <v>7635</v>
      </c>
      <c r="G62" s="91">
        <v>73.89</v>
      </c>
      <c r="H62" s="91" t="s">
        <v>1612</v>
      </c>
      <c r="I62" s="91">
        <v>2008144</v>
      </c>
      <c r="J62" s="87" t="s">
        <v>199</v>
      </c>
      <c r="K62" s="91" t="s">
        <v>1051</v>
      </c>
      <c r="L62" s="87" t="s">
        <v>201</v>
      </c>
    </row>
    <row r="63" spans="1:12" x14ac:dyDescent="0.25">
      <c r="A63" s="90">
        <v>39654</v>
      </c>
      <c r="B63" s="87" t="s">
        <v>1553</v>
      </c>
      <c r="C63" s="87" t="s">
        <v>197</v>
      </c>
      <c r="D63" s="87">
        <v>50</v>
      </c>
      <c r="E63" s="87">
        <v>208</v>
      </c>
      <c r="F63" s="88">
        <v>10400</v>
      </c>
      <c r="G63" s="91">
        <v>100.64</v>
      </c>
      <c r="H63" s="91" t="s">
        <v>1613</v>
      </c>
      <c r="I63" s="91">
        <v>2008142</v>
      </c>
      <c r="J63" s="87" t="s">
        <v>199</v>
      </c>
      <c r="K63" s="91" t="s">
        <v>1051</v>
      </c>
      <c r="L63" s="87" t="s">
        <v>201</v>
      </c>
    </row>
    <row r="64" spans="1:12" x14ac:dyDescent="0.25">
      <c r="A64" s="90">
        <v>39651</v>
      </c>
      <c r="B64" s="87" t="s">
        <v>1553</v>
      </c>
      <c r="C64" s="87" t="s">
        <v>197</v>
      </c>
      <c r="D64" s="87">
        <v>20</v>
      </c>
      <c r="E64" s="87">
        <v>208</v>
      </c>
      <c r="F64" s="88">
        <v>4160</v>
      </c>
      <c r="G64" s="91">
        <v>40.26</v>
      </c>
      <c r="H64" s="91" t="s">
        <v>1630</v>
      </c>
      <c r="I64" s="91">
        <v>2008139</v>
      </c>
      <c r="J64" s="87" t="s">
        <v>199</v>
      </c>
      <c r="K64" s="91" t="s">
        <v>1051</v>
      </c>
      <c r="L64" s="87" t="s">
        <v>201</v>
      </c>
    </row>
    <row r="65" spans="1:12" x14ac:dyDescent="0.25">
      <c r="A65" s="90">
        <v>39651</v>
      </c>
      <c r="B65" s="87" t="s">
        <v>1526</v>
      </c>
      <c r="C65" s="87" t="s">
        <v>197</v>
      </c>
      <c r="D65" s="87">
        <v>50</v>
      </c>
      <c r="E65" s="87">
        <v>159.30000000000001</v>
      </c>
      <c r="F65" s="88">
        <v>7965</v>
      </c>
      <c r="G65" s="91">
        <v>77.09</v>
      </c>
      <c r="H65" s="91" t="s">
        <v>1631</v>
      </c>
      <c r="I65" s="91">
        <v>2008139</v>
      </c>
      <c r="J65" s="87" t="s">
        <v>199</v>
      </c>
      <c r="K65" s="91" t="s">
        <v>1051</v>
      </c>
      <c r="L65" s="87" t="s">
        <v>201</v>
      </c>
    </row>
    <row r="66" spans="1:12" x14ac:dyDescent="0.25">
      <c r="A66" s="90">
        <v>39645</v>
      </c>
      <c r="B66" s="87" t="s">
        <v>1526</v>
      </c>
      <c r="C66" s="87" t="s">
        <v>197</v>
      </c>
      <c r="D66" s="87">
        <v>50</v>
      </c>
      <c r="E66" s="87">
        <v>138.65</v>
      </c>
      <c r="F66" s="88">
        <v>6932.5</v>
      </c>
      <c r="G66" s="91">
        <v>67.09</v>
      </c>
      <c r="H66" s="91" t="s">
        <v>1632</v>
      </c>
      <c r="I66" s="91">
        <v>200809075</v>
      </c>
      <c r="J66" s="87" t="s">
        <v>199</v>
      </c>
      <c r="K66" s="91" t="s">
        <v>1051</v>
      </c>
      <c r="L66" s="87" t="s">
        <v>204</v>
      </c>
    </row>
    <row r="67" spans="1:12" x14ac:dyDescent="0.25">
      <c r="A67" s="90">
        <v>39645</v>
      </c>
      <c r="B67" s="87" t="s">
        <v>1058</v>
      </c>
      <c r="C67" s="87" t="s">
        <v>197</v>
      </c>
      <c r="D67" s="87">
        <v>50</v>
      </c>
      <c r="E67" s="87">
        <v>130.25</v>
      </c>
      <c r="F67" s="88">
        <v>6512.5</v>
      </c>
      <c r="G67" s="91">
        <v>63.02</v>
      </c>
      <c r="H67" s="91" t="s">
        <v>1633</v>
      </c>
      <c r="I67" s="91">
        <v>2008135</v>
      </c>
      <c r="J67" s="87" t="s">
        <v>199</v>
      </c>
      <c r="K67" s="91" t="s">
        <v>1051</v>
      </c>
      <c r="L67" s="87" t="s">
        <v>201</v>
      </c>
    </row>
    <row r="68" spans="1:12" x14ac:dyDescent="0.25">
      <c r="A68" s="90">
        <v>39645</v>
      </c>
      <c r="B68" s="87" t="s">
        <v>1526</v>
      </c>
      <c r="C68" s="87" t="s">
        <v>197</v>
      </c>
      <c r="D68" s="87">
        <v>50</v>
      </c>
      <c r="E68" s="87">
        <v>145.80000000000001</v>
      </c>
      <c r="F68" s="88">
        <v>7290</v>
      </c>
      <c r="G68" s="91">
        <v>70.55</v>
      </c>
      <c r="H68" s="91" t="s">
        <v>1646</v>
      </c>
      <c r="I68" s="91">
        <v>2008135</v>
      </c>
      <c r="J68" s="87" t="s">
        <v>199</v>
      </c>
      <c r="K68" s="91" t="s">
        <v>1051</v>
      </c>
      <c r="L68" s="87" t="s">
        <v>201</v>
      </c>
    </row>
    <row r="69" spans="1:12" x14ac:dyDescent="0.25">
      <c r="A69" s="90">
        <v>39645</v>
      </c>
      <c r="B69" s="87" t="s">
        <v>1058</v>
      </c>
      <c r="C69" s="87" t="s">
        <v>197</v>
      </c>
      <c r="D69" s="87">
        <v>25</v>
      </c>
      <c r="E69" s="87">
        <v>130.19999999999999</v>
      </c>
      <c r="F69" s="88">
        <v>3255</v>
      </c>
      <c r="G69" s="91">
        <v>32.159999999999997</v>
      </c>
      <c r="H69" s="91" t="s">
        <v>1647</v>
      </c>
      <c r="I69" s="91">
        <v>2008135</v>
      </c>
      <c r="J69" s="87" t="s">
        <v>199</v>
      </c>
      <c r="K69" s="91" t="s">
        <v>1051</v>
      </c>
      <c r="L69" s="87" t="s">
        <v>201</v>
      </c>
    </row>
    <row r="70" spans="1:12" x14ac:dyDescent="0.25">
      <c r="A70" s="90">
        <v>39645</v>
      </c>
      <c r="B70" s="87" t="s">
        <v>1510</v>
      </c>
      <c r="C70" s="87" t="s">
        <v>197</v>
      </c>
      <c r="D70" s="87">
        <v>5</v>
      </c>
      <c r="E70" s="88">
        <v>1249</v>
      </c>
      <c r="F70" s="88">
        <v>6245</v>
      </c>
      <c r="G70" s="91">
        <v>60.44</v>
      </c>
      <c r="H70" s="91" t="s">
        <v>1648</v>
      </c>
      <c r="I70" s="91">
        <v>2008135</v>
      </c>
      <c r="J70" s="87" t="s">
        <v>199</v>
      </c>
      <c r="K70" s="91" t="s">
        <v>1051</v>
      </c>
      <c r="L70" s="87" t="s">
        <v>201</v>
      </c>
    </row>
    <row r="71" spans="1:12" x14ac:dyDescent="0.25">
      <c r="A71" s="90">
        <v>39645</v>
      </c>
      <c r="B71" s="87" t="s">
        <v>1058</v>
      </c>
      <c r="C71" s="87" t="s">
        <v>197</v>
      </c>
      <c r="D71" s="87">
        <v>25</v>
      </c>
      <c r="E71" s="87">
        <v>126.5</v>
      </c>
      <c r="F71" s="88">
        <v>3162.5</v>
      </c>
      <c r="G71" s="91">
        <v>32.04</v>
      </c>
      <c r="H71" s="91" t="s">
        <v>1649</v>
      </c>
      <c r="I71" s="91">
        <v>2008135</v>
      </c>
      <c r="J71" s="87" t="s">
        <v>199</v>
      </c>
      <c r="K71" s="91" t="s">
        <v>1051</v>
      </c>
      <c r="L71" s="87" t="s">
        <v>201</v>
      </c>
    </row>
    <row r="72" spans="1:12" x14ac:dyDescent="0.25">
      <c r="A72" s="90">
        <v>39644</v>
      </c>
      <c r="B72" s="87" t="s">
        <v>1585</v>
      </c>
      <c r="C72" s="87" t="s">
        <v>197</v>
      </c>
      <c r="D72" s="87">
        <v>25</v>
      </c>
      <c r="E72" s="87">
        <v>198.4</v>
      </c>
      <c r="F72" s="88">
        <v>4960</v>
      </c>
      <c r="G72" s="91">
        <v>48</v>
      </c>
      <c r="H72" s="91" t="s">
        <v>1650</v>
      </c>
      <c r="I72" s="91">
        <v>2008134</v>
      </c>
      <c r="J72" s="87" t="s">
        <v>199</v>
      </c>
      <c r="K72" s="91" t="s">
        <v>1051</v>
      </c>
      <c r="L72" s="87" t="s">
        <v>201</v>
      </c>
    </row>
    <row r="73" spans="1:12" x14ac:dyDescent="0.25">
      <c r="A73" s="90">
        <v>39636</v>
      </c>
      <c r="B73" s="87" t="s">
        <v>1553</v>
      </c>
      <c r="C73" s="87" t="s">
        <v>197</v>
      </c>
      <c r="D73" s="87">
        <v>30</v>
      </c>
      <c r="E73" s="87">
        <v>209.5</v>
      </c>
      <c r="F73" s="88">
        <v>6285</v>
      </c>
      <c r="G73" s="91">
        <v>60.83</v>
      </c>
      <c r="H73" s="91" t="s">
        <v>1651</v>
      </c>
      <c r="I73" s="91">
        <v>2008128</v>
      </c>
      <c r="J73" s="87" t="s">
        <v>199</v>
      </c>
      <c r="K73" s="91" t="s">
        <v>1051</v>
      </c>
      <c r="L73" s="87" t="s">
        <v>201</v>
      </c>
    </row>
    <row r="74" spans="1:12" x14ac:dyDescent="0.25">
      <c r="A74" s="90">
        <v>39629</v>
      </c>
      <c r="B74" s="87" t="s">
        <v>1074</v>
      </c>
      <c r="C74" s="87" t="s">
        <v>197</v>
      </c>
      <c r="D74" s="87">
        <v>100</v>
      </c>
      <c r="E74" s="87">
        <v>71.45</v>
      </c>
      <c r="F74" s="88">
        <v>7145</v>
      </c>
      <c r="G74" s="91">
        <v>16.850000000000001</v>
      </c>
      <c r="H74" s="91" t="s">
        <v>1652</v>
      </c>
      <c r="I74" s="91">
        <v>2008123</v>
      </c>
      <c r="J74" s="87" t="s">
        <v>199</v>
      </c>
      <c r="K74" s="87" t="s">
        <v>1098</v>
      </c>
      <c r="L74" s="87" t="s">
        <v>201</v>
      </c>
    </row>
    <row r="75" spans="1:12" x14ac:dyDescent="0.25">
      <c r="A75" s="90">
        <v>39626</v>
      </c>
      <c r="B75" s="87" t="s">
        <v>1653</v>
      </c>
      <c r="C75" s="87" t="s">
        <v>197</v>
      </c>
      <c r="D75" s="87">
        <v>150</v>
      </c>
      <c r="E75" s="87">
        <v>35.1</v>
      </c>
      <c r="F75" s="88">
        <v>5265</v>
      </c>
      <c r="G75" s="91">
        <v>50.95</v>
      </c>
      <c r="H75" s="91" t="s">
        <v>1654</v>
      </c>
      <c r="I75" s="91">
        <v>200809062</v>
      </c>
      <c r="J75" s="87" t="s">
        <v>199</v>
      </c>
      <c r="K75" s="91" t="s">
        <v>1051</v>
      </c>
      <c r="L75" s="87" t="s">
        <v>204</v>
      </c>
    </row>
    <row r="76" spans="1:12" x14ac:dyDescent="0.25">
      <c r="A76" s="90">
        <v>39626</v>
      </c>
      <c r="B76" s="87" t="s">
        <v>1655</v>
      </c>
      <c r="C76" s="87" t="s">
        <v>197</v>
      </c>
      <c r="D76" s="87">
        <v>150</v>
      </c>
      <c r="E76" s="87">
        <v>24.4</v>
      </c>
      <c r="F76" s="88">
        <v>3660</v>
      </c>
      <c r="G76" s="91">
        <v>35.42</v>
      </c>
      <c r="H76" s="91" t="s">
        <v>1656</v>
      </c>
      <c r="I76" s="91">
        <v>200809062</v>
      </c>
      <c r="J76" s="87" t="s">
        <v>199</v>
      </c>
      <c r="K76" s="91" t="s">
        <v>1051</v>
      </c>
      <c r="L76" s="87" t="s">
        <v>204</v>
      </c>
    </row>
    <row r="77" spans="1:12" x14ac:dyDescent="0.25">
      <c r="A77" s="90">
        <v>39626</v>
      </c>
      <c r="B77" s="87" t="s">
        <v>1657</v>
      </c>
      <c r="C77" s="87" t="s">
        <v>197</v>
      </c>
      <c r="D77" s="87">
        <v>50</v>
      </c>
      <c r="E77" s="87">
        <v>90.05</v>
      </c>
      <c r="F77" s="88">
        <v>4502.5</v>
      </c>
      <c r="G77" s="91">
        <v>43.58</v>
      </c>
      <c r="H77" s="91" t="s">
        <v>1658</v>
      </c>
      <c r="I77" s="91">
        <v>2008122</v>
      </c>
      <c r="J77" s="87" t="s">
        <v>199</v>
      </c>
      <c r="K77" s="91" t="s">
        <v>1051</v>
      </c>
      <c r="L77" s="87" t="s">
        <v>201</v>
      </c>
    </row>
    <row r="78" spans="1:12" x14ac:dyDescent="0.25">
      <c r="A78" s="90">
        <v>39623</v>
      </c>
      <c r="B78" s="87" t="s">
        <v>1585</v>
      </c>
      <c r="C78" s="87" t="s">
        <v>197</v>
      </c>
      <c r="D78" s="87">
        <v>25</v>
      </c>
      <c r="E78" s="87">
        <v>226.2</v>
      </c>
      <c r="F78" s="88">
        <v>5655</v>
      </c>
      <c r="G78" s="91">
        <v>54.73</v>
      </c>
      <c r="H78" s="91" t="s">
        <v>1659</v>
      </c>
      <c r="I78" s="91">
        <v>2008119</v>
      </c>
      <c r="J78" s="87" t="s">
        <v>199</v>
      </c>
      <c r="K78" s="91" t="s">
        <v>1051</v>
      </c>
      <c r="L78" s="87" t="s">
        <v>201</v>
      </c>
    </row>
    <row r="79" spans="1:12" x14ac:dyDescent="0.25">
      <c r="A79" s="90">
        <v>39623</v>
      </c>
      <c r="B79" s="87" t="s">
        <v>1660</v>
      </c>
      <c r="C79" s="87" t="s">
        <v>197</v>
      </c>
      <c r="D79" s="87">
        <v>20</v>
      </c>
      <c r="E79" s="87">
        <v>199</v>
      </c>
      <c r="F79" s="88">
        <v>3980</v>
      </c>
      <c r="G79" s="91">
        <v>38.520000000000003</v>
      </c>
      <c r="H79" s="91" t="s">
        <v>1661</v>
      </c>
      <c r="I79" s="91">
        <v>2008119</v>
      </c>
      <c r="J79" s="87" t="s">
        <v>199</v>
      </c>
      <c r="K79" s="91" t="s">
        <v>1051</v>
      </c>
      <c r="L79" s="87" t="s">
        <v>201</v>
      </c>
    </row>
    <row r="80" spans="1:12" x14ac:dyDescent="0.25">
      <c r="A80" s="90">
        <v>39623</v>
      </c>
      <c r="B80" s="87" t="s">
        <v>1653</v>
      </c>
      <c r="C80" s="87" t="s">
        <v>197</v>
      </c>
      <c r="D80" s="87">
        <v>60</v>
      </c>
      <c r="E80" s="87">
        <v>36.75</v>
      </c>
      <c r="F80" s="88">
        <v>2205</v>
      </c>
      <c r="G80" s="91">
        <v>30.85</v>
      </c>
      <c r="H80" s="91" t="s">
        <v>1662</v>
      </c>
      <c r="I80" s="91">
        <v>2008119</v>
      </c>
      <c r="J80" s="87" t="s">
        <v>199</v>
      </c>
      <c r="K80" s="91" t="s">
        <v>1051</v>
      </c>
      <c r="L80" s="87" t="s">
        <v>201</v>
      </c>
    </row>
    <row r="81" spans="1:12" x14ac:dyDescent="0.25">
      <c r="A81" s="90">
        <v>39622</v>
      </c>
      <c r="B81" s="87" t="s">
        <v>1663</v>
      </c>
      <c r="C81" s="87" t="s">
        <v>197</v>
      </c>
      <c r="D81" s="87">
        <v>300</v>
      </c>
      <c r="E81" s="87">
        <v>12.25</v>
      </c>
      <c r="F81" s="88">
        <v>3675</v>
      </c>
      <c r="G81" s="91">
        <v>35.58</v>
      </c>
      <c r="H81" s="91" t="s">
        <v>1664</v>
      </c>
      <c r="I81" s="91">
        <v>200809058</v>
      </c>
      <c r="J81" s="87" t="s">
        <v>199</v>
      </c>
      <c r="K81" s="91" t="s">
        <v>1051</v>
      </c>
      <c r="L81" s="87" t="s">
        <v>204</v>
      </c>
    </row>
    <row r="82" spans="1:12" x14ac:dyDescent="0.25">
      <c r="A82" s="90">
        <v>39622</v>
      </c>
      <c r="B82" s="87" t="s">
        <v>1074</v>
      </c>
      <c r="C82" s="87" t="s">
        <v>197</v>
      </c>
      <c r="D82" s="87">
        <v>100</v>
      </c>
      <c r="E82" s="87">
        <v>81.849999999999994</v>
      </c>
      <c r="F82" s="88">
        <v>8185</v>
      </c>
      <c r="G82" s="91">
        <v>79.209999999999994</v>
      </c>
      <c r="H82" s="91" t="s">
        <v>1665</v>
      </c>
      <c r="I82" s="91">
        <v>2008118</v>
      </c>
      <c r="J82" s="87" t="s">
        <v>199</v>
      </c>
      <c r="K82" s="91" t="s">
        <v>1051</v>
      </c>
      <c r="L82" s="87" t="s">
        <v>201</v>
      </c>
    </row>
    <row r="83" spans="1:12" x14ac:dyDescent="0.25">
      <c r="A83" s="90">
        <v>39622</v>
      </c>
      <c r="B83" s="87" t="s">
        <v>1526</v>
      </c>
      <c r="C83" s="87" t="s">
        <v>197</v>
      </c>
      <c r="D83" s="87">
        <v>25</v>
      </c>
      <c r="E83" s="87">
        <v>155.85</v>
      </c>
      <c r="F83" s="88">
        <v>3896.25</v>
      </c>
      <c r="G83" s="91">
        <v>37.71</v>
      </c>
      <c r="H83" s="91" t="s">
        <v>1666</v>
      </c>
      <c r="I83" s="91">
        <v>2008118</v>
      </c>
      <c r="J83" s="87" t="s">
        <v>199</v>
      </c>
      <c r="K83" s="91" t="s">
        <v>1051</v>
      </c>
      <c r="L83" s="87" t="s">
        <v>201</v>
      </c>
    </row>
    <row r="84" spans="1:12" x14ac:dyDescent="0.25">
      <c r="A84" s="90">
        <v>39618</v>
      </c>
      <c r="B84" s="87" t="s">
        <v>1074</v>
      </c>
      <c r="C84" s="87" t="s">
        <v>197</v>
      </c>
      <c r="D84" s="87">
        <v>50</v>
      </c>
      <c r="E84" s="87">
        <v>90.45</v>
      </c>
      <c r="F84" s="88">
        <v>4522.5</v>
      </c>
      <c r="G84" s="91">
        <v>43.77</v>
      </c>
      <c r="H84" s="91" t="s">
        <v>1667</v>
      </c>
      <c r="I84" s="91">
        <v>200809056</v>
      </c>
      <c r="J84" s="87" t="s">
        <v>199</v>
      </c>
      <c r="K84" s="91" t="s">
        <v>1051</v>
      </c>
      <c r="L84" s="87" t="s">
        <v>204</v>
      </c>
    </row>
    <row r="85" spans="1:12" x14ac:dyDescent="0.25">
      <c r="A85" s="90">
        <v>39618</v>
      </c>
      <c r="B85" s="87" t="s">
        <v>1074</v>
      </c>
      <c r="C85" s="87" t="s">
        <v>197</v>
      </c>
      <c r="D85" s="87">
        <v>25</v>
      </c>
      <c r="E85" s="87">
        <v>90.15</v>
      </c>
      <c r="F85" s="88">
        <v>2253.75</v>
      </c>
      <c r="G85" s="91">
        <v>30.91</v>
      </c>
      <c r="H85" s="91" t="s">
        <v>1668</v>
      </c>
      <c r="I85" s="91">
        <v>200809056</v>
      </c>
      <c r="J85" s="87" t="s">
        <v>199</v>
      </c>
      <c r="K85" s="91" t="s">
        <v>1051</v>
      </c>
      <c r="L85" s="87" t="s">
        <v>204</v>
      </c>
    </row>
    <row r="86" spans="1:12" x14ac:dyDescent="0.25">
      <c r="A86" s="90">
        <v>39616</v>
      </c>
      <c r="B86" s="87" t="s">
        <v>1074</v>
      </c>
      <c r="C86" s="87" t="s">
        <v>197</v>
      </c>
      <c r="D86" s="87">
        <v>50</v>
      </c>
      <c r="E86" s="87">
        <v>92.55</v>
      </c>
      <c r="F86" s="88">
        <v>4627.5</v>
      </c>
      <c r="G86" s="91">
        <v>44.78</v>
      </c>
      <c r="H86" s="91" t="s">
        <v>1669</v>
      </c>
      <c r="I86" s="91">
        <v>2008114</v>
      </c>
      <c r="J86" s="87" t="s">
        <v>199</v>
      </c>
      <c r="K86" s="91" t="s">
        <v>1051</v>
      </c>
      <c r="L86" s="87" t="s">
        <v>201</v>
      </c>
    </row>
    <row r="87" spans="1:12" x14ac:dyDescent="0.25">
      <c r="A87" s="90">
        <v>39616</v>
      </c>
      <c r="B87" s="87" t="s">
        <v>1653</v>
      </c>
      <c r="C87" s="87" t="s">
        <v>197</v>
      </c>
      <c r="D87" s="87">
        <v>150</v>
      </c>
      <c r="E87" s="87">
        <v>42.35</v>
      </c>
      <c r="F87" s="88">
        <v>6352.5</v>
      </c>
      <c r="G87" s="91">
        <v>61.48</v>
      </c>
      <c r="H87" s="91" t="s">
        <v>1670</v>
      </c>
      <c r="I87" s="91">
        <v>2008114</v>
      </c>
      <c r="J87" s="87" t="s">
        <v>199</v>
      </c>
      <c r="K87" s="91" t="s">
        <v>1051</v>
      </c>
      <c r="L87" s="87" t="s">
        <v>201</v>
      </c>
    </row>
    <row r="88" spans="1:12" x14ac:dyDescent="0.25">
      <c r="A88" s="90">
        <v>39616</v>
      </c>
      <c r="B88" s="87" t="s">
        <v>1660</v>
      </c>
      <c r="C88" s="87" t="s">
        <v>197</v>
      </c>
      <c r="D88" s="87">
        <v>30</v>
      </c>
      <c r="E88" s="87">
        <v>214.95</v>
      </c>
      <c r="F88" s="88">
        <v>6448.5</v>
      </c>
      <c r="G88" s="91">
        <v>62.4</v>
      </c>
      <c r="H88" s="91" t="s">
        <v>1671</v>
      </c>
      <c r="I88" s="91">
        <v>2008114</v>
      </c>
      <c r="J88" s="87" t="s">
        <v>199</v>
      </c>
      <c r="K88" s="91" t="s">
        <v>1051</v>
      </c>
      <c r="L88" s="87" t="s">
        <v>201</v>
      </c>
    </row>
    <row r="89" spans="1:12" x14ac:dyDescent="0.25">
      <c r="A89" s="90">
        <v>39615</v>
      </c>
      <c r="B89" s="87" t="s">
        <v>1107</v>
      </c>
      <c r="C89" s="87" t="s">
        <v>197</v>
      </c>
      <c r="D89" s="87">
        <v>50</v>
      </c>
      <c r="E89" s="87">
        <v>108.75</v>
      </c>
      <c r="F89" s="88">
        <v>5437.5</v>
      </c>
      <c r="G89" s="91">
        <v>52.62</v>
      </c>
      <c r="H89" s="91" t="s">
        <v>1672</v>
      </c>
      <c r="I89" s="91">
        <v>2008113</v>
      </c>
      <c r="J89" s="87" t="s">
        <v>199</v>
      </c>
      <c r="K89" s="91" t="s">
        <v>1051</v>
      </c>
      <c r="L89" s="87" t="s">
        <v>201</v>
      </c>
    </row>
    <row r="90" spans="1:12" x14ac:dyDescent="0.25">
      <c r="A90" s="90">
        <v>39615</v>
      </c>
      <c r="B90" s="87" t="s">
        <v>1107</v>
      </c>
      <c r="C90" s="87" t="s">
        <v>197</v>
      </c>
      <c r="D90" s="87">
        <v>50</v>
      </c>
      <c r="E90" s="87">
        <v>108.75</v>
      </c>
      <c r="F90" s="88">
        <v>5437.5</v>
      </c>
      <c r="G90" s="91">
        <v>52.62</v>
      </c>
      <c r="H90" s="91" t="s">
        <v>1673</v>
      </c>
      <c r="I90" s="91">
        <v>2008113</v>
      </c>
      <c r="J90" s="87" t="s">
        <v>199</v>
      </c>
      <c r="K90" s="91" t="s">
        <v>1051</v>
      </c>
      <c r="L90" s="87" t="s">
        <v>201</v>
      </c>
    </row>
    <row r="91" spans="1:12" x14ac:dyDescent="0.25">
      <c r="A91" s="90">
        <v>39612</v>
      </c>
      <c r="B91" s="87" t="s">
        <v>1553</v>
      </c>
      <c r="C91" s="87" t="s">
        <v>197</v>
      </c>
      <c r="D91" s="87">
        <v>25</v>
      </c>
      <c r="E91" s="87">
        <v>230</v>
      </c>
      <c r="F91" s="88">
        <v>5750</v>
      </c>
      <c r="G91" s="91">
        <v>55.65</v>
      </c>
      <c r="H91" s="91" t="s">
        <v>1674</v>
      </c>
      <c r="I91" s="91">
        <v>200809052</v>
      </c>
      <c r="J91" s="87" t="s">
        <v>199</v>
      </c>
      <c r="K91" s="91" t="s">
        <v>1051</v>
      </c>
      <c r="L91" s="87" t="s">
        <v>204</v>
      </c>
    </row>
    <row r="92" spans="1:12" x14ac:dyDescent="0.25">
      <c r="A92" s="90">
        <v>39612</v>
      </c>
      <c r="B92" s="87" t="s">
        <v>1675</v>
      </c>
      <c r="C92" s="87" t="s">
        <v>197</v>
      </c>
      <c r="D92" s="87">
        <v>200</v>
      </c>
      <c r="E92" s="87">
        <v>16.7</v>
      </c>
      <c r="F92" s="88">
        <v>3340</v>
      </c>
      <c r="G92" s="91">
        <v>32.340000000000003</v>
      </c>
      <c r="H92" s="91" t="s">
        <v>1676</v>
      </c>
      <c r="I92" s="91">
        <v>200809052</v>
      </c>
      <c r="J92" s="87" t="s">
        <v>199</v>
      </c>
      <c r="K92" s="91" t="s">
        <v>1051</v>
      </c>
      <c r="L92" s="87" t="s">
        <v>204</v>
      </c>
    </row>
    <row r="93" spans="1:12" x14ac:dyDescent="0.25">
      <c r="A93" s="90">
        <v>39612</v>
      </c>
      <c r="B93" s="87" t="s">
        <v>1677</v>
      </c>
      <c r="C93" s="87" t="s">
        <v>197</v>
      </c>
      <c r="D93" s="87">
        <v>75</v>
      </c>
      <c r="E93" s="87">
        <v>49.5</v>
      </c>
      <c r="F93" s="88">
        <v>3712.5</v>
      </c>
      <c r="G93" s="91">
        <v>35.93</v>
      </c>
      <c r="H93" s="91" t="s">
        <v>1678</v>
      </c>
      <c r="I93" s="91">
        <v>200809052</v>
      </c>
      <c r="J93" s="87" t="s">
        <v>199</v>
      </c>
      <c r="K93" s="91" t="s">
        <v>1051</v>
      </c>
      <c r="L93" s="87" t="s">
        <v>204</v>
      </c>
    </row>
    <row r="94" spans="1:12" x14ac:dyDescent="0.25">
      <c r="A94" s="90">
        <v>39612</v>
      </c>
      <c r="B94" s="87" t="s">
        <v>1526</v>
      </c>
      <c r="C94" s="87" t="s">
        <v>197</v>
      </c>
      <c r="D94" s="87">
        <v>50</v>
      </c>
      <c r="E94" s="87">
        <v>182.6</v>
      </c>
      <c r="F94" s="88">
        <v>9130</v>
      </c>
      <c r="G94" s="91">
        <v>88.35</v>
      </c>
      <c r="H94" s="91" t="s">
        <v>1679</v>
      </c>
      <c r="I94" s="91">
        <v>2008112</v>
      </c>
      <c r="J94" s="87" t="s">
        <v>199</v>
      </c>
      <c r="K94" s="91" t="s">
        <v>1051</v>
      </c>
      <c r="L94" s="87" t="s">
        <v>201</v>
      </c>
    </row>
    <row r="95" spans="1:12" x14ac:dyDescent="0.25">
      <c r="A95" s="90">
        <v>39612</v>
      </c>
      <c r="B95" s="87" t="s">
        <v>1074</v>
      </c>
      <c r="C95" s="87" t="s">
        <v>197</v>
      </c>
      <c r="D95" s="87">
        <v>75</v>
      </c>
      <c r="E95" s="87">
        <v>94.05</v>
      </c>
      <c r="F95" s="88">
        <v>7053.75</v>
      </c>
      <c r="G95" s="91">
        <v>68.260000000000005</v>
      </c>
      <c r="H95" s="91" t="s">
        <v>1680</v>
      </c>
      <c r="I95" s="91">
        <v>2008112</v>
      </c>
      <c r="J95" s="87" t="s">
        <v>199</v>
      </c>
      <c r="K95" s="91" t="s">
        <v>1051</v>
      </c>
      <c r="L95" s="87" t="s">
        <v>201</v>
      </c>
    </row>
    <row r="96" spans="1:12" x14ac:dyDescent="0.25">
      <c r="A96" s="90">
        <v>39612</v>
      </c>
      <c r="B96" s="87" t="s">
        <v>1681</v>
      </c>
      <c r="C96" s="87" t="s">
        <v>197</v>
      </c>
      <c r="D96" s="87">
        <v>50</v>
      </c>
      <c r="E96" s="87">
        <v>73.05</v>
      </c>
      <c r="F96" s="88">
        <v>3652.25</v>
      </c>
      <c r="G96" s="91">
        <v>35.35</v>
      </c>
      <c r="H96" s="91" t="s">
        <v>1682</v>
      </c>
      <c r="I96" s="91">
        <v>2008112</v>
      </c>
      <c r="J96" s="87" t="s">
        <v>199</v>
      </c>
      <c r="K96" s="91" t="s">
        <v>1051</v>
      </c>
      <c r="L96" s="87" t="s">
        <v>201</v>
      </c>
    </row>
    <row r="97" spans="1:12" x14ac:dyDescent="0.25">
      <c r="A97" s="90">
        <v>39603</v>
      </c>
      <c r="B97" s="87" t="s">
        <v>1683</v>
      </c>
      <c r="C97" s="87" t="s">
        <v>197</v>
      </c>
      <c r="D97" s="87">
        <v>95</v>
      </c>
      <c r="E97" s="87">
        <v>67</v>
      </c>
      <c r="F97" s="88">
        <v>6365</v>
      </c>
      <c r="G97" s="91">
        <v>61.6</v>
      </c>
      <c r="H97" s="91" t="s">
        <v>1684</v>
      </c>
      <c r="I97" s="91">
        <v>200809045</v>
      </c>
      <c r="J97" s="87" t="s">
        <v>307</v>
      </c>
      <c r="K97" s="91" t="s">
        <v>1051</v>
      </c>
      <c r="L97" s="87" t="s">
        <v>204</v>
      </c>
    </row>
    <row r="98" spans="1:12" x14ac:dyDescent="0.25">
      <c r="A98" s="90">
        <v>39603</v>
      </c>
      <c r="B98" s="87" t="s">
        <v>1660</v>
      </c>
      <c r="C98" s="87" t="s">
        <v>197</v>
      </c>
      <c r="D98" s="87">
        <v>30</v>
      </c>
      <c r="E98" s="87">
        <v>237</v>
      </c>
      <c r="F98" s="88">
        <v>7110</v>
      </c>
      <c r="G98" s="91">
        <v>68.81</v>
      </c>
      <c r="H98" s="91" t="s">
        <v>1685</v>
      </c>
      <c r="I98" s="91">
        <v>2008105</v>
      </c>
      <c r="J98" s="87" t="s">
        <v>199</v>
      </c>
      <c r="K98" s="91" t="s">
        <v>1051</v>
      </c>
      <c r="L98" s="87" t="s">
        <v>201</v>
      </c>
    </row>
    <row r="99" spans="1:12" x14ac:dyDescent="0.25">
      <c r="A99" s="90">
        <v>39602</v>
      </c>
      <c r="B99" s="87" t="s">
        <v>1686</v>
      </c>
      <c r="C99" s="87" t="s">
        <v>197</v>
      </c>
      <c r="D99" s="87">
        <v>65</v>
      </c>
      <c r="E99" s="87">
        <v>47.3</v>
      </c>
      <c r="F99" s="88">
        <v>3074.5</v>
      </c>
      <c r="G99" s="91">
        <v>31.93</v>
      </c>
      <c r="H99" s="91" t="s">
        <v>1687</v>
      </c>
      <c r="I99" s="91">
        <v>2008104</v>
      </c>
      <c r="J99" s="87" t="s">
        <v>199</v>
      </c>
      <c r="K99" s="91" t="s">
        <v>1051</v>
      </c>
      <c r="L99" s="87" t="s">
        <v>201</v>
      </c>
    </row>
    <row r="100" spans="1:12" x14ac:dyDescent="0.25">
      <c r="A100" s="90">
        <v>39597</v>
      </c>
      <c r="B100" s="87" t="s">
        <v>1686</v>
      </c>
      <c r="C100" s="87" t="s">
        <v>197</v>
      </c>
      <c r="D100" s="87">
        <v>110</v>
      </c>
      <c r="E100" s="87">
        <v>50.75</v>
      </c>
      <c r="F100" s="88">
        <v>5582.5</v>
      </c>
      <c r="G100" s="91">
        <v>54.02</v>
      </c>
      <c r="H100" s="91" t="s">
        <v>1688</v>
      </c>
      <c r="I100" s="91">
        <v>2008101</v>
      </c>
      <c r="J100" s="87" t="s">
        <v>199</v>
      </c>
      <c r="K100" s="91" t="s">
        <v>1051</v>
      </c>
      <c r="L100" s="87" t="s">
        <v>201</v>
      </c>
    </row>
    <row r="101" spans="1:12" x14ac:dyDescent="0.25">
      <c r="A101" s="90">
        <v>39596</v>
      </c>
      <c r="B101" s="87" t="s">
        <v>1683</v>
      </c>
      <c r="C101" s="87" t="s">
        <v>197</v>
      </c>
      <c r="D101" s="87">
        <v>100</v>
      </c>
      <c r="E101" s="87">
        <v>66.95</v>
      </c>
      <c r="F101" s="88">
        <v>6695</v>
      </c>
      <c r="G101" s="91">
        <v>64.790000000000006</v>
      </c>
      <c r="H101" s="91" t="s">
        <v>1696</v>
      </c>
      <c r="I101" s="91">
        <v>200809040</v>
      </c>
      <c r="J101" s="87" t="s">
        <v>307</v>
      </c>
      <c r="K101" s="91" t="s">
        <v>1051</v>
      </c>
      <c r="L101" s="87" t="s">
        <v>204</v>
      </c>
    </row>
    <row r="102" spans="1:12" x14ac:dyDescent="0.25">
      <c r="A102" s="90">
        <v>39588</v>
      </c>
      <c r="B102" s="87" t="s">
        <v>1697</v>
      </c>
      <c r="C102" s="87" t="s">
        <v>197</v>
      </c>
      <c r="D102" s="87">
        <v>6</v>
      </c>
      <c r="E102" s="87">
        <v>818.5</v>
      </c>
      <c r="F102" s="88">
        <v>4911</v>
      </c>
      <c r="G102" s="91">
        <v>47.53</v>
      </c>
      <c r="H102" s="91" t="s">
        <v>1698</v>
      </c>
      <c r="I102" s="91">
        <v>2008094</v>
      </c>
      <c r="J102" s="87" t="s">
        <v>199</v>
      </c>
      <c r="K102" s="91" t="s">
        <v>1051</v>
      </c>
      <c r="L102" s="87" t="s">
        <v>201</v>
      </c>
    </row>
    <row r="103" spans="1:12" x14ac:dyDescent="0.25">
      <c r="A103" s="90">
        <v>39588</v>
      </c>
      <c r="B103" s="87" t="s">
        <v>1107</v>
      </c>
      <c r="C103" s="87" t="s">
        <v>197</v>
      </c>
      <c r="D103" s="87">
        <v>50</v>
      </c>
      <c r="E103" s="87">
        <v>110.25</v>
      </c>
      <c r="F103" s="88">
        <v>5512.5</v>
      </c>
      <c r="G103" s="91">
        <v>53.35</v>
      </c>
      <c r="H103" s="91" t="s">
        <v>1699</v>
      </c>
      <c r="I103" s="91">
        <v>2008094</v>
      </c>
      <c r="J103" s="87" t="s">
        <v>199</v>
      </c>
      <c r="K103" s="91" t="s">
        <v>1051</v>
      </c>
      <c r="L103" s="87" t="s">
        <v>201</v>
      </c>
    </row>
    <row r="104" spans="1:12" x14ac:dyDescent="0.25">
      <c r="A104" s="90">
        <v>39588</v>
      </c>
      <c r="B104" s="87" t="s">
        <v>1553</v>
      </c>
      <c r="C104" s="87" t="s">
        <v>197</v>
      </c>
      <c r="D104" s="87">
        <v>30</v>
      </c>
      <c r="E104" s="87">
        <v>247</v>
      </c>
      <c r="F104" s="88">
        <v>7410</v>
      </c>
      <c r="G104" s="91">
        <v>71.709999999999994</v>
      </c>
      <c r="H104" s="91" t="s">
        <v>1700</v>
      </c>
      <c r="I104" s="91">
        <v>2008094</v>
      </c>
      <c r="J104" s="87" t="s">
        <v>199</v>
      </c>
      <c r="K104" s="91" t="s">
        <v>1051</v>
      </c>
      <c r="L104" s="87" t="s">
        <v>201</v>
      </c>
    </row>
    <row r="105" spans="1:12" x14ac:dyDescent="0.25">
      <c r="A105" s="90">
        <v>39588</v>
      </c>
      <c r="B105" s="87" t="s">
        <v>1553</v>
      </c>
      <c r="C105" s="87" t="s">
        <v>197</v>
      </c>
      <c r="D105" s="87">
        <v>20</v>
      </c>
      <c r="E105" s="87">
        <v>246.85</v>
      </c>
      <c r="F105" s="88">
        <v>4937</v>
      </c>
      <c r="G105" s="91">
        <v>47.77</v>
      </c>
      <c r="H105" s="91" t="s">
        <v>1701</v>
      </c>
      <c r="I105" s="91">
        <v>2008094</v>
      </c>
      <c r="J105" s="87" t="s">
        <v>199</v>
      </c>
      <c r="K105" s="91" t="s">
        <v>1051</v>
      </c>
      <c r="L105" s="87" t="s">
        <v>201</v>
      </c>
    </row>
    <row r="106" spans="1:12" x14ac:dyDescent="0.25">
      <c r="A106" s="90">
        <v>39581</v>
      </c>
      <c r="B106" s="87" t="s">
        <v>1702</v>
      </c>
      <c r="C106" s="87" t="s">
        <v>197</v>
      </c>
      <c r="D106" s="87">
        <v>30</v>
      </c>
      <c r="E106" s="87">
        <v>181.55</v>
      </c>
      <c r="F106" s="88">
        <v>5446.5</v>
      </c>
      <c r="G106" s="91">
        <v>52.71</v>
      </c>
      <c r="H106" s="91" t="s">
        <v>1703</v>
      </c>
      <c r="I106" s="91">
        <v>2008090</v>
      </c>
      <c r="J106" s="87" t="s">
        <v>199</v>
      </c>
      <c r="K106" s="91" t="s">
        <v>1051</v>
      </c>
      <c r="L106" s="87" t="s">
        <v>201</v>
      </c>
    </row>
    <row r="107" spans="1:12" x14ac:dyDescent="0.25">
      <c r="A107" s="90">
        <v>39581</v>
      </c>
      <c r="B107" s="87" t="s">
        <v>1702</v>
      </c>
      <c r="C107" s="87" t="s">
        <v>197</v>
      </c>
      <c r="D107" s="87">
        <v>40</v>
      </c>
      <c r="E107" s="87">
        <v>182.55</v>
      </c>
      <c r="F107" s="88">
        <v>7302</v>
      </c>
      <c r="G107" s="91">
        <v>70.67</v>
      </c>
      <c r="H107" s="91" t="s">
        <v>1704</v>
      </c>
      <c r="I107" s="91">
        <v>2008090</v>
      </c>
      <c r="J107" s="87" t="s">
        <v>199</v>
      </c>
      <c r="K107" s="91" t="s">
        <v>1051</v>
      </c>
      <c r="L107" s="87" t="s">
        <v>201</v>
      </c>
    </row>
    <row r="108" spans="1:12" x14ac:dyDescent="0.25">
      <c r="A108" s="90">
        <v>39580</v>
      </c>
      <c r="B108" s="87" t="s">
        <v>1107</v>
      </c>
      <c r="C108" s="87" t="s">
        <v>197</v>
      </c>
      <c r="D108" s="87">
        <v>50</v>
      </c>
      <c r="E108" s="87">
        <v>102.75</v>
      </c>
      <c r="F108" s="88">
        <v>5137.5</v>
      </c>
      <c r="G108" s="91">
        <v>49.71</v>
      </c>
      <c r="H108" s="91" t="s">
        <v>1705</v>
      </c>
      <c r="I108" s="91">
        <v>2008089</v>
      </c>
      <c r="J108" s="87" t="s">
        <v>199</v>
      </c>
      <c r="K108" s="91" t="s">
        <v>1051</v>
      </c>
      <c r="L108" s="87" t="s">
        <v>201</v>
      </c>
    </row>
    <row r="109" spans="1:12" x14ac:dyDescent="0.25">
      <c r="A109" s="90">
        <v>39580</v>
      </c>
      <c r="B109" s="87" t="s">
        <v>1697</v>
      </c>
      <c r="C109" s="87" t="s">
        <v>197</v>
      </c>
      <c r="D109" s="87">
        <v>7</v>
      </c>
      <c r="E109" s="87">
        <v>824.85</v>
      </c>
      <c r="F109" s="88">
        <v>5773.95</v>
      </c>
      <c r="G109" s="91">
        <v>55.88</v>
      </c>
      <c r="H109" s="91" t="s">
        <v>1706</v>
      </c>
      <c r="I109" s="91">
        <v>2008089</v>
      </c>
      <c r="J109" s="87" t="s">
        <v>199</v>
      </c>
      <c r="K109" s="91" t="s">
        <v>1051</v>
      </c>
      <c r="L109" s="87" t="s">
        <v>201</v>
      </c>
    </row>
    <row r="110" spans="1:12" x14ac:dyDescent="0.25">
      <c r="A110" s="90">
        <v>39580</v>
      </c>
      <c r="B110" s="87" t="s">
        <v>1697</v>
      </c>
      <c r="C110" s="87" t="s">
        <v>197</v>
      </c>
      <c r="D110" s="87">
        <v>7</v>
      </c>
      <c r="E110" s="87">
        <v>825.5</v>
      </c>
      <c r="F110" s="88">
        <v>5778.5</v>
      </c>
      <c r="G110" s="91">
        <v>55.92</v>
      </c>
      <c r="H110" s="91" t="s">
        <v>1707</v>
      </c>
      <c r="I110" s="91">
        <v>2008089</v>
      </c>
      <c r="J110" s="87" t="s">
        <v>199</v>
      </c>
      <c r="K110" s="91" t="s">
        <v>1051</v>
      </c>
      <c r="L110" s="87" t="s">
        <v>201</v>
      </c>
    </row>
    <row r="111" spans="1:12" x14ac:dyDescent="0.25">
      <c r="A111" s="90">
        <v>39580</v>
      </c>
      <c r="B111" s="87" t="s">
        <v>1708</v>
      </c>
      <c r="C111" s="87" t="s">
        <v>197</v>
      </c>
      <c r="D111" s="87">
        <v>200</v>
      </c>
      <c r="E111" s="87">
        <v>29.23</v>
      </c>
      <c r="F111" s="88">
        <v>5845</v>
      </c>
      <c r="G111" s="91">
        <v>56.57</v>
      </c>
      <c r="H111" s="91" t="s">
        <v>1709</v>
      </c>
      <c r="I111" s="91">
        <v>2008089</v>
      </c>
      <c r="J111" s="87" t="s">
        <v>199</v>
      </c>
      <c r="K111" s="91" t="s">
        <v>1051</v>
      </c>
      <c r="L111" s="87" t="s">
        <v>201</v>
      </c>
    </row>
    <row r="112" spans="1:12" x14ac:dyDescent="0.25">
      <c r="A112" s="90">
        <v>39577</v>
      </c>
      <c r="B112" s="87" t="s">
        <v>1107</v>
      </c>
      <c r="C112" s="87" t="s">
        <v>197</v>
      </c>
      <c r="D112" s="87">
        <v>50</v>
      </c>
      <c r="E112" s="87">
        <v>104.65</v>
      </c>
      <c r="F112" s="88">
        <v>5232.5</v>
      </c>
      <c r="G112" s="91">
        <v>50.64</v>
      </c>
      <c r="H112" s="91" t="s">
        <v>1710</v>
      </c>
      <c r="I112" s="91">
        <v>200809028</v>
      </c>
      <c r="J112" s="87" t="s">
        <v>199</v>
      </c>
      <c r="K112" s="91" t="s">
        <v>1051</v>
      </c>
      <c r="L112" s="87" t="s">
        <v>204</v>
      </c>
    </row>
    <row r="113" spans="1:12" x14ac:dyDescent="0.25">
      <c r="A113" s="90">
        <v>39577</v>
      </c>
      <c r="B113" s="87" t="s">
        <v>1702</v>
      </c>
      <c r="C113" s="87" t="s">
        <v>197</v>
      </c>
      <c r="D113" s="87">
        <v>30</v>
      </c>
      <c r="E113" s="87">
        <v>193.3</v>
      </c>
      <c r="F113" s="88">
        <v>5799</v>
      </c>
      <c r="G113" s="91">
        <v>56.12</v>
      </c>
      <c r="H113" s="91" t="s">
        <v>1711</v>
      </c>
      <c r="I113" s="91">
        <v>2008088</v>
      </c>
      <c r="J113" s="87" t="s">
        <v>199</v>
      </c>
      <c r="K113" s="91" t="s">
        <v>1051</v>
      </c>
      <c r="L113" s="87" t="s">
        <v>201</v>
      </c>
    </row>
    <row r="114" spans="1:12" x14ac:dyDescent="0.25">
      <c r="A114" s="90">
        <v>39574</v>
      </c>
      <c r="B114" s="87" t="s">
        <v>1712</v>
      </c>
      <c r="C114" s="87" t="s">
        <v>197</v>
      </c>
      <c r="D114" s="87">
        <v>4</v>
      </c>
      <c r="E114" s="87">
        <v>599.9</v>
      </c>
      <c r="F114" s="88">
        <v>2399.6</v>
      </c>
      <c r="G114" s="91">
        <v>31.09</v>
      </c>
      <c r="H114" s="91" t="s">
        <v>1713</v>
      </c>
      <c r="I114" s="91">
        <v>2008085</v>
      </c>
      <c r="J114" s="87" t="s">
        <v>199</v>
      </c>
      <c r="K114" s="91" t="s">
        <v>1051</v>
      </c>
      <c r="L114" s="87" t="s">
        <v>201</v>
      </c>
    </row>
    <row r="115" spans="1:12" x14ac:dyDescent="0.25">
      <c r="A115" s="90">
        <v>39573</v>
      </c>
      <c r="B115" s="87" t="s">
        <v>1708</v>
      </c>
      <c r="C115" s="87" t="s">
        <v>197</v>
      </c>
      <c r="D115" s="87">
        <v>200</v>
      </c>
      <c r="E115" s="87">
        <v>31.3</v>
      </c>
      <c r="F115" s="88">
        <v>6260</v>
      </c>
      <c r="G115" s="91">
        <v>60.59</v>
      </c>
      <c r="H115" s="91" t="s">
        <v>1724</v>
      </c>
      <c r="I115" s="91">
        <v>200809024</v>
      </c>
      <c r="J115" s="87" t="s">
        <v>199</v>
      </c>
      <c r="K115" s="91" t="s">
        <v>1051</v>
      </c>
      <c r="L115" s="87" t="s">
        <v>204</v>
      </c>
    </row>
    <row r="116" spans="1:12" x14ac:dyDescent="0.25">
      <c r="A116" s="90">
        <v>39563</v>
      </c>
      <c r="B116" s="87" t="s">
        <v>1712</v>
      </c>
      <c r="C116" s="87" t="s">
        <v>197</v>
      </c>
      <c r="D116" s="87">
        <v>14</v>
      </c>
      <c r="E116" s="87">
        <v>600.54999999999995</v>
      </c>
      <c r="F116" s="88">
        <v>8407.7000000000007</v>
      </c>
      <c r="G116" s="91">
        <v>81.36</v>
      </c>
      <c r="H116" s="91" t="s">
        <v>1725</v>
      </c>
      <c r="I116" s="91">
        <v>200809019</v>
      </c>
      <c r="J116" s="87" t="s">
        <v>199</v>
      </c>
      <c r="K116" s="91" t="s">
        <v>1051</v>
      </c>
      <c r="L116" s="87" t="s">
        <v>204</v>
      </c>
    </row>
    <row r="117" spans="1:12" x14ac:dyDescent="0.25">
      <c r="A117" s="90">
        <v>39563</v>
      </c>
      <c r="B117" s="87" t="s">
        <v>1712</v>
      </c>
      <c r="C117" s="87" t="s">
        <v>197</v>
      </c>
      <c r="D117" s="87">
        <v>16</v>
      </c>
      <c r="E117" s="87">
        <v>599.85</v>
      </c>
      <c r="F117" s="88">
        <v>9597.6</v>
      </c>
      <c r="G117" s="91">
        <v>92.88</v>
      </c>
      <c r="H117" s="91" t="s">
        <v>1726</v>
      </c>
      <c r="I117" s="91">
        <v>2008079</v>
      </c>
      <c r="J117" s="87" t="s">
        <v>199</v>
      </c>
      <c r="K117" s="91" t="s">
        <v>1051</v>
      </c>
      <c r="L117" s="87" t="s">
        <v>201</v>
      </c>
    </row>
    <row r="118" spans="1:12" x14ac:dyDescent="0.25">
      <c r="A118" s="90">
        <v>39563</v>
      </c>
      <c r="B118" s="87" t="s">
        <v>1712</v>
      </c>
      <c r="C118" s="87" t="s">
        <v>197</v>
      </c>
      <c r="D118" s="87">
        <v>1</v>
      </c>
      <c r="E118" s="87">
        <v>599.20000000000005</v>
      </c>
      <c r="F118" s="87">
        <v>599.20000000000005</v>
      </c>
      <c r="G118" s="91">
        <v>17.579999999999998</v>
      </c>
      <c r="H118" s="91" t="s">
        <v>1727</v>
      </c>
      <c r="I118" s="91">
        <v>2008079</v>
      </c>
      <c r="J118" s="87" t="s">
        <v>199</v>
      </c>
      <c r="K118" s="91" t="s">
        <v>1051</v>
      </c>
      <c r="L118" s="87" t="s">
        <v>201</v>
      </c>
    </row>
    <row r="119" spans="1:12" x14ac:dyDescent="0.25">
      <c r="A119" s="90">
        <v>39560</v>
      </c>
      <c r="B119" s="87" t="s">
        <v>1170</v>
      </c>
      <c r="C119" s="87" t="s">
        <v>197</v>
      </c>
      <c r="D119" s="87">
        <v>85</v>
      </c>
      <c r="E119" s="87">
        <v>48.25</v>
      </c>
      <c r="F119" s="88">
        <v>4101.25</v>
      </c>
      <c r="G119" s="91">
        <v>39.69</v>
      </c>
      <c r="H119" s="91" t="s">
        <v>1728</v>
      </c>
      <c r="I119" s="91">
        <v>2008076</v>
      </c>
      <c r="J119" s="87" t="s">
        <v>199</v>
      </c>
      <c r="K119" s="91" t="s">
        <v>1051</v>
      </c>
      <c r="L119" s="87" t="s">
        <v>201</v>
      </c>
    </row>
    <row r="120" spans="1:12" x14ac:dyDescent="0.25">
      <c r="A120" s="90">
        <v>39554</v>
      </c>
      <c r="B120" s="87" t="s">
        <v>1683</v>
      </c>
      <c r="C120" s="87" t="s">
        <v>197</v>
      </c>
      <c r="D120" s="87">
        <v>100</v>
      </c>
      <c r="E120" s="87">
        <v>46</v>
      </c>
      <c r="F120" s="88">
        <v>4600</v>
      </c>
      <c r="G120" s="91">
        <v>44.51</v>
      </c>
      <c r="H120" s="91" t="s">
        <v>1729</v>
      </c>
      <c r="I120" s="91">
        <v>200809013</v>
      </c>
      <c r="J120" s="87" t="s">
        <v>307</v>
      </c>
      <c r="K120" s="91" t="s">
        <v>1051</v>
      </c>
      <c r="L120" s="87" t="s">
        <v>204</v>
      </c>
    </row>
    <row r="121" spans="1:12" x14ac:dyDescent="0.25">
      <c r="A121" s="90">
        <v>39554</v>
      </c>
      <c r="B121" s="87" t="s">
        <v>1683</v>
      </c>
      <c r="C121" s="87" t="s">
        <v>197</v>
      </c>
      <c r="D121" s="87">
        <v>90</v>
      </c>
      <c r="E121" s="87">
        <v>48</v>
      </c>
      <c r="F121" s="88">
        <v>4320</v>
      </c>
      <c r="G121" s="91">
        <v>41.81</v>
      </c>
      <c r="H121" s="91" t="s">
        <v>1730</v>
      </c>
      <c r="I121" s="91">
        <v>200809013</v>
      </c>
      <c r="J121" s="87" t="s">
        <v>307</v>
      </c>
      <c r="K121" s="91" t="s">
        <v>1051</v>
      </c>
      <c r="L121" s="87" t="s">
        <v>204</v>
      </c>
    </row>
    <row r="122" spans="1:12" x14ac:dyDescent="0.25">
      <c r="A122" s="90">
        <v>39553</v>
      </c>
      <c r="B122" s="87" t="s">
        <v>1731</v>
      </c>
      <c r="C122" s="87" t="s">
        <v>197</v>
      </c>
      <c r="D122" s="87">
        <v>20</v>
      </c>
      <c r="E122" s="87">
        <v>204</v>
      </c>
      <c r="F122" s="88">
        <v>4080</v>
      </c>
      <c r="G122" s="91">
        <v>39.479999999999997</v>
      </c>
      <c r="H122" s="91" t="s">
        <v>1732</v>
      </c>
      <c r="I122" s="91">
        <v>200809012</v>
      </c>
      <c r="J122" s="87" t="s">
        <v>199</v>
      </c>
      <c r="K122" s="91" t="s">
        <v>1051</v>
      </c>
      <c r="L122" s="87" t="s">
        <v>204</v>
      </c>
    </row>
    <row r="123" spans="1:12" x14ac:dyDescent="0.25">
      <c r="A123" s="90">
        <v>39553</v>
      </c>
      <c r="B123" s="87" t="s">
        <v>1170</v>
      </c>
      <c r="C123" s="87" t="s">
        <v>197</v>
      </c>
      <c r="D123" s="87">
        <v>100</v>
      </c>
      <c r="E123" s="87">
        <v>44.35</v>
      </c>
      <c r="F123" s="88">
        <v>4435</v>
      </c>
      <c r="G123" s="91">
        <v>42.91</v>
      </c>
      <c r="H123" s="91" t="s">
        <v>1733</v>
      </c>
      <c r="I123" s="91">
        <v>2008072</v>
      </c>
      <c r="J123" s="87" t="s">
        <v>199</v>
      </c>
      <c r="K123" s="91" t="s">
        <v>1051</v>
      </c>
      <c r="L123" s="87" t="s">
        <v>201</v>
      </c>
    </row>
    <row r="124" spans="1:12" x14ac:dyDescent="0.25">
      <c r="A124" s="90">
        <v>39549</v>
      </c>
      <c r="B124" s="87" t="s">
        <v>1734</v>
      </c>
      <c r="C124" s="87" t="s">
        <v>197</v>
      </c>
      <c r="D124" s="87">
        <v>25</v>
      </c>
      <c r="E124" s="88">
        <v>1822</v>
      </c>
      <c r="F124" s="88">
        <v>45550</v>
      </c>
      <c r="G124" s="91">
        <v>25.59</v>
      </c>
      <c r="H124" s="91" t="s">
        <v>1735</v>
      </c>
      <c r="I124" s="91">
        <v>2008071</v>
      </c>
      <c r="J124" s="87" t="s">
        <v>199</v>
      </c>
      <c r="K124" s="87" t="s">
        <v>1098</v>
      </c>
      <c r="L124" s="87" t="s">
        <v>201</v>
      </c>
    </row>
    <row r="125" spans="1:12" x14ac:dyDescent="0.25">
      <c r="A125" s="90">
        <v>39549</v>
      </c>
      <c r="B125" s="87" t="s">
        <v>1734</v>
      </c>
      <c r="C125" s="87" t="s">
        <v>197</v>
      </c>
      <c r="D125" s="87">
        <v>50</v>
      </c>
      <c r="E125" s="88">
        <v>1830.8</v>
      </c>
      <c r="F125" s="88">
        <v>91540</v>
      </c>
      <c r="G125" s="91">
        <v>51.43</v>
      </c>
      <c r="H125" s="91" t="s">
        <v>1736</v>
      </c>
      <c r="I125" s="91">
        <v>2008071</v>
      </c>
      <c r="J125" s="87" t="s">
        <v>199</v>
      </c>
      <c r="K125" s="87" t="s">
        <v>1098</v>
      </c>
      <c r="L125" s="87" t="s">
        <v>201</v>
      </c>
    </row>
    <row r="126" spans="1:12" x14ac:dyDescent="0.25">
      <c r="A126" s="90">
        <v>39549</v>
      </c>
      <c r="B126" s="87" t="s">
        <v>1734</v>
      </c>
      <c r="C126" s="87" t="s">
        <v>197</v>
      </c>
      <c r="D126" s="87">
        <v>50</v>
      </c>
      <c r="E126" s="88">
        <v>1841</v>
      </c>
      <c r="F126" s="88">
        <v>92050</v>
      </c>
      <c r="G126" s="91">
        <v>51.69</v>
      </c>
      <c r="H126" s="91" t="s">
        <v>1737</v>
      </c>
      <c r="I126" s="91">
        <v>2008071</v>
      </c>
      <c r="J126" s="87" t="s">
        <v>199</v>
      </c>
      <c r="K126" s="87" t="s">
        <v>1098</v>
      </c>
      <c r="L126" s="87" t="s">
        <v>201</v>
      </c>
    </row>
    <row r="127" spans="1:12" x14ac:dyDescent="0.25">
      <c r="A127" s="90">
        <v>39549</v>
      </c>
      <c r="B127" s="87" t="s">
        <v>1734</v>
      </c>
      <c r="C127" s="87" t="s">
        <v>197</v>
      </c>
      <c r="D127" s="87">
        <v>50</v>
      </c>
      <c r="E127" s="88">
        <v>1841</v>
      </c>
      <c r="F127" s="88">
        <v>92050</v>
      </c>
      <c r="G127" s="91">
        <v>51.71</v>
      </c>
      <c r="H127" s="91" t="s">
        <v>1738</v>
      </c>
      <c r="I127" s="91">
        <v>2008071</v>
      </c>
      <c r="J127" s="87" t="s">
        <v>199</v>
      </c>
      <c r="K127" s="87" t="s">
        <v>1098</v>
      </c>
      <c r="L127" s="87" t="s">
        <v>201</v>
      </c>
    </row>
    <row r="128" spans="1:12" x14ac:dyDescent="0.25">
      <c r="A128" s="90">
        <v>39549</v>
      </c>
      <c r="B128" s="87" t="s">
        <v>1734</v>
      </c>
      <c r="C128" s="87" t="s">
        <v>197</v>
      </c>
      <c r="D128" s="87">
        <v>50</v>
      </c>
      <c r="E128" s="88">
        <v>1841</v>
      </c>
      <c r="F128" s="88">
        <v>92050</v>
      </c>
      <c r="G128" s="91">
        <v>51.7</v>
      </c>
      <c r="H128" s="91" t="s">
        <v>1739</v>
      </c>
      <c r="I128" s="91">
        <v>2008071</v>
      </c>
      <c r="J128" s="87" t="s">
        <v>199</v>
      </c>
      <c r="K128" s="87" t="s">
        <v>1098</v>
      </c>
      <c r="L128" s="87" t="s">
        <v>201</v>
      </c>
    </row>
    <row r="129" spans="1:12" x14ac:dyDescent="0.25">
      <c r="A129" s="90">
        <v>39546</v>
      </c>
      <c r="B129" s="87" t="s">
        <v>1549</v>
      </c>
      <c r="C129" s="87" t="s">
        <v>197</v>
      </c>
      <c r="D129" s="87">
        <v>3</v>
      </c>
      <c r="E129" s="88">
        <v>2630</v>
      </c>
      <c r="F129" s="88">
        <v>7890</v>
      </c>
      <c r="G129" s="91">
        <v>76.349999999999994</v>
      </c>
      <c r="H129" s="91" t="s">
        <v>1740</v>
      </c>
      <c r="I129" s="91">
        <v>2008068</v>
      </c>
      <c r="J129" s="87" t="s">
        <v>199</v>
      </c>
      <c r="K129" s="91" t="s">
        <v>1051</v>
      </c>
      <c r="L129" s="87" t="s">
        <v>201</v>
      </c>
    </row>
    <row r="130" spans="1:12" x14ac:dyDescent="0.25">
      <c r="A130" s="90">
        <v>39545</v>
      </c>
      <c r="B130" s="87" t="s">
        <v>1535</v>
      </c>
      <c r="C130" s="87" t="s">
        <v>197</v>
      </c>
      <c r="D130" s="87">
        <v>42</v>
      </c>
      <c r="E130" s="87">
        <v>135.1</v>
      </c>
      <c r="F130" s="88">
        <v>5674.2</v>
      </c>
      <c r="G130" s="91">
        <v>54.91</v>
      </c>
      <c r="H130" s="91" t="s">
        <v>1741</v>
      </c>
      <c r="I130" s="91">
        <v>2008067</v>
      </c>
      <c r="J130" s="87" t="s">
        <v>199</v>
      </c>
      <c r="K130" s="91" t="s">
        <v>1051</v>
      </c>
      <c r="L130" s="87" t="s">
        <v>201</v>
      </c>
    </row>
    <row r="131" spans="1:12" x14ac:dyDescent="0.25">
      <c r="A131" s="90">
        <v>39545</v>
      </c>
      <c r="B131" s="87" t="s">
        <v>1535</v>
      </c>
      <c r="C131" s="87" t="s">
        <v>197</v>
      </c>
      <c r="D131" s="87">
        <v>33</v>
      </c>
      <c r="E131" s="87">
        <v>136.1</v>
      </c>
      <c r="F131" s="88">
        <v>4491.3</v>
      </c>
      <c r="G131" s="91">
        <v>43.46</v>
      </c>
      <c r="H131" s="91" t="s">
        <v>1742</v>
      </c>
      <c r="I131" s="91">
        <v>2008067</v>
      </c>
      <c r="J131" s="87" t="s">
        <v>199</v>
      </c>
      <c r="K131" s="91" t="s">
        <v>1051</v>
      </c>
      <c r="L131" s="87" t="s">
        <v>201</v>
      </c>
    </row>
    <row r="132" spans="1:12" x14ac:dyDescent="0.25">
      <c r="A132" s="90">
        <v>39542</v>
      </c>
      <c r="B132" s="87" t="s">
        <v>1743</v>
      </c>
      <c r="C132" s="87" t="s">
        <v>197</v>
      </c>
      <c r="D132" s="87">
        <v>300</v>
      </c>
      <c r="E132" s="87">
        <v>6.32</v>
      </c>
      <c r="F132" s="88">
        <v>1896</v>
      </c>
      <c r="G132" s="91">
        <v>30.45</v>
      </c>
      <c r="H132" s="91" t="s">
        <v>1744</v>
      </c>
      <c r="I132" s="91">
        <v>200809006</v>
      </c>
      <c r="J132" s="87" t="s">
        <v>199</v>
      </c>
      <c r="K132" s="91" t="s">
        <v>1051</v>
      </c>
      <c r="L132" s="87" t="s">
        <v>204</v>
      </c>
    </row>
    <row r="133" spans="1:12" x14ac:dyDescent="0.25">
      <c r="A133" s="90">
        <v>39542</v>
      </c>
      <c r="B133" s="87" t="s">
        <v>1549</v>
      </c>
      <c r="C133" s="87" t="s">
        <v>197</v>
      </c>
      <c r="D133" s="87">
        <v>2</v>
      </c>
      <c r="E133" s="88">
        <v>2681</v>
      </c>
      <c r="F133" s="88">
        <v>5362</v>
      </c>
      <c r="G133" s="91">
        <v>51.89</v>
      </c>
      <c r="H133" s="91" t="s">
        <v>1745</v>
      </c>
      <c r="I133" s="91">
        <v>2008066</v>
      </c>
      <c r="J133" s="87" t="s">
        <v>199</v>
      </c>
      <c r="K133" s="91" t="s">
        <v>1051</v>
      </c>
      <c r="L133" s="87" t="s">
        <v>201</v>
      </c>
    </row>
    <row r="134" spans="1:12" x14ac:dyDescent="0.25">
      <c r="A134" s="90">
        <v>39541</v>
      </c>
      <c r="B134" s="87" t="s">
        <v>1734</v>
      </c>
      <c r="C134" s="87" t="s">
        <v>197</v>
      </c>
      <c r="D134" s="87">
        <v>5</v>
      </c>
      <c r="E134" s="88">
        <v>1802.6</v>
      </c>
      <c r="F134" s="88">
        <v>9013</v>
      </c>
      <c r="G134" s="91">
        <v>87.22</v>
      </c>
      <c r="H134" s="91" t="s">
        <v>1746</v>
      </c>
      <c r="I134" s="91">
        <v>2008065</v>
      </c>
      <c r="J134" s="87" t="s">
        <v>199</v>
      </c>
      <c r="K134" s="91" t="s">
        <v>1051</v>
      </c>
      <c r="L134" s="87" t="s">
        <v>201</v>
      </c>
    </row>
    <row r="135" spans="1:12" x14ac:dyDescent="0.25">
      <c r="A135" s="90">
        <v>39541</v>
      </c>
      <c r="B135" s="87" t="s">
        <v>282</v>
      </c>
      <c r="C135" s="87" t="s">
        <v>197</v>
      </c>
      <c r="D135" s="87">
        <v>80</v>
      </c>
      <c r="E135" s="87">
        <v>20.85</v>
      </c>
      <c r="F135" s="88">
        <v>1668</v>
      </c>
      <c r="G135" s="91">
        <v>30.18</v>
      </c>
      <c r="H135" s="91" t="s">
        <v>1747</v>
      </c>
      <c r="I135" s="91">
        <v>2008065</v>
      </c>
      <c r="J135" s="87" t="s">
        <v>199</v>
      </c>
      <c r="K135" s="91" t="s">
        <v>1051</v>
      </c>
      <c r="L135" s="87" t="s">
        <v>201</v>
      </c>
    </row>
    <row r="136" spans="1:12" x14ac:dyDescent="0.25">
      <c r="A136" s="90">
        <v>39541</v>
      </c>
      <c r="B136" s="87" t="s">
        <v>1734</v>
      </c>
      <c r="C136" s="87" t="s">
        <v>197</v>
      </c>
      <c r="D136" s="87">
        <v>2</v>
      </c>
      <c r="E136" s="88">
        <v>1715.45</v>
      </c>
      <c r="F136" s="88">
        <v>3430.9</v>
      </c>
      <c r="G136" s="91">
        <v>33.200000000000003</v>
      </c>
      <c r="H136" s="91" t="s">
        <v>1748</v>
      </c>
      <c r="I136" s="91">
        <v>2008065</v>
      </c>
      <c r="J136" s="87" t="s">
        <v>199</v>
      </c>
      <c r="K136" s="91" t="s">
        <v>1051</v>
      </c>
      <c r="L136" s="87" t="s">
        <v>201</v>
      </c>
    </row>
    <row r="137" spans="1:12" x14ac:dyDescent="0.25">
      <c r="A137" s="90"/>
      <c r="B137" s="87"/>
      <c r="C137" s="87"/>
      <c r="D137" s="105"/>
      <c r="E137" s="88"/>
      <c r="F137" s="88">
        <f>SUM(F3:F136)</f>
        <v>1292184.0999999996</v>
      </c>
      <c r="G137" s="91">
        <f>SUM(G3:G136)</f>
        <v>8288.1600000000035</v>
      </c>
      <c r="J137" s="87"/>
      <c r="L137" s="87"/>
    </row>
    <row r="138" spans="1:12" x14ac:dyDescent="0.25">
      <c r="A138" s="90"/>
      <c r="B138" s="87"/>
      <c r="C138" s="87"/>
      <c r="D138" s="87"/>
      <c r="E138" s="88"/>
      <c r="F138" s="88" t="s">
        <v>624</v>
      </c>
      <c r="G138" s="91">
        <f>F137+G137</f>
        <v>1300472.2599999995</v>
      </c>
      <c r="J138" s="87"/>
      <c r="L138" s="87"/>
    </row>
    <row r="139" spans="1:12" x14ac:dyDescent="0.25">
      <c r="A139" s="92" t="s">
        <v>1749</v>
      </c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</row>
    <row r="140" spans="1:12" x14ac:dyDescent="0.25">
      <c r="A140" s="90">
        <v>39899</v>
      </c>
      <c r="B140" s="87" t="s">
        <v>1541</v>
      </c>
      <c r="C140" s="87" t="s">
        <v>369</v>
      </c>
      <c r="D140" s="87">
        <v>80</v>
      </c>
      <c r="E140" s="87">
        <v>54.3</v>
      </c>
      <c r="F140" s="88">
        <v>4344</v>
      </c>
      <c r="G140" s="91">
        <v>53.66</v>
      </c>
      <c r="H140" s="91" t="s">
        <v>1750</v>
      </c>
      <c r="I140" s="91">
        <v>2009057</v>
      </c>
      <c r="J140" s="87" t="s">
        <v>199</v>
      </c>
      <c r="K140" s="91" t="s">
        <v>1051</v>
      </c>
      <c r="L140" s="87" t="s">
        <v>201</v>
      </c>
    </row>
    <row r="141" spans="1:12" x14ac:dyDescent="0.25">
      <c r="A141" s="90">
        <v>39897</v>
      </c>
      <c r="B141" s="87" t="s">
        <v>1539</v>
      </c>
      <c r="C141" s="87" t="s">
        <v>369</v>
      </c>
      <c r="D141" s="87">
        <v>100</v>
      </c>
      <c r="E141" s="87">
        <v>48.8</v>
      </c>
      <c r="F141" s="88">
        <v>4880</v>
      </c>
      <c r="G141" s="91">
        <v>47.13</v>
      </c>
      <c r="H141" s="91" t="s">
        <v>1751</v>
      </c>
      <c r="I141" s="91">
        <v>2009055</v>
      </c>
      <c r="J141" s="87" t="s">
        <v>199</v>
      </c>
      <c r="K141" s="87" t="s">
        <v>1185</v>
      </c>
      <c r="L141" s="87" t="s">
        <v>201</v>
      </c>
    </row>
    <row r="142" spans="1:12" x14ac:dyDescent="0.25">
      <c r="A142" s="90">
        <v>39885</v>
      </c>
      <c r="B142" s="87" t="s">
        <v>1543</v>
      </c>
      <c r="C142" s="87" t="s">
        <v>369</v>
      </c>
      <c r="D142" s="87">
        <v>50</v>
      </c>
      <c r="E142" s="87">
        <v>165.1</v>
      </c>
      <c r="F142" s="88">
        <v>8255</v>
      </c>
      <c r="G142" s="91">
        <v>102.44</v>
      </c>
      <c r="H142" s="91" t="s">
        <v>1752</v>
      </c>
      <c r="I142" s="91">
        <v>2009047</v>
      </c>
      <c r="J142" s="87" t="s">
        <v>199</v>
      </c>
      <c r="K142" s="91" t="s">
        <v>1051</v>
      </c>
      <c r="L142" s="87" t="s">
        <v>201</v>
      </c>
    </row>
    <row r="143" spans="1:12" x14ac:dyDescent="0.25">
      <c r="A143" s="90">
        <v>39826</v>
      </c>
      <c r="B143" s="87" t="s">
        <v>1539</v>
      </c>
      <c r="C143" s="87" t="s">
        <v>369</v>
      </c>
      <c r="D143" s="87">
        <v>150</v>
      </c>
      <c r="E143" s="87">
        <v>44.5</v>
      </c>
      <c r="F143" s="88">
        <v>6675</v>
      </c>
      <c r="G143" s="91">
        <v>65.53</v>
      </c>
      <c r="H143" s="91" t="s">
        <v>1753</v>
      </c>
      <c r="I143" s="91">
        <v>2009008</v>
      </c>
      <c r="J143" s="87" t="s">
        <v>199</v>
      </c>
      <c r="K143" s="91" t="s">
        <v>1051</v>
      </c>
      <c r="L143" s="87" t="s">
        <v>201</v>
      </c>
    </row>
    <row r="144" spans="1:12" x14ac:dyDescent="0.25">
      <c r="A144" s="90">
        <v>39826</v>
      </c>
      <c r="B144" s="87" t="s">
        <v>1553</v>
      </c>
      <c r="C144" s="87" t="s">
        <v>369</v>
      </c>
      <c r="D144" s="87">
        <v>75</v>
      </c>
      <c r="E144" s="87">
        <v>99</v>
      </c>
      <c r="F144" s="88">
        <v>7425</v>
      </c>
      <c r="G144" s="91">
        <v>72.819999999999993</v>
      </c>
      <c r="H144" s="91" t="s">
        <v>1754</v>
      </c>
      <c r="I144" s="91">
        <v>2009008</v>
      </c>
      <c r="J144" s="87" t="s">
        <v>199</v>
      </c>
      <c r="K144" s="91" t="s">
        <v>1051</v>
      </c>
      <c r="L144" s="87" t="s">
        <v>201</v>
      </c>
    </row>
    <row r="145" spans="1:12" x14ac:dyDescent="0.25">
      <c r="A145" s="90">
        <v>39826</v>
      </c>
      <c r="B145" s="87" t="s">
        <v>1547</v>
      </c>
      <c r="C145" s="87" t="s">
        <v>369</v>
      </c>
      <c r="D145" s="87">
        <v>100</v>
      </c>
      <c r="E145" s="87">
        <v>71</v>
      </c>
      <c r="F145" s="88">
        <v>7100.35</v>
      </c>
      <c r="G145" s="91">
        <v>69.680000000000007</v>
      </c>
      <c r="H145" s="91" t="s">
        <v>1755</v>
      </c>
      <c r="I145" s="91">
        <v>2009008</v>
      </c>
      <c r="J145" s="87" t="s">
        <v>199</v>
      </c>
      <c r="K145" s="91" t="s">
        <v>1051</v>
      </c>
      <c r="L145" s="87" t="s">
        <v>201</v>
      </c>
    </row>
    <row r="146" spans="1:12" x14ac:dyDescent="0.25">
      <c r="A146" s="90">
        <v>39822</v>
      </c>
      <c r="B146" s="87" t="s">
        <v>1545</v>
      </c>
      <c r="C146" s="87" t="s">
        <v>369</v>
      </c>
      <c r="D146" s="87">
        <v>150</v>
      </c>
      <c r="E146" s="87">
        <v>17.75</v>
      </c>
      <c r="F146" s="88">
        <v>2662.5</v>
      </c>
      <c r="G146" s="91">
        <v>31.79</v>
      </c>
      <c r="H146" s="91" t="s">
        <v>1756</v>
      </c>
      <c r="I146" s="91">
        <v>2009006</v>
      </c>
      <c r="J146" s="87" t="s">
        <v>199</v>
      </c>
      <c r="K146" s="87" t="s">
        <v>1185</v>
      </c>
      <c r="L146" s="87" t="s">
        <v>201</v>
      </c>
    </row>
    <row r="147" spans="1:12" x14ac:dyDescent="0.25">
      <c r="A147" s="90">
        <v>39820</v>
      </c>
      <c r="B147" s="87" t="s">
        <v>1555</v>
      </c>
      <c r="C147" s="87" t="s">
        <v>369</v>
      </c>
      <c r="D147" s="87">
        <v>100</v>
      </c>
      <c r="E147" s="87">
        <v>110</v>
      </c>
      <c r="F147" s="88">
        <v>11000</v>
      </c>
      <c r="G147" s="91">
        <v>107.94</v>
      </c>
      <c r="H147" s="91" t="s">
        <v>1757</v>
      </c>
      <c r="I147" s="91">
        <v>2009005</v>
      </c>
      <c r="J147" s="87" t="s">
        <v>199</v>
      </c>
      <c r="K147" s="91" t="s">
        <v>1051</v>
      </c>
      <c r="L147" s="87" t="s">
        <v>201</v>
      </c>
    </row>
    <row r="148" spans="1:12" x14ac:dyDescent="0.25">
      <c r="A148" s="90">
        <v>39814</v>
      </c>
      <c r="B148" s="87" t="s">
        <v>1549</v>
      </c>
      <c r="C148" s="87" t="s">
        <v>369</v>
      </c>
      <c r="D148" s="87">
        <v>10</v>
      </c>
      <c r="E148" s="87">
        <v>788.26</v>
      </c>
      <c r="F148" s="88">
        <v>7882.6</v>
      </c>
      <c r="G148" s="91">
        <v>77.34</v>
      </c>
      <c r="H148" s="91" t="s">
        <v>1758</v>
      </c>
      <c r="I148" s="91">
        <v>2009001</v>
      </c>
      <c r="J148" s="87" t="s">
        <v>199</v>
      </c>
      <c r="K148" s="91" t="s">
        <v>1051</v>
      </c>
      <c r="L148" s="87" t="s">
        <v>201</v>
      </c>
    </row>
    <row r="149" spans="1:12" x14ac:dyDescent="0.25">
      <c r="A149" s="90">
        <v>39806</v>
      </c>
      <c r="B149" s="87" t="s">
        <v>1551</v>
      </c>
      <c r="C149" s="87" t="s">
        <v>369</v>
      </c>
      <c r="D149" s="87">
        <v>8</v>
      </c>
      <c r="E149" s="88">
        <v>1189.5</v>
      </c>
      <c r="F149" s="88">
        <v>9516</v>
      </c>
      <c r="G149" s="91">
        <v>93.37</v>
      </c>
      <c r="H149" s="91" t="s">
        <v>1759</v>
      </c>
      <c r="I149" s="91">
        <v>2008242</v>
      </c>
      <c r="J149" s="87" t="s">
        <v>199</v>
      </c>
      <c r="K149" s="91" t="s">
        <v>1051</v>
      </c>
      <c r="L149" s="87" t="s">
        <v>201</v>
      </c>
    </row>
    <row r="150" spans="1:12" x14ac:dyDescent="0.25">
      <c r="A150" s="90">
        <v>39792</v>
      </c>
      <c r="B150" s="87" t="s">
        <v>1559</v>
      </c>
      <c r="C150" s="87" t="s">
        <v>369</v>
      </c>
      <c r="D150" s="87">
        <v>7</v>
      </c>
      <c r="E150" s="88">
        <v>1180</v>
      </c>
      <c r="F150" s="88">
        <v>8260</v>
      </c>
      <c r="G150" s="91">
        <v>81.05</v>
      </c>
      <c r="H150" s="91" t="s">
        <v>1760</v>
      </c>
      <c r="I150" s="91">
        <v>2008232</v>
      </c>
      <c r="J150" s="87" t="s">
        <v>199</v>
      </c>
      <c r="K150" s="91" t="s">
        <v>1051</v>
      </c>
      <c r="L150" s="87" t="s">
        <v>201</v>
      </c>
    </row>
    <row r="151" spans="1:12" x14ac:dyDescent="0.25">
      <c r="A151" s="90">
        <v>39784</v>
      </c>
      <c r="B151" s="87" t="s">
        <v>1561</v>
      </c>
      <c r="C151" s="87" t="s">
        <v>369</v>
      </c>
      <c r="D151" s="87">
        <v>50</v>
      </c>
      <c r="E151" s="87">
        <v>115.85</v>
      </c>
      <c r="F151" s="88">
        <v>5792.5</v>
      </c>
      <c r="G151" s="91">
        <v>56.85</v>
      </c>
      <c r="H151" s="91" t="s">
        <v>1761</v>
      </c>
      <c r="I151" s="91">
        <v>2008227</v>
      </c>
      <c r="J151" s="87" t="s">
        <v>199</v>
      </c>
      <c r="K151" s="87" t="s">
        <v>1185</v>
      </c>
      <c r="L151" s="87" t="s">
        <v>201</v>
      </c>
    </row>
    <row r="152" spans="1:12" x14ac:dyDescent="0.25">
      <c r="A152" s="90">
        <v>39783</v>
      </c>
      <c r="B152" s="87" t="s">
        <v>1555</v>
      </c>
      <c r="C152" s="87" t="s">
        <v>369</v>
      </c>
      <c r="D152" s="87">
        <v>150</v>
      </c>
      <c r="E152" s="87">
        <v>84.4</v>
      </c>
      <c r="F152" s="88">
        <v>12660.6</v>
      </c>
      <c r="G152" s="91">
        <v>124.21</v>
      </c>
      <c r="H152" s="91" t="s">
        <v>1762</v>
      </c>
      <c r="I152" s="91">
        <v>200809166</v>
      </c>
      <c r="J152" s="87" t="s">
        <v>199</v>
      </c>
      <c r="K152" s="91" t="s">
        <v>1051</v>
      </c>
      <c r="L152" s="87" t="s">
        <v>204</v>
      </c>
    </row>
    <row r="153" spans="1:12" x14ac:dyDescent="0.25">
      <c r="A153" s="90">
        <v>39783</v>
      </c>
      <c r="B153" s="87" t="s">
        <v>1563</v>
      </c>
      <c r="C153" s="87" t="s">
        <v>369</v>
      </c>
      <c r="D153" s="87">
        <v>50</v>
      </c>
      <c r="E153" s="87">
        <v>112.9</v>
      </c>
      <c r="F153" s="88">
        <v>5645</v>
      </c>
      <c r="G153" s="91">
        <v>55.41</v>
      </c>
      <c r="H153" s="91" t="s">
        <v>1763</v>
      </c>
      <c r="I153" s="91">
        <v>2008226</v>
      </c>
      <c r="J153" s="87" t="s">
        <v>199</v>
      </c>
      <c r="K153" s="87" t="s">
        <v>1185</v>
      </c>
      <c r="L153" s="87" t="s">
        <v>201</v>
      </c>
    </row>
    <row r="154" spans="1:12" x14ac:dyDescent="0.25">
      <c r="A154" s="90">
        <v>39778</v>
      </c>
      <c r="B154" s="87" t="s">
        <v>1585</v>
      </c>
      <c r="C154" s="87" t="s">
        <v>369</v>
      </c>
      <c r="D154" s="87">
        <v>100</v>
      </c>
      <c r="E154" s="87">
        <v>132.75</v>
      </c>
      <c r="F154" s="88">
        <v>13275</v>
      </c>
      <c r="G154" s="91">
        <v>130.25</v>
      </c>
      <c r="H154" s="91" t="s">
        <v>1764</v>
      </c>
      <c r="I154" s="91">
        <v>2008224</v>
      </c>
      <c r="J154" s="87" t="s">
        <v>199</v>
      </c>
      <c r="K154" s="87" t="s">
        <v>1185</v>
      </c>
      <c r="L154" s="87" t="s">
        <v>201</v>
      </c>
    </row>
    <row r="155" spans="1:12" x14ac:dyDescent="0.25">
      <c r="A155" s="90">
        <v>39776</v>
      </c>
      <c r="B155" s="87" t="s">
        <v>1532</v>
      </c>
      <c r="C155" s="87" t="s">
        <v>369</v>
      </c>
      <c r="D155" s="87">
        <v>190</v>
      </c>
      <c r="E155" s="87">
        <v>189</v>
      </c>
      <c r="F155" s="88">
        <v>35910</v>
      </c>
      <c r="G155" s="91">
        <v>453.22</v>
      </c>
      <c r="H155" s="91" t="s">
        <v>1765</v>
      </c>
      <c r="I155" s="91">
        <v>2008222</v>
      </c>
      <c r="J155" s="87" t="s">
        <v>199</v>
      </c>
      <c r="K155" s="91" t="s">
        <v>1051</v>
      </c>
      <c r="L155" s="87" t="s">
        <v>201</v>
      </c>
    </row>
    <row r="156" spans="1:12" x14ac:dyDescent="0.25">
      <c r="A156" s="90">
        <v>39748</v>
      </c>
      <c r="B156" s="87" t="s">
        <v>282</v>
      </c>
      <c r="C156" s="87" t="s">
        <v>369</v>
      </c>
      <c r="D156" s="87">
        <v>1000</v>
      </c>
      <c r="E156" s="87">
        <v>9.75</v>
      </c>
      <c r="F156" s="88">
        <v>9750</v>
      </c>
      <c r="G156" s="91">
        <v>95.59</v>
      </c>
      <c r="H156" s="91" t="s">
        <v>1766</v>
      </c>
      <c r="I156" s="91">
        <v>2008204</v>
      </c>
      <c r="J156" s="87" t="s">
        <v>199</v>
      </c>
      <c r="K156" s="91" t="s">
        <v>1051</v>
      </c>
      <c r="L156" s="87" t="s">
        <v>201</v>
      </c>
    </row>
    <row r="157" spans="1:12" x14ac:dyDescent="0.25">
      <c r="A157" s="90">
        <v>39748</v>
      </c>
      <c r="B157" s="87" t="s">
        <v>282</v>
      </c>
      <c r="C157" s="87" t="s">
        <v>369</v>
      </c>
      <c r="D157" s="87">
        <v>1000</v>
      </c>
      <c r="E157" s="87">
        <v>10.4</v>
      </c>
      <c r="F157" s="88">
        <v>10400</v>
      </c>
      <c r="G157" s="91">
        <v>102</v>
      </c>
      <c r="H157" s="91" t="s">
        <v>1767</v>
      </c>
      <c r="I157" s="91">
        <v>2008204</v>
      </c>
      <c r="J157" s="87" t="s">
        <v>199</v>
      </c>
      <c r="K157" s="91" t="s">
        <v>1051</v>
      </c>
      <c r="L157" s="87" t="s">
        <v>201</v>
      </c>
    </row>
    <row r="158" spans="1:12" x14ac:dyDescent="0.25">
      <c r="A158" s="90">
        <v>39728</v>
      </c>
      <c r="B158" s="87" t="s">
        <v>1563</v>
      </c>
      <c r="C158" s="87" t="s">
        <v>369</v>
      </c>
      <c r="D158" s="87">
        <v>50</v>
      </c>
      <c r="E158" s="87">
        <v>277</v>
      </c>
      <c r="F158" s="88">
        <v>13850</v>
      </c>
      <c r="G158" s="91">
        <v>135.9</v>
      </c>
      <c r="H158" s="91" t="s">
        <v>1768</v>
      </c>
      <c r="I158" s="91">
        <v>2008191</v>
      </c>
      <c r="J158" s="87" t="s">
        <v>199</v>
      </c>
      <c r="K158" s="91" t="s">
        <v>1051</v>
      </c>
      <c r="L158" s="87" t="s">
        <v>201</v>
      </c>
    </row>
    <row r="159" spans="1:12" x14ac:dyDescent="0.25">
      <c r="A159" s="90">
        <v>39728</v>
      </c>
      <c r="B159" s="87" t="s">
        <v>1588</v>
      </c>
      <c r="C159" s="87" t="s">
        <v>369</v>
      </c>
      <c r="D159" s="87">
        <v>100</v>
      </c>
      <c r="E159" s="87">
        <v>85.58</v>
      </c>
      <c r="F159" s="88">
        <v>8558.2000000000007</v>
      </c>
      <c r="G159" s="91">
        <v>83.97</v>
      </c>
      <c r="H159" s="91" t="s">
        <v>1769</v>
      </c>
      <c r="I159" s="91">
        <v>2008191</v>
      </c>
      <c r="J159" s="87" t="s">
        <v>199</v>
      </c>
      <c r="K159" s="91" t="s">
        <v>1051</v>
      </c>
      <c r="L159" s="87" t="s">
        <v>201</v>
      </c>
    </row>
    <row r="160" spans="1:12" x14ac:dyDescent="0.25">
      <c r="A160" s="90">
        <v>39710</v>
      </c>
      <c r="B160" s="87" t="s">
        <v>1588</v>
      </c>
      <c r="C160" s="87" t="s">
        <v>369</v>
      </c>
      <c r="D160" s="87">
        <v>100</v>
      </c>
      <c r="E160" s="87">
        <v>102.2</v>
      </c>
      <c r="F160" s="88">
        <v>10220</v>
      </c>
      <c r="G160" s="91">
        <v>100.28</v>
      </c>
      <c r="H160" s="91" t="s">
        <v>1770</v>
      </c>
      <c r="I160" s="91">
        <v>2008180</v>
      </c>
      <c r="J160" s="87" t="s">
        <v>199</v>
      </c>
      <c r="K160" s="87" t="s">
        <v>1185</v>
      </c>
      <c r="L160" s="87" t="s">
        <v>201</v>
      </c>
    </row>
    <row r="161" spans="1:12" x14ac:dyDescent="0.25">
      <c r="A161" s="90">
        <v>39710</v>
      </c>
      <c r="B161" s="87" t="s">
        <v>1058</v>
      </c>
      <c r="C161" s="87" t="s">
        <v>369</v>
      </c>
      <c r="D161" s="87">
        <v>100</v>
      </c>
      <c r="E161" s="87">
        <v>161.35</v>
      </c>
      <c r="F161" s="88">
        <v>16135</v>
      </c>
      <c r="G161" s="91">
        <v>158.31</v>
      </c>
      <c r="H161" s="91" t="s">
        <v>1771</v>
      </c>
      <c r="I161" s="91">
        <v>2008180</v>
      </c>
      <c r="J161" s="87" t="s">
        <v>199</v>
      </c>
      <c r="K161" s="91" t="s">
        <v>1051</v>
      </c>
      <c r="L161" s="87" t="s">
        <v>201</v>
      </c>
    </row>
    <row r="162" spans="1:12" x14ac:dyDescent="0.25">
      <c r="A162" s="90">
        <v>39710</v>
      </c>
      <c r="B162" s="87" t="s">
        <v>1526</v>
      </c>
      <c r="C162" s="87" t="s">
        <v>369</v>
      </c>
      <c r="D162" s="87">
        <v>161</v>
      </c>
      <c r="E162" s="87">
        <v>135</v>
      </c>
      <c r="F162" s="88">
        <v>21735</v>
      </c>
      <c r="G162" s="91">
        <v>213.25</v>
      </c>
      <c r="H162" s="91" t="s">
        <v>1772</v>
      </c>
      <c r="I162" s="91">
        <v>2008180</v>
      </c>
      <c r="J162" s="87" t="s">
        <v>199</v>
      </c>
      <c r="K162" s="91" t="s">
        <v>1051</v>
      </c>
      <c r="L162" s="87" t="s">
        <v>201</v>
      </c>
    </row>
    <row r="163" spans="1:12" x14ac:dyDescent="0.25">
      <c r="A163" s="90">
        <v>39710</v>
      </c>
      <c r="B163" s="87" t="s">
        <v>1526</v>
      </c>
      <c r="C163" s="87" t="s">
        <v>369</v>
      </c>
      <c r="D163" s="87">
        <v>29</v>
      </c>
      <c r="E163" s="87">
        <v>135</v>
      </c>
      <c r="F163" s="88">
        <v>3915</v>
      </c>
      <c r="G163" s="91">
        <v>38.4</v>
      </c>
      <c r="H163" s="91" t="s">
        <v>1773</v>
      </c>
      <c r="I163" s="91">
        <v>2008180</v>
      </c>
      <c r="J163" s="87" t="s">
        <v>199</v>
      </c>
      <c r="K163" s="87" t="s">
        <v>1185</v>
      </c>
      <c r="L163" s="87" t="s">
        <v>201</v>
      </c>
    </row>
    <row r="164" spans="1:12" x14ac:dyDescent="0.25">
      <c r="A164" s="90">
        <v>39703</v>
      </c>
      <c r="B164" s="87" t="s">
        <v>1663</v>
      </c>
      <c r="C164" s="87" t="s">
        <v>369</v>
      </c>
      <c r="D164" s="87">
        <v>300</v>
      </c>
      <c r="E164" s="87">
        <v>12.35</v>
      </c>
      <c r="F164" s="88">
        <v>3705</v>
      </c>
      <c r="G164" s="91">
        <v>35.83</v>
      </c>
      <c r="H164" s="91" t="s">
        <v>1774</v>
      </c>
      <c r="I164" s="91">
        <v>200809115</v>
      </c>
      <c r="J164" s="87" t="s">
        <v>307</v>
      </c>
      <c r="K164" s="91" t="s">
        <v>1051</v>
      </c>
      <c r="L164" s="87" t="s">
        <v>204</v>
      </c>
    </row>
    <row r="165" spans="1:12" x14ac:dyDescent="0.25">
      <c r="A165" s="90">
        <v>39703</v>
      </c>
      <c r="B165" s="87" t="s">
        <v>1675</v>
      </c>
      <c r="C165" s="87" t="s">
        <v>369</v>
      </c>
      <c r="D165" s="87">
        <v>200</v>
      </c>
      <c r="E165" s="87">
        <v>11.3</v>
      </c>
      <c r="F165" s="88">
        <v>2260</v>
      </c>
      <c r="G165" s="91">
        <v>30.93</v>
      </c>
      <c r="H165" s="91" t="s">
        <v>1775</v>
      </c>
      <c r="I165" s="91">
        <v>200809115</v>
      </c>
      <c r="J165" s="87" t="s">
        <v>199</v>
      </c>
      <c r="K165" s="91" t="s">
        <v>1051</v>
      </c>
      <c r="L165" s="87" t="s">
        <v>204</v>
      </c>
    </row>
    <row r="166" spans="1:12" x14ac:dyDescent="0.25">
      <c r="A166" s="90">
        <v>39700</v>
      </c>
      <c r="B166" s="87" t="s">
        <v>1601</v>
      </c>
      <c r="C166" s="87" t="s">
        <v>369</v>
      </c>
      <c r="D166" s="87">
        <v>200</v>
      </c>
      <c r="E166" s="87">
        <v>76.849999999999994</v>
      </c>
      <c r="F166" s="88">
        <v>15370</v>
      </c>
      <c r="G166" s="91">
        <v>148.72999999999999</v>
      </c>
      <c r="H166" s="91" t="s">
        <v>1776</v>
      </c>
      <c r="I166" s="91">
        <v>2008172</v>
      </c>
      <c r="J166" s="87" t="s">
        <v>199</v>
      </c>
      <c r="K166" s="91" t="s">
        <v>1051</v>
      </c>
      <c r="L166" s="87" t="s">
        <v>201</v>
      </c>
    </row>
    <row r="167" spans="1:12" x14ac:dyDescent="0.25">
      <c r="A167" s="90">
        <v>39689</v>
      </c>
      <c r="B167" s="87" t="s">
        <v>1605</v>
      </c>
      <c r="C167" s="87" t="s">
        <v>369</v>
      </c>
      <c r="D167" s="87">
        <v>5</v>
      </c>
      <c r="E167" s="88">
        <v>2092.4499999999998</v>
      </c>
      <c r="F167" s="88">
        <v>10462.25</v>
      </c>
      <c r="G167" s="91">
        <v>101.25</v>
      </c>
      <c r="H167" s="91" t="s">
        <v>1777</v>
      </c>
      <c r="I167" s="91">
        <v>2008166</v>
      </c>
      <c r="J167" s="87" t="s">
        <v>199</v>
      </c>
      <c r="K167" s="91" t="s">
        <v>1051</v>
      </c>
      <c r="L167" s="87" t="s">
        <v>201</v>
      </c>
    </row>
    <row r="168" spans="1:12" x14ac:dyDescent="0.25">
      <c r="A168" s="90">
        <v>39681</v>
      </c>
      <c r="B168" s="87" t="s">
        <v>1512</v>
      </c>
      <c r="C168" s="87" t="s">
        <v>369</v>
      </c>
      <c r="D168" s="87">
        <v>20</v>
      </c>
      <c r="E168" s="87">
        <v>337.95</v>
      </c>
      <c r="F168" s="88">
        <v>6759</v>
      </c>
      <c r="G168" s="91">
        <v>65.41</v>
      </c>
      <c r="H168" s="91" t="s">
        <v>1778</v>
      </c>
      <c r="I168" s="91">
        <v>2008160</v>
      </c>
      <c r="J168" s="87" t="s">
        <v>199</v>
      </c>
      <c r="K168" s="91" t="s">
        <v>1051</v>
      </c>
      <c r="L168" s="87" t="s">
        <v>201</v>
      </c>
    </row>
    <row r="169" spans="1:12" x14ac:dyDescent="0.25">
      <c r="A169" s="90">
        <v>39680</v>
      </c>
      <c r="B169" s="87" t="s">
        <v>1512</v>
      </c>
      <c r="C169" s="87" t="s">
        <v>369</v>
      </c>
      <c r="D169" s="87">
        <v>10</v>
      </c>
      <c r="E169" s="87">
        <v>348</v>
      </c>
      <c r="F169" s="88">
        <v>3480</v>
      </c>
      <c r="G169" s="91">
        <v>33.68</v>
      </c>
      <c r="H169" s="91" t="s">
        <v>1779</v>
      </c>
      <c r="I169" s="91">
        <v>2008159</v>
      </c>
      <c r="J169" s="87" t="s">
        <v>199</v>
      </c>
      <c r="K169" s="91" t="s">
        <v>1051</v>
      </c>
      <c r="L169" s="87" t="s">
        <v>201</v>
      </c>
    </row>
    <row r="170" spans="1:12" x14ac:dyDescent="0.25">
      <c r="A170" s="90">
        <v>39679</v>
      </c>
      <c r="B170" s="87" t="s">
        <v>1681</v>
      </c>
      <c r="C170" s="87" t="s">
        <v>369</v>
      </c>
      <c r="D170" s="87">
        <v>50</v>
      </c>
      <c r="E170" s="87">
        <v>91.7</v>
      </c>
      <c r="F170" s="88">
        <v>4585</v>
      </c>
      <c r="G170" s="91">
        <v>44.37</v>
      </c>
      <c r="H170" s="91" t="s">
        <v>1780</v>
      </c>
      <c r="I170" s="91">
        <v>2008158</v>
      </c>
      <c r="J170" s="87" t="s">
        <v>307</v>
      </c>
      <c r="K170" s="91" t="s">
        <v>1051</v>
      </c>
      <c r="L170" s="87" t="s">
        <v>201</v>
      </c>
    </row>
    <row r="171" spans="1:12" x14ac:dyDescent="0.25">
      <c r="A171" s="90">
        <v>39673</v>
      </c>
      <c r="B171" s="87" t="s">
        <v>1677</v>
      </c>
      <c r="C171" s="87" t="s">
        <v>369</v>
      </c>
      <c r="D171" s="87">
        <v>75</v>
      </c>
      <c r="E171" s="87">
        <v>65.7</v>
      </c>
      <c r="F171" s="88">
        <v>4927.5</v>
      </c>
      <c r="G171" s="91">
        <v>47.69</v>
      </c>
      <c r="H171" s="91" t="s">
        <v>1781</v>
      </c>
      <c r="I171" s="91">
        <v>200809095</v>
      </c>
      <c r="J171" s="87" t="s">
        <v>307</v>
      </c>
      <c r="K171" s="91" t="s">
        <v>1051</v>
      </c>
      <c r="L171" s="87" t="s">
        <v>204</v>
      </c>
    </row>
    <row r="172" spans="1:12" x14ac:dyDescent="0.25">
      <c r="A172" s="90">
        <v>39665</v>
      </c>
      <c r="B172" s="87" t="s">
        <v>1553</v>
      </c>
      <c r="C172" s="87" t="s">
        <v>369</v>
      </c>
      <c r="D172" s="87">
        <v>81</v>
      </c>
      <c r="E172" s="87">
        <v>204</v>
      </c>
      <c r="F172" s="88">
        <v>16524</v>
      </c>
      <c r="G172" s="91">
        <v>159.91</v>
      </c>
      <c r="H172" s="91" t="s">
        <v>1782</v>
      </c>
      <c r="I172" s="91">
        <v>2008149</v>
      </c>
      <c r="J172" s="87" t="s">
        <v>199</v>
      </c>
      <c r="K172" s="91" t="s">
        <v>1051</v>
      </c>
      <c r="L172" s="87" t="s">
        <v>201</v>
      </c>
    </row>
    <row r="173" spans="1:12" x14ac:dyDescent="0.25">
      <c r="A173" s="90">
        <v>39665</v>
      </c>
      <c r="B173" s="87" t="s">
        <v>1553</v>
      </c>
      <c r="C173" s="87" t="s">
        <v>369</v>
      </c>
      <c r="D173" s="87">
        <v>19</v>
      </c>
      <c r="E173" s="87">
        <v>204.95</v>
      </c>
      <c r="F173" s="88">
        <v>3894.05</v>
      </c>
      <c r="G173" s="91">
        <v>37.68</v>
      </c>
      <c r="H173" s="91" t="s">
        <v>1783</v>
      </c>
      <c r="I173" s="91">
        <v>2008149</v>
      </c>
      <c r="J173" s="87" t="s">
        <v>199</v>
      </c>
      <c r="K173" s="91" t="s">
        <v>1051</v>
      </c>
      <c r="L173" s="87" t="s">
        <v>201</v>
      </c>
    </row>
    <row r="174" spans="1:12" x14ac:dyDescent="0.25">
      <c r="A174" s="90">
        <v>39665</v>
      </c>
      <c r="B174" s="87" t="s">
        <v>1608</v>
      </c>
      <c r="C174" s="87" t="s">
        <v>369</v>
      </c>
      <c r="D174" s="87">
        <v>8</v>
      </c>
      <c r="E174" s="87">
        <v>351</v>
      </c>
      <c r="F174" s="88">
        <v>2808</v>
      </c>
      <c r="G174" s="91">
        <v>31.6</v>
      </c>
      <c r="H174" s="91" t="s">
        <v>1784</v>
      </c>
      <c r="I174" s="91">
        <v>2008149</v>
      </c>
      <c r="J174" s="87" t="s">
        <v>199</v>
      </c>
      <c r="K174" s="91" t="s">
        <v>1051</v>
      </c>
      <c r="L174" s="87" t="s">
        <v>201</v>
      </c>
    </row>
    <row r="175" spans="1:12" x14ac:dyDescent="0.25">
      <c r="A175" s="90">
        <v>39664</v>
      </c>
      <c r="B175" s="87" t="s">
        <v>1608</v>
      </c>
      <c r="C175" s="87" t="s">
        <v>369</v>
      </c>
      <c r="D175" s="87">
        <v>20</v>
      </c>
      <c r="E175" s="87">
        <v>344.2</v>
      </c>
      <c r="F175" s="88">
        <v>6884</v>
      </c>
      <c r="G175" s="91">
        <v>66.62</v>
      </c>
      <c r="H175" s="91" t="s">
        <v>1785</v>
      </c>
      <c r="I175" s="91">
        <v>2008148</v>
      </c>
      <c r="J175" s="87" t="s">
        <v>199</v>
      </c>
      <c r="K175" s="91" t="s">
        <v>1051</v>
      </c>
      <c r="L175" s="87" t="s">
        <v>201</v>
      </c>
    </row>
    <row r="176" spans="1:12" x14ac:dyDescent="0.25">
      <c r="A176" s="90">
        <v>39654</v>
      </c>
      <c r="B176" s="87" t="s">
        <v>1526</v>
      </c>
      <c r="C176" s="87" t="s">
        <v>369</v>
      </c>
      <c r="D176" s="87">
        <v>100</v>
      </c>
      <c r="E176" s="87">
        <v>164.4</v>
      </c>
      <c r="F176" s="88">
        <v>16440</v>
      </c>
      <c r="G176" s="91">
        <v>159.09</v>
      </c>
      <c r="H176" s="91" t="s">
        <v>1786</v>
      </c>
      <c r="I176" s="91">
        <v>2008142</v>
      </c>
      <c r="J176" s="87" t="s">
        <v>199</v>
      </c>
      <c r="K176" s="91" t="s">
        <v>1051</v>
      </c>
      <c r="L176" s="87" t="s">
        <v>201</v>
      </c>
    </row>
    <row r="177" spans="1:12" x14ac:dyDescent="0.25">
      <c r="A177" s="90">
        <v>39646</v>
      </c>
      <c r="B177" s="87" t="s">
        <v>1526</v>
      </c>
      <c r="C177" s="87" t="s">
        <v>369</v>
      </c>
      <c r="D177" s="87">
        <v>50</v>
      </c>
      <c r="E177" s="87">
        <v>146</v>
      </c>
      <c r="F177" s="88">
        <v>7300</v>
      </c>
      <c r="G177" s="91">
        <v>70.650000000000006</v>
      </c>
      <c r="H177" s="91" t="s">
        <v>1787</v>
      </c>
      <c r="I177" s="91">
        <v>2008136</v>
      </c>
      <c r="J177" s="87" t="s">
        <v>199</v>
      </c>
      <c r="K177" s="87" t="s">
        <v>1185</v>
      </c>
      <c r="L177" s="87" t="s">
        <v>201</v>
      </c>
    </row>
    <row r="178" spans="1:12" x14ac:dyDescent="0.25">
      <c r="A178" s="90">
        <v>39646</v>
      </c>
      <c r="B178" s="87" t="s">
        <v>1585</v>
      </c>
      <c r="C178" s="87" t="s">
        <v>369</v>
      </c>
      <c r="D178" s="87">
        <v>25</v>
      </c>
      <c r="E178" s="87">
        <v>203.75</v>
      </c>
      <c r="F178" s="88">
        <v>5093.75</v>
      </c>
      <c r="G178" s="91">
        <v>49.3</v>
      </c>
      <c r="H178" s="91" t="s">
        <v>1788</v>
      </c>
      <c r="I178" s="91">
        <v>2008136</v>
      </c>
      <c r="J178" s="87" t="s">
        <v>199</v>
      </c>
      <c r="K178" s="87" t="s">
        <v>1185</v>
      </c>
      <c r="L178" s="87" t="s">
        <v>201</v>
      </c>
    </row>
    <row r="179" spans="1:12" x14ac:dyDescent="0.25">
      <c r="A179" s="90">
        <v>39646</v>
      </c>
      <c r="B179" s="87" t="s">
        <v>1510</v>
      </c>
      <c r="C179" s="87" t="s">
        <v>369</v>
      </c>
      <c r="D179" s="87">
        <v>5</v>
      </c>
      <c r="E179" s="88">
        <v>1275</v>
      </c>
      <c r="F179" s="88">
        <v>6375</v>
      </c>
      <c r="G179" s="91">
        <v>61.69</v>
      </c>
      <c r="H179" s="91" t="s">
        <v>1789</v>
      </c>
      <c r="I179" s="91">
        <v>2008136</v>
      </c>
      <c r="J179" s="87" t="s">
        <v>199</v>
      </c>
      <c r="K179" s="87" t="s">
        <v>1185</v>
      </c>
      <c r="L179" s="87" t="s">
        <v>201</v>
      </c>
    </row>
    <row r="180" spans="1:12" x14ac:dyDescent="0.25">
      <c r="A180" s="90">
        <v>39633</v>
      </c>
      <c r="B180" s="87" t="s">
        <v>1657</v>
      </c>
      <c r="C180" s="87" t="s">
        <v>369</v>
      </c>
      <c r="D180" s="87">
        <v>50</v>
      </c>
      <c r="E180" s="87">
        <v>86.5</v>
      </c>
      <c r="F180" s="88">
        <v>4325</v>
      </c>
      <c r="G180" s="91">
        <v>41.86</v>
      </c>
      <c r="H180" s="91" t="s">
        <v>1790</v>
      </c>
      <c r="I180" s="91">
        <v>2008127</v>
      </c>
      <c r="J180" s="87" t="s">
        <v>199</v>
      </c>
      <c r="K180" s="91" t="s">
        <v>1051</v>
      </c>
      <c r="L180" s="87" t="s">
        <v>201</v>
      </c>
    </row>
    <row r="181" spans="1:12" x14ac:dyDescent="0.25">
      <c r="A181" s="90">
        <v>39633</v>
      </c>
      <c r="B181" s="87" t="s">
        <v>1585</v>
      </c>
      <c r="C181" s="87" t="s">
        <v>369</v>
      </c>
      <c r="D181" s="87">
        <v>25</v>
      </c>
      <c r="E181" s="87">
        <v>225.2</v>
      </c>
      <c r="F181" s="88">
        <v>5630</v>
      </c>
      <c r="G181" s="91">
        <v>54.49</v>
      </c>
      <c r="H181" s="91" t="s">
        <v>1791</v>
      </c>
      <c r="I181" s="91">
        <v>2008127</v>
      </c>
      <c r="J181" s="87" t="s">
        <v>199</v>
      </c>
      <c r="K181" s="91" t="s">
        <v>1051</v>
      </c>
      <c r="L181" s="87" t="s">
        <v>201</v>
      </c>
    </row>
    <row r="182" spans="1:12" x14ac:dyDescent="0.25">
      <c r="A182" s="90">
        <v>39633</v>
      </c>
      <c r="B182" s="87" t="s">
        <v>1526</v>
      </c>
      <c r="C182" s="87" t="s">
        <v>369</v>
      </c>
      <c r="D182" s="87">
        <v>50</v>
      </c>
      <c r="E182" s="87">
        <v>153.69999999999999</v>
      </c>
      <c r="F182" s="88">
        <v>7685</v>
      </c>
      <c r="G182" s="91">
        <v>74.38</v>
      </c>
      <c r="H182" s="91" t="s">
        <v>1792</v>
      </c>
      <c r="I182" s="91">
        <v>2008127</v>
      </c>
      <c r="J182" s="87" t="s">
        <v>199</v>
      </c>
      <c r="K182" s="91" t="s">
        <v>1051</v>
      </c>
      <c r="L182" s="87" t="s">
        <v>201</v>
      </c>
    </row>
    <row r="183" spans="1:12" x14ac:dyDescent="0.25">
      <c r="A183" s="90">
        <v>39632</v>
      </c>
      <c r="B183" s="87" t="s">
        <v>1653</v>
      </c>
      <c r="C183" s="87" t="s">
        <v>369</v>
      </c>
      <c r="D183" s="87">
        <v>150</v>
      </c>
      <c r="E183" s="87">
        <v>30.75</v>
      </c>
      <c r="F183" s="88">
        <v>4612.5</v>
      </c>
      <c r="G183" s="91">
        <v>44.64</v>
      </c>
      <c r="H183" s="91" t="s">
        <v>1793</v>
      </c>
      <c r="I183" s="91">
        <v>2008126</v>
      </c>
      <c r="J183" s="87" t="s">
        <v>199</v>
      </c>
      <c r="K183" s="91" t="s">
        <v>1051</v>
      </c>
      <c r="L183" s="87" t="s">
        <v>201</v>
      </c>
    </row>
    <row r="184" spans="1:12" x14ac:dyDescent="0.25">
      <c r="A184" s="90">
        <v>39632</v>
      </c>
      <c r="B184" s="87" t="s">
        <v>1655</v>
      </c>
      <c r="C184" s="87" t="s">
        <v>369</v>
      </c>
      <c r="D184" s="87">
        <v>150</v>
      </c>
      <c r="E184" s="87">
        <v>21.75</v>
      </c>
      <c r="F184" s="88">
        <v>3262.5</v>
      </c>
      <c r="G184" s="91">
        <v>32.18</v>
      </c>
      <c r="H184" s="91" t="s">
        <v>1794</v>
      </c>
      <c r="I184" s="91">
        <v>2008126</v>
      </c>
      <c r="J184" s="87" t="s">
        <v>199</v>
      </c>
      <c r="K184" s="91" t="s">
        <v>1051</v>
      </c>
      <c r="L184" s="87" t="s">
        <v>201</v>
      </c>
    </row>
    <row r="185" spans="1:12" x14ac:dyDescent="0.25">
      <c r="A185" s="90">
        <v>39629</v>
      </c>
      <c r="B185" s="87" t="s">
        <v>1074</v>
      </c>
      <c r="C185" s="87" t="s">
        <v>369</v>
      </c>
      <c r="D185" s="87">
        <v>100</v>
      </c>
      <c r="E185" s="87">
        <v>71.400000000000006</v>
      </c>
      <c r="F185" s="88">
        <v>7140</v>
      </c>
      <c r="G185" s="91">
        <v>25.78</v>
      </c>
      <c r="H185" s="91" t="s">
        <v>1795</v>
      </c>
      <c r="I185" s="91">
        <v>2008123</v>
      </c>
      <c r="J185" s="87" t="s">
        <v>199</v>
      </c>
      <c r="K185" s="87" t="s">
        <v>1098</v>
      </c>
      <c r="L185" s="87" t="s">
        <v>201</v>
      </c>
    </row>
    <row r="186" spans="1:12" x14ac:dyDescent="0.25">
      <c r="A186" s="90">
        <v>39629</v>
      </c>
      <c r="B186" s="87" t="s">
        <v>1074</v>
      </c>
      <c r="C186" s="87" t="s">
        <v>369</v>
      </c>
      <c r="D186" s="87">
        <v>300</v>
      </c>
      <c r="E186" s="87">
        <v>71.3</v>
      </c>
      <c r="F186" s="88">
        <v>21390</v>
      </c>
      <c r="G186" s="91">
        <v>199.89</v>
      </c>
      <c r="H186" s="91" t="s">
        <v>1796</v>
      </c>
      <c r="I186" s="91">
        <v>2008123</v>
      </c>
      <c r="J186" s="87" t="s">
        <v>199</v>
      </c>
      <c r="K186" s="91" t="s">
        <v>1051</v>
      </c>
      <c r="L186" s="87" t="s">
        <v>201</v>
      </c>
    </row>
    <row r="187" spans="1:12" x14ac:dyDescent="0.25">
      <c r="A187" s="90">
        <v>39629</v>
      </c>
      <c r="B187" s="87" t="s">
        <v>1526</v>
      </c>
      <c r="C187" s="87" t="s">
        <v>369</v>
      </c>
      <c r="D187" s="87">
        <v>25</v>
      </c>
      <c r="E187" s="87">
        <v>145</v>
      </c>
      <c r="F187" s="88">
        <v>3625</v>
      </c>
      <c r="G187" s="91">
        <v>35.08</v>
      </c>
      <c r="H187" s="91" t="s">
        <v>1797</v>
      </c>
      <c r="I187" s="91">
        <v>2008123</v>
      </c>
      <c r="J187" s="87" t="s">
        <v>199</v>
      </c>
      <c r="K187" s="91" t="s">
        <v>1051</v>
      </c>
      <c r="L187" s="87" t="s">
        <v>201</v>
      </c>
    </row>
    <row r="188" spans="1:12" x14ac:dyDescent="0.25">
      <c r="A188" s="90">
        <v>39626</v>
      </c>
      <c r="B188" s="87" t="s">
        <v>1660</v>
      </c>
      <c r="C188" s="87" t="s">
        <v>369</v>
      </c>
      <c r="D188" s="87">
        <v>50</v>
      </c>
      <c r="E188" s="87">
        <v>195.5</v>
      </c>
      <c r="F188" s="88">
        <v>9775</v>
      </c>
      <c r="G188" s="91">
        <v>94.6</v>
      </c>
      <c r="H188" s="91" t="s">
        <v>1798</v>
      </c>
      <c r="I188" s="91">
        <v>200809062</v>
      </c>
      <c r="J188" s="87" t="s">
        <v>199</v>
      </c>
      <c r="K188" s="91" t="s">
        <v>1051</v>
      </c>
      <c r="L188" s="87" t="s">
        <v>204</v>
      </c>
    </row>
    <row r="189" spans="1:12" x14ac:dyDescent="0.25">
      <c r="A189" s="90">
        <v>39626</v>
      </c>
      <c r="B189" s="87" t="s">
        <v>1653</v>
      </c>
      <c r="C189" s="87" t="s">
        <v>369</v>
      </c>
      <c r="D189" s="87">
        <v>210</v>
      </c>
      <c r="E189" s="87">
        <v>35.1</v>
      </c>
      <c r="F189" s="88">
        <v>7371</v>
      </c>
      <c r="G189" s="91">
        <v>71.33</v>
      </c>
      <c r="H189" s="91" t="s">
        <v>1799</v>
      </c>
      <c r="I189" s="91">
        <v>2008122</v>
      </c>
      <c r="J189" s="87" t="s">
        <v>199</v>
      </c>
      <c r="K189" s="91" t="s">
        <v>1051</v>
      </c>
      <c r="L189" s="87" t="s">
        <v>201</v>
      </c>
    </row>
    <row r="190" spans="1:12" x14ac:dyDescent="0.25">
      <c r="A190" s="90">
        <v>39622</v>
      </c>
      <c r="B190" s="87" t="s">
        <v>1107</v>
      </c>
      <c r="C190" s="87" t="s">
        <v>369</v>
      </c>
      <c r="D190" s="87">
        <v>100</v>
      </c>
      <c r="E190" s="87">
        <v>103</v>
      </c>
      <c r="F190" s="88">
        <v>10300</v>
      </c>
      <c r="G190" s="91">
        <v>99.68</v>
      </c>
      <c r="H190" s="91" t="s">
        <v>1800</v>
      </c>
      <c r="I190" s="91">
        <v>2008118</v>
      </c>
      <c r="J190" s="87" t="s">
        <v>199</v>
      </c>
      <c r="K190" s="91" t="s">
        <v>1051</v>
      </c>
      <c r="L190" s="87" t="s">
        <v>201</v>
      </c>
    </row>
    <row r="191" spans="1:12" x14ac:dyDescent="0.25">
      <c r="A191" s="90">
        <v>39622</v>
      </c>
      <c r="B191" s="87" t="s">
        <v>1553</v>
      </c>
      <c r="C191" s="87" t="s">
        <v>369</v>
      </c>
      <c r="D191" s="87">
        <v>25</v>
      </c>
      <c r="E191" s="87">
        <v>218.4</v>
      </c>
      <c r="F191" s="88">
        <v>5460</v>
      </c>
      <c r="G191" s="91">
        <v>52.84</v>
      </c>
      <c r="H191" s="91" t="s">
        <v>1801</v>
      </c>
      <c r="I191" s="91">
        <v>2008118</v>
      </c>
      <c r="J191" s="87" t="s">
        <v>199</v>
      </c>
      <c r="K191" s="91" t="s">
        <v>1051</v>
      </c>
      <c r="L191" s="87" t="s">
        <v>201</v>
      </c>
    </row>
    <row r="192" spans="1:12" x14ac:dyDescent="0.25">
      <c r="A192" s="90">
        <v>39608</v>
      </c>
      <c r="B192" s="87" t="s">
        <v>1683</v>
      </c>
      <c r="C192" s="87" t="s">
        <v>369</v>
      </c>
      <c r="D192" s="87">
        <v>100</v>
      </c>
      <c r="E192" s="87">
        <v>61.6</v>
      </c>
      <c r="F192" s="88">
        <v>6160</v>
      </c>
      <c r="G192" s="91">
        <v>59.61</v>
      </c>
      <c r="H192" s="91" t="s">
        <v>1802</v>
      </c>
      <c r="I192" s="91">
        <v>200809048</v>
      </c>
      <c r="J192" s="87" t="s">
        <v>307</v>
      </c>
      <c r="K192" s="91" t="s">
        <v>1051</v>
      </c>
      <c r="L192" s="87" t="s">
        <v>204</v>
      </c>
    </row>
    <row r="193" spans="1:12" x14ac:dyDescent="0.25">
      <c r="A193" s="90">
        <v>39605</v>
      </c>
      <c r="B193" s="87" t="s">
        <v>1107</v>
      </c>
      <c r="C193" s="87" t="s">
        <v>369</v>
      </c>
      <c r="D193" s="87">
        <v>150</v>
      </c>
      <c r="E193" s="87">
        <v>105.7</v>
      </c>
      <c r="F193" s="88">
        <v>15855</v>
      </c>
      <c r="G193" s="91">
        <v>153.44</v>
      </c>
      <c r="H193" s="91" t="s">
        <v>1803</v>
      </c>
      <c r="I193" s="91">
        <v>200809047</v>
      </c>
      <c r="J193" s="87" t="s">
        <v>199</v>
      </c>
      <c r="K193" s="91" t="s">
        <v>1051</v>
      </c>
      <c r="L193" s="87" t="s">
        <v>204</v>
      </c>
    </row>
    <row r="194" spans="1:12" x14ac:dyDescent="0.25">
      <c r="A194" s="90">
        <v>39605</v>
      </c>
      <c r="B194" s="87" t="s">
        <v>1683</v>
      </c>
      <c r="C194" s="87" t="s">
        <v>369</v>
      </c>
      <c r="D194" s="87">
        <v>95</v>
      </c>
      <c r="E194" s="87">
        <v>64.12</v>
      </c>
      <c r="F194" s="88">
        <v>6091.75</v>
      </c>
      <c r="G194" s="91">
        <v>58.94</v>
      </c>
      <c r="H194" s="91" t="s">
        <v>1804</v>
      </c>
      <c r="I194" s="91">
        <v>200809047</v>
      </c>
      <c r="J194" s="87" t="s">
        <v>307</v>
      </c>
      <c r="K194" s="91" t="s">
        <v>1051</v>
      </c>
      <c r="L194" s="87" t="s">
        <v>204</v>
      </c>
    </row>
    <row r="195" spans="1:12" x14ac:dyDescent="0.25">
      <c r="A195" s="90">
        <v>39605</v>
      </c>
      <c r="B195" s="87" t="s">
        <v>1686</v>
      </c>
      <c r="C195" s="87" t="s">
        <v>369</v>
      </c>
      <c r="D195" s="87">
        <v>175</v>
      </c>
      <c r="E195" s="87">
        <v>49.1</v>
      </c>
      <c r="F195" s="88">
        <v>8592.5</v>
      </c>
      <c r="G195" s="91">
        <v>83.16</v>
      </c>
      <c r="H195" s="91" t="s">
        <v>1805</v>
      </c>
      <c r="I195" s="91">
        <v>2008107</v>
      </c>
      <c r="J195" s="87" t="s">
        <v>199</v>
      </c>
      <c r="K195" s="91" t="s">
        <v>1051</v>
      </c>
      <c r="L195" s="87" t="s">
        <v>201</v>
      </c>
    </row>
    <row r="196" spans="1:12" x14ac:dyDescent="0.25">
      <c r="A196" s="90">
        <v>39605</v>
      </c>
      <c r="B196" s="87" t="s">
        <v>1702</v>
      </c>
      <c r="C196" s="87" t="s">
        <v>369</v>
      </c>
      <c r="D196" s="87">
        <v>100</v>
      </c>
      <c r="E196" s="87">
        <v>157.6</v>
      </c>
      <c r="F196" s="88">
        <v>15760</v>
      </c>
      <c r="G196" s="91">
        <v>152.51</v>
      </c>
      <c r="H196" s="91" t="s">
        <v>1806</v>
      </c>
      <c r="I196" s="91">
        <v>2008107</v>
      </c>
      <c r="J196" s="87" t="s">
        <v>199</v>
      </c>
      <c r="K196" s="91" t="s">
        <v>1051</v>
      </c>
      <c r="L196" s="87" t="s">
        <v>201</v>
      </c>
    </row>
    <row r="197" spans="1:12" x14ac:dyDescent="0.25">
      <c r="A197" s="90">
        <v>39605</v>
      </c>
      <c r="B197" s="87" t="s">
        <v>1553</v>
      </c>
      <c r="C197" s="87" t="s">
        <v>369</v>
      </c>
      <c r="D197" s="87">
        <v>50</v>
      </c>
      <c r="E197" s="87">
        <v>234.2</v>
      </c>
      <c r="F197" s="88">
        <v>11710</v>
      </c>
      <c r="G197" s="91">
        <v>113.32</v>
      </c>
      <c r="H197" s="91" t="s">
        <v>1807</v>
      </c>
      <c r="I197" s="91">
        <v>2008107</v>
      </c>
      <c r="J197" s="87" t="s">
        <v>199</v>
      </c>
      <c r="K197" s="91" t="s">
        <v>1051</v>
      </c>
      <c r="L197" s="87" t="s">
        <v>201</v>
      </c>
    </row>
    <row r="198" spans="1:12" x14ac:dyDescent="0.25">
      <c r="A198" s="90">
        <v>39605</v>
      </c>
      <c r="B198" s="87" t="s">
        <v>1660</v>
      </c>
      <c r="C198" s="87" t="s">
        <v>369</v>
      </c>
      <c r="D198" s="87">
        <v>30</v>
      </c>
      <c r="E198" s="87">
        <v>223</v>
      </c>
      <c r="F198" s="88">
        <v>6690</v>
      </c>
      <c r="G198" s="91">
        <v>64.739999999999995</v>
      </c>
      <c r="H198" s="91" t="s">
        <v>1808</v>
      </c>
      <c r="I198" s="91">
        <v>2008107</v>
      </c>
      <c r="J198" s="87" t="s">
        <v>199</v>
      </c>
      <c r="K198" s="87" t="s">
        <v>1185</v>
      </c>
      <c r="L198" s="87" t="s">
        <v>201</v>
      </c>
    </row>
    <row r="199" spans="1:12" x14ac:dyDescent="0.25">
      <c r="A199" s="90">
        <v>39603</v>
      </c>
      <c r="B199" s="87" t="s">
        <v>1708</v>
      </c>
      <c r="C199" s="87" t="s">
        <v>369</v>
      </c>
      <c r="D199" s="87">
        <v>400</v>
      </c>
      <c r="E199" s="87">
        <v>25.95</v>
      </c>
      <c r="F199" s="88">
        <v>10380</v>
      </c>
      <c r="G199" s="91">
        <v>100.46</v>
      </c>
      <c r="H199" s="91" t="s">
        <v>1809</v>
      </c>
      <c r="I199" s="91">
        <v>200809045</v>
      </c>
      <c r="J199" s="87" t="s">
        <v>199</v>
      </c>
      <c r="K199" s="91" t="s">
        <v>1051</v>
      </c>
      <c r="L199" s="87" t="s">
        <v>204</v>
      </c>
    </row>
    <row r="200" spans="1:12" x14ac:dyDescent="0.25">
      <c r="A200" s="90">
        <v>39602</v>
      </c>
      <c r="B200" s="87" t="s">
        <v>1697</v>
      </c>
      <c r="C200" s="87" t="s">
        <v>369</v>
      </c>
      <c r="D200" s="87">
        <v>20</v>
      </c>
      <c r="E200" s="87">
        <v>840.75</v>
      </c>
      <c r="F200" s="88">
        <v>16815</v>
      </c>
      <c r="G200" s="91">
        <v>162.72</v>
      </c>
      <c r="H200" s="91" t="s">
        <v>1810</v>
      </c>
      <c r="I200" s="91">
        <v>2008104</v>
      </c>
      <c r="J200" s="87" t="s">
        <v>199</v>
      </c>
      <c r="K200" s="91" t="s">
        <v>1051</v>
      </c>
      <c r="L200" s="87" t="s">
        <v>201</v>
      </c>
    </row>
    <row r="201" spans="1:12" x14ac:dyDescent="0.25">
      <c r="A201" s="90">
        <v>39580</v>
      </c>
      <c r="B201" s="87" t="s">
        <v>1549</v>
      </c>
      <c r="C201" s="87" t="s">
        <v>369</v>
      </c>
      <c r="D201" s="87">
        <v>5</v>
      </c>
      <c r="E201" s="88">
        <v>2797.8</v>
      </c>
      <c r="F201" s="88">
        <v>13989</v>
      </c>
      <c r="G201" s="91">
        <v>135.38</v>
      </c>
      <c r="H201" s="91" t="s">
        <v>1811</v>
      </c>
      <c r="I201" s="91">
        <v>200809029</v>
      </c>
      <c r="J201" s="87" t="s">
        <v>199</v>
      </c>
      <c r="K201" s="91" t="s">
        <v>1051</v>
      </c>
      <c r="L201" s="87" t="s">
        <v>204</v>
      </c>
    </row>
    <row r="202" spans="1:12" x14ac:dyDescent="0.25">
      <c r="A202" s="90">
        <v>39580</v>
      </c>
      <c r="B202" s="87" t="s">
        <v>1510</v>
      </c>
      <c r="C202" s="87" t="s">
        <v>369</v>
      </c>
      <c r="D202" s="87">
        <v>7</v>
      </c>
      <c r="E202" s="88">
        <v>2215</v>
      </c>
      <c r="F202" s="88">
        <v>15505</v>
      </c>
      <c r="G202" s="91">
        <v>150.04</v>
      </c>
      <c r="H202" s="91" t="s">
        <v>1812</v>
      </c>
      <c r="I202" s="91">
        <v>2008089</v>
      </c>
      <c r="J202" s="87" t="s">
        <v>199</v>
      </c>
      <c r="K202" s="91" t="s">
        <v>1051</v>
      </c>
      <c r="L202" s="87" t="s">
        <v>201</v>
      </c>
    </row>
    <row r="203" spans="1:12" x14ac:dyDescent="0.25">
      <c r="A203" s="90">
        <v>39580</v>
      </c>
      <c r="B203" s="87" t="s">
        <v>1712</v>
      </c>
      <c r="C203" s="87" t="s">
        <v>369</v>
      </c>
      <c r="D203" s="87">
        <v>35</v>
      </c>
      <c r="E203" s="87">
        <v>554</v>
      </c>
      <c r="F203" s="88">
        <v>19390</v>
      </c>
      <c r="G203" s="91">
        <v>187.64</v>
      </c>
      <c r="H203" s="91" t="s">
        <v>1813</v>
      </c>
      <c r="I203" s="91">
        <v>2008089</v>
      </c>
      <c r="J203" s="87" t="s">
        <v>199</v>
      </c>
      <c r="K203" s="91" t="s">
        <v>1051</v>
      </c>
      <c r="L203" s="87" t="s">
        <v>201</v>
      </c>
    </row>
    <row r="204" spans="1:12" x14ac:dyDescent="0.25">
      <c r="A204" s="90">
        <v>39574</v>
      </c>
      <c r="B204" s="87" t="s">
        <v>1526</v>
      </c>
      <c r="C204" s="87" t="s">
        <v>369</v>
      </c>
      <c r="D204" s="87">
        <v>100</v>
      </c>
      <c r="E204" s="87">
        <v>285</v>
      </c>
      <c r="F204" s="88">
        <v>28500</v>
      </c>
      <c r="G204" s="91">
        <v>275.8</v>
      </c>
      <c r="H204" s="91" t="s">
        <v>1814</v>
      </c>
      <c r="I204" s="91">
        <v>200809025</v>
      </c>
      <c r="J204" s="87" t="s">
        <v>199</v>
      </c>
      <c r="K204" s="91" t="s">
        <v>1051</v>
      </c>
      <c r="L204" s="87" t="s">
        <v>204</v>
      </c>
    </row>
    <row r="205" spans="1:12" x14ac:dyDescent="0.25">
      <c r="A205" s="90">
        <v>39568</v>
      </c>
      <c r="B205" s="87" t="s">
        <v>1535</v>
      </c>
      <c r="C205" s="87" t="s">
        <v>369</v>
      </c>
      <c r="D205" s="87">
        <v>75</v>
      </c>
      <c r="E205" s="87">
        <v>195.02</v>
      </c>
      <c r="F205" s="88">
        <v>14626.15</v>
      </c>
      <c r="G205" s="91">
        <v>141.51</v>
      </c>
      <c r="H205" s="91" t="s">
        <v>1815</v>
      </c>
      <c r="I205" s="91">
        <v>2008082</v>
      </c>
      <c r="J205" s="87" t="s">
        <v>199</v>
      </c>
      <c r="K205" s="91" t="s">
        <v>1051</v>
      </c>
      <c r="L205" s="87" t="s">
        <v>201</v>
      </c>
    </row>
    <row r="206" spans="1:12" x14ac:dyDescent="0.25">
      <c r="A206" s="90">
        <v>39563</v>
      </c>
      <c r="B206" s="87" t="s">
        <v>1170</v>
      </c>
      <c r="C206" s="87" t="s">
        <v>369</v>
      </c>
      <c r="D206" s="87">
        <v>185</v>
      </c>
      <c r="E206" s="87">
        <v>46.4</v>
      </c>
      <c r="F206" s="88">
        <v>8584</v>
      </c>
      <c r="G206" s="91">
        <v>83.07</v>
      </c>
      <c r="H206" s="91" t="s">
        <v>1816</v>
      </c>
      <c r="I206" s="91">
        <v>2008079</v>
      </c>
      <c r="J206" s="87" t="s">
        <v>199</v>
      </c>
      <c r="K206" s="91" t="s">
        <v>1051</v>
      </c>
      <c r="L206" s="87" t="s">
        <v>201</v>
      </c>
    </row>
    <row r="207" spans="1:12" x14ac:dyDescent="0.25">
      <c r="A207" s="90">
        <v>39562</v>
      </c>
      <c r="B207" s="87" t="s">
        <v>1683</v>
      </c>
      <c r="C207" s="87" t="s">
        <v>369</v>
      </c>
      <c r="D207" s="87">
        <v>190</v>
      </c>
      <c r="E207" s="87">
        <v>54.4</v>
      </c>
      <c r="F207" s="88">
        <v>10336</v>
      </c>
      <c r="G207" s="91">
        <v>100.02</v>
      </c>
      <c r="H207" s="91" t="s">
        <v>1817</v>
      </c>
      <c r="I207" s="91">
        <v>200809018</v>
      </c>
      <c r="J207" s="87" t="s">
        <v>307</v>
      </c>
      <c r="K207" s="91" t="s">
        <v>1051</v>
      </c>
      <c r="L207" s="87" t="s">
        <v>204</v>
      </c>
    </row>
    <row r="208" spans="1:12" x14ac:dyDescent="0.25">
      <c r="A208" s="90">
        <v>39559</v>
      </c>
      <c r="B208" s="87" t="s">
        <v>1731</v>
      </c>
      <c r="C208" s="87" t="s">
        <v>369</v>
      </c>
      <c r="D208" s="87">
        <v>20</v>
      </c>
      <c r="E208" s="87">
        <v>208.5</v>
      </c>
      <c r="F208" s="88">
        <v>4170</v>
      </c>
      <c r="G208" s="91">
        <v>40.35</v>
      </c>
      <c r="H208" s="91" t="s">
        <v>1818</v>
      </c>
      <c r="I208" s="91">
        <v>200809015</v>
      </c>
      <c r="J208" s="87" t="s">
        <v>199</v>
      </c>
      <c r="K208" s="91" t="s">
        <v>1051</v>
      </c>
      <c r="L208" s="87" t="s">
        <v>204</v>
      </c>
    </row>
    <row r="209" spans="1:12" x14ac:dyDescent="0.25">
      <c r="A209" s="90">
        <v>39549</v>
      </c>
      <c r="B209" s="87" t="s">
        <v>1743</v>
      </c>
      <c r="C209" s="87" t="s">
        <v>369</v>
      </c>
      <c r="D209" s="87">
        <v>300</v>
      </c>
      <c r="E209" s="87">
        <v>6.6</v>
      </c>
      <c r="F209" s="88">
        <v>1980</v>
      </c>
      <c r="G209" s="91">
        <v>30.56</v>
      </c>
      <c r="H209" s="91" t="s">
        <v>1819</v>
      </c>
      <c r="I209" s="91">
        <v>200809011</v>
      </c>
      <c r="J209" s="87" t="s">
        <v>199</v>
      </c>
      <c r="K209" s="91" t="s">
        <v>1051</v>
      </c>
      <c r="L209" s="87" t="s">
        <v>204</v>
      </c>
    </row>
    <row r="210" spans="1:12" x14ac:dyDescent="0.25">
      <c r="A210" s="90">
        <v>39549</v>
      </c>
      <c r="B210" s="87" t="s">
        <v>1734</v>
      </c>
      <c r="C210" s="87" t="s">
        <v>369</v>
      </c>
      <c r="D210" s="87">
        <v>7</v>
      </c>
      <c r="E210" s="88">
        <v>1795.1</v>
      </c>
      <c r="F210" s="88">
        <v>12565.7</v>
      </c>
      <c r="G210" s="91">
        <v>121.6</v>
      </c>
      <c r="H210" s="91" t="s">
        <v>1820</v>
      </c>
      <c r="I210" s="91">
        <v>2008071</v>
      </c>
      <c r="J210" s="87" t="s">
        <v>199</v>
      </c>
      <c r="K210" s="91" t="s">
        <v>1051</v>
      </c>
      <c r="L210" s="87" t="s">
        <v>201</v>
      </c>
    </row>
    <row r="211" spans="1:12" x14ac:dyDescent="0.25">
      <c r="A211" s="90">
        <v>39549</v>
      </c>
      <c r="B211" s="87" t="s">
        <v>1734</v>
      </c>
      <c r="C211" s="87" t="s">
        <v>369</v>
      </c>
      <c r="D211" s="87">
        <v>25</v>
      </c>
      <c r="E211" s="88">
        <v>1808.02</v>
      </c>
      <c r="F211" s="88">
        <v>45200.55</v>
      </c>
      <c r="G211" s="91">
        <v>36.69</v>
      </c>
      <c r="H211" s="91" t="s">
        <v>1821</v>
      </c>
      <c r="I211" s="91">
        <v>2008071</v>
      </c>
      <c r="J211" s="87" t="s">
        <v>199</v>
      </c>
      <c r="K211" s="87" t="s">
        <v>1098</v>
      </c>
      <c r="L211" s="87" t="s">
        <v>201</v>
      </c>
    </row>
    <row r="212" spans="1:12" x14ac:dyDescent="0.25">
      <c r="A212" s="90">
        <v>39549</v>
      </c>
      <c r="B212" s="87" t="s">
        <v>1734</v>
      </c>
      <c r="C212" s="87" t="s">
        <v>369</v>
      </c>
      <c r="D212" s="87">
        <v>50</v>
      </c>
      <c r="E212" s="88">
        <v>1822.2</v>
      </c>
      <c r="F212" s="88">
        <v>91110</v>
      </c>
      <c r="G212" s="91">
        <v>73.97</v>
      </c>
      <c r="H212" s="91" t="s">
        <v>1822</v>
      </c>
      <c r="I212" s="91">
        <v>2008071</v>
      </c>
      <c r="J212" s="87" t="s">
        <v>199</v>
      </c>
      <c r="K212" s="87" t="s">
        <v>1098</v>
      </c>
      <c r="L212" s="87" t="s">
        <v>201</v>
      </c>
    </row>
    <row r="213" spans="1:12" x14ac:dyDescent="0.25">
      <c r="A213" s="90">
        <v>39549</v>
      </c>
      <c r="B213" s="87" t="s">
        <v>1734</v>
      </c>
      <c r="C213" s="87" t="s">
        <v>369</v>
      </c>
      <c r="D213" s="87">
        <v>50</v>
      </c>
      <c r="E213" s="88">
        <v>1829.23</v>
      </c>
      <c r="F213" s="88">
        <v>91461.25</v>
      </c>
      <c r="G213" s="91">
        <v>74.25</v>
      </c>
      <c r="H213" s="91" t="s">
        <v>1823</v>
      </c>
      <c r="I213" s="91">
        <v>2008071</v>
      </c>
      <c r="J213" s="87" t="s">
        <v>199</v>
      </c>
      <c r="K213" s="87" t="s">
        <v>1098</v>
      </c>
      <c r="L213" s="87" t="s">
        <v>201</v>
      </c>
    </row>
    <row r="214" spans="1:12" x14ac:dyDescent="0.25">
      <c r="A214" s="90">
        <v>39549</v>
      </c>
      <c r="B214" s="87" t="s">
        <v>1734</v>
      </c>
      <c r="C214" s="87" t="s">
        <v>369</v>
      </c>
      <c r="D214" s="87">
        <v>50</v>
      </c>
      <c r="E214" s="88">
        <v>1830</v>
      </c>
      <c r="F214" s="88">
        <v>91500</v>
      </c>
      <c r="G214" s="91">
        <v>74.290000000000006</v>
      </c>
      <c r="H214" s="91" t="s">
        <v>1824</v>
      </c>
      <c r="I214" s="91">
        <v>2008071</v>
      </c>
      <c r="J214" s="87" t="s">
        <v>199</v>
      </c>
      <c r="K214" s="87" t="s">
        <v>1098</v>
      </c>
      <c r="L214" s="87" t="s">
        <v>201</v>
      </c>
    </row>
    <row r="215" spans="1:12" x14ac:dyDescent="0.25">
      <c r="A215" s="90">
        <v>39549</v>
      </c>
      <c r="B215" s="87" t="s">
        <v>1734</v>
      </c>
      <c r="C215" s="87" t="s">
        <v>369</v>
      </c>
      <c r="D215" s="87">
        <v>50</v>
      </c>
      <c r="E215" s="88">
        <v>1830.3</v>
      </c>
      <c r="F215" s="88">
        <v>91515</v>
      </c>
      <c r="G215" s="91">
        <v>74.3</v>
      </c>
      <c r="H215" s="91" t="s">
        <v>1825</v>
      </c>
      <c r="I215" s="91">
        <v>2008071</v>
      </c>
      <c r="J215" s="87" t="s">
        <v>199</v>
      </c>
      <c r="K215" s="87" t="s">
        <v>1098</v>
      </c>
      <c r="L215" s="87" t="s">
        <v>201</v>
      </c>
    </row>
    <row r="216" spans="1:12" x14ac:dyDescent="0.25">
      <c r="A216" s="90">
        <v>39542</v>
      </c>
      <c r="B216" s="87" t="s">
        <v>1535</v>
      </c>
      <c r="C216" s="87" t="s">
        <v>369</v>
      </c>
      <c r="D216" s="87">
        <v>75</v>
      </c>
      <c r="E216" s="87">
        <v>140</v>
      </c>
      <c r="F216" s="88">
        <v>10500</v>
      </c>
      <c r="G216" s="91">
        <v>101.62</v>
      </c>
      <c r="H216" s="91" t="s">
        <v>1826</v>
      </c>
      <c r="I216" s="91">
        <v>200809006</v>
      </c>
      <c r="J216" s="87" t="s">
        <v>199</v>
      </c>
      <c r="K216" s="91" t="s">
        <v>1051</v>
      </c>
      <c r="L216" s="87" t="s">
        <v>204</v>
      </c>
    </row>
    <row r="217" spans="1:12" x14ac:dyDescent="0.25">
      <c r="A217" s="90">
        <v>39541</v>
      </c>
      <c r="B217" s="87" t="s">
        <v>1526</v>
      </c>
      <c r="C217" s="87" t="s">
        <v>369</v>
      </c>
      <c r="D217" s="87">
        <v>149</v>
      </c>
      <c r="E217" s="87">
        <v>235.73</v>
      </c>
      <c r="F217" s="88">
        <v>35123.699999999997</v>
      </c>
      <c r="G217" s="91">
        <v>339.89</v>
      </c>
      <c r="H217" s="91" t="s">
        <v>1827</v>
      </c>
      <c r="I217" s="91">
        <v>2008065</v>
      </c>
      <c r="J217" s="87" t="s">
        <v>199</v>
      </c>
      <c r="K217" s="91" t="s">
        <v>1051</v>
      </c>
      <c r="L217" s="87" t="s">
        <v>201</v>
      </c>
    </row>
    <row r="218" spans="1:12" x14ac:dyDescent="0.25">
      <c r="A218" s="90"/>
      <c r="B218" s="87"/>
      <c r="C218" s="87"/>
      <c r="D218" s="105"/>
      <c r="E218" s="87"/>
      <c r="F218" s="88">
        <f>SUM(F140:F217)</f>
        <v>1137400.9000000001</v>
      </c>
      <c r="G218" s="91">
        <f>SUM(G140:G217)</f>
        <v>7511.4500000000016</v>
      </c>
      <c r="J218" s="87"/>
      <c r="L218" s="87"/>
    </row>
    <row r="219" spans="1:12" x14ac:dyDescent="0.25">
      <c r="F219" s="88" t="s">
        <v>659</v>
      </c>
      <c r="G219" s="88">
        <f>F218-G218</f>
        <v>1129889.4500000002</v>
      </c>
    </row>
    <row r="220" spans="1:12" x14ac:dyDescent="0.25">
      <c r="A220" s="54" t="s">
        <v>1828</v>
      </c>
    </row>
    <row r="221" spans="1:12" x14ac:dyDescent="0.25">
      <c r="F221" s="93" t="s">
        <v>660</v>
      </c>
      <c r="G221" s="94">
        <f>G219-G138</f>
        <v>-170582.80999999936</v>
      </c>
    </row>
    <row r="223" spans="1:12" x14ac:dyDescent="0.25">
      <c r="A223" s="54" t="s">
        <v>1281</v>
      </c>
    </row>
    <row r="224" spans="1:12" x14ac:dyDescent="0.25">
      <c r="A224" s="90">
        <v>39903</v>
      </c>
      <c r="B224" s="87" t="s">
        <v>1055</v>
      </c>
      <c r="C224" s="87" t="s">
        <v>197</v>
      </c>
      <c r="D224" s="87">
        <v>175</v>
      </c>
      <c r="E224" s="87">
        <v>29.4</v>
      </c>
      <c r="F224" s="88">
        <v>5145</v>
      </c>
      <c r="G224" s="91">
        <v>49.67</v>
      </c>
      <c r="H224" s="91" t="s">
        <v>1056</v>
      </c>
      <c r="I224" s="91">
        <v>2009059</v>
      </c>
      <c r="J224" s="87" t="s">
        <v>199</v>
      </c>
      <c r="K224" s="91" t="s">
        <v>1051</v>
      </c>
      <c r="L224" s="87" t="s">
        <v>201</v>
      </c>
    </row>
    <row r="225" spans="1:12" x14ac:dyDescent="0.25">
      <c r="A225" s="90">
        <v>39729</v>
      </c>
      <c r="B225" s="87" t="s">
        <v>282</v>
      </c>
      <c r="C225" s="87" t="s">
        <v>197</v>
      </c>
      <c r="D225" s="87">
        <v>300</v>
      </c>
      <c r="E225" s="87">
        <v>12.35</v>
      </c>
      <c r="F225" s="88">
        <v>3705</v>
      </c>
      <c r="G225" s="91">
        <v>36.31</v>
      </c>
      <c r="H225" s="91" t="s">
        <v>1050</v>
      </c>
      <c r="I225" s="91">
        <v>2008192</v>
      </c>
      <c r="J225" s="87" t="s">
        <v>199</v>
      </c>
      <c r="K225" s="91" t="s">
        <v>1051</v>
      </c>
      <c r="L225" s="87" t="s">
        <v>201</v>
      </c>
    </row>
    <row r="226" spans="1:12" x14ac:dyDescent="0.25">
      <c r="A226" s="90">
        <v>39728</v>
      </c>
      <c r="B226" s="87" t="s">
        <v>282</v>
      </c>
      <c r="C226" s="87" t="s">
        <v>197</v>
      </c>
      <c r="D226" s="87">
        <v>1000</v>
      </c>
      <c r="E226" s="87">
        <v>13.1</v>
      </c>
      <c r="F226" s="88">
        <v>13100</v>
      </c>
      <c r="G226" s="91">
        <v>128.58000000000001</v>
      </c>
      <c r="H226" s="91" t="s">
        <v>1052</v>
      </c>
      <c r="I226" s="91">
        <v>2008191</v>
      </c>
      <c r="J226" s="87" t="s">
        <v>199</v>
      </c>
      <c r="K226" s="91" t="s">
        <v>1051</v>
      </c>
      <c r="L226" s="87" t="s">
        <v>201</v>
      </c>
    </row>
    <row r="227" spans="1:12" x14ac:dyDescent="0.25">
      <c r="A227" s="90">
        <v>39728</v>
      </c>
      <c r="B227" s="87" t="s">
        <v>282</v>
      </c>
      <c r="C227" s="87" t="s">
        <v>197</v>
      </c>
      <c r="D227" s="87">
        <v>700</v>
      </c>
      <c r="E227" s="87">
        <v>13.1</v>
      </c>
      <c r="F227" s="88">
        <v>9170</v>
      </c>
      <c r="G227" s="91">
        <v>90</v>
      </c>
      <c r="H227" s="91" t="s">
        <v>1053</v>
      </c>
      <c r="I227" s="91">
        <v>2008191</v>
      </c>
      <c r="J227" s="87" t="s">
        <v>199</v>
      </c>
      <c r="K227" s="91" t="s">
        <v>1051</v>
      </c>
      <c r="L227" s="87" t="s">
        <v>201</v>
      </c>
    </row>
  </sheetData>
  <phoneticPr fontId="10" type="noConversion"/>
  <pageMargins left="0.75" right="0.75" top="1" bottom="1" header="0.5" footer="0.5"/>
  <pageSetup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0"/>
  <sheetViews>
    <sheetView topLeftCell="A40" workbookViewId="0">
      <selection activeCell="P22" sqref="P22"/>
    </sheetView>
  </sheetViews>
  <sheetFormatPr defaultColWidth="9.21875" defaultRowHeight="13.2" x14ac:dyDescent="0.25"/>
  <cols>
    <col min="1" max="1" width="9.21875" style="1"/>
    <col min="2" max="2" width="30.77734375" style="1" customWidth="1"/>
    <col min="3" max="5" width="9.21875" style="1"/>
    <col min="6" max="7" width="10.21875" style="12" bestFit="1" customWidth="1"/>
    <col min="8" max="8" width="26.44140625" style="59" customWidth="1"/>
    <col min="9" max="16384" width="9.21875" style="1"/>
  </cols>
  <sheetData>
    <row r="1" spans="1:8" x14ac:dyDescent="0.25">
      <c r="A1" s="107" t="s">
        <v>467</v>
      </c>
      <c r="B1" s="107" t="s">
        <v>468</v>
      </c>
      <c r="C1" s="107" t="s">
        <v>186</v>
      </c>
      <c r="D1" s="107" t="s">
        <v>469</v>
      </c>
      <c r="E1" s="108" t="s">
        <v>188</v>
      </c>
      <c r="F1" s="109" t="s">
        <v>470</v>
      </c>
      <c r="G1" s="109" t="s">
        <v>471</v>
      </c>
      <c r="H1" s="110" t="s">
        <v>191</v>
      </c>
    </row>
    <row r="2" spans="1:8" x14ac:dyDescent="0.25">
      <c r="A2" s="5">
        <v>39806</v>
      </c>
      <c r="B2" s="6" t="s">
        <v>1829</v>
      </c>
      <c r="C2" s="7" t="s">
        <v>197</v>
      </c>
      <c r="D2" s="7">
        <v>4300</v>
      </c>
      <c r="E2" s="8">
        <v>1</v>
      </c>
      <c r="F2" s="9">
        <v>4300</v>
      </c>
      <c r="G2" s="1">
        <v>108.99</v>
      </c>
      <c r="H2" s="1" t="s">
        <v>1830</v>
      </c>
    </row>
    <row r="3" spans="1:8" x14ac:dyDescent="0.25">
      <c r="A3" s="5">
        <v>39861</v>
      </c>
      <c r="B3" s="6" t="s">
        <v>1831</v>
      </c>
      <c r="C3" s="7" t="s">
        <v>197</v>
      </c>
      <c r="D3" s="7">
        <v>4300</v>
      </c>
      <c r="E3" s="8">
        <v>0.5</v>
      </c>
      <c r="F3" s="9">
        <v>2150</v>
      </c>
      <c r="G3" s="1">
        <v>107.86</v>
      </c>
      <c r="H3" s="1" t="s">
        <v>1832</v>
      </c>
    </row>
    <row r="4" spans="1:8" x14ac:dyDescent="0.25">
      <c r="A4" s="5">
        <v>39808</v>
      </c>
      <c r="B4" s="6" t="s">
        <v>1833</v>
      </c>
      <c r="C4" s="7" t="s">
        <v>197</v>
      </c>
      <c r="D4" s="7">
        <v>2400</v>
      </c>
      <c r="E4" s="8">
        <v>3</v>
      </c>
      <c r="F4" s="9">
        <v>7200</v>
      </c>
      <c r="G4" s="1">
        <v>110.49</v>
      </c>
      <c r="H4" s="1" t="s">
        <v>1834</v>
      </c>
    </row>
    <row r="5" spans="1:8" x14ac:dyDescent="0.25">
      <c r="A5" s="5">
        <v>39829</v>
      </c>
      <c r="B5" s="6" t="s">
        <v>1835</v>
      </c>
      <c r="C5" s="7" t="s">
        <v>197</v>
      </c>
      <c r="D5" s="7">
        <v>2400</v>
      </c>
      <c r="E5" s="8">
        <v>2</v>
      </c>
      <c r="F5" s="9">
        <v>4800</v>
      </c>
      <c r="G5" s="1">
        <v>109.25</v>
      </c>
      <c r="H5" s="1" t="s">
        <v>1836</v>
      </c>
    </row>
    <row r="6" spans="1:8" x14ac:dyDescent="0.25">
      <c r="A6" s="5">
        <v>39548</v>
      </c>
      <c r="B6" s="6" t="s">
        <v>1837</v>
      </c>
      <c r="C6" s="7" t="s">
        <v>197</v>
      </c>
      <c r="D6" s="7">
        <v>400</v>
      </c>
      <c r="E6" s="8">
        <v>4.8</v>
      </c>
      <c r="F6" s="9">
        <v>1920</v>
      </c>
      <c r="G6" s="1">
        <v>106.74</v>
      </c>
      <c r="H6" s="1" t="s">
        <v>1838</v>
      </c>
    </row>
    <row r="7" spans="1:8" x14ac:dyDescent="0.25">
      <c r="A7" s="5">
        <v>39755</v>
      </c>
      <c r="B7" s="6" t="s">
        <v>1843</v>
      </c>
      <c r="C7" s="7" t="s">
        <v>197</v>
      </c>
      <c r="D7" s="7">
        <v>400</v>
      </c>
      <c r="E7" s="8">
        <v>20.100000000000001</v>
      </c>
      <c r="F7" s="9">
        <v>8040</v>
      </c>
      <c r="G7" s="1">
        <v>110.93</v>
      </c>
      <c r="H7" s="1" t="s">
        <v>1844</v>
      </c>
    </row>
    <row r="8" spans="1:8" x14ac:dyDescent="0.25">
      <c r="A8" s="5">
        <v>39829</v>
      </c>
      <c r="B8" s="6" t="s">
        <v>1851</v>
      </c>
      <c r="C8" s="7" t="s">
        <v>197</v>
      </c>
      <c r="D8" s="7">
        <v>400</v>
      </c>
      <c r="E8" s="8">
        <v>16</v>
      </c>
      <c r="F8" s="9">
        <v>6400</v>
      </c>
      <c r="G8" s="1">
        <v>110.08</v>
      </c>
      <c r="H8" s="1" t="s">
        <v>1852</v>
      </c>
    </row>
    <row r="9" spans="1:8" x14ac:dyDescent="0.25">
      <c r="A9" s="5">
        <v>39766</v>
      </c>
      <c r="B9" s="6" t="s">
        <v>1853</v>
      </c>
      <c r="C9" s="7" t="s">
        <v>197</v>
      </c>
      <c r="D9" s="7">
        <v>5225</v>
      </c>
      <c r="E9" s="8">
        <v>0.45</v>
      </c>
      <c r="F9" s="9">
        <v>2351.25</v>
      </c>
      <c r="G9" s="1">
        <v>107.97</v>
      </c>
      <c r="H9" s="1" t="s">
        <v>1854</v>
      </c>
    </row>
    <row r="10" spans="1:8" x14ac:dyDescent="0.25">
      <c r="A10" s="5">
        <v>39769</v>
      </c>
      <c r="B10" s="6" t="s">
        <v>1855</v>
      </c>
      <c r="C10" s="7" t="s">
        <v>197</v>
      </c>
      <c r="D10" s="7">
        <v>5225</v>
      </c>
      <c r="E10" s="8">
        <v>0.2</v>
      </c>
      <c r="F10" s="9">
        <v>1045</v>
      </c>
      <c r="G10" s="1">
        <v>107.28</v>
      </c>
      <c r="H10" s="1" t="s">
        <v>1856</v>
      </c>
    </row>
    <row r="11" spans="1:8" x14ac:dyDescent="0.25">
      <c r="A11" s="5">
        <v>39668</v>
      </c>
      <c r="B11" s="6" t="s">
        <v>1857</v>
      </c>
      <c r="C11" s="7" t="s">
        <v>197</v>
      </c>
      <c r="D11" s="7">
        <v>1899</v>
      </c>
      <c r="E11" s="8">
        <v>1.8</v>
      </c>
      <c r="F11" s="9">
        <v>3418.2</v>
      </c>
      <c r="G11" s="1">
        <v>106.74</v>
      </c>
      <c r="H11" s="1" t="s">
        <v>1858</v>
      </c>
    </row>
    <row r="12" spans="1:8" x14ac:dyDescent="0.25">
      <c r="A12" s="5">
        <v>39681</v>
      </c>
      <c r="B12" s="6" t="s">
        <v>1859</v>
      </c>
      <c r="C12" s="7" t="s">
        <v>197</v>
      </c>
      <c r="D12" s="7">
        <v>1899</v>
      </c>
      <c r="E12" s="8">
        <v>0.4</v>
      </c>
      <c r="F12" s="8">
        <v>759.6</v>
      </c>
      <c r="G12" s="1">
        <v>106.74</v>
      </c>
      <c r="H12" s="1" t="s">
        <v>1860</v>
      </c>
    </row>
    <row r="13" spans="1:8" x14ac:dyDescent="0.25">
      <c r="A13" s="5">
        <v>39681</v>
      </c>
      <c r="B13" s="6" t="s">
        <v>1859</v>
      </c>
      <c r="C13" s="7" t="s">
        <v>197</v>
      </c>
      <c r="D13" s="7">
        <v>1899</v>
      </c>
      <c r="E13" s="8">
        <v>0.45</v>
      </c>
      <c r="F13" s="8">
        <v>854.55</v>
      </c>
      <c r="G13" s="1">
        <v>106.74</v>
      </c>
      <c r="H13" s="1" t="s">
        <v>1861</v>
      </c>
    </row>
    <row r="14" spans="1:8" x14ac:dyDescent="0.25">
      <c r="A14" s="5">
        <v>39685</v>
      </c>
      <c r="B14" s="6" t="s">
        <v>1859</v>
      </c>
      <c r="C14" s="7" t="s">
        <v>197</v>
      </c>
      <c r="D14" s="7">
        <v>1899</v>
      </c>
      <c r="E14" s="8">
        <v>0.25</v>
      </c>
      <c r="F14" s="8">
        <v>474.75</v>
      </c>
      <c r="G14" s="1">
        <v>106.74</v>
      </c>
      <c r="H14" s="1" t="s">
        <v>1862</v>
      </c>
    </row>
    <row r="15" spans="1:8" x14ac:dyDescent="0.25">
      <c r="A15" s="5">
        <v>39750</v>
      </c>
      <c r="B15" s="6" t="s">
        <v>1863</v>
      </c>
      <c r="C15" s="7" t="s">
        <v>197</v>
      </c>
      <c r="D15" s="7">
        <v>300</v>
      </c>
      <c r="E15" s="8">
        <v>2.15</v>
      </c>
      <c r="F15" s="8">
        <v>645</v>
      </c>
      <c r="G15" s="1">
        <v>640.79</v>
      </c>
      <c r="H15" s="1" t="s">
        <v>1864</v>
      </c>
    </row>
    <row r="16" spans="1:8" x14ac:dyDescent="0.25">
      <c r="A16" s="5">
        <v>39750</v>
      </c>
      <c r="B16" s="6" t="s">
        <v>1863</v>
      </c>
      <c r="C16" s="7" t="s">
        <v>197</v>
      </c>
      <c r="D16" s="7">
        <v>200</v>
      </c>
      <c r="E16" s="8">
        <v>1.75</v>
      </c>
      <c r="F16" s="8">
        <v>350</v>
      </c>
      <c r="G16" s="1">
        <v>427.16</v>
      </c>
      <c r="H16" s="1" t="s">
        <v>1865</v>
      </c>
    </row>
    <row r="17" spans="1:8" x14ac:dyDescent="0.25">
      <c r="A17" s="5">
        <v>39752</v>
      </c>
      <c r="B17" s="6" t="s">
        <v>1866</v>
      </c>
      <c r="C17" s="7" t="s">
        <v>197</v>
      </c>
      <c r="D17" s="7">
        <v>50</v>
      </c>
      <c r="E17" s="8">
        <v>120</v>
      </c>
      <c r="F17" s="9">
        <v>6000</v>
      </c>
      <c r="G17" s="1">
        <v>109.87</v>
      </c>
      <c r="H17" s="1" t="s">
        <v>1867</v>
      </c>
    </row>
    <row r="18" spans="1:8" x14ac:dyDescent="0.25">
      <c r="A18" s="5">
        <v>39757</v>
      </c>
      <c r="B18" s="6" t="s">
        <v>1868</v>
      </c>
      <c r="C18" s="7" t="s">
        <v>197</v>
      </c>
      <c r="D18" s="7">
        <v>50</v>
      </c>
      <c r="E18" s="8">
        <v>66.5</v>
      </c>
      <c r="F18" s="9">
        <v>3325</v>
      </c>
      <c r="G18" s="1">
        <v>108.48</v>
      </c>
      <c r="H18" s="1" t="s">
        <v>1869</v>
      </c>
    </row>
    <row r="19" spans="1:8" x14ac:dyDescent="0.25">
      <c r="A19" s="5">
        <v>39757</v>
      </c>
      <c r="B19" s="6" t="s">
        <v>1870</v>
      </c>
      <c r="C19" s="7" t="s">
        <v>197</v>
      </c>
      <c r="D19" s="7">
        <v>50</v>
      </c>
      <c r="E19" s="8">
        <v>102</v>
      </c>
      <c r="F19" s="9">
        <v>5100</v>
      </c>
      <c r="G19" s="1">
        <v>109.39</v>
      </c>
      <c r="H19" s="1" t="s">
        <v>1871</v>
      </c>
    </row>
    <row r="20" spans="1:8" x14ac:dyDescent="0.25">
      <c r="A20" s="5">
        <v>39759</v>
      </c>
      <c r="B20" s="6" t="s">
        <v>1866</v>
      </c>
      <c r="C20" s="7" t="s">
        <v>197</v>
      </c>
      <c r="D20" s="7">
        <v>50</v>
      </c>
      <c r="E20" s="8">
        <v>93</v>
      </c>
      <c r="F20" s="9">
        <v>4650</v>
      </c>
      <c r="G20" s="1">
        <v>109.17</v>
      </c>
      <c r="H20" s="1" t="s">
        <v>1872</v>
      </c>
    </row>
    <row r="21" spans="1:8" x14ac:dyDescent="0.25">
      <c r="A21" s="5">
        <v>39784</v>
      </c>
      <c r="B21" s="6" t="s">
        <v>1873</v>
      </c>
      <c r="C21" s="7" t="s">
        <v>197</v>
      </c>
      <c r="D21" s="7">
        <v>50</v>
      </c>
      <c r="E21" s="8">
        <v>69.400000000000006</v>
      </c>
      <c r="F21" s="9">
        <v>3470</v>
      </c>
      <c r="G21" s="1">
        <v>108.56</v>
      </c>
      <c r="H21" s="1" t="s">
        <v>1874</v>
      </c>
    </row>
    <row r="22" spans="1:8" x14ac:dyDescent="0.25">
      <c r="A22" s="5">
        <v>39786</v>
      </c>
      <c r="B22" s="6" t="s">
        <v>1875</v>
      </c>
      <c r="C22" s="7" t="s">
        <v>197</v>
      </c>
      <c r="D22" s="7">
        <v>50</v>
      </c>
      <c r="E22" s="8">
        <v>92.55</v>
      </c>
      <c r="F22" s="9">
        <v>4627.5</v>
      </c>
      <c r="G22" s="1">
        <v>109.15</v>
      </c>
      <c r="H22" s="1" t="s">
        <v>1876</v>
      </c>
    </row>
    <row r="23" spans="1:8" x14ac:dyDescent="0.25">
      <c r="A23" s="5">
        <v>39790</v>
      </c>
      <c r="B23" s="6" t="s">
        <v>1877</v>
      </c>
      <c r="C23" s="7" t="s">
        <v>197</v>
      </c>
      <c r="D23" s="7">
        <v>50</v>
      </c>
      <c r="E23" s="8">
        <v>67</v>
      </c>
      <c r="F23" s="9">
        <v>3350</v>
      </c>
      <c r="G23" s="1">
        <v>108.5</v>
      </c>
      <c r="H23" s="1" t="s">
        <v>1878</v>
      </c>
    </row>
    <row r="24" spans="1:8" x14ac:dyDescent="0.25">
      <c r="A24" s="5">
        <v>39792</v>
      </c>
      <c r="B24" s="6" t="s">
        <v>1879</v>
      </c>
      <c r="C24" s="7" t="s">
        <v>197</v>
      </c>
      <c r="D24" s="7">
        <v>50</v>
      </c>
      <c r="E24" s="8">
        <v>75.599999999999994</v>
      </c>
      <c r="F24" s="9">
        <v>3780</v>
      </c>
      <c r="G24" s="1">
        <v>108.72</v>
      </c>
      <c r="H24" s="1" t="s">
        <v>1880</v>
      </c>
    </row>
    <row r="25" spans="1:8" x14ac:dyDescent="0.25">
      <c r="A25" s="5">
        <v>39793</v>
      </c>
      <c r="B25" s="6" t="s">
        <v>1881</v>
      </c>
      <c r="C25" s="7" t="s">
        <v>197</v>
      </c>
      <c r="D25" s="7">
        <v>50</v>
      </c>
      <c r="E25" s="8">
        <v>46.25</v>
      </c>
      <c r="F25" s="9">
        <v>2312.5</v>
      </c>
      <c r="G25" s="1">
        <v>107.94</v>
      </c>
      <c r="H25" s="1" t="s">
        <v>1882</v>
      </c>
    </row>
    <row r="26" spans="1:8" x14ac:dyDescent="0.25">
      <c r="A26" s="5">
        <v>39808</v>
      </c>
      <c r="B26" s="6" t="s">
        <v>1883</v>
      </c>
      <c r="C26" s="7" t="s">
        <v>197</v>
      </c>
      <c r="D26" s="7">
        <v>50</v>
      </c>
      <c r="E26" s="8">
        <v>30.3</v>
      </c>
      <c r="F26" s="9">
        <v>1515</v>
      </c>
      <c r="G26" s="1">
        <v>107.53</v>
      </c>
      <c r="H26" s="1" t="s">
        <v>1884</v>
      </c>
    </row>
    <row r="27" spans="1:8" x14ac:dyDescent="0.25">
      <c r="A27" s="5">
        <v>39822</v>
      </c>
      <c r="B27" s="6" t="s">
        <v>1885</v>
      </c>
      <c r="C27" s="7" t="s">
        <v>197</v>
      </c>
      <c r="D27" s="7">
        <v>50</v>
      </c>
      <c r="E27" s="8">
        <v>20.7</v>
      </c>
      <c r="F27" s="9">
        <v>1035</v>
      </c>
      <c r="G27" s="1">
        <v>107.28</v>
      </c>
      <c r="H27" s="1" t="s">
        <v>1886</v>
      </c>
    </row>
    <row r="28" spans="1:8" x14ac:dyDescent="0.25">
      <c r="A28" s="5">
        <v>39825</v>
      </c>
      <c r="B28" s="6" t="s">
        <v>1887</v>
      </c>
      <c r="C28" s="7" t="s">
        <v>197</v>
      </c>
      <c r="D28" s="7">
        <v>50</v>
      </c>
      <c r="E28" s="8">
        <v>21.1</v>
      </c>
      <c r="F28" s="9">
        <v>1055</v>
      </c>
      <c r="G28" s="1">
        <v>107.29</v>
      </c>
      <c r="H28" s="1" t="s">
        <v>1888</v>
      </c>
    </row>
    <row r="29" spans="1:8" x14ac:dyDescent="0.25">
      <c r="A29" s="5">
        <v>39827</v>
      </c>
      <c r="B29" s="6" t="s">
        <v>1889</v>
      </c>
      <c r="C29" s="7" t="s">
        <v>197</v>
      </c>
      <c r="D29" s="7">
        <v>50</v>
      </c>
      <c r="E29" s="8">
        <v>98</v>
      </c>
      <c r="F29" s="9">
        <v>4900</v>
      </c>
      <c r="G29" s="1">
        <v>19.41</v>
      </c>
      <c r="H29" s="1" t="s">
        <v>1890</v>
      </c>
    </row>
    <row r="30" spans="1:8" x14ac:dyDescent="0.25">
      <c r="A30" s="5">
        <v>39828</v>
      </c>
      <c r="B30" s="6" t="s">
        <v>1891</v>
      </c>
      <c r="C30" s="7" t="s">
        <v>197</v>
      </c>
      <c r="D30" s="7">
        <v>50</v>
      </c>
      <c r="E30" s="8">
        <v>105</v>
      </c>
      <c r="F30" s="9">
        <v>5250</v>
      </c>
      <c r="G30" s="1">
        <v>19.600000000000001</v>
      </c>
      <c r="H30" s="1" t="s">
        <v>1892</v>
      </c>
    </row>
    <row r="31" spans="1:8" x14ac:dyDescent="0.25">
      <c r="A31" s="5">
        <v>39828</v>
      </c>
      <c r="B31" s="6" t="s">
        <v>1891</v>
      </c>
      <c r="C31" s="7" t="s">
        <v>197</v>
      </c>
      <c r="D31" s="7">
        <v>50</v>
      </c>
      <c r="E31" s="8">
        <v>114.5</v>
      </c>
      <c r="F31" s="9">
        <v>5725</v>
      </c>
      <c r="G31" s="1">
        <v>19.829999999999998</v>
      </c>
      <c r="H31" s="1" t="s">
        <v>1893</v>
      </c>
    </row>
    <row r="32" spans="1:8" x14ac:dyDescent="0.25">
      <c r="A32" s="5">
        <v>39828</v>
      </c>
      <c r="B32" s="6" t="s">
        <v>1891</v>
      </c>
      <c r="C32" s="7" t="s">
        <v>197</v>
      </c>
      <c r="D32" s="7">
        <v>50</v>
      </c>
      <c r="E32" s="8">
        <v>101.5</v>
      </c>
      <c r="F32" s="9">
        <v>5075</v>
      </c>
      <c r="G32" s="1">
        <v>19.5</v>
      </c>
      <c r="H32" s="1" t="s">
        <v>1894</v>
      </c>
    </row>
    <row r="33" spans="1:8" x14ac:dyDescent="0.25">
      <c r="A33" s="5">
        <v>39829</v>
      </c>
      <c r="B33" s="6" t="s">
        <v>1895</v>
      </c>
      <c r="C33" s="7" t="s">
        <v>197</v>
      </c>
      <c r="D33" s="7">
        <v>50</v>
      </c>
      <c r="E33" s="8">
        <v>84.45</v>
      </c>
      <c r="F33" s="9">
        <v>4222.5</v>
      </c>
      <c r="G33" s="1">
        <v>108.94</v>
      </c>
      <c r="H33" s="1" t="s">
        <v>1896</v>
      </c>
    </row>
    <row r="34" spans="1:8" x14ac:dyDescent="0.25">
      <c r="A34" s="5">
        <v>39833</v>
      </c>
      <c r="B34" s="6" t="s">
        <v>1889</v>
      </c>
      <c r="C34" s="7" t="s">
        <v>197</v>
      </c>
      <c r="D34" s="7">
        <v>50</v>
      </c>
      <c r="E34" s="8">
        <v>62.1</v>
      </c>
      <c r="F34" s="9">
        <v>3105</v>
      </c>
      <c r="G34" s="1">
        <v>108.36</v>
      </c>
      <c r="H34" s="1" t="s">
        <v>1897</v>
      </c>
    </row>
    <row r="35" spans="1:8" x14ac:dyDescent="0.25">
      <c r="A35" s="5">
        <v>39833</v>
      </c>
      <c r="B35" s="6" t="s">
        <v>1889</v>
      </c>
      <c r="C35" s="7" t="s">
        <v>197</v>
      </c>
      <c r="D35" s="7">
        <v>50</v>
      </c>
      <c r="E35" s="8">
        <v>58.2</v>
      </c>
      <c r="F35" s="9">
        <v>2910</v>
      </c>
      <c r="G35" s="1">
        <v>108.27</v>
      </c>
      <c r="H35" s="1" t="s">
        <v>1898</v>
      </c>
    </row>
    <row r="36" spans="1:8" x14ac:dyDescent="0.25">
      <c r="A36" s="5">
        <v>39834</v>
      </c>
      <c r="B36" s="6" t="s">
        <v>1889</v>
      </c>
      <c r="C36" s="7" t="s">
        <v>197</v>
      </c>
      <c r="D36" s="7">
        <v>100</v>
      </c>
      <c r="E36" s="8">
        <v>27.83</v>
      </c>
      <c r="F36" s="9">
        <v>2782.5</v>
      </c>
      <c r="G36" s="1">
        <v>214.94</v>
      </c>
      <c r="H36" s="1" t="s">
        <v>1899</v>
      </c>
    </row>
    <row r="37" spans="1:8" x14ac:dyDescent="0.25">
      <c r="A37" s="5">
        <v>39836</v>
      </c>
      <c r="B37" s="6" t="s">
        <v>1889</v>
      </c>
      <c r="C37" s="7" t="s">
        <v>197</v>
      </c>
      <c r="D37" s="7">
        <v>100</v>
      </c>
      <c r="E37" s="8">
        <v>6.5</v>
      </c>
      <c r="F37" s="8">
        <v>650</v>
      </c>
      <c r="G37" s="1">
        <v>213.82</v>
      </c>
      <c r="H37" s="1" t="s">
        <v>1900</v>
      </c>
    </row>
    <row r="38" spans="1:8" x14ac:dyDescent="0.25">
      <c r="A38" s="5">
        <v>39850</v>
      </c>
      <c r="B38" s="6" t="s">
        <v>1901</v>
      </c>
      <c r="C38" s="7" t="s">
        <v>197</v>
      </c>
      <c r="D38" s="7">
        <v>50</v>
      </c>
      <c r="E38" s="8">
        <v>210</v>
      </c>
      <c r="F38" s="9">
        <v>10500</v>
      </c>
      <c r="G38" s="1">
        <v>112.22</v>
      </c>
      <c r="H38" s="1" t="s">
        <v>1902</v>
      </c>
    </row>
    <row r="39" spans="1:8" x14ac:dyDescent="0.25">
      <c r="A39" s="5">
        <v>39861</v>
      </c>
      <c r="B39" s="6" t="s">
        <v>1903</v>
      </c>
      <c r="C39" s="7" t="s">
        <v>197</v>
      </c>
      <c r="D39" s="7">
        <v>50</v>
      </c>
      <c r="E39" s="8">
        <v>47.4</v>
      </c>
      <c r="F39" s="9">
        <v>2370</v>
      </c>
      <c r="G39" s="1">
        <v>107.98</v>
      </c>
      <c r="H39" s="1" t="s">
        <v>1904</v>
      </c>
    </row>
    <row r="40" spans="1:8" x14ac:dyDescent="0.25">
      <c r="A40" s="5">
        <v>39862</v>
      </c>
      <c r="B40" s="6" t="s">
        <v>1905</v>
      </c>
      <c r="C40" s="7" t="s">
        <v>197</v>
      </c>
      <c r="D40" s="7">
        <v>100</v>
      </c>
      <c r="E40" s="8">
        <v>13.5</v>
      </c>
      <c r="F40" s="9">
        <v>1350</v>
      </c>
      <c r="G40" s="1">
        <v>214.19</v>
      </c>
      <c r="H40" s="1" t="s">
        <v>1906</v>
      </c>
    </row>
    <row r="41" spans="1:8" x14ac:dyDescent="0.25">
      <c r="A41" s="5">
        <v>39862</v>
      </c>
      <c r="B41" s="6" t="s">
        <v>1901</v>
      </c>
      <c r="C41" s="7" t="s">
        <v>197</v>
      </c>
      <c r="D41" s="7">
        <v>50</v>
      </c>
      <c r="E41" s="8">
        <v>204</v>
      </c>
      <c r="F41" s="9">
        <v>10200</v>
      </c>
      <c r="G41" s="1">
        <v>112.05</v>
      </c>
      <c r="H41" s="1" t="s">
        <v>1907</v>
      </c>
    </row>
    <row r="42" spans="1:8" x14ac:dyDescent="0.25">
      <c r="A42" s="5">
        <v>39864</v>
      </c>
      <c r="B42" s="6" t="s">
        <v>1903</v>
      </c>
      <c r="C42" s="7" t="s">
        <v>197</v>
      </c>
      <c r="D42" s="7">
        <v>100</v>
      </c>
      <c r="E42" s="8">
        <v>12.1</v>
      </c>
      <c r="F42" s="9">
        <v>1210</v>
      </c>
      <c r="G42" s="1">
        <v>214.11</v>
      </c>
      <c r="H42" s="1" t="s">
        <v>1908</v>
      </c>
    </row>
    <row r="43" spans="1:8" x14ac:dyDescent="0.25">
      <c r="A43" s="5">
        <v>39874</v>
      </c>
      <c r="B43" s="6" t="s">
        <v>1909</v>
      </c>
      <c r="C43" s="7" t="s">
        <v>197</v>
      </c>
      <c r="D43" s="7">
        <v>50</v>
      </c>
      <c r="E43" s="8">
        <v>60</v>
      </c>
      <c r="F43" s="9">
        <v>3000</v>
      </c>
      <c r="G43" s="1">
        <v>106.35</v>
      </c>
      <c r="H43" s="1" t="s">
        <v>1910</v>
      </c>
    </row>
    <row r="44" spans="1:8" x14ac:dyDescent="0.25">
      <c r="A44" s="5">
        <v>39874</v>
      </c>
      <c r="B44" s="6" t="s">
        <v>1909</v>
      </c>
      <c r="C44" s="7" t="s">
        <v>197</v>
      </c>
      <c r="D44" s="7">
        <v>50</v>
      </c>
      <c r="E44" s="8">
        <v>71</v>
      </c>
      <c r="F44" s="9">
        <v>3550</v>
      </c>
      <c r="G44" s="1">
        <v>106.64</v>
      </c>
      <c r="H44" s="1" t="s">
        <v>1911</v>
      </c>
    </row>
    <row r="45" spans="1:8" x14ac:dyDescent="0.25">
      <c r="A45" s="5">
        <v>39876</v>
      </c>
      <c r="B45" s="6" t="s">
        <v>1909</v>
      </c>
      <c r="C45" s="7" t="s">
        <v>197</v>
      </c>
      <c r="D45" s="7">
        <v>100</v>
      </c>
      <c r="E45" s="8">
        <v>54.8</v>
      </c>
      <c r="F45" s="9">
        <v>5480</v>
      </c>
      <c r="G45" s="1">
        <v>35.950000000000003</v>
      </c>
      <c r="H45" s="1" t="s">
        <v>1912</v>
      </c>
    </row>
    <row r="46" spans="1:8" x14ac:dyDescent="0.25">
      <c r="A46" s="5">
        <v>39877</v>
      </c>
      <c r="B46" s="6" t="s">
        <v>1913</v>
      </c>
      <c r="C46" s="7" t="s">
        <v>197</v>
      </c>
      <c r="D46" s="7">
        <v>50</v>
      </c>
      <c r="E46" s="8">
        <v>46.1</v>
      </c>
      <c r="F46" s="9">
        <v>2305</v>
      </c>
      <c r="G46" s="1">
        <v>105.97</v>
      </c>
      <c r="H46" s="1" t="s">
        <v>1914</v>
      </c>
    </row>
    <row r="47" spans="1:8" x14ac:dyDescent="0.25">
      <c r="A47" s="5">
        <v>39877</v>
      </c>
      <c r="B47" s="6" t="s">
        <v>1915</v>
      </c>
      <c r="C47" s="7" t="s">
        <v>197</v>
      </c>
      <c r="D47" s="7">
        <v>50</v>
      </c>
      <c r="E47" s="8">
        <v>68.5</v>
      </c>
      <c r="F47" s="9">
        <v>3425</v>
      </c>
      <c r="G47" s="1">
        <v>106.57</v>
      </c>
      <c r="H47" s="1" t="s">
        <v>1916</v>
      </c>
    </row>
    <row r="48" spans="1:8" x14ac:dyDescent="0.25">
      <c r="A48" s="5">
        <v>39878</v>
      </c>
      <c r="B48" s="6" t="s">
        <v>1909</v>
      </c>
      <c r="C48" s="7" t="s">
        <v>197</v>
      </c>
      <c r="D48" s="7">
        <v>150</v>
      </c>
      <c r="E48" s="8">
        <v>41.5</v>
      </c>
      <c r="F48" s="9">
        <v>6225</v>
      </c>
      <c r="G48" s="1">
        <v>317.60000000000002</v>
      </c>
      <c r="H48" s="1" t="s">
        <v>1917</v>
      </c>
    </row>
    <row r="49" spans="1:8" x14ac:dyDescent="0.25">
      <c r="A49" s="5">
        <v>39878</v>
      </c>
      <c r="B49" s="6" t="s">
        <v>1918</v>
      </c>
      <c r="C49" s="7" t="s">
        <v>197</v>
      </c>
      <c r="D49" s="7">
        <v>100</v>
      </c>
      <c r="E49" s="8">
        <v>14.85</v>
      </c>
      <c r="F49" s="9">
        <v>1485</v>
      </c>
      <c r="G49" s="1">
        <v>210.34</v>
      </c>
      <c r="H49" s="1" t="s">
        <v>1919</v>
      </c>
    </row>
    <row r="50" spans="1:8" x14ac:dyDescent="0.25">
      <c r="A50" s="5">
        <v>39878</v>
      </c>
      <c r="B50" s="6" t="s">
        <v>1909</v>
      </c>
      <c r="C50" s="7" t="s">
        <v>197</v>
      </c>
      <c r="D50" s="7">
        <v>50</v>
      </c>
      <c r="E50" s="8">
        <v>43.2</v>
      </c>
      <c r="F50" s="9">
        <v>2160</v>
      </c>
      <c r="G50" s="1">
        <v>105.9</v>
      </c>
      <c r="H50" s="1" t="s">
        <v>1920</v>
      </c>
    </row>
    <row r="51" spans="1:8" x14ac:dyDescent="0.25">
      <c r="A51" s="5">
        <v>39884</v>
      </c>
      <c r="B51" s="6" t="s">
        <v>1909</v>
      </c>
      <c r="C51" s="7" t="s">
        <v>197</v>
      </c>
      <c r="D51" s="7">
        <v>50</v>
      </c>
      <c r="E51" s="8">
        <v>30.6</v>
      </c>
      <c r="F51" s="9">
        <v>1530</v>
      </c>
      <c r="G51" s="1">
        <v>105.58</v>
      </c>
      <c r="H51" s="1" t="s">
        <v>1921</v>
      </c>
    </row>
    <row r="52" spans="1:8" x14ac:dyDescent="0.25">
      <c r="A52" s="5">
        <v>39884</v>
      </c>
      <c r="B52" s="6" t="s">
        <v>1918</v>
      </c>
      <c r="C52" s="7" t="s">
        <v>197</v>
      </c>
      <c r="D52" s="7">
        <v>150</v>
      </c>
      <c r="E52" s="8">
        <v>6.7</v>
      </c>
      <c r="F52" s="9">
        <v>1005</v>
      </c>
      <c r="G52" s="1">
        <v>314.88</v>
      </c>
      <c r="H52" s="1" t="s">
        <v>1922</v>
      </c>
    </row>
    <row r="53" spans="1:8" x14ac:dyDescent="0.25">
      <c r="A53" s="5">
        <v>39885</v>
      </c>
      <c r="B53" s="6" t="s">
        <v>1909</v>
      </c>
      <c r="C53" s="7" t="s">
        <v>197</v>
      </c>
      <c r="D53" s="7">
        <v>150</v>
      </c>
      <c r="E53" s="8">
        <v>14.4</v>
      </c>
      <c r="F53" s="9">
        <v>2160</v>
      </c>
      <c r="G53" s="1">
        <v>315.48</v>
      </c>
      <c r="H53" s="1" t="s">
        <v>1923</v>
      </c>
    </row>
    <row r="54" spans="1:8" x14ac:dyDescent="0.25">
      <c r="A54" s="5">
        <v>39885</v>
      </c>
      <c r="B54" s="6" t="s">
        <v>1924</v>
      </c>
      <c r="C54" s="7" t="s">
        <v>197</v>
      </c>
      <c r="D54" s="7">
        <v>100</v>
      </c>
      <c r="E54" s="8">
        <v>25.5</v>
      </c>
      <c r="F54" s="9">
        <v>2550</v>
      </c>
      <c r="G54" s="1">
        <v>210.91</v>
      </c>
      <c r="H54" s="1" t="s">
        <v>1925</v>
      </c>
    </row>
    <row r="55" spans="1:8" x14ac:dyDescent="0.25">
      <c r="A55" s="5">
        <v>39895</v>
      </c>
      <c r="B55" s="6" t="s">
        <v>1926</v>
      </c>
      <c r="C55" s="7" t="s">
        <v>197</v>
      </c>
      <c r="D55" s="7">
        <v>50</v>
      </c>
      <c r="E55" s="8">
        <v>181</v>
      </c>
      <c r="F55" s="9">
        <v>9050</v>
      </c>
      <c r="G55" s="1">
        <v>109.51</v>
      </c>
      <c r="H55" s="1" t="s">
        <v>1927</v>
      </c>
    </row>
    <row r="56" spans="1:8" x14ac:dyDescent="0.25">
      <c r="A56" s="5">
        <v>39833</v>
      </c>
      <c r="B56" s="6" t="s">
        <v>1928</v>
      </c>
      <c r="C56" s="7" t="s">
        <v>197</v>
      </c>
      <c r="D56" s="7">
        <v>1200</v>
      </c>
      <c r="E56" s="8">
        <v>1.85</v>
      </c>
      <c r="F56" s="9">
        <v>2220</v>
      </c>
      <c r="G56" s="1">
        <v>107.89</v>
      </c>
      <c r="H56" s="1" t="s">
        <v>1929</v>
      </c>
    </row>
    <row r="57" spans="1:8" x14ac:dyDescent="0.25">
      <c r="A57" s="5">
        <v>39757</v>
      </c>
      <c r="B57" s="6" t="s">
        <v>1930</v>
      </c>
      <c r="C57" s="7" t="s">
        <v>197</v>
      </c>
      <c r="D57" s="7">
        <v>1000</v>
      </c>
      <c r="E57" s="8">
        <v>4.6500000000000004</v>
      </c>
      <c r="F57" s="9">
        <v>4650</v>
      </c>
      <c r="G57" s="1">
        <v>109.17</v>
      </c>
      <c r="H57" s="1" t="s">
        <v>1931</v>
      </c>
    </row>
    <row r="58" spans="1:8" x14ac:dyDescent="0.25">
      <c r="A58" s="5">
        <v>39764</v>
      </c>
      <c r="B58" s="6" t="s">
        <v>1930</v>
      </c>
      <c r="C58" s="7" t="s">
        <v>197</v>
      </c>
      <c r="D58" s="7">
        <v>1000</v>
      </c>
      <c r="E58" s="8">
        <v>3.2</v>
      </c>
      <c r="F58" s="9">
        <v>3200</v>
      </c>
      <c r="G58" s="1">
        <v>108.41</v>
      </c>
      <c r="H58" s="1" t="s">
        <v>1932</v>
      </c>
    </row>
    <row r="59" spans="1:8" x14ac:dyDescent="0.25">
      <c r="A59" s="5">
        <v>39790</v>
      </c>
      <c r="B59" s="6" t="s">
        <v>1933</v>
      </c>
      <c r="C59" s="7" t="s">
        <v>197</v>
      </c>
      <c r="D59" s="7">
        <v>1000</v>
      </c>
      <c r="E59" s="8">
        <v>3.45</v>
      </c>
      <c r="F59" s="9">
        <v>3450</v>
      </c>
      <c r="G59" s="1">
        <v>1.81</v>
      </c>
      <c r="H59" s="1" t="s">
        <v>1934</v>
      </c>
    </row>
    <row r="60" spans="1:8" x14ac:dyDescent="0.25">
      <c r="A60" s="5">
        <v>39790</v>
      </c>
      <c r="B60" s="6" t="s">
        <v>1937</v>
      </c>
      <c r="C60" s="7" t="s">
        <v>197</v>
      </c>
      <c r="D60" s="7">
        <v>1000</v>
      </c>
      <c r="E60" s="8">
        <v>2.35</v>
      </c>
      <c r="F60" s="9">
        <v>2350</v>
      </c>
      <c r="G60" s="1">
        <v>107.97</v>
      </c>
      <c r="H60" s="1" t="s">
        <v>1938</v>
      </c>
    </row>
    <row r="61" spans="1:8" x14ac:dyDescent="0.25">
      <c r="A61" s="5">
        <v>39792</v>
      </c>
      <c r="B61" s="6" t="s">
        <v>1937</v>
      </c>
      <c r="C61" s="7" t="s">
        <v>197</v>
      </c>
      <c r="D61" s="7">
        <v>1000</v>
      </c>
      <c r="E61" s="8">
        <v>2.6</v>
      </c>
      <c r="F61" s="9">
        <v>2600</v>
      </c>
      <c r="G61" s="1">
        <v>1.36</v>
      </c>
      <c r="H61" s="1" t="s">
        <v>1939</v>
      </c>
    </row>
    <row r="62" spans="1:8" x14ac:dyDescent="0.25">
      <c r="A62" s="5">
        <v>39792</v>
      </c>
      <c r="B62" s="6" t="s">
        <v>1937</v>
      </c>
      <c r="C62" s="7" t="s">
        <v>197</v>
      </c>
      <c r="D62" s="7">
        <v>1000</v>
      </c>
      <c r="E62" s="8">
        <v>2.6</v>
      </c>
      <c r="F62" s="9">
        <v>2600</v>
      </c>
      <c r="G62" s="1">
        <v>1.36</v>
      </c>
      <c r="H62" s="1" t="s">
        <v>1940</v>
      </c>
    </row>
    <row r="63" spans="1:8" x14ac:dyDescent="0.25">
      <c r="A63" s="5">
        <v>39794</v>
      </c>
      <c r="B63" s="6" t="s">
        <v>1937</v>
      </c>
      <c r="C63" s="7" t="s">
        <v>197</v>
      </c>
      <c r="D63" s="7">
        <v>1000</v>
      </c>
      <c r="E63" s="8">
        <v>3.4</v>
      </c>
      <c r="F63" s="9">
        <v>3400</v>
      </c>
      <c r="G63" s="1">
        <v>108.52</v>
      </c>
      <c r="H63" s="1" t="s">
        <v>1941</v>
      </c>
    </row>
    <row r="64" spans="1:8" x14ac:dyDescent="0.25">
      <c r="F64" s="11">
        <f>SUM(F2:F63)</f>
        <v>213573.35</v>
      </c>
      <c r="G64" s="12">
        <f>SUM(G2:G63)</f>
        <v>8067.7699999999995</v>
      </c>
    </row>
    <row r="65" spans="1:8" x14ac:dyDescent="0.25">
      <c r="F65" s="11" t="s">
        <v>624</v>
      </c>
      <c r="G65" s="11">
        <f>F64+G64</f>
        <v>221641.12</v>
      </c>
    </row>
    <row r="67" spans="1:8" x14ac:dyDescent="0.25">
      <c r="A67" s="5">
        <v>39826</v>
      </c>
      <c r="B67" s="6" t="s">
        <v>1829</v>
      </c>
      <c r="C67" s="7" t="s">
        <v>369</v>
      </c>
      <c r="D67" s="7">
        <v>4300</v>
      </c>
      <c r="E67" s="8">
        <v>0.4</v>
      </c>
      <c r="F67" s="9">
        <v>1720</v>
      </c>
      <c r="G67" s="1">
        <v>107.91</v>
      </c>
      <c r="H67" s="1" t="s">
        <v>1942</v>
      </c>
    </row>
    <row r="68" spans="1:8" x14ac:dyDescent="0.25">
      <c r="A68" s="5">
        <v>39862</v>
      </c>
      <c r="B68" s="6" t="s">
        <v>1831</v>
      </c>
      <c r="C68" s="7" t="s">
        <v>369</v>
      </c>
      <c r="D68" s="7">
        <v>4300</v>
      </c>
      <c r="E68" s="8">
        <v>0.45</v>
      </c>
      <c r="F68" s="9">
        <v>1935</v>
      </c>
      <c r="G68" s="1">
        <v>108.08</v>
      </c>
      <c r="H68" s="1" t="s">
        <v>1943</v>
      </c>
    </row>
    <row r="69" spans="1:8" x14ac:dyDescent="0.25">
      <c r="A69" s="5">
        <v>39826</v>
      </c>
      <c r="B69" s="6" t="s">
        <v>1833</v>
      </c>
      <c r="C69" s="7" t="s">
        <v>369</v>
      </c>
      <c r="D69" s="7">
        <v>2400</v>
      </c>
      <c r="E69" s="8">
        <v>0.75</v>
      </c>
      <c r="F69" s="9">
        <v>1800</v>
      </c>
      <c r="G69" s="1">
        <v>107.99</v>
      </c>
      <c r="H69" s="1" t="s">
        <v>1944</v>
      </c>
    </row>
    <row r="70" spans="1:8" x14ac:dyDescent="0.25">
      <c r="A70" s="5">
        <v>39549</v>
      </c>
      <c r="B70" s="6" t="s">
        <v>1837</v>
      </c>
      <c r="C70" s="7" t="s">
        <v>369</v>
      </c>
      <c r="D70" s="7">
        <v>400</v>
      </c>
      <c r="E70" s="8">
        <v>5.2</v>
      </c>
      <c r="F70" s="9">
        <v>2080</v>
      </c>
      <c r="G70" s="1">
        <v>154.69</v>
      </c>
      <c r="H70" s="1" t="s">
        <v>1945</v>
      </c>
    </row>
    <row r="71" spans="1:8" x14ac:dyDescent="0.25">
      <c r="A71" s="5">
        <v>39757</v>
      </c>
      <c r="B71" s="6" t="s">
        <v>1843</v>
      </c>
      <c r="C71" s="7" t="s">
        <v>369</v>
      </c>
      <c r="D71" s="7">
        <v>400</v>
      </c>
      <c r="E71" s="8">
        <v>8</v>
      </c>
      <c r="F71" s="9">
        <v>3200</v>
      </c>
      <c r="G71" s="1">
        <v>108.95</v>
      </c>
      <c r="H71" s="1" t="s">
        <v>1946</v>
      </c>
    </row>
    <row r="72" spans="1:8" x14ac:dyDescent="0.25">
      <c r="A72" s="5">
        <v>39829</v>
      </c>
      <c r="B72" s="6" t="s">
        <v>1851</v>
      </c>
      <c r="C72" s="7" t="s">
        <v>369</v>
      </c>
      <c r="D72" s="7">
        <v>400</v>
      </c>
      <c r="E72" s="8">
        <v>15.6</v>
      </c>
      <c r="F72" s="9">
        <v>6240</v>
      </c>
      <c r="G72" s="1">
        <v>21.16</v>
      </c>
      <c r="H72" s="1" t="s">
        <v>1947</v>
      </c>
    </row>
    <row r="73" spans="1:8" x14ac:dyDescent="0.25">
      <c r="A73" s="5">
        <v>39755</v>
      </c>
      <c r="B73" s="6" t="s">
        <v>1866</v>
      </c>
      <c r="C73" s="7" t="s">
        <v>369</v>
      </c>
      <c r="D73" s="7">
        <v>50</v>
      </c>
      <c r="E73" s="8">
        <v>87.9</v>
      </c>
      <c r="F73" s="9">
        <v>4395</v>
      </c>
      <c r="G73" s="1">
        <v>109.79</v>
      </c>
      <c r="H73" s="1" t="s">
        <v>1948</v>
      </c>
    </row>
    <row r="74" spans="1:8" x14ac:dyDescent="0.25">
      <c r="A74" s="5">
        <v>39757</v>
      </c>
      <c r="B74" s="6" t="s">
        <v>1868</v>
      </c>
      <c r="C74" s="7" t="s">
        <v>369</v>
      </c>
      <c r="D74" s="7">
        <v>50</v>
      </c>
      <c r="E74" s="8">
        <v>54</v>
      </c>
      <c r="F74" s="9">
        <v>2700</v>
      </c>
      <c r="G74" s="1">
        <v>1.87</v>
      </c>
      <c r="H74" s="1" t="s">
        <v>1949</v>
      </c>
    </row>
    <row r="75" spans="1:8" x14ac:dyDescent="0.25">
      <c r="A75" s="5">
        <v>39759</v>
      </c>
      <c r="B75" s="6" t="s">
        <v>1866</v>
      </c>
      <c r="C75" s="7" t="s">
        <v>369</v>
      </c>
      <c r="D75" s="7">
        <v>50</v>
      </c>
      <c r="E75" s="8">
        <v>77.05</v>
      </c>
      <c r="F75" s="9">
        <v>3852.5</v>
      </c>
      <c r="G75" s="1">
        <v>2.67</v>
      </c>
      <c r="H75" s="1" t="s">
        <v>1950</v>
      </c>
    </row>
    <row r="76" spans="1:8" x14ac:dyDescent="0.25">
      <c r="A76" s="5">
        <v>39764</v>
      </c>
      <c r="B76" s="6" t="s">
        <v>1870</v>
      </c>
      <c r="C76" s="7" t="s">
        <v>369</v>
      </c>
      <c r="D76" s="7">
        <v>50</v>
      </c>
      <c r="E76" s="8">
        <v>45.45</v>
      </c>
      <c r="F76" s="9">
        <v>2272.5</v>
      </c>
      <c r="G76" s="1">
        <v>108.31</v>
      </c>
      <c r="H76" s="1" t="s">
        <v>1951</v>
      </c>
    </row>
    <row r="77" spans="1:8" x14ac:dyDescent="0.25">
      <c r="A77" s="5">
        <v>39785</v>
      </c>
      <c r="B77" s="6" t="s">
        <v>1873</v>
      </c>
      <c r="C77" s="7" t="s">
        <v>369</v>
      </c>
      <c r="D77" s="7">
        <v>50</v>
      </c>
      <c r="E77" s="8">
        <v>73.2</v>
      </c>
      <c r="F77" s="9">
        <v>3660</v>
      </c>
      <c r="G77" s="1">
        <v>109.27</v>
      </c>
      <c r="H77" s="1" t="s">
        <v>1952</v>
      </c>
    </row>
    <row r="78" spans="1:8" x14ac:dyDescent="0.25">
      <c r="A78" s="5">
        <v>39786</v>
      </c>
      <c r="B78" s="6" t="s">
        <v>1875</v>
      </c>
      <c r="C78" s="7" t="s">
        <v>369</v>
      </c>
      <c r="D78" s="7">
        <v>50</v>
      </c>
      <c r="E78" s="8">
        <v>73.8</v>
      </c>
      <c r="F78" s="9">
        <v>3690</v>
      </c>
      <c r="G78" s="1">
        <v>2.56</v>
      </c>
      <c r="H78" s="1" t="s">
        <v>1953</v>
      </c>
    </row>
    <row r="79" spans="1:8" x14ac:dyDescent="0.25">
      <c r="A79" s="5">
        <v>39792</v>
      </c>
      <c r="B79" s="6" t="s">
        <v>1877</v>
      </c>
      <c r="C79" s="7" t="s">
        <v>369</v>
      </c>
      <c r="D79" s="7">
        <v>50</v>
      </c>
      <c r="E79" s="8">
        <v>64.8</v>
      </c>
      <c r="F79" s="9">
        <v>3240</v>
      </c>
      <c r="G79" s="1">
        <v>108.98</v>
      </c>
      <c r="H79" s="1" t="s">
        <v>1954</v>
      </c>
    </row>
    <row r="80" spans="1:8" x14ac:dyDescent="0.25">
      <c r="A80" s="5">
        <v>39794</v>
      </c>
      <c r="B80" s="6" t="s">
        <v>1881</v>
      </c>
      <c r="C80" s="7" t="s">
        <v>369</v>
      </c>
      <c r="D80" s="7">
        <v>50</v>
      </c>
      <c r="E80" s="8">
        <v>24</v>
      </c>
      <c r="F80" s="9">
        <v>1200</v>
      </c>
      <c r="G80" s="1">
        <v>107.56</v>
      </c>
      <c r="H80" s="1" t="s">
        <v>1955</v>
      </c>
    </row>
    <row r="81" spans="1:8" x14ac:dyDescent="0.25">
      <c r="A81" s="5">
        <v>39794</v>
      </c>
      <c r="B81" s="6" t="s">
        <v>1879</v>
      </c>
      <c r="C81" s="7" t="s">
        <v>369</v>
      </c>
      <c r="D81" s="7">
        <v>50</v>
      </c>
      <c r="E81" s="8">
        <v>99.25</v>
      </c>
      <c r="F81" s="9">
        <v>4962.5</v>
      </c>
      <c r="G81" s="1">
        <v>110.17</v>
      </c>
      <c r="H81" s="1" t="s">
        <v>1956</v>
      </c>
    </row>
    <row r="82" spans="1:8" x14ac:dyDescent="0.25">
      <c r="A82" s="5">
        <v>39825</v>
      </c>
      <c r="B82" s="6" t="s">
        <v>1885</v>
      </c>
      <c r="C82" s="7" t="s">
        <v>369</v>
      </c>
      <c r="D82" s="7">
        <v>50</v>
      </c>
      <c r="E82" s="8">
        <v>11.75</v>
      </c>
      <c r="F82" s="8">
        <v>587.5</v>
      </c>
      <c r="G82" s="1">
        <v>107.13</v>
      </c>
      <c r="H82" s="1" t="s">
        <v>1957</v>
      </c>
    </row>
    <row r="83" spans="1:8" x14ac:dyDescent="0.25">
      <c r="A83" s="5">
        <v>39825</v>
      </c>
      <c r="B83" s="6" t="s">
        <v>1883</v>
      </c>
      <c r="C83" s="7" t="s">
        <v>369</v>
      </c>
      <c r="D83" s="7">
        <v>50</v>
      </c>
      <c r="E83" s="8">
        <v>5.6</v>
      </c>
      <c r="F83" s="8">
        <v>280</v>
      </c>
      <c r="G83" s="1">
        <v>106.94</v>
      </c>
      <c r="H83" s="1" t="s">
        <v>1958</v>
      </c>
    </row>
    <row r="84" spans="1:8" x14ac:dyDescent="0.25">
      <c r="A84" s="5">
        <v>39826</v>
      </c>
      <c r="B84" s="6" t="s">
        <v>1887</v>
      </c>
      <c r="C84" s="7" t="s">
        <v>369</v>
      </c>
      <c r="D84" s="7">
        <v>50</v>
      </c>
      <c r="E84" s="8">
        <v>12</v>
      </c>
      <c r="F84" s="8">
        <v>600</v>
      </c>
      <c r="G84" s="1">
        <v>107.15</v>
      </c>
      <c r="H84" s="1" t="s">
        <v>1959</v>
      </c>
    </row>
    <row r="85" spans="1:8" x14ac:dyDescent="0.25">
      <c r="A85" s="5">
        <v>39827</v>
      </c>
      <c r="B85" s="6" t="s">
        <v>1889</v>
      </c>
      <c r="C85" s="7" t="s">
        <v>369</v>
      </c>
      <c r="D85" s="7">
        <v>50</v>
      </c>
      <c r="E85" s="8">
        <v>105.45</v>
      </c>
      <c r="F85" s="9">
        <v>5272.5</v>
      </c>
      <c r="G85" s="1">
        <v>110.4</v>
      </c>
      <c r="H85" s="1" t="s">
        <v>1960</v>
      </c>
    </row>
    <row r="86" spans="1:8" x14ac:dyDescent="0.25">
      <c r="A86" s="5">
        <v>39828</v>
      </c>
      <c r="B86" s="6" t="s">
        <v>1891</v>
      </c>
      <c r="C86" s="7" t="s">
        <v>369</v>
      </c>
      <c r="D86" s="7">
        <v>50</v>
      </c>
      <c r="E86" s="8">
        <v>121</v>
      </c>
      <c r="F86" s="9">
        <v>6050</v>
      </c>
      <c r="G86" s="1">
        <v>110.93</v>
      </c>
      <c r="H86" s="1" t="s">
        <v>1961</v>
      </c>
    </row>
    <row r="87" spans="1:8" x14ac:dyDescent="0.25">
      <c r="A87" s="5">
        <v>39828</v>
      </c>
      <c r="B87" s="6" t="s">
        <v>1891</v>
      </c>
      <c r="C87" s="7" t="s">
        <v>369</v>
      </c>
      <c r="D87" s="7">
        <v>100</v>
      </c>
      <c r="E87" s="8">
        <v>114</v>
      </c>
      <c r="F87" s="9">
        <v>11400</v>
      </c>
      <c r="G87" s="1">
        <v>221.37</v>
      </c>
      <c r="H87" s="1" t="s">
        <v>1962</v>
      </c>
    </row>
    <row r="88" spans="1:8" x14ac:dyDescent="0.25">
      <c r="A88" s="5">
        <v>39832</v>
      </c>
      <c r="B88" s="6" t="s">
        <v>1895</v>
      </c>
      <c r="C88" s="7" t="s">
        <v>369</v>
      </c>
      <c r="D88" s="7">
        <v>50</v>
      </c>
      <c r="E88" s="8">
        <v>77</v>
      </c>
      <c r="F88" s="9">
        <v>3850</v>
      </c>
      <c r="G88" s="1">
        <v>109.41</v>
      </c>
      <c r="H88" s="1" t="s">
        <v>1963</v>
      </c>
    </row>
    <row r="89" spans="1:8" x14ac:dyDescent="0.25">
      <c r="A89" s="5">
        <v>39840</v>
      </c>
      <c r="B89" s="6" t="s">
        <v>1889</v>
      </c>
      <c r="C89" s="7" t="s">
        <v>369</v>
      </c>
      <c r="D89" s="7">
        <v>300</v>
      </c>
      <c r="E89" s="8">
        <v>9</v>
      </c>
      <c r="F89" s="9">
        <v>2700</v>
      </c>
      <c r="G89" s="1">
        <v>642.32000000000005</v>
      </c>
      <c r="H89" s="1" t="s">
        <v>1964</v>
      </c>
    </row>
    <row r="90" spans="1:8" x14ac:dyDescent="0.25">
      <c r="A90" s="5">
        <v>39860</v>
      </c>
      <c r="B90" s="6" t="s">
        <v>1901</v>
      </c>
      <c r="C90" s="7" t="s">
        <v>369</v>
      </c>
      <c r="D90" s="7">
        <v>50</v>
      </c>
      <c r="E90" s="8">
        <v>187</v>
      </c>
      <c r="F90" s="9">
        <v>9350</v>
      </c>
      <c r="G90" s="1">
        <v>113.22</v>
      </c>
      <c r="H90" s="1" t="s">
        <v>1965</v>
      </c>
    </row>
    <row r="91" spans="1:8" x14ac:dyDescent="0.25">
      <c r="A91" s="5">
        <v>39862</v>
      </c>
      <c r="B91" s="6" t="s">
        <v>1903</v>
      </c>
      <c r="C91" s="7" t="s">
        <v>369</v>
      </c>
      <c r="D91" s="7">
        <v>50</v>
      </c>
      <c r="E91" s="8">
        <v>52</v>
      </c>
      <c r="F91" s="9">
        <v>2600</v>
      </c>
      <c r="G91" s="1">
        <v>108.54</v>
      </c>
      <c r="H91" s="1" t="s">
        <v>1966</v>
      </c>
    </row>
    <row r="92" spans="1:8" x14ac:dyDescent="0.25">
      <c r="A92" s="5">
        <v>39874</v>
      </c>
      <c r="B92" s="6" t="s">
        <v>1901</v>
      </c>
      <c r="C92" s="7" t="s">
        <v>369</v>
      </c>
      <c r="D92" s="7">
        <v>50</v>
      </c>
      <c r="E92" s="8">
        <v>261</v>
      </c>
      <c r="F92" s="9">
        <v>13050</v>
      </c>
      <c r="G92" s="1">
        <v>113.82</v>
      </c>
      <c r="H92" s="1" t="s">
        <v>1967</v>
      </c>
    </row>
    <row r="93" spans="1:8" x14ac:dyDescent="0.25">
      <c r="A93" s="5">
        <v>39876</v>
      </c>
      <c r="B93" s="6" t="s">
        <v>1909</v>
      </c>
      <c r="C93" s="7" t="s">
        <v>369</v>
      </c>
      <c r="D93" s="7">
        <v>100</v>
      </c>
      <c r="E93" s="8">
        <v>68.3</v>
      </c>
      <c r="F93" s="9">
        <v>6830</v>
      </c>
      <c r="G93" s="1">
        <v>214.28</v>
      </c>
      <c r="H93" s="1" t="s">
        <v>1968</v>
      </c>
    </row>
    <row r="94" spans="1:8" x14ac:dyDescent="0.25">
      <c r="A94" s="5">
        <v>39877</v>
      </c>
      <c r="B94" s="6" t="s">
        <v>1909</v>
      </c>
      <c r="C94" s="7" t="s">
        <v>369</v>
      </c>
      <c r="D94" s="7">
        <v>100</v>
      </c>
      <c r="E94" s="8">
        <v>58.53</v>
      </c>
      <c r="F94" s="9">
        <v>5852.5</v>
      </c>
      <c r="G94" s="1">
        <v>213.62</v>
      </c>
      <c r="H94" s="1" t="s">
        <v>1969</v>
      </c>
    </row>
    <row r="95" spans="1:8" x14ac:dyDescent="0.25">
      <c r="A95" s="5">
        <v>39878</v>
      </c>
      <c r="B95" s="6" t="s">
        <v>1915</v>
      </c>
      <c r="C95" s="7" t="s">
        <v>369</v>
      </c>
      <c r="D95" s="7">
        <v>50</v>
      </c>
      <c r="E95" s="8">
        <v>89</v>
      </c>
      <c r="F95" s="9">
        <v>4450</v>
      </c>
      <c r="G95" s="1">
        <v>107.87</v>
      </c>
      <c r="H95" s="1" t="s">
        <v>1970</v>
      </c>
    </row>
    <row r="96" spans="1:8" x14ac:dyDescent="0.25">
      <c r="A96" s="5">
        <v>39878</v>
      </c>
      <c r="B96" s="6" t="s">
        <v>1913</v>
      </c>
      <c r="C96" s="7" t="s">
        <v>369</v>
      </c>
      <c r="D96" s="7">
        <v>50</v>
      </c>
      <c r="E96" s="8">
        <v>26.2</v>
      </c>
      <c r="F96" s="9">
        <v>1310</v>
      </c>
      <c r="G96" s="1">
        <v>105.69</v>
      </c>
      <c r="H96" s="1" t="s">
        <v>1971</v>
      </c>
    </row>
    <row r="97" spans="1:8" x14ac:dyDescent="0.25">
      <c r="A97" s="5">
        <v>39895</v>
      </c>
      <c r="B97" s="6" t="s">
        <v>1926</v>
      </c>
      <c r="C97" s="7" t="s">
        <v>369</v>
      </c>
      <c r="D97" s="7">
        <v>50</v>
      </c>
      <c r="E97" s="8">
        <v>163</v>
      </c>
      <c r="F97" s="9">
        <v>8150</v>
      </c>
      <c r="G97" s="1">
        <v>22.2</v>
      </c>
      <c r="H97" s="1" t="s">
        <v>1972</v>
      </c>
    </row>
    <row r="98" spans="1:8" x14ac:dyDescent="0.25">
      <c r="A98" s="5">
        <v>39835</v>
      </c>
      <c r="B98" s="6" t="s">
        <v>1928</v>
      </c>
      <c r="C98" s="7" t="s">
        <v>369</v>
      </c>
      <c r="D98" s="7">
        <v>1200</v>
      </c>
      <c r="E98" s="8">
        <v>2.4500000000000002</v>
      </c>
      <c r="F98" s="9">
        <v>2940</v>
      </c>
      <c r="G98" s="1">
        <v>108.78</v>
      </c>
      <c r="H98" s="1" t="s">
        <v>1973</v>
      </c>
    </row>
    <row r="99" spans="1:8" x14ac:dyDescent="0.25">
      <c r="A99" s="5">
        <v>39759</v>
      </c>
      <c r="B99" s="6" t="s">
        <v>1930</v>
      </c>
      <c r="C99" s="7" t="s">
        <v>369</v>
      </c>
      <c r="D99" s="7">
        <v>1000</v>
      </c>
      <c r="E99" s="8">
        <v>5.0999999999999996</v>
      </c>
      <c r="F99" s="9">
        <v>5100</v>
      </c>
      <c r="G99" s="1">
        <v>110.26</v>
      </c>
      <c r="H99" s="1" t="s">
        <v>1974</v>
      </c>
    </row>
    <row r="100" spans="1:8" x14ac:dyDescent="0.25">
      <c r="A100" s="5">
        <v>39769</v>
      </c>
      <c r="B100" s="6" t="s">
        <v>1930</v>
      </c>
      <c r="C100" s="7" t="s">
        <v>369</v>
      </c>
      <c r="D100" s="7">
        <v>1000</v>
      </c>
      <c r="E100" s="8">
        <v>0.9</v>
      </c>
      <c r="F100" s="8">
        <v>900</v>
      </c>
      <c r="G100" s="1">
        <v>107.36</v>
      </c>
      <c r="H100" s="1" t="s">
        <v>1975</v>
      </c>
    </row>
    <row r="101" spans="1:8" x14ac:dyDescent="0.25">
      <c r="A101" s="5">
        <v>39790</v>
      </c>
      <c r="B101" s="6" t="s">
        <v>1933</v>
      </c>
      <c r="C101" s="7" t="s">
        <v>369</v>
      </c>
      <c r="D101" s="7">
        <v>1000</v>
      </c>
      <c r="E101" s="8">
        <v>3.9</v>
      </c>
      <c r="F101" s="9">
        <v>3900</v>
      </c>
      <c r="G101" s="1">
        <v>109.44</v>
      </c>
      <c r="H101" s="1" t="s">
        <v>1976</v>
      </c>
    </row>
    <row r="102" spans="1:8" x14ac:dyDescent="0.25">
      <c r="A102" s="5">
        <v>39790</v>
      </c>
      <c r="B102" s="6" t="s">
        <v>1937</v>
      </c>
      <c r="C102" s="7" t="s">
        <v>369</v>
      </c>
      <c r="D102" s="7">
        <v>1000</v>
      </c>
      <c r="E102" s="8">
        <v>1.95</v>
      </c>
      <c r="F102" s="9">
        <v>1950</v>
      </c>
      <c r="G102" s="1">
        <v>1.35</v>
      </c>
      <c r="H102" s="1" t="s">
        <v>1977</v>
      </c>
    </row>
    <row r="103" spans="1:8" x14ac:dyDescent="0.25">
      <c r="A103" s="5">
        <v>39792</v>
      </c>
      <c r="B103" s="6" t="s">
        <v>1937</v>
      </c>
      <c r="C103" s="7" t="s">
        <v>369</v>
      </c>
      <c r="D103" s="7">
        <v>1000</v>
      </c>
      <c r="E103" s="8">
        <v>3.05</v>
      </c>
      <c r="F103" s="9">
        <v>3050</v>
      </c>
      <c r="G103" s="1">
        <v>108.86</v>
      </c>
      <c r="H103" s="1" t="s">
        <v>1978</v>
      </c>
    </row>
    <row r="104" spans="1:8" x14ac:dyDescent="0.25">
      <c r="A104" s="5">
        <v>39792</v>
      </c>
      <c r="B104" s="6" t="s">
        <v>1937</v>
      </c>
      <c r="C104" s="7" t="s">
        <v>369</v>
      </c>
      <c r="D104" s="7">
        <v>1000</v>
      </c>
      <c r="E104" s="8">
        <v>3.35</v>
      </c>
      <c r="F104" s="9">
        <v>3350</v>
      </c>
      <c r="G104" s="1">
        <v>109.06</v>
      </c>
      <c r="H104" s="1" t="s">
        <v>1979</v>
      </c>
    </row>
    <row r="105" spans="1:8" x14ac:dyDescent="0.25">
      <c r="A105" s="5">
        <v>39800</v>
      </c>
      <c r="B105" s="6" t="s">
        <v>1937</v>
      </c>
      <c r="C105" s="7" t="s">
        <v>369</v>
      </c>
      <c r="D105" s="7">
        <v>1000</v>
      </c>
      <c r="E105" s="8">
        <v>8.5</v>
      </c>
      <c r="F105" s="9">
        <v>8500</v>
      </c>
      <c r="G105" s="1">
        <v>112.63</v>
      </c>
      <c r="H105" s="1" t="s">
        <v>1980</v>
      </c>
    </row>
    <row r="106" spans="1:8" x14ac:dyDescent="0.25">
      <c r="A106" s="5">
        <v>39596</v>
      </c>
      <c r="B106" s="6" t="s">
        <v>1981</v>
      </c>
      <c r="C106" s="7" t="s">
        <v>657</v>
      </c>
      <c r="D106" s="7">
        <v>1625</v>
      </c>
      <c r="E106" s="8">
        <v>7.8</v>
      </c>
      <c r="F106" s="13">
        <f>D106*E106</f>
        <v>12675</v>
      </c>
      <c r="G106" s="1">
        <v>534.30999999999995</v>
      </c>
    </row>
    <row r="107" spans="1:8" x14ac:dyDescent="0.25">
      <c r="F107" s="13">
        <f>SUM(F67:F106)</f>
        <v>171645</v>
      </c>
      <c r="G107" s="1">
        <f>SUM(G67:G106)</f>
        <v>5086.8999999999996</v>
      </c>
    </row>
    <row r="108" spans="1:8" x14ac:dyDescent="0.25">
      <c r="F108" s="12" t="s">
        <v>659</v>
      </c>
      <c r="G108" s="11">
        <f>F107-G107</f>
        <v>166558.1</v>
      </c>
    </row>
    <row r="110" spans="1:8" x14ac:dyDescent="0.25">
      <c r="F110" s="17" t="s">
        <v>660</v>
      </c>
      <c r="G110" s="111">
        <f>G108-G65</f>
        <v>-55083.01999999999</v>
      </c>
    </row>
  </sheetData>
  <autoFilter ref="A1:H1"/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232"/>
  <sheetViews>
    <sheetView topLeftCell="A93" workbookViewId="0">
      <selection activeCell="P22" sqref="P22"/>
    </sheetView>
  </sheetViews>
  <sheetFormatPr defaultColWidth="9.21875" defaultRowHeight="13.2" x14ac:dyDescent="0.25"/>
  <cols>
    <col min="1" max="7" width="10.77734375" style="121" customWidth="1"/>
    <col min="8" max="8" width="25.77734375" style="121" customWidth="1"/>
    <col min="9" max="9" width="9.21875" style="121" customWidth="1"/>
    <col min="10" max="10" width="9.21875" style="121"/>
    <col min="11" max="11" width="20.77734375" style="121" customWidth="1"/>
    <col min="12" max="12" width="10.77734375" style="121" customWidth="1"/>
    <col min="13" max="16384" width="9.21875" style="1"/>
  </cols>
  <sheetData>
    <row r="1" spans="1:12" ht="22.8" x14ac:dyDescent="0.25">
      <c r="A1" s="112" t="s">
        <v>184</v>
      </c>
      <c r="B1" s="112" t="s">
        <v>185</v>
      </c>
      <c r="C1" s="112" t="s">
        <v>186</v>
      </c>
      <c r="D1" s="113" t="s">
        <v>187</v>
      </c>
      <c r="E1" s="112" t="s">
        <v>188</v>
      </c>
      <c r="F1" s="112" t="s">
        <v>189</v>
      </c>
      <c r="G1" s="112" t="s">
        <v>190</v>
      </c>
      <c r="H1" s="112" t="s">
        <v>191</v>
      </c>
      <c r="I1" s="112" t="s">
        <v>192</v>
      </c>
      <c r="J1" s="112" t="s">
        <v>193</v>
      </c>
      <c r="K1" s="112" t="s">
        <v>194</v>
      </c>
      <c r="L1" s="112" t="s">
        <v>195</v>
      </c>
    </row>
    <row r="2" spans="1:12" x14ac:dyDescent="0.25">
      <c r="A2" s="114" t="s">
        <v>1054</v>
      </c>
      <c r="B2" s="115"/>
      <c r="C2" s="115"/>
      <c r="D2" s="116"/>
      <c r="E2" s="115"/>
      <c r="F2" s="115"/>
      <c r="G2" s="115"/>
      <c r="H2" s="115"/>
      <c r="I2" s="115"/>
      <c r="J2" s="115"/>
      <c r="K2" s="115"/>
      <c r="L2" s="115"/>
    </row>
    <row r="3" spans="1:12" x14ac:dyDescent="0.25">
      <c r="A3" s="117">
        <v>39160</v>
      </c>
      <c r="B3" s="118" t="s">
        <v>1107</v>
      </c>
      <c r="C3" s="118" t="s">
        <v>197</v>
      </c>
      <c r="D3" s="119">
        <v>50</v>
      </c>
      <c r="E3" s="118">
        <v>93.45</v>
      </c>
      <c r="F3" s="120">
        <v>4672.5</v>
      </c>
      <c r="G3" s="121">
        <v>45.18</v>
      </c>
      <c r="H3" s="121" t="s">
        <v>1982</v>
      </c>
      <c r="I3" s="121">
        <v>2007052</v>
      </c>
      <c r="J3" s="118" t="s">
        <v>199</v>
      </c>
      <c r="K3" s="121" t="s">
        <v>1051</v>
      </c>
      <c r="L3" s="118" t="s">
        <v>201</v>
      </c>
    </row>
    <row r="4" spans="1:12" x14ac:dyDescent="0.25">
      <c r="A4" s="117">
        <v>39073</v>
      </c>
      <c r="B4" s="118" t="s">
        <v>1983</v>
      </c>
      <c r="C4" s="118" t="s">
        <v>197</v>
      </c>
      <c r="D4" s="119">
        <v>6</v>
      </c>
      <c r="E4" s="120">
        <v>1660</v>
      </c>
      <c r="F4" s="120">
        <v>9960</v>
      </c>
      <c r="G4" s="121">
        <v>96.29</v>
      </c>
      <c r="H4" s="121" t="s">
        <v>1984</v>
      </c>
      <c r="I4" s="121">
        <v>2006244</v>
      </c>
      <c r="J4" s="118" t="s">
        <v>199</v>
      </c>
      <c r="K4" s="121" t="s">
        <v>1051</v>
      </c>
      <c r="L4" s="118" t="s">
        <v>201</v>
      </c>
    </row>
    <row r="5" spans="1:12" x14ac:dyDescent="0.25">
      <c r="A5" s="117">
        <v>39073</v>
      </c>
      <c r="B5" s="118" t="s">
        <v>1983</v>
      </c>
      <c r="C5" s="118" t="s">
        <v>197</v>
      </c>
      <c r="D5" s="119">
        <v>1</v>
      </c>
      <c r="E5" s="120">
        <v>1649.9</v>
      </c>
      <c r="F5" s="120">
        <v>1649.9</v>
      </c>
      <c r="G5" s="121">
        <v>30.12</v>
      </c>
      <c r="H5" s="121" t="s">
        <v>1985</v>
      </c>
      <c r="I5" s="121">
        <v>2006244</v>
      </c>
      <c r="J5" s="118" t="s">
        <v>199</v>
      </c>
      <c r="K5" s="121" t="s">
        <v>1051</v>
      </c>
      <c r="L5" s="118" t="s">
        <v>201</v>
      </c>
    </row>
    <row r="6" spans="1:12" x14ac:dyDescent="0.25">
      <c r="A6" s="117">
        <v>39070</v>
      </c>
      <c r="B6" s="118" t="s">
        <v>1983</v>
      </c>
      <c r="C6" s="118" t="s">
        <v>197</v>
      </c>
      <c r="D6" s="119">
        <v>8</v>
      </c>
      <c r="E6" s="120">
        <v>1156</v>
      </c>
      <c r="F6" s="120">
        <v>9248</v>
      </c>
      <c r="G6" s="121">
        <v>89.41</v>
      </c>
      <c r="H6" s="121" t="s">
        <v>1986</v>
      </c>
      <c r="I6" s="121">
        <v>2006241</v>
      </c>
      <c r="J6" s="118" t="s">
        <v>199</v>
      </c>
      <c r="K6" s="121" t="s">
        <v>1051</v>
      </c>
      <c r="L6" s="118" t="s">
        <v>201</v>
      </c>
    </row>
    <row r="7" spans="1:12" x14ac:dyDescent="0.25">
      <c r="A7" s="117">
        <v>39142</v>
      </c>
      <c r="B7" s="118" t="s">
        <v>1551</v>
      </c>
      <c r="C7" s="118" t="s">
        <v>197</v>
      </c>
      <c r="D7" s="119">
        <v>5</v>
      </c>
      <c r="E7" s="120">
        <v>2100</v>
      </c>
      <c r="F7" s="120">
        <v>10500</v>
      </c>
      <c r="G7" s="121">
        <v>101.52</v>
      </c>
      <c r="H7" s="121" t="s">
        <v>1987</v>
      </c>
      <c r="I7" s="121">
        <v>2007040</v>
      </c>
      <c r="J7" s="118" t="s">
        <v>199</v>
      </c>
      <c r="K7" s="121" t="s">
        <v>1051</v>
      </c>
      <c r="L7" s="118" t="s">
        <v>201</v>
      </c>
    </row>
    <row r="8" spans="1:12" x14ac:dyDescent="0.25">
      <c r="A8" s="117">
        <v>39080</v>
      </c>
      <c r="B8" s="118" t="s">
        <v>1551</v>
      </c>
      <c r="C8" s="118" t="s">
        <v>197</v>
      </c>
      <c r="D8" s="119">
        <v>5</v>
      </c>
      <c r="E8" s="120">
        <v>2258</v>
      </c>
      <c r="F8" s="120">
        <v>11290</v>
      </c>
      <c r="G8" s="121">
        <v>109.15</v>
      </c>
      <c r="H8" s="121" t="s">
        <v>1988</v>
      </c>
      <c r="I8" s="121">
        <v>2006248</v>
      </c>
      <c r="J8" s="118" t="s">
        <v>199</v>
      </c>
      <c r="K8" s="121" t="s">
        <v>1051</v>
      </c>
      <c r="L8" s="118" t="s">
        <v>201</v>
      </c>
    </row>
    <row r="9" spans="1:12" x14ac:dyDescent="0.25">
      <c r="A9" s="114" t="s">
        <v>1989</v>
      </c>
      <c r="B9" s="115"/>
      <c r="C9" s="115"/>
      <c r="D9" s="116"/>
      <c r="E9" s="115"/>
      <c r="F9" s="115"/>
      <c r="G9" s="115"/>
      <c r="H9" s="115"/>
      <c r="I9" s="115"/>
      <c r="J9" s="115"/>
      <c r="K9" s="115"/>
      <c r="L9" s="115"/>
    </row>
    <row r="10" spans="1:12" x14ac:dyDescent="0.25">
      <c r="A10" s="117">
        <v>39517</v>
      </c>
      <c r="B10" s="118" t="s">
        <v>1510</v>
      </c>
      <c r="C10" s="118" t="s">
        <v>197</v>
      </c>
      <c r="D10" s="119">
        <v>2</v>
      </c>
      <c r="E10" s="120">
        <v>2400</v>
      </c>
      <c r="F10" s="120">
        <v>4800</v>
      </c>
      <c r="G10" s="121">
        <v>46.45</v>
      </c>
      <c r="H10" s="121" t="s">
        <v>1990</v>
      </c>
      <c r="I10" s="121">
        <v>200708240</v>
      </c>
      <c r="J10" s="118" t="s">
        <v>199</v>
      </c>
      <c r="K10" s="121" t="s">
        <v>1051</v>
      </c>
      <c r="L10" s="118" t="s">
        <v>204</v>
      </c>
    </row>
    <row r="11" spans="1:12" x14ac:dyDescent="0.25">
      <c r="A11" s="117">
        <v>39514</v>
      </c>
      <c r="B11" s="118" t="s">
        <v>1510</v>
      </c>
      <c r="C11" s="118" t="s">
        <v>197</v>
      </c>
      <c r="D11" s="119">
        <v>5</v>
      </c>
      <c r="E11" s="120">
        <v>2301.1</v>
      </c>
      <c r="F11" s="120">
        <v>11505.5</v>
      </c>
      <c r="G11" s="121">
        <v>111.34</v>
      </c>
      <c r="H11" s="121" t="s">
        <v>1991</v>
      </c>
      <c r="I11" s="121">
        <v>2008048</v>
      </c>
      <c r="J11" s="118" t="s">
        <v>199</v>
      </c>
      <c r="K11" s="121" t="s">
        <v>1051</v>
      </c>
      <c r="L11" s="118" t="s">
        <v>201</v>
      </c>
    </row>
    <row r="12" spans="1:12" x14ac:dyDescent="0.25">
      <c r="A12" s="117">
        <v>39506</v>
      </c>
      <c r="B12" s="118" t="s">
        <v>1992</v>
      </c>
      <c r="C12" s="118" t="s">
        <v>197</v>
      </c>
      <c r="D12" s="119">
        <v>25</v>
      </c>
      <c r="E12" s="118">
        <v>300.39999999999998</v>
      </c>
      <c r="F12" s="120">
        <v>7510</v>
      </c>
      <c r="G12" s="121">
        <v>72.680000000000007</v>
      </c>
      <c r="H12" s="121" t="s">
        <v>1993</v>
      </c>
      <c r="I12" s="121">
        <v>2008043</v>
      </c>
      <c r="J12" s="118" t="s">
        <v>199</v>
      </c>
      <c r="K12" s="121" t="s">
        <v>1051</v>
      </c>
      <c r="L12" s="118" t="s">
        <v>201</v>
      </c>
    </row>
    <row r="13" spans="1:12" x14ac:dyDescent="0.25">
      <c r="A13" s="117">
        <v>39506</v>
      </c>
      <c r="B13" s="118" t="s">
        <v>1992</v>
      </c>
      <c r="C13" s="118" t="s">
        <v>197</v>
      </c>
      <c r="D13" s="119">
        <v>25</v>
      </c>
      <c r="E13" s="118">
        <v>301.5</v>
      </c>
      <c r="F13" s="120">
        <v>7537.5</v>
      </c>
      <c r="G13" s="121">
        <v>72.94</v>
      </c>
      <c r="H13" s="121" t="s">
        <v>1994</v>
      </c>
      <c r="I13" s="121">
        <v>2008043</v>
      </c>
      <c r="J13" s="118" t="s">
        <v>199</v>
      </c>
      <c r="K13" s="121" t="s">
        <v>1051</v>
      </c>
      <c r="L13" s="118" t="s">
        <v>201</v>
      </c>
    </row>
    <row r="14" spans="1:12" x14ac:dyDescent="0.25">
      <c r="A14" s="117">
        <v>39499</v>
      </c>
      <c r="B14" s="118" t="s">
        <v>1510</v>
      </c>
      <c r="C14" s="118" t="s">
        <v>197</v>
      </c>
      <c r="D14" s="119">
        <v>1</v>
      </c>
      <c r="E14" s="120">
        <v>2801.1</v>
      </c>
      <c r="F14" s="120">
        <v>2801.1</v>
      </c>
      <c r="G14" s="121">
        <v>31.59</v>
      </c>
      <c r="H14" s="121" t="s">
        <v>1995</v>
      </c>
      <c r="I14" s="121">
        <v>200708229</v>
      </c>
      <c r="J14" s="118" t="s">
        <v>199</v>
      </c>
      <c r="K14" s="121" t="s">
        <v>1051</v>
      </c>
      <c r="L14" s="118" t="s">
        <v>204</v>
      </c>
    </row>
    <row r="15" spans="1:12" x14ac:dyDescent="0.25">
      <c r="A15" s="117">
        <v>39498</v>
      </c>
      <c r="B15" s="118" t="s">
        <v>1510</v>
      </c>
      <c r="C15" s="118" t="s">
        <v>197</v>
      </c>
      <c r="D15" s="119">
        <v>4</v>
      </c>
      <c r="E15" s="120">
        <v>2755</v>
      </c>
      <c r="F15" s="120">
        <v>11020</v>
      </c>
      <c r="G15" s="121">
        <v>106.65</v>
      </c>
      <c r="H15" s="121" t="s">
        <v>1996</v>
      </c>
      <c r="I15" s="121">
        <v>2008037</v>
      </c>
      <c r="J15" s="118" t="s">
        <v>199</v>
      </c>
      <c r="K15" s="121" t="s">
        <v>1051</v>
      </c>
      <c r="L15" s="118" t="s">
        <v>201</v>
      </c>
    </row>
    <row r="16" spans="1:12" x14ac:dyDescent="0.25">
      <c r="A16" s="117">
        <v>39484</v>
      </c>
      <c r="B16" s="118" t="s">
        <v>1657</v>
      </c>
      <c r="C16" s="118" t="s">
        <v>197</v>
      </c>
      <c r="D16" s="119">
        <v>100</v>
      </c>
      <c r="E16" s="118">
        <v>178.67</v>
      </c>
      <c r="F16" s="120">
        <v>17867.400000000001</v>
      </c>
      <c r="G16" s="121">
        <v>16.850000000000001</v>
      </c>
      <c r="H16" s="121" t="s">
        <v>1997</v>
      </c>
      <c r="I16" s="121">
        <v>2008027</v>
      </c>
      <c r="J16" s="118" t="s">
        <v>199</v>
      </c>
      <c r="K16" s="118" t="s">
        <v>1098</v>
      </c>
      <c r="L16" s="118" t="s">
        <v>201</v>
      </c>
    </row>
    <row r="17" spans="1:12" x14ac:dyDescent="0.25">
      <c r="A17" s="117">
        <v>39484</v>
      </c>
      <c r="B17" s="118" t="s">
        <v>1998</v>
      </c>
      <c r="C17" s="118" t="s">
        <v>197</v>
      </c>
      <c r="D17" s="119">
        <v>100</v>
      </c>
      <c r="E17" s="118">
        <v>66</v>
      </c>
      <c r="F17" s="120">
        <v>6600</v>
      </c>
      <c r="G17" s="121">
        <v>16.850000000000001</v>
      </c>
      <c r="H17" s="121" t="s">
        <v>1999</v>
      </c>
      <c r="I17" s="121">
        <v>2008027</v>
      </c>
      <c r="J17" s="118" t="s">
        <v>199</v>
      </c>
      <c r="K17" s="118" t="s">
        <v>1098</v>
      </c>
      <c r="L17" s="118" t="s">
        <v>201</v>
      </c>
    </row>
    <row r="18" spans="1:12" x14ac:dyDescent="0.25">
      <c r="A18" s="117">
        <v>39484</v>
      </c>
      <c r="B18" s="118" t="s">
        <v>1998</v>
      </c>
      <c r="C18" s="118" t="s">
        <v>197</v>
      </c>
      <c r="D18" s="119">
        <v>100</v>
      </c>
      <c r="E18" s="118">
        <v>66</v>
      </c>
      <c r="F18" s="120">
        <v>6600</v>
      </c>
      <c r="G18" s="121">
        <v>16.850000000000001</v>
      </c>
      <c r="H18" s="121" t="s">
        <v>2000</v>
      </c>
      <c r="I18" s="121">
        <v>2008027</v>
      </c>
      <c r="J18" s="118" t="s">
        <v>199</v>
      </c>
      <c r="K18" s="118" t="s">
        <v>1098</v>
      </c>
      <c r="L18" s="118" t="s">
        <v>201</v>
      </c>
    </row>
    <row r="19" spans="1:12" x14ac:dyDescent="0.25">
      <c r="A19" s="117">
        <v>39484</v>
      </c>
      <c r="B19" s="118" t="s">
        <v>1998</v>
      </c>
      <c r="C19" s="118" t="s">
        <v>197</v>
      </c>
      <c r="D19" s="119">
        <v>200</v>
      </c>
      <c r="E19" s="118">
        <v>66.25</v>
      </c>
      <c r="F19" s="120">
        <v>13250</v>
      </c>
      <c r="G19" s="121">
        <v>16.86</v>
      </c>
      <c r="H19" s="121" t="s">
        <v>2001</v>
      </c>
      <c r="I19" s="121">
        <v>2008027</v>
      </c>
      <c r="J19" s="118" t="s">
        <v>199</v>
      </c>
      <c r="K19" s="118" t="s">
        <v>1098</v>
      </c>
      <c r="L19" s="118" t="s">
        <v>201</v>
      </c>
    </row>
    <row r="20" spans="1:12" x14ac:dyDescent="0.25">
      <c r="A20" s="117">
        <v>39479</v>
      </c>
      <c r="B20" s="118" t="s">
        <v>2002</v>
      </c>
      <c r="C20" s="118" t="s">
        <v>197</v>
      </c>
      <c r="D20" s="119">
        <v>100</v>
      </c>
      <c r="E20" s="118">
        <v>69.95</v>
      </c>
      <c r="F20" s="120">
        <v>6995</v>
      </c>
      <c r="G20" s="121">
        <v>67.680000000000007</v>
      </c>
      <c r="H20" s="121" t="s">
        <v>2003</v>
      </c>
      <c r="I20" s="121">
        <v>200708215</v>
      </c>
      <c r="J20" s="118" t="s">
        <v>199</v>
      </c>
      <c r="K20" s="121" t="s">
        <v>1051</v>
      </c>
      <c r="L20" s="118" t="s">
        <v>204</v>
      </c>
    </row>
    <row r="21" spans="1:12" x14ac:dyDescent="0.25">
      <c r="A21" s="117">
        <v>39479</v>
      </c>
      <c r="B21" s="118" t="s">
        <v>1605</v>
      </c>
      <c r="C21" s="118" t="s">
        <v>197</v>
      </c>
      <c r="D21" s="119">
        <v>1</v>
      </c>
      <c r="E21" s="120">
        <v>3505.5</v>
      </c>
      <c r="F21" s="120">
        <v>3505.5</v>
      </c>
      <c r="G21" s="121">
        <v>33.92</v>
      </c>
      <c r="H21" s="121" t="s">
        <v>2004</v>
      </c>
      <c r="I21" s="121">
        <v>200708215</v>
      </c>
      <c r="J21" s="118" t="s">
        <v>199</v>
      </c>
      <c r="K21" s="121" t="s">
        <v>1051</v>
      </c>
      <c r="L21" s="118" t="s">
        <v>204</v>
      </c>
    </row>
    <row r="22" spans="1:12" x14ac:dyDescent="0.25">
      <c r="A22" s="117">
        <v>39476</v>
      </c>
      <c r="B22" s="118" t="s">
        <v>1657</v>
      </c>
      <c r="C22" s="118" t="s">
        <v>197</v>
      </c>
      <c r="D22" s="119">
        <v>100</v>
      </c>
      <c r="E22" s="118">
        <v>187.45</v>
      </c>
      <c r="F22" s="120">
        <v>18745</v>
      </c>
      <c r="G22" s="121">
        <v>16.850000000000001</v>
      </c>
      <c r="H22" s="121" t="s">
        <v>2005</v>
      </c>
      <c r="I22" s="121">
        <v>2008021</v>
      </c>
      <c r="J22" s="118" t="s">
        <v>199</v>
      </c>
      <c r="K22" s="118" t="s">
        <v>1098</v>
      </c>
      <c r="L22" s="118" t="s">
        <v>201</v>
      </c>
    </row>
    <row r="23" spans="1:12" x14ac:dyDescent="0.25">
      <c r="A23" s="117">
        <v>39476</v>
      </c>
      <c r="B23" s="118" t="s">
        <v>1657</v>
      </c>
      <c r="C23" s="118" t="s">
        <v>197</v>
      </c>
      <c r="D23" s="119">
        <v>100</v>
      </c>
      <c r="E23" s="118">
        <v>181.2</v>
      </c>
      <c r="F23" s="120">
        <v>18120</v>
      </c>
      <c r="G23" s="121">
        <v>16.850000000000001</v>
      </c>
      <c r="H23" s="121" t="s">
        <v>2006</v>
      </c>
      <c r="I23" s="121">
        <v>2008021</v>
      </c>
      <c r="J23" s="118" t="s">
        <v>199</v>
      </c>
      <c r="K23" s="118" t="s">
        <v>1098</v>
      </c>
      <c r="L23" s="118" t="s">
        <v>201</v>
      </c>
    </row>
    <row r="24" spans="1:12" x14ac:dyDescent="0.25">
      <c r="A24" s="117">
        <v>39476</v>
      </c>
      <c r="B24" s="118" t="s">
        <v>1657</v>
      </c>
      <c r="C24" s="118" t="s">
        <v>197</v>
      </c>
      <c r="D24" s="119">
        <v>100</v>
      </c>
      <c r="E24" s="118">
        <v>182.8</v>
      </c>
      <c r="F24" s="120">
        <v>18280</v>
      </c>
      <c r="G24" s="121">
        <v>16.850000000000001</v>
      </c>
      <c r="H24" s="121" t="s">
        <v>2007</v>
      </c>
      <c r="I24" s="121">
        <v>2008021</v>
      </c>
      <c r="J24" s="118" t="s">
        <v>199</v>
      </c>
      <c r="K24" s="118" t="s">
        <v>1098</v>
      </c>
      <c r="L24" s="118" t="s">
        <v>201</v>
      </c>
    </row>
    <row r="25" spans="1:12" x14ac:dyDescent="0.25">
      <c r="A25" s="117">
        <v>39475</v>
      </c>
      <c r="B25" s="118" t="s">
        <v>2002</v>
      </c>
      <c r="C25" s="118" t="s">
        <v>197</v>
      </c>
      <c r="D25" s="119">
        <v>100</v>
      </c>
      <c r="E25" s="118">
        <v>76.849999999999994</v>
      </c>
      <c r="F25" s="120">
        <v>7685</v>
      </c>
      <c r="G25" s="121">
        <v>74.37</v>
      </c>
      <c r="H25" s="121" t="s">
        <v>2008</v>
      </c>
      <c r="I25" s="121">
        <v>200708211</v>
      </c>
      <c r="J25" s="118" t="s">
        <v>199</v>
      </c>
      <c r="K25" s="121" t="s">
        <v>1051</v>
      </c>
      <c r="L25" s="118" t="s">
        <v>204</v>
      </c>
    </row>
    <row r="26" spans="1:12" x14ac:dyDescent="0.25">
      <c r="A26" s="117">
        <v>39470</v>
      </c>
      <c r="B26" s="118" t="s">
        <v>2009</v>
      </c>
      <c r="C26" s="118" t="s">
        <v>197</v>
      </c>
      <c r="D26" s="119">
        <v>5</v>
      </c>
      <c r="E26" s="118">
        <v>945</v>
      </c>
      <c r="F26" s="120">
        <v>4725</v>
      </c>
      <c r="G26" s="121">
        <v>45.73</v>
      </c>
      <c r="H26" s="121" t="s">
        <v>2010</v>
      </c>
      <c r="I26" s="121">
        <v>2008017</v>
      </c>
      <c r="J26" s="118" t="s">
        <v>199</v>
      </c>
      <c r="K26" s="121" t="s">
        <v>1051</v>
      </c>
      <c r="L26" s="118" t="s">
        <v>201</v>
      </c>
    </row>
    <row r="27" spans="1:12" x14ac:dyDescent="0.25">
      <c r="A27" s="117">
        <v>39469</v>
      </c>
      <c r="B27" s="118" t="s">
        <v>211</v>
      </c>
      <c r="C27" s="118" t="s">
        <v>197</v>
      </c>
      <c r="D27" s="119">
        <v>25</v>
      </c>
      <c r="E27" s="118">
        <v>372</v>
      </c>
      <c r="F27" s="120">
        <v>9300</v>
      </c>
      <c r="G27" s="121">
        <v>90</v>
      </c>
      <c r="H27" s="121" t="s">
        <v>2011</v>
      </c>
      <c r="I27" s="121">
        <v>200708207</v>
      </c>
      <c r="J27" s="118" t="s">
        <v>199</v>
      </c>
      <c r="K27" s="121" t="s">
        <v>1051</v>
      </c>
      <c r="L27" s="118" t="s">
        <v>204</v>
      </c>
    </row>
    <row r="28" spans="1:12" x14ac:dyDescent="0.25">
      <c r="A28" s="117">
        <v>39469</v>
      </c>
      <c r="B28" s="118" t="s">
        <v>1605</v>
      </c>
      <c r="C28" s="118" t="s">
        <v>197</v>
      </c>
      <c r="D28" s="119">
        <v>2</v>
      </c>
      <c r="E28" s="120">
        <v>3250</v>
      </c>
      <c r="F28" s="120">
        <v>6500</v>
      </c>
      <c r="G28" s="121">
        <v>62.91</v>
      </c>
      <c r="H28" s="121" t="s">
        <v>2012</v>
      </c>
      <c r="I28" s="121">
        <v>200708207</v>
      </c>
      <c r="J28" s="118" t="s">
        <v>199</v>
      </c>
      <c r="K28" s="121" t="s">
        <v>1051</v>
      </c>
      <c r="L28" s="118" t="s">
        <v>204</v>
      </c>
    </row>
    <row r="29" spans="1:12" x14ac:dyDescent="0.25">
      <c r="A29" s="117">
        <v>39469</v>
      </c>
      <c r="B29" s="118" t="s">
        <v>2009</v>
      </c>
      <c r="C29" s="118" t="s">
        <v>197</v>
      </c>
      <c r="D29" s="119">
        <v>5</v>
      </c>
      <c r="E29" s="118">
        <v>700</v>
      </c>
      <c r="F29" s="120">
        <v>3500</v>
      </c>
      <c r="G29" s="121">
        <v>33.869999999999997</v>
      </c>
      <c r="H29" s="121" t="s">
        <v>2013</v>
      </c>
      <c r="I29" s="121">
        <v>2008016</v>
      </c>
      <c r="J29" s="118" t="s">
        <v>199</v>
      </c>
      <c r="K29" s="121" t="s">
        <v>1051</v>
      </c>
      <c r="L29" s="118" t="s">
        <v>201</v>
      </c>
    </row>
    <row r="30" spans="1:12" x14ac:dyDescent="0.25">
      <c r="A30" s="117">
        <v>39469</v>
      </c>
      <c r="B30" s="118" t="s">
        <v>2014</v>
      </c>
      <c r="C30" s="118" t="s">
        <v>197</v>
      </c>
      <c r="D30" s="119">
        <v>5</v>
      </c>
      <c r="E30" s="118">
        <v>640</v>
      </c>
      <c r="F30" s="120">
        <v>3200</v>
      </c>
      <c r="G30" s="121">
        <v>32.090000000000003</v>
      </c>
      <c r="H30" s="121" t="s">
        <v>2015</v>
      </c>
      <c r="I30" s="121">
        <v>2008016</v>
      </c>
      <c r="J30" s="118" t="s">
        <v>199</v>
      </c>
      <c r="K30" s="121" t="s">
        <v>1051</v>
      </c>
      <c r="L30" s="118" t="s">
        <v>201</v>
      </c>
    </row>
    <row r="31" spans="1:12" x14ac:dyDescent="0.25">
      <c r="A31" s="117">
        <v>39469</v>
      </c>
      <c r="B31" s="118" t="s">
        <v>2014</v>
      </c>
      <c r="C31" s="118" t="s">
        <v>197</v>
      </c>
      <c r="D31" s="119">
        <v>5</v>
      </c>
      <c r="E31" s="118">
        <v>700.5</v>
      </c>
      <c r="F31" s="120">
        <v>3502.5</v>
      </c>
      <c r="G31" s="121">
        <v>33.9</v>
      </c>
      <c r="H31" s="121" t="s">
        <v>2016</v>
      </c>
      <c r="I31" s="121">
        <v>2008016</v>
      </c>
      <c r="J31" s="118" t="s">
        <v>199</v>
      </c>
      <c r="K31" s="121" t="s">
        <v>1051</v>
      </c>
      <c r="L31" s="118" t="s">
        <v>201</v>
      </c>
    </row>
    <row r="32" spans="1:12" x14ac:dyDescent="0.25">
      <c r="A32" s="117">
        <v>39465</v>
      </c>
      <c r="B32" s="118" t="s">
        <v>2002</v>
      </c>
      <c r="C32" s="118" t="s">
        <v>197</v>
      </c>
      <c r="D32" s="119">
        <v>100</v>
      </c>
      <c r="E32" s="118">
        <v>97.5</v>
      </c>
      <c r="F32" s="120">
        <v>9750</v>
      </c>
      <c r="G32" s="121">
        <v>94.36</v>
      </c>
      <c r="H32" s="121" t="s">
        <v>2017</v>
      </c>
      <c r="I32" s="121">
        <v>200708205</v>
      </c>
      <c r="J32" s="118" t="s">
        <v>199</v>
      </c>
      <c r="K32" s="121" t="s">
        <v>1051</v>
      </c>
      <c r="L32" s="118" t="s">
        <v>204</v>
      </c>
    </row>
    <row r="33" spans="1:12" x14ac:dyDescent="0.25">
      <c r="A33" s="117">
        <v>39465</v>
      </c>
      <c r="B33" s="118" t="s">
        <v>1605</v>
      </c>
      <c r="C33" s="118" t="s">
        <v>197</v>
      </c>
      <c r="D33" s="119">
        <v>2</v>
      </c>
      <c r="E33" s="120">
        <v>4565.5</v>
      </c>
      <c r="F33" s="120">
        <v>9131</v>
      </c>
      <c r="G33" s="121">
        <v>88.36</v>
      </c>
      <c r="H33" s="121" t="s">
        <v>2018</v>
      </c>
      <c r="I33" s="121">
        <v>2008014</v>
      </c>
      <c r="J33" s="118" t="s">
        <v>199</v>
      </c>
      <c r="K33" s="121" t="s">
        <v>1051</v>
      </c>
      <c r="L33" s="118" t="s">
        <v>201</v>
      </c>
    </row>
    <row r="34" spans="1:12" x14ac:dyDescent="0.25">
      <c r="A34" s="117">
        <v>39455</v>
      </c>
      <c r="B34" s="118" t="s">
        <v>2019</v>
      </c>
      <c r="C34" s="118" t="s">
        <v>197</v>
      </c>
      <c r="D34" s="119">
        <v>50</v>
      </c>
      <c r="E34" s="118">
        <v>86</v>
      </c>
      <c r="F34" s="120">
        <v>4300</v>
      </c>
      <c r="G34" s="121">
        <v>41.62</v>
      </c>
      <c r="H34" s="121" t="s">
        <v>2020</v>
      </c>
      <c r="I34" s="121">
        <v>2008006</v>
      </c>
      <c r="J34" s="118" t="s">
        <v>199</v>
      </c>
      <c r="K34" s="121" t="s">
        <v>1051</v>
      </c>
      <c r="L34" s="118" t="s">
        <v>201</v>
      </c>
    </row>
    <row r="35" spans="1:12" x14ac:dyDescent="0.25">
      <c r="A35" s="117">
        <v>39455</v>
      </c>
      <c r="B35" s="118" t="s">
        <v>2019</v>
      </c>
      <c r="C35" s="118" t="s">
        <v>197</v>
      </c>
      <c r="D35" s="119">
        <v>50</v>
      </c>
      <c r="E35" s="118">
        <v>85.75</v>
      </c>
      <c r="F35" s="120">
        <v>4287.5</v>
      </c>
      <c r="G35" s="121">
        <v>41.49</v>
      </c>
      <c r="H35" s="121" t="s">
        <v>2021</v>
      </c>
      <c r="I35" s="121">
        <v>2008006</v>
      </c>
      <c r="J35" s="118" t="s">
        <v>199</v>
      </c>
      <c r="K35" s="121" t="s">
        <v>1051</v>
      </c>
      <c r="L35" s="118" t="s">
        <v>201</v>
      </c>
    </row>
    <row r="36" spans="1:12" x14ac:dyDescent="0.25">
      <c r="A36" s="117">
        <v>39444</v>
      </c>
      <c r="B36" s="118" t="s">
        <v>2002</v>
      </c>
      <c r="C36" s="118" t="s">
        <v>197</v>
      </c>
      <c r="D36" s="119">
        <v>100</v>
      </c>
      <c r="E36" s="118">
        <v>91.05</v>
      </c>
      <c r="F36" s="120">
        <v>9105</v>
      </c>
      <c r="G36" s="121">
        <v>88.11</v>
      </c>
      <c r="H36" s="121" t="s">
        <v>2022</v>
      </c>
      <c r="I36" s="121">
        <v>200708190</v>
      </c>
      <c r="J36" s="118" t="s">
        <v>199</v>
      </c>
      <c r="K36" s="121" t="s">
        <v>1051</v>
      </c>
      <c r="L36" s="118" t="s">
        <v>204</v>
      </c>
    </row>
    <row r="37" spans="1:12" x14ac:dyDescent="0.25">
      <c r="A37" s="117">
        <v>39443</v>
      </c>
      <c r="B37" s="118" t="s">
        <v>2002</v>
      </c>
      <c r="C37" s="118" t="s">
        <v>197</v>
      </c>
      <c r="D37" s="119">
        <v>100</v>
      </c>
      <c r="E37" s="118">
        <v>89.5</v>
      </c>
      <c r="F37" s="120">
        <v>8950</v>
      </c>
      <c r="G37" s="121">
        <v>86.62</v>
      </c>
      <c r="H37" s="121" t="s">
        <v>2023</v>
      </c>
      <c r="I37" s="121">
        <v>200708189</v>
      </c>
      <c r="J37" s="118" t="s">
        <v>199</v>
      </c>
      <c r="K37" s="121" t="s">
        <v>1051</v>
      </c>
      <c r="L37" s="118" t="s">
        <v>204</v>
      </c>
    </row>
    <row r="38" spans="1:12" x14ac:dyDescent="0.25">
      <c r="A38" s="117">
        <v>39443</v>
      </c>
      <c r="B38" s="118" t="s">
        <v>2002</v>
      </c>
      <c r="C38" s="118" t="s">
        <v>197</v>
      </c>
      <c r="D38" s="119">
        <v>100</v>
      </c>
      <c r="E38" s="118">
        <v>89.5</v>
      </c>
      <c r="F38" s="120">
        <v>8950</v>
      </c>
      <c r="G38" s="121">
        <v>86.62</v>
      </c>
      <c r="H38" s="121" t="s">
        <v>2024</v>
      </c>
      <c r="I38" s="121">
        <v>200708189</v>
      </c>
      <c r="J38" s="118" t="s">
        <v>199</v>
      </c>
      <c r="K38" s="121" t="s">
        <v>1051</v>
      </c>
      <c r="L38" s="118" t="s">
        <v>204</v>
      </c>
    </row>
    <row r="39" spans="1:12" x14ac:dyDescent="0.25">
      <c r="A39" s="117">
        <v>39434</v>
      </c>
      <c r="B39" s="118" t="s">
        <v>2025</v>
      </c>
      <c r="C39" s="118" t="s">
        <v>197</v>
      </c>
      <c r="D39" s="119">
        <v>5</v>
      </c>
      <c r="E39" s="118">
        <v>280.5</v>
      </c>
      <c r="F39" s="120">
        <v>1402.5</v>
      </c>
      <c r="G39" s="121">
        <v>29.84</v>
      </c>
      <c r="H39" s="121" t="s">
        <v>2026</v>
      </c>
      <c r="I39" s="121">
        <v>2007242</v>
      </c>
      <c r="J39" s="118" t="s">
        <v>199</v>
      </c>
      <c r="K39" s="121" t="s">
        <v>1051</v>
      </c>
      <c r="L39" s="118" t="s">
        <v>201</v>
      </c>
    </row>
    <row r="40" spans="1:12" x14ac:dyDescent="0.25">
      <c r="A40" s="117">
        <v>39434</v>
      </c>
      <c r="B40" s="118" t="s">
        <v>1657</v>
      </c>
      <c r="C40" s="118" t="s">
        <v>197</v>
      </c>
      <c r="D40" s="119">
        <v>25</v>
      </c>
      <c r="E40" s="118">
        <v>230.3</v>
      </c>
      <c r="F40" s="120">
        <v>5757.5</v>
      </c>
      <c r="G40" s="121">
        <v>55.72</v>
      </c>
      <c r="H40" s="121" t="s">
        <v>2029</v>
      </c>
      <c r="I40" s="121">
        <v>2007242</v>
      </c>
      <c r="J40" s="118" t="s">
        <v>199</v>
      </c>
      <c r="K40" s="121" t="s">
        <v>1051</v>
      </c>
      <c r="L40" s="118" t="s">
        <v>201</v>
      </c>
    </row>
    <row r="41" spans="1:12" x14ac:dyDescent="0.25">
      <c r="A41" s="117">
        <v>39426</v>
      </c>
      <c r="B41" s="118" t="s">
        <v>1657</v>
      </c>
      <c r="C41" s="118" t="s">
        <v>197</v>
      </c>
      <c r="D41" s="119">
        <v>50</v>
      </c>
      <c r="E41" s="118">
        <v>240.5</v>
      </c>
      <c r="F41" s="120">
        <v>12025</v>
      </c>
      <c r="G41" s="121">
        <v>116.37</v>
      </c>
      <c r="H41" s="121" t="s">
        <v>2030</v>
      </c>
      <c r="I41" s="121">
        <v>200708178</v>
      </c>
      <c r="J41" s="118" t="s">
        <v>199</v>
      </c>
      <c r="K41" s="121" t="s">
        <v>1051</v>
      </c>
      <c r="L41" s="118" t="s">
        <v>204</v>
      </c>
    </row>
    <row r="42" spans="1:12" x14ac:dyDescent="0.25">
      <c r="A42" s="117">
        <v>39426</v>
      </c>
      <c r="B42" s="118" t="s">
        <v>1655</v>
      </c>
      <c r="C42" s="118" t="s">
        <v>197</v>
      </c>
      <c r="D42" s="119">
        <v>50</v>
      </c>
      <c r="E42" s="118">
        <v>52.75</v>
      </c>
      <c r="F42" s="120">
        <v>2637.5</v>
      </c>
      <c r="G42" s="121">
        <v>31.39</v>
      </c>
      <c r="H42" s="121" t="s">
        <v>2031</v>
      </c>
      <c r="I42" s="121">
        <v>200708178</v>
      </c>
      <c r="J42" s="118" t="s">
        <v>199</v>
      </c>
      <c r="K42" s="121" t="s">
        <v>1051</v>
      </c>
      <c r="L42" s="118" t="s">
        <v>204</v>
      </c>
    </row>
    <row r="43" spans="1:12" x14ac:dyDescent="0.25">
      <c r="A43" s="117">
        <v>39423</v>
      </c>
      <c r="B43" s="118" t="s">
        <v>2032</v>
      </c>
      <c r="C43" s="118" t="s">
        <v>197</v>
      </c>
      <c r="D43" s="119">
        <v>15</v>
      </c>
      <c r="E43" s="118">
        <v>395</v>
      </c>
      <c r="F43" s="120">
        <v>5925</v>
      </c>
      <c r="G43" s="121">
        <v>57.34</v>
      </c>
      <c r="H43" s="121" t="s">
        <v>2033</v>
      </c>
      <c r="I43" s="121">
        <v>200708177</v>
      </c>
      <c r="J43" s="118" t="s">
        <v>199</v>
      </c>
      <c r="K43" s="121" t="s">
        <v>1051</v>
      </c>
      <c r="L43" s="118" t="s">
        <v>204</v>
      </c>
    </row>
    <row r="44" spans="1:12" x14ac:dyDescent="0.25">
      <c r="A44" s="117">
        <v>39423</v>
      </c>
      <c r="B44" s="118" t="s">
        <v>2034</v>
      </c>
      <c r="C44" s="118" t="s">
        <v>197</v>
      </c>
      <c r="D44" s="119">
        <v>20</v>
      </c>
      <c r="E44" s="118">
        <v>297</v>
      </c>
      <c r="F44" s="120">
        <v>5940</v>
      </c>
      <c r="G44" s="121">
        <v>57.49</v>
      </c>
      <c r="H44" s="121" t="s">
        <v>2035</v>
      </c>
      <c r="I44" s="121">
        <v>200708177</v>
      </c>
      <c r="J44" s="118" t="s">
        <v>199</v>
      </c>
      <c r="K44" s="121" t="s">
        <v>1051</v>
      </c>
      <c r="L44" s="118" t="s">
        <v>204</v>
      </c>
    </row>
    <row r="45" spans="1:12" x14ac:dyDescent="0.25">
      <c r="A45" s="117">
        <v>39421</v>
      </c>
      <c r="B45" s="118" t="s">
        <v>2034</v>
      </c>
      <c r="C45" s="118" t="s">
        <v>197</v>
      </c>
      <c r="D45" s="119">
        <v>20</v>
      </c>
      <c r="E45" s="118">
        <v>320</v>
      </c>
      <c r="F45" s="120">
        <v>6400</v>
      </c>
      <c r="G45" s="121">
        <v>61.93</v>
      </c>
      <c r="H45" s="121" t="s">
        <v>2036</v>
      </c>
      <c r="I45" s="121">
        <v>200708175</v>
      </c>
      <c r="J45" s="118" t="s">
        <v>199</v>
      </c>
      <c r="K45" s="121" t="s">
        <v>1051</v>
      </c>
      <c r="L45" s="118" t="s">
        <v>204</v>
      </c>
    </row>
    <row r="46" spans="1:12" x14ac:dyDescent="0.25">
      <c r="A46" s="117">
        <v>39421</v>
      </c>
      <c r="B46" s="118" t="s">
        <v>2032</v>
      </c>
      <c r="C46" s="118" t="s">
        <v>197</v>
      </c>
      <c r="D46" s="119">
        <v>5</v>
      </c>
      <c r="E46" s="118">
        <v>411</v>
      </c>
      <c r="F46" s="120">
        <v>2055</v>
      </c>
      <c r="G46" s="121">
        <v>30.66</v>
      </c>
      <c r="H46" s="121" t="s">
        <v>2037</v>
      </c>
      <c r="I46" s="121">
        <v>200708175</v>
      </c>
      <c r="J46" s="118" t="s">
        <v>199</v>
      </c>
      <c r="K46" s="121" t="s">
        <v>1051</v>
      </c>
      <c r="L46" s="118" t="s">
        <v>204</v>
      </c>
    </row>
    <row r="47" spans="1:12" x14ac:dyDescent="0.25">
      <c r="A47" s="117">
        <v>39420</v>
      </c>
      <c r="B47" s="118" t="s">
        <v>2025</v>
      </c>
      <c r="C47" s="118" t="s">
        <v>197</v>
      </c>
      <c r="D47" s="119">
        <v>45</v>
      </c>
      <c r="E47" s="118">
        <v>262.5</v>
      </c>
      <c r="F47" s="120">
        <v>11812.5</v>
      </c>
      <c r="G47" s="121">
        <v>114.31</v>
      </c>
      <c r="H47" s="121" t="s">
        <v>2038</v>
      </c>
      <c r="I47" s="121">
        <v>2007232</v>
      </c>
      <c r="J47" s="118" t="s">
        <v>199</v>
      </c>
      <c r="K47" s="121" t="s">
        <v>1051</v>
      </c>
      <c r="L47" s="118" t="s">
        <v>201</v>
      </c>
    </row>
    <row r="48" spans="1:12" x14ac:dyDescent="0.25">
      <c r="A48" s="117">
        <v>39419</v>
      </c>
      <c r="B48" s="118" t="s">
        <v>2032</v>
      </c>
      <c r="C48" s="118" t="s">
        <v>197</v>
      </c>
      <c r="D48" s="119">
        <v>12</v>
      </c>
      <c r="E48" s="118">
        <v>434</v>
      </c>
      <c r="F48" s="120">
        <v>5208</v>
      </c>
      <c r="G48" s="121">
        <v>50.4</v>
      </c>
      <c r="H48" s="121" t="s">
        <v>2039</v>
      </c>
      <c r="I48" s="121">
        <v>200708173</v>
      </c>
      <c r="J48" s="118" t="s">
        <v>199</v>
      </c>
      <c r="K48" s="121" t="s">
        <v>1051</v>
      </c>
      <c r="L48" s="118" t="s">
        <v>204</v>
      </c>
    </row>
    <row r="49" spans="1:12" x14ac:dyDescent="0.25">
      <c r="A49" s="117">
        <v>39419</v>
      </c>
      <c r="B49" s="118" t="s">
        <v>2032</v>
      </c>
      <c r="C49" s="118" t="s">
        <v>197</v>
      </c>
      <c r="D49" s="119">
        <v>10</v>
      </c>
      <c r="E49" s="118">
        <v>428.1</v>
      </c>
      <c r="F49" s="120">
        <v>4281</v>
      </c>
      <c r="G49" s="121">
        <v>41.43</v>
      </c>
      <c r="H49" s="121" t="s">
        <v>2040</v>
      </c>
      <c r="I49" s="121">
        <v>200708173</v>
      </c>
      <c r="J49" s="118" t="s">
        <v>199</v>
      </c>
      <c r="K49" s="121" t="s">
        <v>1051</v>
      </c>
      <c r="L49" s="118" t="s">
        <v>204</v>
      </c>
    </row>
    <row r="50" spans="1:12" x14ac:dyDescent="0.25">
      <c r="A50" s="117">
        <v>39419</v>
      </c>
      <c r="B50" s="118" t="s">
        <v>1657</v>
      </c>
      <c r="C50" s="118" t="s">
        <v>197</v>
      </c>
      <c r="D50" s="119">
        <v>50</v>
      </c>
      <c r="E50" s="118">
        <v>259.5</v>
      </c>
      <c r="F50" s="120">
        <v>12975</v>
      </c>
      <c r="G50" s="121">
        <v>125.56</v>
      </c>
      <c r="H50" s="121" t="s">
        <v>2041</v>
      </c>
      <c r="I50" s="121">
        <v>2007231</v>
      </c>
      <c r="J50" s="118" t="s">
        <v>199</v>
      </c>
      <c r="K50" s="121" t="s">
        <v>1051</v>
      </c>
      <c r="L50" s="118" t="s">
        <v>201</v>
      </c>
    </row>
    <row r="51" spans="1:12" x14ac:dyDescent="0.25">
      <c r="A51" s="117">
        <v>39416</v>
      </c>
      <c r="B51" s="118" t="s">
        <v>2032</v>
      </c>
      <c r="C51" s="118" t="s">
        <v>197</v>
      </c>
      <c r="D51" s="119">
        <v>8</v>
      </c>
      <c r="E51" s="118">
        <v>430.9</v>
      </c>
      <c r="F51" s="120">
        <v>3447.2</v>
      </c>
      <c r="G51" s="121">
        <v>33.36</v>
      </c>
      <c r="H51" s="121" t="s">
        <v>2042</v>
      </c>
      <c r="I51" s="121">
        <v>200708172</v>
      </c>
      <c r="J51" s="118" t="s">
        <v>199</v>
      </c>
      <c r="K51" s="121" t="s">
        <v>1051</v>
      </c>
      <c r="L51" s="118" t="s">
        <v>204</v>
      </c>
    </row>
    <row r="52" spans="1:12" x14ac:dyDescent="0.25">
      <c r="A52" s="117">
        <v>39407</v>
      </c>
      <c r="B52" s="118" t="s">
        <v>1657</v>
      </c>
      <c r="C52" s="118" t="s">
        <v>197</v>
      </c>
      <c r="D52" s="119">
        <v>100</v>
      </c>
      <c r="E52" s="118">
        <v>248.4</v>
      </c>
      <c r="F52" s="120">
        <v>24840</v>
      </c>
      <c r="G52" s="121">
        <v>16.850000000000001</v>
      </c>
      <c r="H52" s="121" t="s">
        <v>2043</v>
      </c>
      <c r="I52" s="121">
        <v>2007223</v>
      </c>
      <c r="J52" s="118" t="s">
        <v>199</v>
      </c>
      <c r="K52" s="118" t="s">
        <v>1098</v>
      </c>
      <c r="L52" s="118" t="s">
        <v>201</v>
      </c>
    </row>
    <row r="53" spans="1:12" x14ac:dyDescent="0.25">
      <c r="A53" s="117">
        <v>39407</v>
      </c>
      <c r="B53" s="118" t="s">
        <v>1657</v>
      </c>
      <c r="C53" s="118" t="s">
        <v>197</v>
      </c>
      <c r="D53" s="119">
        <v>100</v>
      </c>
      <c r="E53" s="118">
        <v>247.75</v>
      </c>
      <c r="F53" s="120">
        <v>24775</v>
      </c>
      <c r="G53" s="121">
        <v>16.850000000000001</v>
      </c>
      <c r="H53" s="121" t="s">
        <v>2044</v>
      </c>
      <c r="I53" s="121">
        <v>2007223</v>
      </c>
      <c r="J53" s="118" t="s">
        <v>199</v>
      </c>
      <c r="K53" s="118" t="s">
        <v>1098</v>
      </c>
      <c r="L53" s="118" t="s">
        <v>201</v>
      </c>
    </row>
    <row r="54" spans="1:12" x14ac:dyDescent="0.25">
      <c r="A54" s="117">
        <v>39407</v>
      </c>
      <c r="B54" s="118" t="s">
        <v>1657</v>
      </c>
      <c r="C54" s="118" t="s">
        <v>197</v>
      </c>
      <c r="D54" s="119">
        <v>200</v>
      </c>
      <c r="E54" s="118">
        <v>236.8</v>
      </c>
      <c r="F54" s="120">
        <v>47360</v>
      </c>
      <c r="G54" s="121">
        <v>16.86</v>
      </c>
      <c r="H54" s="121" t="s">
        <v>2045</v>
      </c>
      <c r="I54" s="121">
        <v>2007223</v>
      </c>
      <c r="J54" s="118" t="s">
        <v>199</v>
      </c>
      <c r="K54" s="118" t="s">
        <v>1098</v>
      </c>
      <c r="L54" s="118" t="s">
        <v>201</v>
      </c>
    </row>
    <row r="55" spans="1:12" x14ac:dyDescent="0.25">
      <c r="A55" s="117">
        <v>39406</v>
      </c>
      <c r="B55" s="118" t="s">
        <v>1551</v>
      </c>
      <c r="C55" s="118" t="s">
        <v>197</v>
      </c>
      <c r="D55" s="119">
        <v>2</v>
      </c>
      <c r="E55" s="120">
        <v>1617.8</v>
      </c>
      <c r="F55" s="120">
        <v>3235.6</v>
      </c>
      <c r="G55" s="121">
        <v>32.130000000000003</v>
      </c>
      <c r="H55" s="121" t="s">
        <v>2046</v>
      </c>
      <c r="I55" s="121">
        <v>2007222</v>
      </c>
      <c r="J55" s="118" t="s">
        <v>199</v>
      </c>
      <c r="K55" s="121" t="s">
        <v>1051</v>
      </c>
      <c r="L55" s="118" t="s">
        <v>201</v>
      </c>
    </row>
    <row r="56" spans="1:12" x14ac:dyDescent="0.25">
      <c r="A56" s="117">
        <v>39400</v>
      </c>
      <c r="B56" s="118" t="s">
        <v>2047</v>
      </c>
      <c r="C56" s="118" t="s">
        <v>197</v>
      </c>
      <c r="D56" s="119">
        <v>10</v>
      </c>
      <c r="E56" s="118">
        <v>340.1</v>
      </c>
      <c r="F56" s="120">
        <v>3401</v>
      </c>
      <c r="G56" s="121">
        <v>32.909999999999997</v>
      </c>
      <c r="H56" s="121" t="s">
        <v>2048</v>
      </c>
      <c r="I56" s="121">
        <v>2007218</v>
      </c>
      <c r="J56" s="118" t="s">
        <v>199</v>
      </c>
      <c r="K56" s="121" t="s">
        <v>1051</v>
      </c>
      <c r="L56" s="118" t="s">
        <v>201</v>
      </c>
    </row>
    <row r="57" spans="1:12" x14ac:dyDescent="0.25">
      <c r="A57" s="117">
        <v>39400</v>
      </c>
      <c r="B57" s="118" t="s">
        <v>2049</v>
      </c>
      <c r="C57" s="118" t="s">
        <v>197</v>
      </c>
      <c r="D57" s="119">
        <v>1</v>
      </c>
      <c r="E57" s="120">
        <v>2060</v>
      </c>
      <c r="F57" s="120">
        <v>2060</v>
      </c>
      <c r="G57" s="121">
        <v>30.67</v>
      </c>
      <c r="H57" s="121" t="s">
        <v>2050</v>
      </c>
      <c r="I57" s="121">
        <v>2007218</v>
      </c>
      <c r="J57" s="118" t="s">
        <v>199</v>
      </c>
      <c r="K57" s="121" t="s">
        <v>1051</v>
      </c>
      <c r="L57" s="118" t="s">
        <v>201</v>
      </c>
    </row>
    <row r="58" spans="1:12" x14ac:dyDescent="0.25">
      <c r="A58" s="117">
        <v>39399</v>
      </c>
      <c r="B58" s="118" t="s">
        <v>1512</v>
      </c>
      <c r="C58" s="118" t="s">
        <v>197</v>
      </c>
      <c r="D58" s="119">
        <v>2</v>
      </c>
      <c r="E58" s="118">
        <v>976</v>
      </c>
      <c r="F58" s="120">
        <v>1952</v>
      </c>
      <c r="G58" s="121">
        <v>30.53</v>
      </c>
      <c r="H58" s="121" t="s">
        <v>2051</v>
      </c>
      <c r="I58" s="121">
        <v>2007217</v>
      </c>
      <c r="J58" s="118" t="s">
        <v>307</v>
      </c>
      <c r="K58" s="121" t="s">
        <v>1051</v>
      </c>
      <c r="L58" s="118" t="s">
        <v>201</v>
      </c>
    </row>
    <row r="59" spans="1:12" x14ac:dyDescent="0.25">
      <c r="A59" s="117">
        <v>39399</v>
      </c>
      <c r="B59" s="118" t="s">
        <v>2047</v>
      </c>
      <c r="C59" s="118" t="s">
        <v>197</v>
      </c>
      <c r="D59" s="119">
        <v>20</v>
      </c>
      <c r="E59" s="118">
        <v>330</v>
      </c>
      <c r="F59" s="120">
        <v>6600</v>
      </c>
      <c r="G59" s="121">
        <v>63.87</v>
      </c>
      <c r="H59" s="121" t="s">
        <v>2052</v>
      </c>
      <c r="I59" s="121">
        <v>2007217</v>
      </c>
      <c r="J59" s="118" t="s">
        <v>199</v>
      </c>
      <c r="K59" s="121" t="s">
        <v>1051</v>
      </c>
      <c r="L59" s="118" t="s">
        <v>201</v>
      </c>
    </row>
    <row r="60" spans="1:12" x14ac:dyDescent="0.25">
      <c r="A60" s="117">
        <v>39398</v>
      </c>
      <c r="B60" s="118" t="s">
        <v>1697</v>
      </c>
      <c r="C60" s="118" t="s">
        <v>197</v>
      </c>
      <c r="D60" s="119">
        <v>10</v>
      </c>
      <c r="E60" s="118">
        <v>849.1</v>
      </c>
      <c r="F60" s="120">
        <v>8491</v>
      </c>
      <c r="G60" s="121">
        <v>82.16</v>
      </c>
      <c r="H60" s="121" t="s">
        <v>2175</v>
      </c>
      <c r="I60" s="121">
        <v>2007216</v>
      </c>
      <c r="J60" s="118" t="s">
        <v>199</v>
      </c>
      <c r="K60" s="121" t="s">
        <v>1051</v>
      </c>
      <c r="L60" s="118" t="s">
        <v>201</v>
      </c>
    </row>
    <row r="61" spans="1:12" x14ac:dyDescent="0.25">
      <c r="A61" s="117">
        <v>39398</v>
      </c>
      <c r="B61" s="118" t="s">
        <v>1697</v>
      </c>
      <c r="C61" s="118" t="s">
        <v>197</v>
      </c>
      <c r="D61" s="119">
        <v>5</v>
      </c>
      <c r="E61" s="118">
        <v>850</v>
      </c>
      <c r="F61" s="120">
        <v>4250</v>
      </c>
      <c r="G61" s="121">
        <v>41.13</v>
      </c>
      <c r="H61" s="121" t="s">
        <v>2176</v>
      </c>
      <c r="I61" s="121">
        <v>2007216</v>
      </c>
      <c r="J61" s="118" t="s">
        <v>199</v>
      </c>
      <c r="K61" s="121" t="s">
        <v>1051</v>
      </c>
      <c r="L61" s="118" t="s">
        <v>201</v>
      </c>
    </row>
    <row r="62" spans="1:12" x14ac:dyDescent="0.25">
      <c r="A62" s="117">
        <v>39398</v>
      </c>
      <c r="B62" s="118" t="s">
        <v>2177</v>
      </c>
      <c r="C62" s="118" t="s">
        <v>197</v>
      </c>
      <c r="D62" s="119">
        <v>10</v>
      </c>
      <c r="E62" s="118">
        <v>682</v>
      </c>
      <c r="F62" s="120">
        <v>6820</v>
      </c>
      <c r="G62" s="121">
        <v>66</v>
      </c>
      <c r="H62" s="121" t="s">
        <v>2178</v>
      </c>
      <c r="I62" s="121">
        <v>2007216</v>
      </c>
      <c r="J62" s="118" t="s">
        <v>199</v>
      </c>
      <c r="K62" s="121" t="s">
        <v>1051</v>
      </c>
      <c r="L62" s="118" t="s">
        <v>201</v>
      </c>
    </row>
    <row r="63" spans="1:12" x14ac:dyDescent="0.25">
      <c r="A63" s="117">
        <v>39393</v>
      </c>
      <c r="B63" s="118" t="s">
        <v>1657</v>
      </c>
      <c r="C63" s="118" t="s">
        <v>197</v>
      </c>
      <c r="D63" s="119">
        <v>30</v>
      </c>
      <c r="E63" s="118">
        <v>195.1</v>
      </c>
      <c r="F63" s="120">
        <v>5853</v>
      </c>
      <c r="G63" s="121">
        <v>56.65</v>
      </c>
      <c r="H63" s="121" t="s">
        <v>2179</v>
      </c>
      <c r="I63" s="121">
        <v>2007213</v>
      </c>
      <c r="J63" s="118" t="s">
        <v>199</v>
      </c>
      <c r="K63" s="121" t="s">
        <v>1051</v>
      </c>
      <c r="L63" s="118" t="s">
        <v>201</v>
      </c>
    </row>
    <row r="64" spans="1:12" x14ac:dyDescent="0.25">
      <c r="A64" s="117">
        <v>39392</v>
      </c>
      <c r="B64" s="118" t="s">
        <v>2180</v>
      </c>
      <c r="C64" s="118" t="s">
        <v>197</v>
      </c>
      <c r="D64" s="119">
        <v>100</v>
      </c>
      <c r="E64" s="118">
        <v>44.5</v>
      </c>
      <c r="F64" s="120">
        <v>4450</v>
      </c>
      <c r="G64" s="121">
        <v>43.07</v>
      </c>
      <c r="H64" s="121" t="s">
        <v>2181</v>
      </c>
      <c r="I64" s="121">
        <v>2007212</v>
      </c>
      <c r="J64" s="118" t="s">
        <v>199</v>
      </c>
      <c r="K64" s="121" t="s">
        <v>1051</v>
      </c>
      <c r="L64" s="118" t="s">
        <v>201</v>
      </c>
    </row>
    <row r="65" spans="1:12" x14ac:dyDescent="0.25">
      <c r="A65" s="117">
        <v>39392</v>
      </c>
      <c r="B65" s="118" t="s">
        <v>2180</v>
      </c>
      <c r="C65" s="118" t="s">
        <v>197</v>
      </c>
      <c r="D65" s="119">
        <v>50</v>
      </c>
      <c r="E65" s="118">
        <v>44.5</v>
      </c>
      <c r="F65" s="120">
        <v>2225</v>
      </c>
      <c r="G65" s="121">
        <v>30.87</v>
      </c>
      <c r="H65" s="121" t="s">
        <v>2182</v>
      </c>
      <c r="I65" s="121">
        <v>2007212</v>
      </c>
      <c r="J65" s="118" t="s">
        <v>199</v>
      </c>
      <c r="K65" s="121" t="s">
        <v>1051</v>
      </c>
      <c r="L65" s="118" t="s">
        <v>201</v>
      </c>
    </row>
    <row r="66" spans="1:12" x14ac:dyDescent="0.25">
      <c r="A66" s="117">
        <v>39391</v>
      </c>
      <c r="B66" s="118" t="s">
        <v>1512</v>
      </c>
      <c r="C66" s="118" t="s">
        <v>197</v>
      </c>
      <c r="D66" s="119">
        <v>2</v>
      </c>
      <c r="E66" s="118">
        <v>989</v>
      </c>
      <c r="F66" s="120">
        <v>1978</v>
      </c>
      <c r="G66" s="121">
        <v>30.56</v>
      </c>
      <c r="H66" s="121" t="s">
        <v>2183</v>
      </c>
      <c r="I66" s="121">
        <v>2007211</v>
      </c>
      <c r="J66" s="118" t="s">
        <v>307</v>
      </c>
      <c r="K66" s="121" t="s">
        <v>1051</v>
      </c>
      <c r="L66" s="118" t="s">
        <v>201</v>
      </c>
    </row>
    <row r="67" spans="1:12" x14ac:dyDescent="0.25">
      <c r="A67" s="117">
        <v>39388</v>
      </c>
      <c r="B67" s="118" t="s">
        <v>2049</v>
      </c>
      <c r="C67" s="118" t="s">
        <v>197</v>
      </c>
      <c r="D67" s="119">
        <v>1</v>
      </c>
      <c r="E67" s="120">
        <v>2645</v>
      </c>
      <c r="F67" s="120">
        <v>2645</v>
      </c>
      <c r="G67" s="121">
        <v>31.4</v>
      </c>
      <c r="H67" s="121" t="s">
        <v>2184</v>
      </c>
      <c r="I67" s="121">
        <v>200708152</v>
      </c>
      <c r="J67" s="118" t="s">
        <v>199</v>
      </c>
      <c r="K67" s="121" t="s">
        <v>1051</v>
      </c>
      <c r="L67" s="118" t="s">
        <v>204</v>
      </c>
    </row>
    <row r="68" spans="1:12" x14ac:dyDescent="0.25">
      <c r="A68" s="117">
        <v>39388</v>
      </c>
      <c r="B68" s="118" t="s">
        <v>1512</v>
      </c>
      <c r="C68" s="118" t="s">
        <v>197</v>
      </c>
      <c r="D68" s="119">
        <v>3</v>
      </c>
      <c r="E68" s="120">
        <v>1014.85</v>
      </c>
      <c r="F68" s="120">
        <v>3044.55</v>
      </c>
      <c r="G68" s="121">
        <v>31.9</v>
      </c>
      <c r="H68" s="121" t="s">
        <v>2185</v>
      </c>
      <c r="I68" s="121">
        <v>200708152</v>
      </c>
      <c r="J68" s="118" t="s">
        <v>307</v>
      </c>
      <c r="K68" s="121" t="s">
        <v>1051</v>
      </c>
      <c r="L68" s="118" t="s">
        <v>204</v>
      </c>
    </row>
    <row r="69" spans="1:12" x14ac:dyDescent="0.25">
      <c r="A69" s="117">
        <v>39385</v>
      </c>
      <c r="B69" s="118" t="s">
        <v>282</v>
      </c>
      <c r="C69" s="118" t="s">
        <v>197</v>
      </c>
      <c r="D69" s="119">
        <v>200</v>
      </c>
      <c r="E69" s="118">
        <v>42.2</v>
      </c>
      <c r="F69" s="120">
        <v>8440</v>
      </c>
      <c r="G69" s="121">
        <v>81.67</v>
      </c>
      <c r="H69" s="121" t="s">
        <v>2186</v>
      </c>
      <c r="I69" s="121">
        <v>200708149</v>
      </c>
      <c r="J69" s="118" t="s">
        <v>199</v>
      </c>
      <c r="K69" s="121" t="s">
        <v>1051</v>
      </c>
      <c r="L69" s="118" t="s">
        <v>204</v>
      </c>
    </row>
    <row r="70" spans="1:12" x14ac:dyDescent="0.25">
      <c r="A70" s="117">
        <v>39385</v>
      </c>
      <c r="B70" s="118" t="s">
        <v>282</v>
      </c>
      <c r="C70" s="118" t="s">
        <v>197</v>
      </c>
      <c r="D70" s="119">
        <v>200</v>
      </c>
      <c r="E70" s="118">
        <v>42.8</v>
      </c>
      <c r="F70" s="120">
        <v>8560</v>
      </c>
      <c r="G70" s="121">
        <v>82.84</v>
      </c>
      <c r="H70" s="121" t="s">
        <v>2187</v>
      </c>
      <c r="I70" s="121">
        <v>2007207</v>
      </c>
      <c r="J70" s="118" t="s">
        <v>199</v>
      </c>
      <c r="K70" s="121" t="s">
        <v>1051</v>
      </c>
      <c r="L70" s="118" t="s">
        <v>201</v>
      </c>
    </row>
    <row r="71" spans="1:12" x14ac:dyDescent="0.25">
      <c r="A71" s="117">
        <v>39384</v>
      </c>
      <c r="B71" s="118" t="s">
        <v>282</v>
      </c>
      <c r="C71" s="118" t="s">
        <v>197</v>
      </c>
      <c r="D71" s="119">
        <v>100</v>
      </c>
      <c r="E71" s="118">
        <v>38.4</v>
      </c>
      <c r="F71" s="120">
        <v>3840</v>
      </c>
      <c r="G71" s="121">
        <v>37.159999999999997</v>
      </c>
      <c r="H71" s="121" t="s">
        <v>2188</v>
      </c>
      <c r="I71" s="121">
        <v>200708148</v>
      </c>
      <c r="J71" s="118" t="s">
        <v>199</v>
      </c>
      <c r="K71" s="121" t="s">
        <v>1051</v>
      </c>
      <c r="L71" s="118" t="s">
        <v>204</v>
      </c>
    </row>
    <row r="72" spans="1:12" x14ac:dyDescent="0.25">
      <c r="A72" s="117">
        <v>39384</v>
      </c>
      <c r="B72" s="118" t="s">
        <v>1512</v>
      </c>
      <c r="C72" s="118" t="s">
        <v>197</v>
      </c>
      <c r="D72" s="119">
        <v>5</v>
      </c>
      <c r="E72" s="120">
        <v>1289.8</v>
      </c>
      <c r="F72" s="120">
        <v>6449</v>
      </c>
      <c r="G72" s="121">
        <v>62.41</v>
      </c>
      <c r="H72" s="121" t="s">
        <v>2189</v>
      </c>
      <c r="I72" s="121">
        <v>2007206</v>
      </c>
      <c r="J72" s="118" t="s">
        <v>307</v>
      </c>
      <c r="K72" s="121" t="s">
        <v>1051</v>
      </c>
      <c r="L72" s="118" t="s">
        <v>201</v>
      </c>
    </row>
    <row r="73" spans="1:12" x14ac:dyDescent="0.25">
      <c r="A73" s="117">
        <v>39384</v>
      </c>
      <c r="B73" s="118" t="s">
        <v>1512</v>
      </c>
      <c r="C73" s="118" t="s">
        <v>197</v>
      </c>
      <c r="D73" s="119">
        <v>5</v>
      </c>
      <c r="E73" s="120">
        <v>1280</v>
      </c>
      <c r="F73" s="120">
        <v>6400</v>
      </c>
      <c r="G73" s="121">
        <v>61.93</v>
      </c>
      <c r="H73" s="121" t="s">
        <v>2190</v>
      </c>
      <c r="I73" s="121">
        <v>2007206</v>
      </c>
      <c r="J73" s="118" t="s">
        <v>307</v>
      </c>
      <c r="K73" s="121" t="s">
        <v>1051</v>
      </c>
      <c r="L73" s="118" t="s">
        <v>201</v>
      </c>
    </row>
    <row r="74" spans="1:12" x14ac:dyDescent="0.25">
      <c r="A74" s="117">
        <v>39384</v>
      </c>
      <c r="B74" s="118" t="s">
        <v>1512</v>
      </c>
      <c r="C74" s="118" t="s">
        <v>197</v>
      </c>
      <c r="D74" s="119">
        <v>5</v>
      </c>
      <c r="E74" s="120">
        <v>1270</v>
      </c>
      <c r="F74" s="120">
        <v>6350</v>
      </c>
      <c r="G74" s="121">
        <v>61.45</v>
      </c>
      <c r="H74" s="121" t="s">
        <v>2191</v>
      </c>
      <c r="I74" s="121">
        <v>2007206</v>
      </c>
      <c r="J74" s="118" t="s">
        <v>307</v>
      </c>
      <c r="K74" s="121" t="s">
        <v>1051</v>
      </c>
      <c r="L74" s="118" t="s">
        <v>201</v>
      </c>
    </row>
    <row r="75" spans="1:12" x14ac:dyDescent="0.25">
      <c r="A75" s="117">
        <v>39372</v>
      </c>
      <c r="B75" s="118" t="s">
        <v>1657</v>
      </c>
      <c r="C75" s="118" t="s">
        <v>197</v>
      </c>
      <c r="D75" s="119">
        <v>20</v>
      </c>
      <c r="E75" s="118">
        <v>166.5</v>
      </c>
      <c r="F75" s="120">
        <v>3330</v>
      </c>
      <c r="G75" s="121">
        <v>32.25</v>
      </c>
      <c r="H75" s="121" t="s">
        <v>2192</v>
      </c>
      <c r="I75" s="121">
        <v>2007198</v>
      </c>
      <c r="J75" s="118" t="s">
        <v>199</v>
      </c>
      <c r="K75" s="121" t="s">
        <v>1051</v>
      </c>
      <c r="L75" s="118" t="s">
        <v>201</v>
      </c>
    </row>
    <row r="76" spans="1:12" x14ac:dyDescent="0.25">
      <c r="A76" s="117">
        <v>39372</v>
      </c>
      <c r="B76" s="118" t="s">
        <v>1657</v>
      </c>
      <c r="C76" s="118" t="s">
        <v>197</v>
      </c>
      <c r="D76" s="119">
        <v>20</v>
      </c>
      <c r="E76" s="118">
        <v>166.7</v>
      </c>
      <c r="F76" s="120">
        <v>3334</v>
      </c>
      <c r="G76" s="121">
        <v>32.270000000000003</v>
      </c>
      <c r="H76" s="121" t="s">
        <v>2193</v>
      </c>
      <c r="I76" s="121">
        <v>2007198</v>
      </c>
      <c r="J76" s="118" t="s">
        <v>199</v>
      </c>
      <c r="K76" s="121" t="s">
        <v>1051</v>
      </c>
      <c r="L76" s="118" t="s">
        <v>201</v>
      </c>
    </row>
    <row r="77" spans="1:12" x14ac:dyDescent="0.25">
      <c r="A77" s="117">
        <v>39371</v>
      </c>
      <c r="B77" s="118" t="s">
        <v>1657</v>
      </c>
      <c r="C77" s="118" t="s">
        <v>197</v>
      </c>
      <c r="D77" s="119">
        <v>25</v>
      </c>
      <c r="E77" s="118">
        <v>174.2</v>
      </c>
      <c r="F77" s="120">
        <v>4355</v>
      </c>
      <c r="G77" s="121">
        <v>42.14</v>
      </c>
      <c r="H77" s="121" t="s">
        <v>2194</v>
      </c>
      <c r="I77" s="121">
        <v>2007197</v>
      </c>
      <c r="J77" s="118" t="s">
        <v>199</v>
      </c>
      <c r="K77" s="121" t="s">
        <v>1051</v>
      </c>
      <c r="L77" s="118" t="s">
        <v>201</v>
      </c>
    </row>
    <row r="78" spans="1:12" x14ac:dyDescent="0.25">
      <c r="A78" s="117">
        <v>39367</v>
      </c>
      <c r="B78" s="118" t="s">
        <v>2195</v>
      </c>
      <c r="C78" s="118" t="s">
        <v>197</v>
      </c>
      <c r="D78" s="119">
        <v>5</v>
      </c>
      <c r="E78" s="118">
        <v>385.1</v>
      </c>
      <c r="F78" s="120">
        <v>1925.5</v>
      </c>
      <c r="G78" s="121">
        <v>30.5</v>
      </c>
      <c r="H78" s="121" t="s">
        <v>2196</v>
      </c>
      <c r="I78" s="121">
        <v>2007195</v>
      </c>
      <c r="J78" s="118" t="s">
        <v>199</v>
      </c>
      <c r="K78" s="121" t="s">
        <v>1051</v>
      </c>
      <c r="L78" s="118" t="s">
        <v>201</v>
      </c>
    </row>
    <row r="79" spans="1:12" x14ac:dyDescent="0.25">
      <c r="A79" s="117">
        <v>39366</v>
      </c>
      <c r="B79" s="118" t="s">
        <v>2197</v>
      </c>
      <c r="C79" s="118" t="s">
        <v>197</v>
      </c>
      <c r="D79" s="119">
        <v>5</v>
      </c>
      <c r="E79" s="118">
        <v>971.5</v>
      </c>
      <c r="F79" s="120">
        <v>4857.5</v>
      </c>
      <c r="G79" s="121">
        <v>47</v>
      </c>
      <c r="H79" s="121" t="s">
        <v>2198</v>
      </c>
      <c r="I79" s="121">
        <v>2007194</v>
      </c>
      <c r="J79" s="118" t="s">
        <v>199</v>
      </c>
      <c r="K79" s="121" t="s">
        <v>1051</v>
      </c>
      <c r="L79" s="118" t="s">
        <v>201</v>
      </c>
    </row>
    <row r="80" spans="1:12" x14ac:dyDescent="0.25">
      <c r="A80" s="117">
        <v>39366</v>
      </c>
      <c r="B80" s="118" t="s">
        <v>2197</v>
      </c>
      <c r="C80" s="118" t="s">
        <v>197</v>
      </c>
      <c r="D80" s="119">
        <v>5</v>
      </c>
      <c r="E80" s="118">
        <v>975.5</v>
      </c>
      <c r="F80" s="120">
        <v>4877.5</v>
      </c>
      <c r="G80" s="121">
        <v>47.2</v>
      </c>
      <c r="H80" s="121" t="s">
        <v>2199</v>
      </c>
      <c r="I80" s="121">
        <v>2007194</v>
      </c>
      <c r="J80" s="118" t="s">
        <v>199</v>
      </c>
      <c r="K80" s="121" t="s">
        <v>1051</v>
      </c>
      <c r="L80" s="118" t="s">
        <v>201</v>
      </c>
    </row>
    <row r="81" spans="1:12" x14ac:dyDescent="0.25">
      <c r="A81" s="117">
        <v>39360</v>
      </c>
      <c r="B81" s="118" t="s">
        <v>2200</v>
      </c>
      <c r="C81" s="118" t="s">
        <v>197</v>
      </c>
      <c r="D81" s="119">
        <v>2</v>
      </c>
      <c r="E81" s="118">
        <v>550.20000000000005</v>
      </c>
      <c r="F81" s="120">
        <v>1100.4000000000001</v>
      </c>
      <c r="G81" s="121">
        <v>29.47</v>
      </c>
      <c r="H81" s="121" t="s">
        <v>2201</v>
      </c>
      <c r="I81" s="121">
        <v>200708132</v>
      </c>
      <c r="J81" s="118" t="s">
        <v>199</v>
      </c>
      <c r="K81" s="121" t="s">
        <v>1051</v>
      </c>
      <c r="L81" s="118" t="s">
        <v>204</v>
      </c>
    </row>
    <row r="82" spans="1:12" x14ac:dyDescent="0.25">
      <c r="A82" s="117">
        <v>39360</v>
      </c>
      <c r="B82" s="118" t="s">
        <v>1553</v>
      </c>
      <c r="C82" s="118" t="s">
        <v>197</v>
      </c>
      <c r="D82" s="119">
        <v>3</v>
      </c>
      <c r="E82" s="118">
        <v>345.6</v>
      </c>
      <c r="F82" s="120">
        <v>1036.8</v>
      </c>
      <c r="G82" s="121">
        <v>29.39</v>
      </c>
      <c r="H82" s="121" t="s">
        <v>2202</v>
      </c>
      <c r="I82" s="121">
        <v>2007190</v>
      </c>
      <c r="J82" s="118" t="s">
        <v>199</v>
      </c>
      <c r="K82" s="121" t="s">
        <v>1051</v>
      </c>
      <c r="L82" s="118" t="s">
        <v>201</v>
      </c>
    </row>
    <row r="83" spans="1:12" x14ac:dyDescent="0.25">
      <c r="A83" s="117">
        <v>39359</v>
      </c>
      <c r="B83" s="118" t="s">
        <v>211</v>
      </c>
      <c r="C83" s="118" t="s">
        <v>197</v>
      </c>
      <c r="D83" s="119">
        <v>3</v>
      </c>
      <c r="E83" s="118">
        <v>442.5</v>
      </c>
      <c r="F83" s="120">
        <v>1327.5</v>
      </c>
      <c r="G83" s="121">
        <v>29.75</v>
      </c>
      <c r="H83" s="121" t="s">
        <v>2203</v>
      </c>
      <c r="I83" s="121">
        <v>2007189</v>
      </c>
      <c r="J83" s="118" t="s">
        <v>199</v>
      </c>
      <c r="K83" s="121" t="s">
        <v>1051</v>
      </c>
      <c r="L83" s="118" t="s">
        <v>201</v>
      </c>
    </row>
    <row r="84" spans="1:12" x14ac:dyDescent="0.25">
      <c r="A84" s="117">
        <v>39356</v>
      </c>
      <c r="B84" s="118" t="s">
        <v>2204</v>
      </c>
      <c r="C84" s="118" t="s">
        <v>197</v>
      </c>
      <c r="D84" s="119">
        <v>10</v>
      </c>
      <c r="E84" s="118">
        <v>68</v>
      </c>
      <c r="F84" s="118">
        <v>680</v>
      </c>
      <c r="G84" s="121">
        <v>19.95</v>
      </c>
      <c r="H84" s="121" t="s">
        <v>2205</v>
      </c>
      <c r="I84" s="121">
        <v>200708129</v>
      </c>
      <c r="J84" s="118" t="s">
        <v>199</v>
      </c>
      <c r="K84" s="121" t="s">
        <v>1051</v>
      </c>
      <c r="L84" s="118" t="s">
        <v>204</v>
      </c>
    </row>
    <row r="85" spans="1:12" x14ac:dyDescent="0.25">
      <c r="A85" s="117">
        <v>39356</v>
      </c>
      <c r="B85" s="118" t="s">
        <v>2206</v>
      </c>
      <c r="C85" s="118" t="s">
        <v>197</v>
      </c>
      <c r="D85" s="119">
        <v>5</v>
      </c>
      <c r="E85" s="118">
        <v>172.5</v>
      </c>
      <c r="F85" s="118">
        <v>862.5</v>
      </c>
      <c r="G85" s="121">
        <v>25.31</v>
      </c>
      <c r="H85" s="121" t="s">
        <v>2207</v>
      </c>
      <c r="I85" s="121">
        <v>2007187</v>
      </c>
      <c r="J85" s="118" t="s">
        <v>199</v>
      </c>
      <c r="K85" s="121" t="s">
        <v>1051</v>
      </c>
      <c r="L85" s="118" t="s">
        <v>201</v>
      </c>
    </row>
    <row r="86" spans="1:12" x14ac:dyDescent="0.25">
      <c r="A86" s="117">
        <v>39356</v>
      </c>
      <c r="B86" s="118" t="s">
        <v>1657</v>
      </c>
      <c r="C86" s="118" t="s">
        <v>197</v>
      </c>
      <c r="D86" s="119">
        <v>5</v>
      </c>
      <c r="E86" s="118">
        <v>180</v>
      </c>
      <c r="F86" s="118">
        <v>900</v>
      </c>
      <c r="G86" s="121">
        <v>26.41</v>
      </c>
      <c r="H86" s="121" t="s">
        <v>2208</v>
      </c>
      <c r="I86" s="121">
        <v>2007191</v>
      </c>
      <c r="J86" s="118" t="s">
        <v>199</v>
      </c>
      <c r="K86" s="121" t="s">
        <v>1051</v>
      </c>
      <c r="L86" s="118" t="s">
        <v>201</v>
      </c>
    </row>
    <row r="87" spans="1:12" x14ac:dyDescent="0.25">
      <c r="A87" s="117">
        <v>39356</v>
      </c>
      <c r="B87" s="118" t="s">
        <v>2209</v>
      </c>
      <c r="C87" s="118" t="s">
        <v>197</v>
      </c>
      <c r="D87" s="119">
        <v>5</v>
      </c>
      <c r="E87" s="118">
        <v>199.95</v>
      </c>
      <c r="F87" s="118">
        <v>999.75</v>
      </c>
      <c r="G87" s="121">
        <v>29.33</v>
      </c>
      <c r="H87" s="121" t="s">
        <v>2210</v>
      </c>
      <c r="I87" s="121">
        <v>2007187</v>
      </c>
      <c r="J87" s="118" t="s">
        <v>199</v>
      </c>
      <c r="K87" s="121" t="s">
        <v>1051</v>
      </c>
      <c r="L87" s="118" t="s">
        <v>201</v>
      </c>
    </row>
    <row r="88" spans="1:12" x14ac:dyDescent="0.25">
      <c r="A88" s="117">
        <v>39356</v>
      </c>
      <c r="B88" s="118" t="s">
        <v>2211</v>
      </c>
      <c r="C88" s="118" t="s">
        <v>197</v>
      </c>
      <c r="D88" s="119">
        <v>20</v>
      </c>
      <c r="E88" s="118">
        <v>34.1</v>
      </c>
      <c r="F88" s="118">
        <v>682</v>
      </c>
      <c r="G88" s="121">
        <v>20.010000000000002</v>
      </c>
      <c r="H88" s="121" t="s">
        <v>2212</v>
      </c>
      <c r="I88" s="121">
        <v>2007187</v>
      </c>
      <c r="J88" s="118" t="s">
        <v>199</v>
      </c>
      <c r="K88" s="121" t="s">
        <v>1051</v>
      </c>
      <c r="L88" s="118" t="s">
        <v>201</v>
      </c>
    </row>
    <row r="89" spans="1:12" x14ac:dyDescent="0.25">
      <c r="A89" s="117">
        <v>39356</v>
      </c>
      <c r="B89" s="118" t="s">
        <v>2213</v>
      </c>
      <c r="C89" s="118" t="s">
        <v>197</v>
      </c>
      <c r="D89" s="119">
        <v>10</v>
      </c>
      <c r="E89" s="118">
        <v>88.8</v>
      </c>
      <c r="F89" s="118">
        <v>888</v>
      </c>
      <c r="G89" s="121">
        <v>26.05</v>
      </c>
      <c r="H89" s="121" t="s">
        <v>2214</v>
      </c>
      <c r="I89" s="121">
        <v>2007187</v>
      </c>
      <c r="J89" s="118" t="s">
        <v>199</v>
      </c>
      <c r="K89" s="121" t="s">
        <v>1051</v>
      </c>
      <c r="L89" s="118" t="s">
        <v>201</v>
      </c>
    </row>
    <row r="90" spans="1:12" x14ac:dyDescent="0.25">
      <c r="A90" s="117">
        <v>39356</v>
      </c>
      <c r="B90" s="118" t="s">
        <v>2215</v>
      </c>
      <c r="C90" s="118" t="s">
        <v>197</v>
      </c>
      <c r="D90" s="119">
        <v>20</v>
      </c>
      <c r="E90" s="118">
        <v>44.7</v>
      </c>
      <c r="F90" s="118">
        <v>894</v>
      </c>
      <c r="G90" s="121">
        <v>26.23</v>
      </c>
      <c r="H90" s="121" t="s">
        <v>2216</v>
      </c>
      <c r="I90" s="121">
        <v>2007187</v>
      </c>
      <c r="J90" s="118" t="s">
        <v>199</v>
      </c>
      <c r="K90" s="121" t="s">
        <v>1051</v>
      </c>
      <c r="L90" s="118" t="s">
        <v>201</v>
      </c>
    </row>
    <row r="91" spans="1:12" x14ac:dyDescent="0.25">
      <c r="A91" s="117">
        <v>39353</v>
      </c>
      <c r="B91" s="118" t="s">
        <v>2217</v>
      </c>
      <c r="C91" s="118" t="s">
        <v>197</v>
      </c>
      <c r="D91" s="119">
        <v>10</v>
      </c>
      <c r="E91" s="118">
        <v>190.41</v>
      </c>
      <c r="F91" s="120">
        <v>1904.1</v>
      </c>
      <c r="G91" s="121">
        <v>30.47</v>
      </c>
      <c r="H91" s="121" t="s">
        <v>2218</v>
      </c>
      <c r="I91" s="121">
        <v>2007186</v>
      </c>
      <c r="J91" s="118" t="s">
        <v>199</v>
      </c>
      <c r="K91" s="121" t="s">
        <v>1051</v>
      </c>
      <c r="L91" s="118" t="s">
        <v>201</v>
      </c>
    </row>
    <row r="92" spans="1:12" x14ac:dyDescent="0.25">
      <c r="A92" s="117">
        <v>39353</v>
      </c>
      <c r="B92" s="118" t="s">
        <v>2219</v>
      </c>
      <c r="C92" s="118" t="s">
        <v>197</v>
      </c>
      <c r="D92" s="119">
        <v>5</v>
      </c>
      <c r="E92" s="118">
        <v>711.2</v>
      </c>
      <c r="F92" s="120">
        <v>3556</v>
      </c>
      <c r="G92" s="121">
        <v>34.42</v>
      </c>
      <c r="H92" s="121" t="s">
        <v>2220</v>
      </c>
      <c r="I92" s="121">
        <v>2007186</v>
      </c>
      <c r="J92" s="118" t="s">
        <v>199</v>
      </c>
      <c r="K92" s="121" t="s">
        <v>1051</v>
      </c>
      <c r="L92" s="118" t="s">
        <v>201</v>
      </c>
    </row>
    <row r="93" spans="1:12" x14ac:dyDescent="0.25">
      <c r="A93" s="117">
        <v>39352</v>
      </c>
      <c r="B93" s="118" t="s">
        <v>2219</v>
      </c>
      <c r="C93" s="118" t="s">
        <v>197</v>
      </c>
      <c r="D93" s="119">
        <v>5</v>
      </c>
      <c r="E93" s="118">
        <v>705</v>
      </c>
      <c r="F93" s="120">
        <v>3525</v>
      </c>
      <c r="G93" s="121">
        <v>34.119999999999997</v>
      </c>
      <c r="H93" s="121" t="s">
        <v>2221</v>
      </c>
      <c r="I93" s="121">
        <v>2007185</v>
      </c>
      <c r="J93" s="118" t="s">
        <v>199</v>
      </c>
      <c r="K93" s="121" t="s">
        <v>1051</v>
      </c>
      <c r="L93" s="118" t="s">
        <v>201</v>
      </c>
    </row>
    <row r="94" spans="1:12" x14ac:dyDescent="0.25">
      <c r="A94" s="117">
        <v>39343</v>
      </c>
      <c r="B94" s="118" t="s">
        <v>2222</v>
      </c>
      <c r="C94" s="118" t="s">
        <v>197</v>
      </c>
      <c r="D94" s="119">
        <v>50</v>
      </c>
      <c r="E94" s="118">
        <v>131.19999999999999</v>
      </c>
      <c r="F94" s="120">
        <v>6560</v>
      </c>
      <c r="G94" s="121">
        <v>63.48</v>
      </c>
      <c r="H94" s="121" t="s">
        <v>2223</v>
      </c>
      <c r="I94" s="121">
        <v>2007178</v>
      </c>
      <c r="J94" s="118" t="s">
        <v>199</v>
      </c>
      <c r="K94" s="121" t="s">
        <v>1051</v>
      </c>
      <c r="L94" s="118" t="s">
        <v>201</v>
      </c>
    </row>
    <row r="95" spans="1:12" x14ac:dyDescent="0.25">
      <c r="A95" s="117">
        <v>39339</v>
      </c>
      <c r="B95" s="118" t="s">
        <v>1107</v>
      </c>
      <c r="C95" s="118" t="s">
        <v>197</v>
      </c>
      <c r="D95" s="119">
        <v>100</v>
      </c>
      <c r="E95" s="118">
        <v>122.25</v>
      </c>
      <c r="F95" s="120">
        <v>12225</v>
      </c>
      <c r="G95" s="121">
        <v>118.3</v>
      </c>
      <c r="H95" s="121" t="s">
        <v>2224</v>
      </c>
      <c r="I95" s="121">
        <v>2007176</v>
      </c>
      <c r="J95" s="118" t="s">
        <v>199</v>
      </c>
      <c r="K95" s="121" t="s">
        <v>1051</v>
      </c>
      <c r="L95" s="118" t="s">
        <v>201</v>
      </c>
    </row>
    <row r="96" spans="1:12" x14ac:dyDescent="0.25">
      <c r="A96" s="117">
        <v>39296</v>
      </c>
      <c r="B96" s="118" t="s">
        <v>1998</v>
      </c>
      <c r="C96" s="118" t="s">
        <v>197</v>
      </c>
      <c r="D96" s="119">
        <v>100</v>
      </c>
      <c r="E96" s="118">
        <v>56.1</v>
      </c>
      <c r="F96" s="120">
        <v>5610</v>
      </c>
      <c r="G96" s="121">
        <v>54.29</v>
      </c>
      <c r="H96" s="121" t="s">
        <v>2225</v>
      </c>
      <c r="I96" s="121">
        <v>2007146</v>
      </c>
      <c r="J96" s="118" t="s">
        <v>199</v>
      </c>
      <c r="K96" s="121" t="s">
        <v>1051</v>
      </c>
      <c r="L96" s="118" t="s">
        <v>201</v>
      </c>
    </row>
    <row r="97" spans="1:12" x14ac:dyDescent="0.25">
      <c r="A97" s="117">
        <v>39296</v>
      </c>
      <c r="B97" s="118" t="s">
        <v>1998</v>
      </c>
      <c r="C97" s="118" t="s">
        <v>197</v>
      </c>
      <c r="D97" s="119">
        <v>100</v>
      </c>
      <c r="E97" s="118">
        <v>56.35</v>
      </c>
      <c r="F97" s="120">
        <v>5635</v>
      </c>
      <c r="G97" s="121">
        <v>54.52</v>
      </c>
      <c r="H97" s="121" t="s">
        <v>2226</v>
      </c>
      <c r="I97" s="121">
        <v>2007146</v>
      </c>
      <c r="J97" s="118" t="s">
        <v>199</v>
      </c>
      <c r="K97" s="121" t="s">
        <v>1051</v>
      </c>
      <c r="L97" s="118" t="s">
        <v>201</v>
      </c>
    </row>
    <row r="98" spans="1:12" x14ac:dyDescent="0.25">
      <c r="A98" s="117">
        <v>39296</v>
      </c>
      <c r="B98" s="118" t="s">
        <v>1998</v>
      </c>
      <c r="C98" s="118" t="s">
        <v>197</v>
      </c>
      <c r="D98" s="119">
        <v>100</v>
      </c>
      <c r="E98" s="118">
        <v>56.6</v>
      </c>
      <c r="F98" s="120">
        <v>5660</v>
      </c>
      <c r="G98" s="121">
        <v>54.78</v>
      </c>
      <c r="H98" s="121" t="s">
        <v>2227</v>
      </c>
      <c r="I98" s="121">
        <v>2007146</v>
      </c>
      <c r="J98" s="118" t="s">
        <v>199</v>
      </c>
      <c r="K98" s="121" t="s">
        <v>1051</v>
      </c>
      <c r="L98" s="118" t="s">
        <v>201</v>
      </c>
    </row>
    <row r="99" spans="1:12" x14ac:dyDescent="0.25">
      <c r="A99" s="117">
        <v>39296</v>
      </c>
      <c r="B99" s="118" t="s">
        <v>1998</v>
      </c>
      <c r="C99" s="118" t="s">
        <v>197</v>
      </c>
      <c r="D99" s="119">
        <v>100</v>
      </c>
      <c r="E99" s="118">
        <v>56.45</v>
      </c>
      <c r="F99" s="120">
        <v>5645</v>
      </c>
      <c r="G99" s="121">
        <v>54.63</v>
      </c>
      <c r="H99" s="121" t="s">
        <v>2228</v>
      </c>
      <c r="I99" s="121">
        <v>2007146</v>
      </c>
      <c r="J99" s="118" t="s">
        <v>199</v>
      </c>
      <c r="K99" s="121" t="s">
        <v>1051</v>
      </c>
      <c r="L99" s="118" t="s">
        <v>201</v>
      </c>
    </row>
    <row r="100" spans="1:12" x14ac:dyDescent="0.25">
      <c r="A100" s="117">
        <v>39287</v>
      </c>
      <c r="B100" s="118" t="s">
        <v>1983</v>
      </c>
      <c r="C100" s="118" t="s">
        <v>197</v>
      </c>
      <c r="D100" s="119">
        <v>5</v>
      </c>
      <c r="E100" s="120">
        <v>1409.9</v>
      </c>
      <c r="F100" s="120">
        <v>7049.5</v>
      </c>
      <c r="G100" s="121">
        <v>68.22</v>
      </c>
      <c r="H100" s="121" t="s">
        <v>2229</v>
      </c>
      <c r="I100" s="121">
        <v>2007139</v>
      </c>
      <c r="J100" s="118" t="s">
        <v>199</v>
      </c>
      <c r="K100" s="121" t="s">
        <v>1051</v>
      </c>
      <c r="L100" s="118" t="s">
        <v>201</v>
      </c>
    </row>
    <row r="101" spans="1:12" x14ac:dyDescent="0.25">
      <c r="A101" s="117">
        <v>39280</v>
      </c>
      <c r="B101" s="118" t="s">
        <v>2230</v>
      </c>
      <c r="C101" s="118" t="s">
        <v>197</v>
      </c>
      <c r="D101" s="119">
        <v>10</v>
      </c>
      <c r="E101" s="118">
        <v>740.1</v>
      </c>
      <c r="F101" s="120">
        <v>7401</v>
      </c>
      <c r="G101" s="121">
        <v>71.62</v>
      </c>
      <c r="H101" s="121" t="s">
        <v>2231</v>
      </c>
      <c r="I101" s="121">
        <v>2007134</v>
      </c>
      <c r="J101" s="118" t="s">
        <v>199</v>
      </c>
      <c r="K101" s="121" t="s">
        <v>1051</v>
      </c>
      <c r="L101" s="118" t="s">
        <v>201</v>
      </c>
    </row>
    <row r="102" spans="1:12" x14ac:dyDescent="0.25">
      <c r="A102" s="117">
        <v>39232</v>
      </c>
      <c r="B102" s="118" t="s">
        <v>1983</v>
      </c>
      <c r="C102" s="118" t="s">
        <v>197</v>
      </c>
      <c r="D102" s="119">
        <v>15</v>
      </c>
      <c r="E102" s="120">
        <v>1485</v>
      </c>
      <c r="F102" s="120">
        <v>22275</v>
      </c>
      <c r="G102" s="121">
        <v>215.55</v>
      </c>
      <c r="H102" s="121" t="s">
        <v>2232</v>
      </c>
      <c r="I102" s="121">
        <v>2007100</v>
      </c>
      <c r="J102" s="118" t="s">
        <v>199</v>
      </c>
      <c r="K102" s="121" t="s">
        <v>1051</v>
      </c>
      <c r="L102" s="118" t="s">
        <v>201</v>
      </c>
    </row>
    <row r="103" spans="1:12" x14ac:dyDescent="0.25">
      <c r="A103" s="117">
        <v>39225</v>
      </c>
      <c r="B103" s="118" t="s">
        <v>2230</v>
      </c>
      <c r="C103" s="118" t="s">
        <v>197</v>
      </c>
      <c r="D103" s="119">
        <v>5</v>
      </c>
      <c r="E103" s="118">
        <v>767</v>
      </c>
      <c r="F103" s="120">
        <v>3835</v>
      </c>
      <c r="G103" s="121">
        <v>37.11</v>
      </c>
      <c r="H103" s="121" t="s">
        <v>2233</v>
      </c>
      <c r="I103" s="121">
        <v>2007095</v>
      </c>
      <c r="J103" s="118" t="s">
        <v>199</v>
      </c>
      <c r="K103" s="121" t="s">
        <v>1051</v>
      </c>
      <c r="L103" s="118" t="s">
        <v>201</v>
      </c>
    </row>
    <row r="104" spans="1:12" x14ac:dyDescent="0.25">
      <c r="A104" s="117">
        <v>39225</v>
      </c>
      <c r="B104" s="118" t="s">
        <v>2230</v>
      </c>
      <c r="C104" s="118" t="s">
        <v>197</v>
      </c>
      <c r="D104" s="119">
        <v>5</v>
      </c>
      <c r="E104" s="118">
        <v>760.2</v>
      </c>
      <c r="F104" s="120">
        <v>3801</v>
      </c>
      <c r="G104" s="121">
        <v>36.78</v>
      </c>
      <c r="H104" s="121" t="s">
        <v>2234</v>
      </c>
      <c r="I104" s="121">
        <v>2007095</v>
      </c>
      <c r="J104" s="118" t="s">
        <v>199</v>
      </c>
      <c r="K104" s="121" t="s">
        <v>1051</v>
      </c>
      <c r="L104" s="118" t="s">
        <v>201</v>
      </c>
    </row>
    <row r="105" spans="1:12" x14ac:dyDescent="0.25">
      <c r="A105" s="117">
        <v>39224</v>
      </c>
      <c r="B105" s="118" t="s">
        <v>2230</v>
      </c>
      <c r="C105" s="118" t="s">
        <v>197</v>
      </c>
      <c r="D105" s="119">
        <v>10</v>
      </c>
      <c r="E105" s="118">
        <v>769.5</v>
      </c>
      <c r="F105" s="120">
        <v>7695</v>
      </c>
      <c r="G105" s="121">
        <v>74.47</v>
      </c>
      <c r="H105" s="121" t="s">
        <v>2235</v>
      </c>
      <c r="I105" s="121">
        <v>2007094</v>
      </c>
      <c r="J105" s="118" t="s">
        <v>199</v>
      </c>
      <c r="K105" s="121" t="s">
        <v>1051</v>
      </c>
      <c r="L105" s="118" t="s">
        <v>201</v>
      </c>
    </row>
    <row r="106" spans="1:12" x14ac:dyDescent="0.25">
      <c r="A106" s="117">
        <v>39218</v>
      </c>
      <c r="B106" s="118" t="s">
        <v>1101</v>
      </c>
      <c r="C106" s="118" t="s">
        <v>197</v>
      </c>
      <c r="D106" s="119">
        <v>10</v>
      </c>
      <c r="E106" s="118">
        <v>531.5</v>
      </c>
      <c r="F106" s="120">
        <v>5315</v>
      </c>
      <c r="G106" s="121">
        <v>51.43</v>
      </c>
      <c r="H106" s="121" t="s">
        <v>2236</v>
      </c>
      <c r="I106" s="121">
        <v>2007090</v>
      </c>
      <c r="J106" s="118" t="s">
        <v>199</v>
      </c>
      <c r="K106" s="121" t="s">
        <v>1051</v>
      </c>
      <c r="L106" s="118" t="s">
        <v>201</v>
      </c>
    </row>
    <row r="107" spans="1:12" x14ac:dyDescent="0.25">
      <c r="A107" s="117">
        <v>39211</v>
      </c>
      <c r="B107" s="118" t="s">
        <v>1101</v>
      </c>
      <c r="C107" s="118" t="s">
        <v>197</v>
      </c>
      <c r="D107" s="119">
        <v>10</v>
      </c>
      <c r="E107" s="118">
        <v>545.5</v>
      </c>
      <c r="F107" s="120">
        <v>5455</v>
      </c>
      <c r="G107" s="121">
        <v>52.74</v>
      </c>
      <c r="H107" s="121" t="s">
        <v>2237</v>
      </c>
      <c r="I107" s="121">
        <v>2007085</v>
      </c>
      <c r="J107" s="118" t="s">
        <v>199</v>
      </c>
      <c r="K107" s="121" t="s">
        <v>1051</v>
      </c>
      <c r="L107" s="118" t="s">
        <v>201</v>
      </c>
    </row>
    <row r="108" spans="1:12" x14ac:dyDescent="0.25">
      <c r="A108" s="117">
        <v>39210</v>
      </c>
      <c r="B108" s="118" t="s">
        <v>1686</v>
      </c>
      <c r="C108" s="118" t="s">
        <v>197</v>
      </c>
      <c r="D108" s="119">
        <v>150</v>
      </c>
      <c r="E108" s="118">
        <v>116.75</v>
      </c>
      <c r="F108" s="120">
        <v>17512.5</v>
      </c>
      <c r="G108" s="121">
        <v>169.31</v>
      </c>
      <c r="H108" s="121" t="s">
        <v>2238</v>
      </c>
      <c r="I108" s="121">
        <v>2007084</v>
      </c>
      <c r="J108" s="118" t="s">
        <v>199</v>
      </c>
      <c r="K108" s="121" t="s">
        <v>1051</v>
      </c>
      <c r="L108" s="118" t="s">
        <v>201</v>
      </c>
    </row>
    <row r="109" spans="1:12" x14ac:dyDescent="0.25">
      <c r="A109" s="117">
        <v>39202</v>
      </c>
      <c r="B109" s="118" t="s">
        <v>1697</v>
      </c>
      <c r="C109" s="118" t="s">
        <v>197</v>
      </c>
      <c r="D109" s="119">
        <v>100</v>
      </c>
      <c r="E109" s="118">
        <v>805.95</v>
      </c>
      <c r="F109" s="120">
        <v>80595.149999999994</v>
      </c>
      <c r="G109" s="121">
        <v>65.37</v>
      </c>
      <c r="H109" s="121" t="s">
        <v>2239</v>
      </c>
      <c r="I109" s="121">
        <v>2007080</v>
      </c>
      <c r="J109" s="118" t="s">
        <v>199</v>
      </c>
      <c r="K109" s="118" t="s">
        <v>1098</v>
      </c>
      <c r="L109" s="118" t="s">
        <v>201</v>
      </c>
    </row>
    <row r="110" spans="1:12" x14ac:dyDescent="0.25">
      <c r="A110" s="117">
        <v>39202</v>
      </c>
      <c r="B110" s="118" t="s">
        <v>1697</v>
      </c>
      <c r="C110" s="118" t="s">
        <v>197</v>
      </c>
      <c r="D110" s="119">
        <v>100</v>
      </c>
      <c r="E110" s="118">
        <v>802.7</v>
      </c>
      <c r="F110" s="120">
        <v>80269.8</v>
      </c>
      <c r="G110" s="121">
        <v>45.04</v>
      </c>
      <c r="H110" s="121" t="s">
        <v>2240</v>
      </c>
      <c r="I110" s="121">
        <v>2007080</v>
      </c>
      <c r="J110" s="118" t="s">
        <v>199</v>
      </c>
      <c r="K110" s="118" t="s">
        <v>1098</v>
      </c>
      <c r="L110" s="118" t="s">
        <v>201</v>
      </c>
    </row>
    <row r="111" spans="1:12" x14ac:dyDescent="0.25">
      <c r="A111" s="117">
        <v>39202</v>
      </c>
      <c r="B111" s="118" t="s">
        <v>1697</v>
      </c>
      <c r="C111" s="118" t="s">
        <v>197</v>
      </c>
      <c r="D111" s="119">
        <v>20</v>
      </c>
      <c r="E111" s="118">
        <v>805.55</v>
      </c>
      <c r="F111" s="120">
        <v>16111</v>
      </c>
      <c r="G111" s="121">
        <v>135.62</v>
      </c>
      <c r="H111" s="121" t="s">
        <v>2241</v>
      </c>
      <c r="I111" s="121">
        <v>2007080</v>
      </c>
      <c r="J111" s="118" t="s">
        <v>199</v>
      </c>
      <c r="K111" s="121" t="s">
        <v>1051</v>
      </c>
      <c r="L111" s="118" t="s">
        <v>201</v>
      </c>
    </row>
    <row r="112" spans="1:12" x14ac:dyDescent="0.25">
      <c r="A112" s="117">
        <v>39199</v>
      </c>
      <c r="B112" s="118" t="s">
        <v>1697</v>
      </c>
      <c r="C112" s="118" t="s">
        <v>197</v>
      </c>
      <c r="D112" s="119">
        <v>40</v>
      </c>
      <c r="E112" s="118">
        <v>825</v>
      </c>
      <c r="F112" s="120">
        <v>33000</v>
      </c>
      <c r="G112" s="121">
        <v>319.05</v>
      </c>
      <c r="H112" s="121" t="s">
        <v>2242</v>
      </c>
      <c r="I112" s="121">
        <v>2007079</v>
      </c>
      <c r="J112" s="118" t="s">
        <v>199</v>
      </c>
      <c r="K112" s="121" t="s">
        <v>1051</v>
      </c>
      <c r="L112" s="118" t="s">
        <v>201</v>
      </c>
    </row>
    <row r="113" spans="1:12" x14ac:dyDescent="0.25">
      <c r="A113" s="117">
        <v>39199</v>
      </c>
      <c r="B113" s="118" t="s">
        <v>1686</v>
      </c>
      <c r="C113" s="118" t="s">
        <v>197</v>
      </c>
      <c r="D113" s="119">
        <v>200</v>
      </c>
      <c r="E113" s="118">
        <v>123.95</v>
      </c>
      <c r="F113" s="120">
        <v>24790</v>
      </c>
      <c r="G113" s="121">
        <v>239.67</v>
      </c>
      <c r="H113" s="121" t="s">
        <v>2259</v>
      </c>
      <c r="I113" s="121">
        <v>2007079</v>
      </c>
      <c r="J113" s="118" t="s">
        <v>199</v>
      </c>
      <c r="K113" s="121" t="s">
        <v>1051</v>
      </c>
      <c r="L113" s="118" t="s">
        <v>201</v>
      </c>
    </row>
    <row r="114" spans="1:12" x14ac:dyDescent="0.25">
      <c r="A114" s="117">
        <v>39197</v>
      </c>
      <c r="B114" s="118" t="s">
        <v>1697</v>
      </c>
      <c r="C114" s="118" t="s">
        <v>197</v>
      </c>
      <c r="D114" s="119">
        <v>40</v>
      </c>
      <c r="E114" s="118">
        <v>860.2</v>
      </c>
      <c r="F114" s="120">
        <v>34408</v>
      </c>
      <c r="G114" s="121">
        <v>332.66</v>
      </c>
      <c r="H114" s="121" t="s">
        <v>2260</v>
      </c>
      <c r="I114" s="121">
        <v>2007077</v>
      </c>
      <c r="J114" s="118" t="s">
        <v>199</v>
      </c>
      <c r="K114" s="121" t="s">
        <v>1051</v>
      </c>
      <c r="L114" s="118" t="s">
        <v>201</v>
      </c>
    </row>
    <row r="115" spans="1:12" x14ac:dyDescent="0.25">
      <c r="A115" s="117">
        <v>39175</v>
      </c>
      <c r="B115" s="118" t="s">
        <v>2261</v>
      </c>
      <c r="C115" s="118" t="s">
        <v>197</v>
      </c>
      <c r="D115" s="119">
        <v>10</v>
      </c>
      <c r="E115" s="120">
        <v>1196</v>
      </c>
      <c r="F115" s="120">
        <v>11960</v>
      </c>
      <c r="G115" s="121">
        <v>115.63</v>
      </c>
      <c r="H115" s="121" t="s">
        <v>2262</v>
      </c>
      <c r="I115" s="121">
        <v>2007062</v>
      </c>
      <c r="J115" s="118" t="s">
        <v>199</v>
      </c>
      <c r="K115" s="121" t="s">
        <v>1051</v>
      </c>
      <c r="L115" s="118" t="s">
        <v>201</v>
      </c>
    </row>
    <row r="116" spans="1:12" x14ac:dyDescent="0.25">
      <c r="A116" s="117">
        <v>39175</v>
      </c>
      <c r="B116" s="118" t="s">
        <v>1697</v>
      </c>
      <c r="C116" s="118" t="s">
        <v>197</v>
      </c>
      <c r="D116" s="119">
        <v>40</v>
      </c>
      <c r="E116" s="118">
        <v>733.5</v>
      </c>
      <c r="F116" s="120">
        <v>29340</v>
      </c>
      <c r="G116" s="121">
        <v>283.67</v>
      </c>
      <c r="H116" s="121" t="s">
        <v>2263</v>
      </c>
      <c r="I116" s="121">
        <v>2007062</v>
      </c>
      <c r="J116" s="118" t="s">
        <v>199</v>
      </c>
      <c r="K116" s="121" t="s">
        <v>1051</v>
      </c>
      <c r="L116" s="118" t="s">
        <v>201</v>
      </c>
    </row>
    <row r="117" spans="1:12" x14ac:dyDescent="0.25">
      <c r="A117" s="117">
        <v>39175</v>
      </c>
      <c r="B117" s="118" t="s">
        <v>2177</v>
      </c>
      <c r="C117" s="118" t="s">
        <v>197</v>
      </c>
      <c r="D117" s="119">
        <v>40</v>
      </c>
      <c r="E117" s="118">
        <v>401.25</v>
      </c>
      <c r="F117" s="120">
        <v>16050</v>
      </c>
      <c r="G117" s="121">
        <v>155.16999999999999</v>
      </c>
      <c r="H117" s="121" t="s">
        <v>2264</v>
      </c>
      <c r="I117" s="121">
        <v>2007062</v>
      </c>
      <c r="J117" s="118" t="s">
        <v>199</v>
      </c>
      <c r="K117" s="121" t="s">
        <v>1051</v>
      </c>
      <c r="L117" s="118" t="s">
        <v>201</v>
      </c>
    </row>
    <row r="118" spans="1:12" x14ac:dyDescent="0.25">
      <c r="A118" s="122">
        <v>39464</v>
      </c>
      <c r="B118" s="118" t="s">
        <v>1058</v>
      </c>
      <c r="C118" s="118" t="s">
        <v>197</v>
      </c>
      <c r="D118" s="119">
        <v>16</v>
      </c>
      <c r="E118" s="118">
        <v>430</v>
      </c>
      <c r="F118" s="120">
        <f>D118*E118</f>
        <v>6880</v>
      </c>
      <c r="G118" s="121">
        <v>0</v>
      </c>
      <c r="H118" s="121" t="s">
        <v>2265</v>
      </c>
      <c r="J118" s="118" t="s">
        <v>1534</v>
      </c>
      <c r="K118" s="121" t="s">
        <v>1051</v>
      </c>
      <c r="L118" s="118"/>
    </row>
    <row r="119" spans="1:12" x14ac:dyDescent="0.25">
      <c r="A119" s="117"/>
      <c r="B119" s="118"/>
      <c r="C119" s="118"/>
      <c r="D119" s="119"/>
      <c r="E119" s="118"/>
      <c r="F119" s="120">
        <f>SUM(F3:F118)</f>
        <v>1065342.25</v>
      </c>
      <c r="G119" s="120">
        <f>SUM(G3:G118)</f>
        <v>7341.98</v>
      </c>
      <c r="H119" s="123"/>
      <c r="I119" s="123"/>
      <c r="J119" s="118"/>
      <c r="K119" s="123"/>
      <c r="L119" s="118"/>
    </row>
    <row r="120" spans="1:12" x14ac:dyDescent="0.25">
      <c r="A120" s="117"/>
      <c r="B120" s="118"/>
      <c r="C120" s="118"/>
      <c r="D120" s="119"/>
      <c r="E120" s="118"/>
      <c r="F120" s="120" t="s">
        <v>624</v>
      </c>
      <c r="G120" s="120">
        <f>F119+G119</f>
        <v>1072684.23</v>
      </c>
      <c r="H120" s="123"/>
      <c r="I120" s="123"/>
      <c r="J120" s="118"/>
      <c r="K120" s="123"/>
      <c r="L120" s="118"/>
    </row>
    <row r="121" spans="1:12" x14ac:dyDescent="0.25">
      <c r="A121" s="114" t="s">
        <v>2266</v>
      </c>
      <c r="B121" s="118"/>
      <c r="C121" s="118"/>
      <c r="D121" s="119"/>
      <c r="E121" s="118"/>
      <c r="F121" s="120"/>
      <c r="G121" s="123"/>
      <c r="H121" s="123"/>
      <c r="I121" s="123"/>
      <c r="J121" s="118"/>
      <c r="K121" s="123"/>
      <c r="L121" s="118"/>
    </row>
    <row r="122" spans="1:12" x14ac:dyDescent="0.25">
      <c r="A122" s="117">
        <v>39534</v>
      </c>
      <c r="B122" s="118" t="s">
        <v>1512</v>
      </c>
      <c r="C122" s="118" t="s">
        <v>369</v>
      </c>
      <c r="D122" s="119">
        <v>15</v>
      </c>
      <c r="E122" s="118">
        <v>506</v>
      </c>
      <c r="F122" s="120">
        <v>7590</v>
      </c>
      <c r="G122" s="121">
        <v>73.45</v>
      </c>
      <c r="H122" s="121" t="s">
        <v>2267</v>
      </c>
      <c r="I122" s="121">
        <v>2008060</v>
      </c>
      <c r="J122" s="118" t="s">
        <v>199</v>
      </c>
      <c r="K122" s="121" t="s">
        <v>1051</v>
      </c>
      <c r="L122" s="118" t="s">
        <v>201</v>
      </c>
    </row>
    <row r="123" spans="1:12" x14ac:dyDescent="0.25">
      <c r="A123" s="117">
        <v>39534</v>
      </c>
      <c r="B123" s="118" t="s">
        <v>1512</v>
      </c>
      <c r="C123" s="118" t="s">
        <v>369</v>
      </c>
      <c r="D123" s="119">
        <v>7</v>
      </c>
      <c r="E123" s="118">
        <v>511.3</v>
      </c>
      <c r="F123" s="120">
        <v>3579.1</v>
      </c>
      <c r="G123" s="121">
        <v>34.630000000000003</v>
      </c>
      <c r="H123" s="121" t="s">
        <v>2268</v>
      </c>
      <c r="I123" s="121">
        <v>2008060</v>
      </c>
      <c r="J123" s="118" t="s">
        <v>199</v>
      </c>
      <c r="K123" s="121" t="s">
        <v>1051</v>
      </c>
      <c r="L123" s="118" t="s">
        <v>201</v>
      </c>
    </row>
    <row r="124" spans="1:12" x14ac:dyDescent="0.25">
      <c r="A124" s="117">
        <v>39532</v>
      </c>
      <c r="B124" s="118" t="s">
        <v>2002</v>
      </c>
      <c r="C124" s="118" t="s">
        <v>369</v>
      </c>
      <c r="D124" s="119">
        <v>100</v>
      </c>
      <c r="E124" s="118">
        <v>38.5</v>
      </c>
      <c r="F124" s="120">
        <v>3850</v>
      </c>
      <c r="G124" s="121">
        <v>37.26</v>
      </c>
      <c r="H124" s="121" t="s">
        <v>2269</v>
      </c>
      <c r="I124" s="121">
        <v>200708249</v>
      </c>
      <c r="J124" s="118" t="s">
        <v>199</v>
      </c>
      <c r="K124" s="121" t="s">
        <v>1051</v>
      </c>
      <c r="L124" s="118" t="s">
        <v>204</v>
      </c>
    </row>
    <row r="125" spans="1:12" x14ac:dyDescent="0.25">
      <c r="A125" s="117">
        <v>39532</v>
      </c>
      <c r="B125" s="118" t="s">
        <v>2002</v>
      </c>
      <c r="C125" s="118" t="s">
        <v>369</v>
      </c>
      <c r="D125" s="119">
        <v>20</v>
      </c>
      <c r="E125" s="118">
        <v>38.549999999999997</v>
      </c>
      <c r="F125" s="118">
        <v>771</v>
      </c>
      <c r="G125" s="121">
        <v>22.62</v>
      </c>
      <c r="H125" s="121" t="s">
        <v>2270</v>
      </c>
      <c r="I125" s="121">
        <v>200708249</v>
      </c>
      <c r="J125" s="118" t="s">
        <v>199</v>
      </c>
      <c r="K125" s="121" t="s">
        <v>1051</v>
      </c>
      <c r="L125" s="118" t="s">
        <v>204</v>
      </c>
    </row>
    <row r="126" spans="1:12" x14ac:dyDescent="0.25">
      <c r="A126" s="117">
        <v>39532</v>
      </c>
      <c r="B126" s="118" t="s">
        <v>2002</v>
      </c>
      <c r="C126" s="118" t="s">
        <v>369</v>
      </c>
      <c r="D126" s="119">
        <v>120</v>
      </c>
      <c r="E126" s="118">
        <v>38.549999999999997</v>
      </c>
      <c r="F126" s="120">
        <v>4626</v>
      </c>
      <c r="G126" s="121">
        <v>44.76</v>
      </c>
      <c r="H126" s="121" t="s">
        <v>2271</v>
      </c>
      <c r="I126" s="121">
        <v>200708249</v>
      </c>
      <c r="J126" s="118" t="s">
        <v>199</v>
      </c>
      <c r="K126" s="121" t="s">
        <v>1051</v>
      </c>
      <c r="L126" s="118" t="s">
        <v>204</v>
      </c>
    </row>
    <row r="127" spans="1:12" x14ac:dyDescent="0.25">
      <c r="A127" s="117">
        <v>39532</v>
      </c>
      <c r="B127" s="118" t="s">
        <v>2002</v>
      </c>
      <c r="C127" s="118" t="s">
        <v>369</v>
      </c>
      <c r="D127" s="119">
        <v>160</v>
      </c>
      <c r="E127" s="118">
        <v>38.549999999999997</v>
      </c>
      <c r="F127" s="120">
        <v>6168</v>
      </c>
      <c r="G127" s="121">
        <v>59.68</v>
      </c>
      <c r="H127" s="121" t="s">
        <v>2272</v>
      </c>
      <c r="I127" s="121">
        <v>200708249</v>
      </c>
      <c r="J127" s="118" t="s">
        <v>199</v>
      </c>
      <c r="K127" s="121" t="s">
        <v>1051</v>
      </c>
      <c r="L127" s="118" t="s">
        <v>204</v>
      </c>
    </row>
    <row r="128" spans="1:12" x14ac:dyDescent="0.25">
      <c r="A128" s="117">
        <v>39520</v>
      </c>
      <c r="B128" s="118" t="s">
        <v>1510</v>
      </c>
      <c r="C128" s="118" t="s">
        <v>369</v>
      </c>
      <c r="D128" s="119">
        <v>7</v>
      </c>
      <c r="E128" s="120">
        <v>2385.1</v>
      </c>
      <c r="F128" s="120">
        <v>16695.7</v>
      </c>
      <c r="G128" s="121">
        <v>161.57</v>
      </c>
      <c r="H128" s="121" t="s">
        <v>2273</v>
      </c>
      <c r="I128" s="121">
        <v>200708243</v>
      </c>
      <c r="J128" s="118" t="s">
        <v>199</v>
      </c>
      <c r="K128" s="121" t="s">
        <v>1051</v>
      </c>
      <c r="L128" s="118" t="s">
        <v>204</v>
      </c>
    </row>
    <row r="129" spans="1:12" x14ac:dyDescent="0.25">
      <c r="A129" s="117">
        <v>39514</v>
      </c>
      <c r="B129" s="118" t="s">
        <v>1992</v>
      </c>
      <c r="C129" s="118" t="s">
        <v>369</v>
      </c>
      <c r="D129" s="119">
        <v>50</v>
      </c>
      <c r="E129" s="118">
        <v>238.7</v>
      </c>
      <c r="F129" s="120">
        <v>11935</v>
      </c>
      <c r="G129" s="121">
        <v>115.5</v>
      </c>
      <c r="H129" s="121" t="s">
        <v>2286</v>
      </c>
      <c r="I129" s="121">
        <v>2008048</v>
      </c>
      <c r="J129" s="118" t="s">
        <v>199</v>
      </c>
      <c r="K129" s="121" t="s">
        <v>1051</v>
      </c>
      <c r="L129" s="118" t="s">
        <v>201</v>
      </c>
    </row>
    <row r="130" spans="1:12" x14ac:dyDescent="0.25">
      <c r="A130" s="117">
        <v>39504</v>
      </c>
      <c r="B130" s="118" t="s">
        <v>1510</v>
      </c>
      <c r="C130" s="118" t="s">
        <v>369</v>
      </c>
      <c r="D130" s="119">
        <v>5</v>
      </c>
      <c r="E130" s="120">
        <v>2792.9</v>
      </c>
      <c r="F130" s="120">
        <v>13964.5</v>
      </c>
      <c r="G130" s="121">
        <v>135.13999999999999</v>
      </c>
      <c r="H130" s="121" t="s">
        <v>2287</v>
      </c>
      <c r="I130" s="121">
        <v>200708232</v>
      </c>
      <c r="J130" s="118" t="s">
        <v>199</v>
      </c>
      <c r="K130" s="121" t="s">
        <v>1051</v>
      </c>
      <c r="L130" s="118" t="s">
        <v>204</v>
      </c>
    </row>
    <row r="131" spans="1:12" x14ac:dyDescent="0.25">
      <c r="A131" s="117">
        <v>39499</v>
      </c>
      <c r="B131" s="118" t="s">
        <v>1605</v>
      </c>
      <c r="C131" s="118" t="s">
        <v>369</v>
      </c>
      <c r="D131" s="119">
        <v>5</v>
      </c>
      <c r="E131" s="120">
        <v>3972</v>
      </c>
      <c r="F131" s="120">
        <v>19860</v>
      </c>
      <c r="G131" s="121">
        <v>192.19</v>
      </c>
      <c r="H131" s="121" t="s">
        <v>2288</v>
      </c>
      <c r="I131" s="121">
        <v>200708229</v>
      </c>
      <c r="J131" s="118" t="s">
        <v>199</v>
      </c>
      <c r="K131" s="121" t="s">
        <v>1051</v>
      </c>
      <c r="L131" s="118" t="s">
        <v>204</v>
      </c>
    </row>
    <row r="132" spans="1:12" x14ac:dyDescent="0.25">
      <c r="A132" s="117">
        <v>39493</v>
      </c>
      <c r="B132" s="118" t="s">
        <v>2009</v>
      </c>
      <c r="C132" s="118" t="s">
        <v>369</v>
      </c>
      <c r="D132" s="119">
        <v>10</v>
      </c>
      <c r="E132" s="118">
        <v>908</v>
      </c>
      <c r="F132" s="120">
        <v>9080</v>
      </c>
      <c r="G132" s="121">
        <v>87.87</v>
      </c>
      <c r="H132" s="121" t="s">
        <v>2289</v>
      </c>
      <c r="I132" s="121">
        <v>200708225</v>
      </c>
      <c r="J132" s="118" t="s">
        <v>199</v>
      </c>
      <c r="K132" s="121" t="s">
        <v>1051</v>
      </c>
      <c r="L132" s="118" t="s">
        <v>204</v>
      </c>
    </row>
    <row r="133" spans="1:12" x14ac:dyDescent="0.25">
      <c r="A133" s="117">
        <v>39484</v>
      </c>
      <c r="B133" s="118" t="s">
        <v>1657</v>
      </c>
      <c r="C133" s="118" t="s">
        <v>369</v>
      </c>
      <c r="D133" s="119">
        <v>100</v>
      </c>
      <c r="E133" s="118">
        <v>180</v>
      </c>
      <c r="F133" s="120">
        <v>18000</v>
      </c>
      <c r="G133" s="121">
        <v>21.35</v>
      </c>
      <c r="H133" s="121" t="s">
        <v>2290</v>
      </c>
      <c r="I133" s="121">
        <v>2008027</v>
      </c>
      <c r="J133" s="118" t="s">
        <v>199</v>
      </c>
      <c r="K133" s="118" t="s">
        <v>1098</v>
      </c>
      <c r="L133" s="118" t="s">
        <v>201</v>
      </c>
    </row>
    <row r="134" spans="1:12" x14ac:dyDescent="0.25">
      <c r="A134" s="117">
        <v>39484</v>
      </c>
      <c r="B134" s="118" t="s">
        <v>1998</v>
      </c>
      <c r="C134" s="118" t="s">
        <v>369</v>
      </c>
      <c r="D134" s="119">
        <v>100</v>
      </c>
      <c r="E134" s="118">
        <v>64.400000000000006</v>
      </c>
      <c r="F134" s="120">
        <v>6440</v>
      </c>
      <c r="G134" s="121">
        <v>18.46</v>
      </c>
      <c r="H134" s="121" t="s">
        <v>2291</v>
      </c>
      <c r="I134" s="121">
        <v>2008027</v>
      </c>
      <c r="J134" s="118" t="s">
        <v>199</v>
      </c>
      <c r="K134" s="118" t="s">
        <v>1098</v>
      </c>
      <c r="L134" s="118" t="s">
        <v>201</v>
      </c>
    </row>
    <row r="135" spans="1:12" x14ac:dyDescent="0.25">
      <c r="A135" s="117">
        <v>39484</v>
      </c>
      <c r="B135" s="118" t="s">
        <v>1998</v>
      </c>
      <c r="C135" s="118" t="s">
        <v>369</v>
      </c>
      <c r="D135" s="119">
        <v>100</v>
      </c>
      <c r="E135" s="118">
        <v>64.7</v>
      </c>
      <c r="F135" s="120">
        <v>6470</v>
      </c>
      <c r="G135" s="121">
        <v>18.47</v>
      </c>
      <c r="H135" s="121" t="s">
        <v>2292</v>
      </c>
      <c r="I135" s="121">
        <v>2008027</v>
      </c>
      <c r="J135" s="118" t="s">
        <v>199</v>
      </c>
      <c r="K135" s="118" t="s">
        <v>1098</v>
      </c>
      <c r="L135" s="118" t="s">
        <v>201</v>
      </c>
    </row>
    <row r="136" spans="1:12" x14ac:dyDescent="0.25">
      <c r="A136" s="117">
        <v>39484</v>
      </c>
      <c r="B136" s="118" t="s">
        <v>1998</v>
      </c>
      <c r="C136" s="118" t="s">
        <v>369</v>
      </c>
      <c r="D136" s="119">
        <v>200</v>
      </c>
      <c r="E136" s="118">
        <v>67.599999999999994</v>
      </c>
      <c r="F136" s="120">
        <v>13520</v>
      </c>
      <c r="G136" s="121">
        <v>20.239999999999998</v>
      </c>
      <c r="H136" s="121" t="s">
        <v>2293</v>
      </c>
      <c r="I136" s="121">
        <v>2008027</v>
      </c>
      <c r="J136" s="118" t="s">
        <v>199</v>
      </c>
      <c r="K136" s="118" t="s">
        <v>1098</v>
      </c>
      <c r="L136" s="118" t="s">
        <v>201</v>
      </c>
    </row>
    <row r="137" spans="1:12" x14ac:dyDescent="0.25">
      <c r="A137" s="117">
        <v>39479</v>
      </c>
      <c r="B137" s="118" t="s">
        <v>2014</v>
      </c>
      <c r="C137" s="118" t="s">
        <v>369</v>
      </c>
      <c r="D137" s="119">
        <v>10</v>
      </c>
      <c r="E137" s="118">
        <v>932</v>
      </c>
      <c r="F137" s="120">
        <v>9320</v>
      </c>
      <c r="G137" s="121">
        <v>90.19</v>
      </c>
      <c r="H137" s="121" t="s">
        <v>2294</v>
      </c>
      <c r="I137" s="121">
        <v>200708215</v>
      </c>
      <c r="J137" s="118" t="s">
        <v>199</v>
      </c>
      <c r="K137" s="121" t="s">
        <v>1051</v>
      </c>
      <c r="L137" s="118" t="s">
        <v>204</v>
      </c>
    </row>
    <row r="138" spans="1:12" x14ac:dyDescent="0.25">
      <c r="A138" s="117">
        <v>39476</v>
      </c>
      <c r="B138" s="118" t="s">
        <v>1657</v>
      </c>
      <c r="C138" s="118" t="s">
        <v>369</v>
      </c>
      <c r="D138" s="119">
        <v>100</v>
      </c>
      <c r="E138" s="118">
        <v>184</v>
      </c>
      <c r="F138" s="120">
        <v>18400</v>
      </c>
      <c r="G138" s="121">
        <v>21.45</v>
      </c>
      <c r="H138" s="121" t="s">
        <v>2300</v>
      </c>
      <c r="I138" s="121">
        <v>2008021</v>
      </c>
      <c r="J138" s="118" t="s">
        <v>199</v>
      </c>
      <c r="K138" s="118" t="s">
        <v>1098</v>
      </c>
      <c r="L138" s="118" t="s">
        <v>201</v>
      </c>
    </row>
    <row r="139" spans="1:12" x14ac:dyDescent="0.25">
      <c r="A139" s="117">
        <v>39476</v>
      </c>
      <c r="B139" s="118" t="s">
        <v>1657</v>
      </c>
      <c r="C139" s="118" t="s">
        <v>369</v>
      </c>
      <c r="D139" s="119">
        <v>100</v>
      </c>
      <c r="E139" s="118">
        <v>186</v>
      </c>
      <c r="F139" s="120">
        <v>18600</v>
      </c>
      <c r="G139" s="121">
        <v>21.51</v>
      </c>
      <c r="H139" s="121" t="s">
        <v>2301</v>
      </c>
      <c r="I139" s="121">
        <v>2008021</v>
      </c>
      <c r="J139" s="118" t="s">
        <v>199</v>
      </c>
      <c r="K139" s="118" t="s">
        <v>1098</v>
      </c>
      <c r="L139" s="118" t="s">
        <v>201</v>
      </c>
    </row>
    <row r="140" spans="1:12" x14ac:dyDescent="0.25">
      <c r="A140" s="117">
        <v>39476</v>
      </c>
      <c r="B140" s="118" t="s">
        <v>1657</v>
      </c>
      <c r="C140" s="118" t="s">
        <v>369</v>
      </c>
      <c r="D140" s="119">
        <v>100</v>
      </c>
      <c r="E140" s="118">
        <v>183.6</v>
      </c>
      <c r="F140" s="120">
        <v>18360</v>
      </c>
      <c r="G140" s="121">
        <v>21.44</v>
      </c>
      <c r="H140" s="121" t="s">
        <v>2302</v>
      </c>
      <c r="I140" s="121">
        <v>2008021</v>
      </c>
      <c r="J140" s="118" t="s">
        <v>199</v>
      </c>
      <c r="K140" s="118" t="s">
        <v>1098</v>
      </c>
      <c r="L140" s="118" t="s">
        <v>201</v>
      </c>
    </row>
    <row r="141" spans="1:12" x14ac:dyDescent="0.25">
      <c r="A141" s="117">
        <v>39472</v>
      </c>
      <c r="B141" s="118" t="s">
        <v>211</v>
      </c>
      <c r="C141" s="118" t="s">
        <v>369</v>
      </c>
      <c r="D141" s="119">
        <v>25</v>
      </c>
      <c r="E141" s="118">
        <v>370.55</v>
      </c>
      <c r="F141" s="120">
        <v>9263.75</v>
      </c>
      <c r="G141" s="121">
        <v>89.65</v>
      </c>
      <c r="H141" s="121" t="s">
        <v>2303</v>
      </c>
      <c r="I141" s="121">
        <v>200708210</v>
      </c>
      <c r="J141" s="118" t="s">
        <v>199</v>
      </c>
      <c r="K141" s="121" t="s">
        <v>1051</v>
      </c>
      <c r="L141" s="118" t="s">
        <v>204</v>
      </c>
    </row>
    <row r="142" spans="1:12" x14ac:dyDescent="0.25">
      <c r="A142" s="117">
        <v>39472</v>
      </c>
      <c r="B142" s="118" t="s">
        <v>2019</v>
      </c>
      <c r="C142" s="118" t="s">
        <v>369</v>
      </c>
      <c r="D142" s="119">
        <v>100</v>
      </c>
      <c r="E142" s="118">
        <v>61.1</v>
      </c>
      <c r="F142" s="120">
        <v>6110.1</v>
      </c>
      <c r="G142" s="121">
        <v>59.13</v>
      </c>
      <c r="H142" s="121" t="s">
        <v>2304</v>
      </c>
      <c r="I142" s="121">
        <v>2008019</v>
      </c>
      <c r="J142" s="118" t="s">
        <v>199</v>
      </c>
      <c r="K142" s="121" t="s">
        <v>1051</v>
      </c>
      <c r="L142" s="118" t="s">
        <v>201</v>
      </c>
    </row>
    <row r="143" spans="1:12" x14ac:dyDescent="0.25">
      <c r="A143" s="117">
        <v>39458</v>
      </c>
      <c r="B143" s="118" t="s">
        <v>2002</v>
      </c>
      <c r="C143" s="118" t="s">
        <v>369</v>
      </c>
      <c r="D143" s="119">
        <v>200</v>
      </c>
      <c r="E143" s="118">
        <v>106.5</v>
      </c>
      <c r="F143" s="120">
        <v>21300</v>
      </c>
      <c r="G143" s="121">
        <v>206.13</v>
      </c>
      <c r="H143" s="121" t="s">
        <v>2305</v>
      </c>
      <c r="I143" s="121">
        <v>200708200</v>
      </c>
      <c r="J143" s="118" t="s">
        <v>199</v>
      </c>
      <c r="K143" s="121" t="s">
        <v>1051</v>
      </c>
      <c r="L143" s="118" t="s">
        <v>204</v>
      </c>
    </row>
    <row r="144" spans="1:12" x14ac:dyDescent="0.25">
      <c r="A144" s="117">
        <v>39455</v>
      </c>
      <c r="B144" s="118" t="s">
        <v>2025</v>
      </c>
      <c r="C144" s="118" t="s">
        <v>369</v>
      </c>
      <c r="D144" s="119">
        <v>50</v>
      </c>
      <c r="E144" s="118">
        <v>330</v>
      </c>
      <c r="F144" s="120">
        <v>16500</v>
      </c>
      <c r="G144" s="121">
        <v>159.68</v>
      </c>
      <c r="H144" s="121" t="s">
        <v>2306</v>
      </c>
      <c r="I144" s="121">
        <v>2008006</v>
      </c>
      <c r="J144" s="118" t="s">
        <v>199</v>
      </c>
      <c r="K144" s="121" t="s">
        <v>1051</v>
      </c>
      <c r="L144" s="118" t="s">
        <v>201</v>
      </c>
    </row>
    <row r="145" spans="1:12" x14ac:dyDescent="0.25">
      <c r="A145" s="117">
        <v>39443</v>
      </c>
      <c r="B145" s="118" t="s">
        <v>2032</v>
      </c>
      <c r="C145" s="118" t="s">
        <v>369</v>
      </c>
      <c r="D145" s="119">
        <v>25</v>
      </c>
      <c r="E145" s="118">
        <v>549.9</v>
      </c>
      <c r="F145" s="120">
        <v>13747.5</v>
      </c>
      <c r="G145" s="121">
        <v>133.03</v>
      </c>
      <c r="H145" s="121" t="s">
        <v>2307</v>
      </c>
      <c r="I145" s="121">
        <v>200708189</v>
      </c>
      <c r="J145" s="118" t="s">
        <v>199</v>
      </c>
      <c r="K145" s="121" t="s">
        <v>1051</v>
      </c>
      <c r="L145" s="118" t="s">
        <v>204</v>
      </c>
    </row>
    <row r="146" spans="1:12" x14ac:dyDescent="0.25">
      <c r="A146" s="117">
        <v>39443</v>
      </c>
      <c r="B146" s="118" t="s">
        <v>2032</v>
      </c>
      <c r="C146" s="118" t="s">
        <v>369</v>
      </c>
      <c r="D146" s="119">
        <v>10</v>
      </c>
      <c r="E146" s="118">
        <v>547.5</v>
      </c>
      <c r="F146" s="120">
        <v>5475</v>
      </c>
      <c r="G146" s="121">
        <v>52.98</v>
      </c>
      <c r="H146" s="121" t="s">
        <v>2308</v>
      </c>
      <c r="I146" s="121">
        <v>200708189</v>
      </c>
      <c r="J146" s="118" t="s">
        <v>199</v>
      </c>
      <c r="K146" s="121" t="s">
        <v>1051</v>
      </c>
      <c r="L146" s="118" t="s">
        <v>204</v>
      </c>
    </row>
    <row r="147" spans="1:12" x14ac:dyDescent="0.25">
      <c r="A147" s="117">
        <v>39443</v>
      </c>
      <c r="B147" s="118" t="s">
        <v>2032</v>
      </c>
      <c r="C147" s="118" t="s">
        <v>369</v>
      </c>
      <c r="D147" s="119">
        <v>15</v>
      </c>
      <c r="E147" s="118">
        <v>561</v>
      </c>
      <c r="F147" s="120">
        <v>8415</v>
      </c>
      <c r="G147" s="121">
        <v>81.430000000000007</v>
      </c>
      <c r="H147" s="121" t="s">
        <v>2309</v>
      </c>
      <c r="I147" s="121">
        <v>200708189</v>
      </c>
      <c r="J147" s="118" t="s">
        <v>199</v>
      </c>
      <c r="K147" s="121" t="s">
        <v>1051</v>
      </c>
      <c r="L147" s="118" t="s">
        <v>204</v>
      </c>
    </row>
    <row r="148" spans="1:12" x14ac:dyDescent="0.25">
      <c r="A148" s="117">
        <v>39436</v>
      </c>
      <c r="B148" s="118" t="s">
        <v>1657</v>
      </c>
      <c r="C148" s="118" t="s">
        <v>369</v>
      </c>
      <c r="D148" s="119">
        <v>50</v>
      </c>
      <c r="E148" s="118">
        <v>237.2</v>
      </c>
      <c r="F148" s="120">
        <v>11860</v>
      </c>
      <c r="G148" s="121">
        <v>114.77</v>
      </c>
      <c r="H148" s="121" t="s">
        <v>2310</v>
      </c>
      <c r="I148" s="121">
        <v>200708186</v>
      </c>
      <c r="J148" s="118" t="s">
        <v>199</v>
      </c>
      <c r="K148" s="121" t="s">
        <v>1051</v>
      </c>
      <c r="L148" s="118" t="s">
        <v>204</v>
      </c>
    </row>
    <row r="149" spans="1:12" x14ac:dyDescent="0.25">
      <c r="A149" s="117">
        <v>39436</v>
      </c>
      <c r="B149" s="118" t="s">
        <v>1657</v>
      </c>
      <c r="C149" s="118" t="s">
        <v>369</v>
      </c>
      <c r="D149" s="119">
        <v>25</v>
      </c>
      <c r="E149" s="118">
        <v>237.2</v>
      </c>
      <c r="F149" s="120">
        <v>5930</v>
      </c>
      <c r="G149" s="121">
        <v>57.38</v>
      </c>
      <c r="H149" s="121" t="s">
        <v>2311</v>
      </c>
      <c r="I149" s="121">
        <v>2007244</v>
      </c>
      <c r="J149" s="118" t="s">
        <v>199</v>
      </c>
      <c r="K149" s="118" t="s">
        <v>1185</v>
      </c>
      <c r="L149" s="118" t="s">
        <v>201</v>
      </c>
    </row>
    <row r="150" spans="1:12" x14ac:dyDescent="0.25">
      <c r="A150" s="117">
        <v>39433</v>
      </c>
      <c r="B150" s="118" t="s">
        <v>2034</v>
      </c>
      <c r="C150" s="118" t="s">
        <v>369</v>
      </c>
      <c r="D150" s="119">
        <v>40</v>
      </c>
      <c r="E150" s="118">
        <v>287.85000000000002</v>
      </c>
      <c r="F150" s="120">
        <v>11514</v>
      </c>
      <c r="G150" s="121">
        <v>111.42</v>
      </c>
      <c r="H150" s="121" t="s">
        <v>2312</v>
      </c>
      <c r="I150" s="121">
        <v>200708183</v>
      </c>
      <c r="J150" s="118" t="s">
        <v>199</v>
      </c>
      <c r="K150" s="121" t="s">
        <v>1051</v>
      </c>
      <c r="L150" s="118" t="s">
        <v>204</v>
      </c>
    </row>
    <row r="151" spans="1:12" x14ac:dyDescent="0.25">
      <c r="A151" s="117">
        <v>39429</v>
      </c>
      <c r="B151" s="118" t="s">
        <v>1655</v>
      </c>
      <c r="C151" s="118" t="s">
        <v>369</v>
      </c>
      <c r="D151" s="119">
        <v>50</v>
      </c>
      <c r="E151" s="118">
        <v>52.75</v>
      </c>
      <c r="F151" s="120">
        <v>2637.5</v>
      </c>
      <c r="G151" s="121">
        <v>31.39</v>
      </c>
      <c r="H151" s="121" t="s">
        <v>2313</v>
      </c>
      <c r="I151" s="121">
        <v>200708181</v>
      </c>
      <c r="J151" s="118" t="s">
        <v>199</v>
      </c>
      <c r="K151" s="121" t="s">
        <v>1051</v>
      </c>
      <c r="L151" s="118" t="s">
        <v>204</v>
      </c>
    </row>
    <row r="152" spans="1:12" x14ac:dyDescent="0.25">
      <c r="A152" s="117">
        <v>39423</v>
      </c>
      <c r="B152" s="118" t="s">
        <v>1657</v>
      </c>
      <c r="C152" s="118" t="s">
        <v>369</v>
      </c>
      <c r="D152" s="119">
        <v>150</v>
      </c>
      <c r="E152" s="118">
        <v>248</v>
      </c>
      <c r="F152" s="120">
        <v>37200</v>
      </c>
      <c r="G152" s="121">
        <v>359.99</v>
      </c>
      <c r="H152" s="121" t="s">
        <v>2314</v>
      </c>
      <c r="I152" s="121">
        <v>200708177</v>
      </c>
      <c r="J152" s="118" t="s">
        <v>199</v>
      </c>
      <c r="K152" s="121" t="s">
        <v>1051</v>
      </c>
      <c r="L152" s="118" t="s">
        <v>204</v>
      </c>
    </row>
    <row r="153" spans="1:12" x14ac:dyDescent="0.25">
      <c r="A153" s="117">
        <v>39421</v>
      </c>
      <c r="B153" s="118" t="s">
        <v>2047</v>
      </c>
      <c r="C153" s="118" t="s">
        <v>369</v>
      </c>
      <c r="D153" s="119">
        <v>25</v>
      </c>
      <c r="E153" s="118">
        <v>344.1</v>
      </c>
      <c r="F153" s="120">
        <v>8602.5</v>
      </c>
      <c r="G153" s="121">
        <v>83.25</v>
      </c>
      <c r="H153" s="121" t="s">
        <v>2315</v>
      </c>
      <c r="I153" s="121">
        <v>200708175</v>
      </c>
      <c r="J153" s="118" t="s">
        <v>199</v>
      </c>
      <c r="K153" s="121" t="s">
        <v>1051</v>
      </c>
      <c r="L153" s="118" t="s">
        <v>204</v>
      </c>
    </row>
    <row r="154" spans="1:12" x14ac:dyDescent="0.25">
      <c r="A154" s="117">
        <v>39419</v>
      </c>
      <c r="B154" s="118" t="s">
        <v>282</v>
      </c>
      <c r="C154" s="118" t="s">
        <v>369</v>
      </c>
      <c r="D154" s="119">
        <v>250</v>
      </c>
      <c r="E154" s="118">
        <v>43</v>
      </c>
      <c r="F154" s="120">
        <v>10750</v>
      </c>
      <c r="G154" s="121">
        <v>104.04</v>
      </c>
      <c r="H154" s="121" t="s">
        <v>2316</v>
      </c>
      <c r="I154" s="121">
        <v>2007231</v>
      </c>
      <c r="J154" s="118" t="s">
        <v>307</v>
      </c>
      <c r="K154" s="121" t="s">
        <v>1051</v>
      </c>
      <c r="L154" s="118" t="s">
        <v>201</v>
      </c>
    </row>
    <row r="155" spans="1:12" x14ac:dyDescent="0.25">
      <c r="A155" s="117">
        <v>39419</v>
      </c>
      <c r="B155" s="118" t="s">
        <v>2047</v>
      </c>
      <c r="C155" s="118" t="s">
        <v>369</v>
      </c>
      <c r="D155" s="119">
        <v>5</v>
      </c>
      <c r="E155" s="118">
        <v>349.1</v>
      </c>
      <c r="F155" s="120">
        <v>1745.5</v>
      </c>
      <c r="G155" s="121">
        <v>30.27</v>
      </c>
      <c r="H155" s="121" t="s">
        <v>2317</v>
      </c>
      <c r="I155" s="121">
        <v>2007231</v>
      </c>
      <c r="J155" s="118" t="s">
        <v>199</v>
      </c>
      <c r="K155" s="121" t="s">
        <v>1051</v>
      </c>
      <c r="L155" s="118" t="s">
        <v>201</v>
      </c>
    </row>
    <row r="156" spans="1:12" x14ac:dyDescent="0.25">
      <c r="A156" s="117">
        <v>39416</v>
      </c>
      <c r="B156" s="118" t="s">
        <v>2177</v>
      </c>
      <c r="C156" s="118" t="s">
        <v>369</v>
      </c>
      <c r="D156" s="119">
        <v>10</v>
      </c>
      <c r="E156" s="118">
        <v>674.9</v>
      </c>
      <c r="F156" s="120">
        <v>6749</v>
      </c>
      <c r="G156" s="121">
        <v>65.31</v>
      </c>
      <c r="H156" s="121" t="s">
        <v>2318</v>
      </c>
      <c r="I156" s="121">
        <v>200708172</v>
      </c>
      <c r="J156" s="118" t="s">
        <v>199</v>
      </c>
      <c r="K156" s="121" t="s">
        <v>1051</v>
      </c>
      <c r="L156" s="118" t="s">
        <v>204</v>
      </c>
    </row>
    <row r="157" spans="1:12" x14ac:dyDescent="0.25">
      <c r="A157" s="117">
        <v>39416</v>
      </c>
      <c r="B157" s="118" t="s">
        <v>1697</v>
      </c>
      <c r="C157" s="118" t="s">
        <v>369</v>
      </c>
      <c r="D157" s="119">
        <v>15</v>
      </c>
      <c r="E157" s="118">
        <v>940</v>
      </c>
      <c r="F157" s="120">
        <v>14100</v>
      </c>
      <c r="G157" s="121">
        <v>136.44999999999999</v>
      </c>
      <c r="H157" s="121" t="s">
        <v>2319</v>
      </c>
      <c r="I157" s="121">
        <v>2007230</v>
      </c>
      <c r="J157" s="118" t="s">
        <v>199</v>
      </c>
      <c r="K157" s="121" t="s">
        <v>1051</v>
      </c>
      <c r="L157" s="118" t="s">
        <v>201</v>
      </c>
    </row>
    <row r="158" spans="1:12" x14ac:dyDescent="0.25">
      <c r="A158" s="117">
        <v>39414</v>
      </c>
      <c r="B158" s="118" t="s">
        <v>2049</v>
      </c>
      <c r="C158" s="118" t="s">
        <v>369</v>
      </c>
      <c r="D158" s="119">
        <v>1</v>
      </c>
      <c r="E158" s="120">
        <v>2000.15</v>
      </c>
      <c r="F158" s="120">
        <v>2000.15</v>
      </c>
      <c r="G158" s="121">
        <v>30.59</v>
      </c>
      <c r="H158" s="121" t="s">
        <v>2320</v>
      </c>
      <c r="I158" s="121">
        <v>2007228</v>
      </c>
      <c r="J158" s="118" t="s">
        <v>199</v>
      </c>
      <c r="K158" s="121" t="s">
        <v>1051</v>
      </c>
      <c r="L158" s="118" t="s">
        <v>201</v>
      </c>
    </row>
    <row r="159" spans="1:12" x14ac:dyDescent="0.25">
      <c r="A159" s="117">
        <v>39412</v>
      </c>
      <c r="B159" s="118" t="s">
        <v>1551</v>
      </c>
      <c r="C159" s="118" t="s">
        <v>369</v>
      </c>
      <c r="D159" s="119">
        <v>2</v>
      </c>
      <c r="E159" s="120">
        <v>1588.15</v>
      </c>
      <c r="F159" s="120">
        <v>3176.3</v>
      </c>
      <c r="G159" s="121">
        <v>32.06</v>
      </c>
      <c r="H159" s="121" t="s">
        <v>2321</v>
      </c>
      <c r="I159" s="121">
        <v>2007226</v>
      </c>
      <c r="J159" s="118" t="s">
        <v>199</v>
      </c>
      <c r="K159" s="121" t="s">
        <v>1051</v>
      </c>
      <c r="L159" s="118" t="s">
        <v>201</v>
      </c>
    </row>
    <row r="160" spans="1:12" x14ac:dyDescent="0.25">
      <c r="A160" s="117">
        <v>39407</v>
      </c>
      <c r="B160" s="118" t="s">
        <v>1657</v>
      </c>
      <c r="C160" s="118" t="s">
        <v>369</v>
      </c>
      <c r="D160" s="119">
        <v>100</v>
      </c>
      <c r="E160" s="118">
        <v>232</v>
      </c>
      <c r="F160" s="120">
        <v>23200</v>
      </c>
      <c r="G160" s="121">
        <v>22.65</v>
      </c>
      <c r="H160" s="121" t="s">
        <v>2322</v>
      </c>
      <c r="I160" s="121">
        <v>2007223</v>
      </c>
      <c r="J160" s="118" t="s">
        <v>199</v>
      </c>
      <c r="K160" s="118" t="s">
        <v>1098</v>
      </c>
      <c r="L160" s="118" t="s">
        <v>201</v>
      </c>
    </row>
    <row r="161" spans="1:12" x14ac:dyDescent="0.25">
      <c r="A161" s="117">
        <v>39407</v>
      </c>
      <c r="B161" s="118" t="s">
        <v>1657</v>
      </c>
      <c r="C161" s="118" t="s">
        <v>369</v>
      </c>
      <c r="D161" s="119">
        <v>100</v>
      </c>
      <c r="E161" s="118">
        <v>232</v>
      </c>
      <c r="F161" s="120">
        <v>23200</v>
      </c>
      <c r="G161" s="121">
        <v>22.65</v>
      </c>
      <c r="H161" s="121" t="s">
        <v>2323</v>
      </c>
      <c r="I161" s="121">
        <v>2007223</v>
      </c>
      <c r="J161" s="118" t="s">
        <v>199</v>
      </c>
      <c r="K161" s="118" t="s">
        <v>1098</v>
      </c>
      <c r="L161" s="118" t="s">
        <v>201</v>
      </c>
    </row>
    <row r="162" spans="1:12" x14ac:dyDescent="0.25">
      <c r="A162" s="117">
        <v>39407</v>
      </c>
      <c r="B162" s="118" t="s">
        <v>1657</v>
      </c>
      <c r="C162" s="118" t="s">
        <v>369</v>
      </c>
      <c r="D162" s="119">
        <v>200</v>
      </c>
      <c r="E162" s="118">
        <v>230</v>
      </c>
      <c r="F162" s="120">
        <v>46000</v>
      </c>
      <c r="G162" s="121">
        <v>28.36</v>
      </c>
      <c r="H162" s="121" t="s">
        <v>2324</v>
      </c>
      <c r="I162" s="121">
        <v>2007223</v>
      </c>
      <c r="J162" s="118" t="s">
        <v>199</v>
      </c>
      <c r="K162" s="118" t="s">
        <v>1098</v>
      </c>
      <c r="L162" s="118" t="s">
        <v>201</v>
      </c>
    </row>
    <row r="163" spans="1:12" x14ac:dyDescent="0.25">
      <c r="A163" s="117">
        <v>39400</v>
      </c>
      <c r="B163" s="118" t="s">
        <v>2180</v>
      </c>
      <c r="C163" s="118" t="s">
        <v>369</v>
      </c>
      <c r="D163" s="119">
        <v>150</v>
      </c>
      <c r="E163" s="118">
        <v>45.45</v>
      </c>
      <c r="F163" s="120">
        <v>6817.5</v>
      </c>
      <c r="G163" s="121">
        <v>65.97</v>
      </c>
      <c r="H163" s="121" t="s">
        <v>2325</v>
      </c>
      <c r="I163" s="121">
        <v>200708160</v>
      </c>
      <c r="J163" s="118" t="s">
        <v>199</v>
      </c>
      <c r="K163" s="121" t="s">
        <v>1051</v>
      </c>
      <c r="L163" s="118" t="s">
        <v>204</v>
      </c>
    </row>
    <row r="164" spans="1:12" x14ac:dyDescent="0.25">
      <c r="A164" s="117">
        <v>39399</v>
      </c>
      <c r="B164" s="118" t="s">
        <v>2195</v>
      </c>
      <c r="C164" s="118" t="s">
        <v>369</v>
      </c>
      <c r="D164" s="119">
        <v>5</v>
      </c>
      <c r="E164" s="118">
        <v>320.60000000000002</v>
      </c>
      <c r="F164" s="120">
        <v>1603</v>
      </c>
      <c r="G164" s="121">
        <v>30.09</v>
      </c>
      <c r="H164" s="121" t="s">
        <v>2326</v>
      </c>
      <c r="I164" s="121">
        <v>2007217</v>
      </c>
      <c r="J164" s="118" t="s">
        <v>199</v>
      </c>
      <c r="K164" s="121" t="s">
        <v>1051</v>
      </c>
      <c r="L164" s="118" t="s">
        <v>201</v>
      </c>
    </row>
    <row r="165" spans="1:12" x14ac:dyDescent="0.25">
      <c r="A165" s="117">
        <v>39398</v>
      </c>
      <c r="B165" s="118" t="s">
        <v>2049</v>
      </c>
      <c r="C165" s="118" t="s">
        <v>369</v>
      </c>
      <c r="D165" s="119">
        <v>1</v>
      </c>
      <c r="E165" s="120">
        <v>2165</v>
      </c>
      <c r="F165" s="120">
        <v>2165</v>
      </c>
      <c r="G165" s="121">
        <v>30.8</v>
      </c>
      <c r="H165" s="121" t="s">
        <v>2327</v>
      </c>
      <c r="I165" s="121">
        <v>2007216</v>
      </c>
      <c r="J165" s="118" t="s">
        <v>199</v>
      </c>
      <c r="K165" s="121" t="s">
        <v>1051</v>
      </c>
      <c r="L165" s="118" t="s">
        <v>201</v>
      </c>
    </row>
    <row r="166" spans="1:12" x14ac:dyDescent="0.25">
      <c r="A166" s="117">
        <v>39392</v>
      </c>
      <c r="B166" s="118" t="s">
        <v>282</v>
      </c>
      <c r="C166" s="118" t="s">
        <v>369</v>
      </c>
      <c r="D166" s="119">
        <v>250</v>
      </c>
      <c r="E166" s="118">
        <v>43.05</v>
      </c>
      <c r="F166" s="120">
        <v>10762.5</v>
      </c>
      <c r="G166" s="121">
        <v>104.15</v>
      </c>
      <c r="H166" s="121" t="s">
        <v>2328</v>
      </c>
      <c r="I166" s="121">
        <v>2007212</v>
      </c>
      <c r="J166" s="118" t="s">
        <v>199</v>
      </c>
      <c r="K166" s="121" t="s">
        <v>1051</v>
      </c>
      <c r="L166" s="118" t="s">
        <v>201</v>
      </c>
    </row>
    <row r="167" spans="1:12" x14ac:dyDescent="0.25">
      <c r="A167" s="117">
        <v>39391</v>
      </c>
      <c r="B167" s="118" t="s">
        <v>2219</v>
      </c>
      <c r="C167" s="118" t="s">
        <v>369</v>
      </c>
      <c r="D167" s="119">
        <v>10</v>
      </c>
      <c r="E167" s="120">
        <v>1012.7</v>
      </c>
      <c r="F167" s="120">
        <v>10127</v>
      </c>
      <c r="G167" s="121">
        <v>98</v>
      </c>
      <c r="H167" s="121" t="s">
        <v>2329</v>
      </c>
      <c r="I167" s="121">
        <v>2007211</v>
      </c>
      <c r="J167" s="118" t="s">
        <v>199</v>
      </c>
      <c r="K167" s="121" t="s">
        <v>1051</v>
      </c>
      <c r="L167" s="118" t="s">
        <v>201</v>
      </c>
    </row>
    <row r="168" spans="1:12" x14ac:dyDescent="0.25">
      <c r="A168" s="117">
        <v>39386</v>
      </c>
      <c r="B168" s="118" t="s">
        <v>1553</v>
      </c>
      <c r="C168" s="118" t="s">
        <v>369</v>
      </c>
      <c r="D168" s="119">
        <v>3</v>
      </c>
      <c r="E168" s="118">
        <v>355</v>
      </c>
      <c r="F168" s="120">
        <v>1065</v>
      </c>
      <c r="G168" s="121">
        <v>29.42</v>
      </c>
      <c r="H168" s="121" t="s">
        <v>2330</v>
      </c>
      <c r="I168" s="121">
        <v>2007208</v>
      </c>
      <c r="J168" s="118" t="s">
        <v>199</v>
      </c>
      <c r="K168" s="121" t="s">
        <v>1051</v>
      </c>
      <c r="L168" s="118" t="s">
        <v>201</v>
      </c>
    </row>
    <row r="169" spans="1:12" x14ac:dyDescent="0.25">
      <c r="A169" s="117">
        <v>39385</v>
      </c>
      <c r="B169" s="118" t="s">
        <v>2197</v>
      </c>
      <c r="C169" s="118" t="s">
        <v>369</v>
      </c>
      <c r="D169" s="119">
        <v>10</v>
      </c>
      <c r="E169" s="120">
        <v>1010</v>
      </c>
      <c r="F169" s="120">
        <v>10100</v>
      </c>
      <c r="G169" s="121">
        <v>97.74</v>
      </c>
      <c r="H169" s="121" t="s">
        <v>2331</v>
      </c>
      <c r="I169" s="121">
        <v>2007207</v>
      </c>
      <c r="J169" s="118" t="s">
        <v>199</v>
      </c>
      <c r="K169" s="121" t="s">
        <v>1051</v>
      </c>
      <c r="L169" s="118" t="s">
        <v>201</v>
      </c>
    </row>
    <row r="170" spans="1:12" x14ac:dyDescent="0.25">
      <c r="A170" s="117">
        <v>39381</v>
      </c>
      <c r="B170" s="118" t="s">
        <v>1107</v>
      </c>
      <c r="C170" s="118" t="s">
        <v>369</v>
      </c>
      <c r="D170" s="119">
        <v>100</v>
      </c>
      <c r="E170" s="118">
        <v>143.25</v>
      </c>
      <c r="F170" s="120">
        <v>14325</v>
      </c>
      <c r="G170" s="121">
        <v>138.63</v>
      </c>
      <c r="H170" s="121" t="s">
        <v>2332</v>
      </c>
      <c r="I170" s="121">
        <v>200708147</v>
      </c>
      <c r="J170" s="118" t="s">
        <v>199</v>
      </c>
      <c r="K170" s="121" t="s">
        <v>1051</v>
      </c>
      <c r="L170" s="118" t="s">
        <v>204</v>
      </c>
    </row>
    <row r="171" spans="1:12" x14ac:dyDescent="0.25">
      <c r="A171" s="117">
        <v>39380</v>
      </c>
      <c r="B171" s="118" t="s">
        <v>2209</v>
      </c>
      <c r="C171" s="118" t="s">
        <v>369</v>
      </c>
      <c r="D171" s="119">
        <v>5</v>
      </c>
      <c r="E171" s="118">
        <v>208.05</v>
      </c>
      <c r="F171" s="120">
        <v>1040.25</v>
      </c>
      <c r="G171" s="121">
        <v>29.39</v>
      </c>
      <c r="H171" s="121" t="s">
        <v>2333</v>
      </c>
      <c r="I171" s="121">
        <v>2007204</v>
      </c>
      <c r="J171" s="118" t="s">
        <v>199</v>
      </c>
      <c r="K171" s="121" t="s">
        <v>1051</v>
      </c>
      <c r="L171" s="118" t="s">
        <v>201</v>
      </c>
    </row>
    <row r="172" spans="1:12" x14ac:dyDescent="0.25">
      <c r="A172" s="117">
        <v>39371</v>
      </c>
      <c r="B172" s="118" t="s">
        <v>2204</v>
      </c>
      <c r="C172" s="118" t="s">
        <v>369</v>
      </c>
      <c r="D172" s="119">
        <v>10</v>
      </c>
      <c r="E172" s="118">
        <v>72.75</v>
      </c>
      <c r="F172" s="118">
        <v>727.5</v>
      </c>
      <c r="G172" s="121">
        <v>21.35</v>
      </c>
      <c r="H172" s="121" t="s">
        <v>2334</v>
      </c>
      <c r="I172" s="121">
        <v>200708139</v>
      </c>
      <c r="J172" s="118" t="s">
        <v>199</v>
      </c>
      <c r="K172" s="121" t="s">
        <v>1051</v>
      </c>
      <c r="L172" s="118" t="s">
        <v>204</v>
      </c>
    </row>
    <row r="173" spans="1:12" x14ac:dyDescent="0.25">
      <c r="A173" s="117">
        <v>39371</v>
      </c>
      <c r="B173" s="118" t="s">
        <v>2217</v>
      </c>
      <c r="C173" s="118" t="s">
        <v>369</v>
      </c>
      <c r="D173" s="119">
        <v>10</v>
      </c>
      <c r="E173" s="118">
        <v>201.25</v>
      </c>
      <c r="F173" s="120">
        <v>2012.5</v>
      </c>
      <c r="G173" s="121">
        <v>30.61</v>
      </c>
      <c r="H173" s="121" t="s">
        <v>2335</v>
      </c>
      <c r="I173" s="121">
        <v>200708139</v>
      </c>
      <c r="J173" s="118" t="s">
        <v>199</v>
      </c>
      <c r="K173" s="121" t="s">
        <v>1051</v>
      </c>
      <c r="L173" s="118" t="s">
        <v>204</v>
      </c>
    </row>
    <row r="174" spans="1:12" x14ac:dyDescent="0.25">
      <c r="A174" s="117">
        <v>39371</v>
      </c>
      <c r="B174" s="118" t="s">
        <v>2206</v>
      </c>
      <c r="C174" s="118" t="s">
        <v>369</v>
      </c>
      <c r="D174" s="119">
        <v>5</v>
      </c>
      <c r="E174" s="118">
        <v>186.5</v>
      </c>
      <c r="F174" s="118">
        <v>932.5</v>
      </c>
      <c r="G174" s="121">
        <v>27.36</v>
      </c>
      <c r="H174" s="121" t="s">
        <v>2336</v>
      </c>
      <c r="I174" s="121">
        <v>2007197</v>
      </c>
      <c r="J174" s="118" t="s">
        <v>199</v>
      </c>
      <c r="K174" s="121" t="s">
        <v>1051</v>
      </c>
      <c r="L174" s="118" t="s">
        <v>201</v>
      </c>
    </row>
    <row r="175" spans="1:12" x14ac:dyDescent="0.25">
      <c r="A175" s="117">
        <v>39371</v>
      </c>
      <c r="B175" s="118" t="s">
        <v>2211</v>
      </c>
      <c r="C175" s="118" t="s">
        <v>369</v>
      </c>
      <c r="D175" s="119">
        <v>20</v>
      </c>
      <c r="E175" s="118">
        <v>31.1</v>
      </c>
      <c r="F175" s="118">
        <v>622</v>
      </c>
      <c r="G175" s="121">
        <v>18.25</v>
      </c>
      <c r="H175" s="121" t="s">
        <v>2337</v>
      </c>
      <c r="I175" s="121">
        <v>2007197</v>
      </c>
      <c r="J175" s="118" t="s">
        <v>199</v>
      </c>
      <c r="K175" s="121" t="s">
        <v>1051</v>
      </c>
      <c r="L175" s="118" t="s">
        <v>201</v>
      </c>
    </row>
    <row r="176" spans="1:12" x14ac:dyDescent="0.25">
      <c r="A176" s="117">
        <v>39371</v>
      </c>
      <c r="B176" s="118" t="s">
        <v>211</v>
      </c>
      <c r="C176" s="118" t="s">
        <v>369</v>
      </c>
      <c r="D176" s="119">
        <v>3</v>
      </c>
      <c r="E176" s="118">
        <v>428</v>
      </c>
      <c r="F176" s="120">
        <v>1284</v>
      </c>
      <c r="G176" s="121">
        <v>29.7</v>
      </c>
      <c r="H176" s="121" t="s">
        <v>2338</v>
      </c>
      <c r="I176" s="121">
        <v>2007197</v>
      </c>
      <c r="J176" s="118" t="s">
        <v>199</v>
      </c>
      <c r="K176" s="121" t="s">
        <v>1051</v>
      </c>
      <c r="L176" s="118" t="s">
        <v>201</v>
      </c>
    </row>
    <row r="177" spans="1:12" x14ac:dyDescent="0.25">
      <c r="A177" s="117">
        <v>39366</v>
      </c>
      <c r="B177" s="118" t="s">
        <v>2200</v>
      </c>
      <c r="C177" s="118" t="s">
        <v>369</v>
      </c>
      <c r="D177" s="119">
        <v>2</v>
      </c>
      <c r="E177" s="118">
        <v>622</v>
      </c>
      <c r="F177" s="120">
        <v>1244</v>
      </c>
      <c r="G177" s="121">
        <v>29.65</v>
      </c>
      <c r="H177" s="121" t="s">
        <v>2339</v>
      </c>
      <c r="I177" s="121">
        <v>200708136</v>
      </c>
      <c r="J177" s="118" t="s">
        <v>199</v>
      </c>
      <c r="K177" s="121" t="s">
        <v>1051</v>
      </c>
      <c r="L177" s="118" t="s">
        <v>204</v>
      </c>
    </row>
    <row r="178" spans="1:12" x14ac:dyDescent="0.25">
      <c r="A178" s="117">
        <v>39364</v>
      </c>
      <c r="B178" s="118" t="s">
        <v>2215</v>
      </c>
      <c r="C178" s="118" t="s">
        <v>369</v>
      </c>
      <c r="D178" s="119">
        <v>20</v>
      </c>
      <c r="E178" s="118">
        <v>40.299999999999997</v>
      </c>
      <c r="F178" s="118">
        <v>806</v>
      </c>
      <c r="G178" s="121">
        <v>23.65</v>
      </c>
      <c r="H178" s="121" t="s">
        <v>2340</v>
      </c>
      <c r="I178" s="121">
        <v>2007192</v>
      </c>
      <c r="J178" s="118" t="s">
        <v>199</v>
      </c>
      <c r="K178" s="121" t="s">
        <v>1051</v>
      </c>
      <c r="L178" s="118" t="s">
        <v>201</v>
      </c>
    </row>
    <row r="179" spans="1:12" x14ac:dyDescent="0.25">
      <c r="A179" s="117">
        <v>39360</v>
      </c>
      <c r="B179" s="118" t="s">
        <v>2213</v>
      </c>
      <c r="C179" s="118" t="s">
        <v>369</v>
      </c>
      <c r="D179" s="119">
        <v>10</v>
      </c>
      <c r="E179" s="118">
        <v>92</v>
      </c>
      <c r="F179" s="118">
        <v>920</v>
      </c>
      <c r="G179" s="121">
        <v>26.99</v>
      </c>
      <c r="H179" s="121" t="s">
        <v>2341</v>
      </c>
      <c r="I179" s="121">
        <v>2007190</v>
      </c>
      <c r="J179" s="118" t="s">
        <v>199</v>
      </c>
      <c r="K179" s="121" t="s">
        <v>1051</v>
      </c>
      <c r="L179" s="118" t="s">
        <v>201</v>
      </c>
    </row>
    <row r="180" spans="1:12" x14ac:dyDescent="0.25">
      <c r="A180" s="117">
        <v>39351</v>
      </c>
      <c r="B180" s="118" t="s">
        <v>1998</v>
      </c>
      <c r="C180" s="118" t="s">
        <v>369</v>
      </c>
      <c r="D180" s="119">
        <v>300</v>
      </c>
      <c r="E180" s="118">
        <v>98.25</v>
      </c>
      <c r="F180" s="120">
        <v>29475</v>
      </c>
      <c r="G180" s="121">
        <v>285.24</v>
      </c>
      <c r="H180" s="121" t="s">
        <v>2342</v>
      </c>
      <c r="I180" s="121">
        <v>2007184</v>
      </c>
      <c r="J180" s="118" t="s">
        <v>199</v>
      </c>
      <c r="K180" s="121" t="s">
        <v>1051</v>
      </c>
      <c r="L180" s="118" t="s">
        <v>201</v>
      </c>
    </row>
    <row r="181" spans="1:12" x14ac:dyDescent="0.25">
      <c r="A181" s="117">
        <v>39351</v>
      </c>
      <c r="B181" s="118" t="s">
        <v>2222</v>
      </c>
      <c r="C181" s="118" t="s">
        <v>369</v>
      </c>
      <c r="D181" s="119">
        <v>50</v>
      </c>
      <c r="E181" s="118">
        <v>158.19999999999999</v>
      </c>
      <c r="F181" s="120">
        <v>7910</v>
      </c>
      <c r="G181" s="121">
        <v>76.55</v>
      </c>
      <c r="H181" s="121" t="s">
        <v>2343</v>
      </c>
      <c r="I181" s="121">
        <v>2007184</v>
      </c>
      <c r="J181" s="118" t="s">
        <v>199</v>
      </c>
      <c r="K181" s="121" t="s">
        <v>1051</v>
      </c>
      <c r="L181" s="118" t="s">
        <v>201</v>
      </c>
    </row>
    <row r="182" spans="1:12" x14ac:dyDescent="0.25">
      <c r="A182" s="117">
        <v>39351</v>
      </c>
      <c r="B182" s="118" t="s">
        <v>1998</v>
      </c>
      <c r="C182" s="118" t="s">
        <v>369</v>
      </c>
      <c r="D182" s="119">
        <v>100</v>
      </c>
      <c r="E182" s="118">
        <v>98.25</v>
      </c>
      <c r="F182" s="120">
        <v>9825</v>
      </c>
      <c r="G182" s="121">
        <v>95.08</v>
      </c>
      <c r="H182" s="121" t="s">
        <v>2344</v>
      </c>
      <c r="I182" s="121">
        <v>2007184</v>
      </c>
      <c r="J182" s="118" t="s">
        <v>199</v>
      </c>
      <c r="K182" s="121" t="s">
        <v>1051</v>
      </c>
      <c r="L182" s="118" t="s">
        <v>201</v>
      </c>
    </row>
    <row r="183" spans="1:12" x14ac:dyDescent="0.25">
      <c r="A183" s="117">
        <v>39296</v>
      </c>
      <c r="B183" s="118" t="s">
        <v>1983</v>
      </c>
      <c r="C183" s="118" t="s">
        <v>369</v>
      </c>
      <c r="D183" s="119">
        <v>5</v>
      </c>
      <c r="E183" s="120">
        <v>1277</v>
      </c>
      <c r="F183" s="120">
        <v>6385</v>
      </c>
      <c r="G183" s="121">
        <v>61.79</v>
      </c>
      <c r="H183" s="121" t="s">
        <v>2345</v>
      </c>
      <c r="I183" s="121">
        <v>2007146</v>
      </c>
      <c r="J183" s="118" t="s">
        <v>199</v>
      </c>
      <c r="K183" s="121" t="s">
        <v>1051</v>
      </c>
      <c r="L183" s="118" t="s">
        <v>201</v>
      </c>
    </row>
    <row r="184" spans="1:12" x14ac:dyDescent="0.25">
      <c r="A184" s="117">
        <v>39296</v>
      </c>
      <c r="B184" s="118" t="s">
        <v>2230</v>
      </c>
      <c r="C184" s="118" t="s">
        <v>369</v>
      </c>
      <c r="D184" s="119">
        <v>30</v>
      </c>
      <c r="E184" s="118">
        <v>605</v>
      </c>
      <c r="F184" s="120">
        <v>18150</v>
      </c>
      <c r="G184" s="121">
        <v>175.64</v>
      </c>
      <c r="H184" s="121" t="s">
        <v>2346</v>
      </c>
      <c r="I184" s="121">
        <v>2007146</v>
      </c>
      <c r="J184" s="118" t="s">
        <v>199</v>
      </c>
      <c r="K184" s="121" t="s">
        <v>1051</v>
      </c>
      <c r="L184" s="118" t="s">
        <v>201</v>
      </c>
    </row>
    <row r="185" spans="1:12" x14ac:dyDescent="0.25">
      <c r="A185" s="117">
        <v>39269</v>
      </c>
      <c r="B185" s="118" t="s">
        <v>1983</v>
      </c>
      <c r="C185" s="118" t="s">
        <v>369</v>
      </c>
      <c r="D185" s="119">
        <v>15</v>
      </c>
      <c r="E185" s="120">
        <v>1470</v>
      </c>
      <c r="F185" s="120">
        <v>22050</v>
      </c>
      <c r="G185" s="121">
        <v>213.38</v>
      </c>
      <c r="H185" s="121" t="s">
        <v>2347</v>
      </c>
      <c r="I185" s="121">
        <v>2007127</v>
      </c>
      <c r="J185" s="118" t="s">
        <v>199</v>
      </c>
      <c r="K185" s="121" t="s">
        <v>1051</v>
      </c>
      <c r="L185" s="118" t="s">
        <v>201</v>
      </c>
    </row>
    <row r="186" spans="1:12" x14ac:dyDescent="0.25">
      <c r="A186" s="117">
        <v>39241</v>
      </c>
      <c r="B186" s="118" t="s">
        <v>1101</v>
      </c>
      <c r="C186" s="118" t="s">
        <v>369</v>
      </c>
      <c r="D186" s="119">
        <v>20</v>
      </c>
      <c r="E186" s="118">
        <v>550</v>
      </c>
      <c r="F186" s="120">
        <v>11000</v>
      </c>
      <c r="G186" s="121">
        <v>106.45</v>
      </c>
      <c r="H186" s="121" t="s">
        <v>2348</v>
      </c>
      <c r="I186" s="121">
        <v>2007107</v>
      </c>
      <c r="J186" s="118" t="s">
        <v>199</v>
      </c>
      <c r="K186" s="121" t="s">
        <v>1051</v>
      </c>
      <c r="L186" s="118" t="s">
        <v>201</v>
      </c>
    </row>
    <row r="187" spans="1:12" x14ac:dyDescent="0.25">
      <c r="A187" s="117">
        <v>39238</v>
      </c>
      <c r="B187" s="118" t="s">
        <v>1686</v>
      </c>
      <c r="C187" s="118" t="s">
        <v>369</v>
      </c>
      <c r="D187" s="119">
        <v>100</v>
      </c>
      <c r="E187" s="118">
        <v>124.5</v>
      </c>
      <c r="F187" s="120">
        <v>12450</v>
      </c>
      <c r="G187" s="121">
        <v>120.48</v>
      </c>
      <c r="H187" s="121" t="s">
        <v>2349</v>
      </c>
      <c r="I187" s="121">
        <v>2007104</v>
      </c>
      <c r="J187" s="118" t="s">
        <v>199</v>
      </c>
      <c r="K187" s="121" t="s">
        <v>1051</v>
      </c>
      <c r="L187" s="118" t="s">
        <v>201</v>
      </c>
    </row>
    <row r="188" spans="1:12" x14ac:dyDescent="0.25">
      <c r="A188" s="117">
        <v>39219</v>
      </c>
      <c r="B188" s="118" t="s">
        <v>1697</v>
      </c>
      <c r="C188" s="118" t="s">
        <v>369</v>
      </c>
      <c r="D188" s="119">
        <v>100</v>
      </c>
      <c r="E188" s="118">
        <v>856.08</v>
      </c>
      <c r="F188" s="120">
        <v>85607.6</v>
      </c>
      <c r="G188" s="121">
        <v>828.43</v>
      </c>
      <c r="H188" s="121" t="s">
        <v>2350</v>
      </c>
      <c r="I188" s="121">
        <v>2007091</v>
      </c>
      <c r="J188" s="118" t="s">
        <v>199</v>
      </c>
      <c r="K188" s="121" t="s">
        <v>1051</v>
      </c>
      <c r="L188" s="118" t="s">
        <v>201</v>
      </c>
    </row>
    <row r="189" spans="1:12" x14ac:dyDescent="0.25">
      <c r="A189" s="117">
        <v>39218</v>
      </c>
      <c r="B189" s="118" t="s">
        <v>1686</v>
      </c>
      <c r="C189" s="118" t="s">
        <v>369</v>
      </c>
      <c r="D189" s="119">
        <v>250</v>
      </c>
      <c r="E189" s="118">
        <v>123.7</v>
      </c>
      <c r="F189" s="120">
        <v>30925</v>
      </c>
      <c r="G189" s="121">
        <v>299.29000000000002</v>
      </c>
      <c r="H189" s="121" t="s">
        <v>2351</v>
      </c>
      <c r="I189" s="121">
        <v>2007090</v>
      </c>
      <c r="J189" s="118" t="s">
        <v>199</v>
      </c>
      <c r="K189" s="121" t="s">
        <v>1051</v>
      </c>
      <c r="L189" s="118" t="s">
        <v>201</v>
      </c>
    </row>
    <row r="190" spans="1:12" x14ac:dyDescent="0.25">
      <c r="A190" s="117">
        <v>39202</v>
      </c>
      <c r="B190" s="118" t="s">
        <v>1697</v>
      </c>
      <c r="C190" s="118" t="s">
        <v>369</v>
      </c>
      <c r="D190" s="119">
        <v>100</v>
      </c>
      <c r="E190" s="118">
        <v>812.11</v>
      </c>
      <c r="F190" s="120">
        <v>81210.55</v>
      </c>
      <c r="G190" s="121">
        <v>65.930000000000007</v>
      </c>
      <c r="H190" s="121" t="s">
        <v>2352</v>
      </c>
      <c r="I190" s="121">
        <v>2007080</v>
      </c>
      <c r="J190" s="118" t="s">
        <v>199</v>
      </c>
      <c r="K190" s="121" t="s">
        <v>1098</v>
      </c>
      <c r="L190" s="118" t="s">
        <v>201</v>
      </c>
    </row>
    <row r="191" spans="1:12" x14ac:dyDescent="0.25">
      <c r="A191" s="117">
        <v>39202</v>
      </c>
      <c r="B191" s="118" t="s">
        <v>1697</v>
      </c>
      <c r="C191" s="118" t="s">
        <v>369</v>
      </c>
      <c r="D191" s="119">
        <v>100</v>
      </c>
      <c r="E191" s="118">
        <v>812.45</v>
      </c>
      <c r="F191" s="120">
        <v>81245</v>
      </c>
      <c r="G191" s="121">
        <v>65.91</v>
      </c>
      <c r="H191" s="121" t="s">
        <v>2353</v>
      </c>
      <c r="I191" s="121">
        <v>2007080</v>
      </c>
      <c r="J191" s="118" t="s">
        <v>199</v>
      </c>
      <c r="K191" s="121" t="s">
        <v>1098</v>
      </c>
      <c r="L191" s="118" t="s">
        <v>201</v>
      </c>
    </row>
    <row r="192" spans="1:12" x14ac:dyDescent="0.25">
      <c r="A192" s="117">
        <v>39189</v>
      </c>
      <c r="B192" s="118" t="s">
        <v>2261</v>
      </c>
      <c r="C192" s="118" t="s">
        <v>369</v>
      </c>
      <c r="D192" s="119">
        <v>10</v>
      </c>
      <c r="E192" s="120">
        <v>1243.9000000000001</v>
      </c>
      <c r="F192" s="120">
        <v>12439</v>
      </c>
      <c r="G192" s="121">
        <v>120.26</v>
      </c>
      <c r="H192" s="121" t="s">
        <v>2354</v>
      </c>
      <c r="I192" s="121">
        <v>2007071</v>
      </c>
      <c r="J192" s="118" t="s">
        <v>199</v>
      </c>
      <c r="K192" s="121" t="s">
        <v>1051</v>
      </c>
      <c r="L192" s="118" t="s">
        <v>201</v>
      </c>
    </row>
    <row r="193" spans="1:12" x14ac:dyDescent="0.25">
      <c r="A193" s="117">
        <v>39189</v>
      </c>
      <c r="B193" s="118" t="s">
        <v>1983</v>
      </c>
      <c r="C193" s="118" t="s">
        <v>369</v>
      </c>
      <c r="D193" s="119">
        <v>15</v>
      </c>
      <c r="E193" s="120">
        <v>1474</v>
      </c>
      <c r="F193" s="120">
        <v>22110</v>
      </c>
      <c r="G193" s="121">
        <v>213.76</v>
      </c>
      <c r="H193" s="121" t="s">
        <v>2355</v>
      </c>
      <c r="I193" s="121">
        <v>2007071</v>
      </c>
      <c r="J193" s="118" t="s">
        <v>199</v>
      </c>
      <c r="K193" s="121" t="s">
        <v>1051</v>
      </c>
      <c r="L193" s="118" t="s">
        <v>201</v>
      </c>
    </row>
    <row r="194" spans="1:12" x14ac:dyDescent="0.25">
      <c r="A194" s="117">
        <v>39189</v>
      </c>
      <c r="B194" s="118" t="s">
        <v>1551</v>
      </c>
      <c r="C194" s="118" t="s">
        <v>369</v>
      </c>
      <c r="D194" s="119">
        <v>10</v>
      </c>
      <c r="E194" s="120">
        <v>2086</v>
      </c>
      <c r="F194" s="120">
        <v>20860</v>
      </c>
      <c r="G194" s="121">
        <v>201.68</v>
      </c>
      <c r="H194" s="121" t="s">
        <v>2356</v>
      </c>
      <c r="I194" s="121">
        <v>2007071</v>
      </c>
      <c r="J194" s="118" t="s">
        <v>199</v>
      </c>
      <c r="K194" s="121" t="s">
        <v>1051</v>
      </c>
      <c r="L194" s="118" t="s">
        <v>201</v>
      </c>
    </row>
    <row r="195" spans="1:12" x14ac:dyDescent="0.25">
      <c r="A195" s="117">
        <v>39184</v>
      </c>
      <c r="B195" s="118" t="s">
        <v>2177</v>
      </c>
      <c r="C195" s="118" t="s">
        <v>369</v>
      </c>
      <c r="D195" s="119">
        <v>40</v>
      </c>
      <c r="E195" s="118">
        <v>411.3</v>
      </c>
      <c r="F195" s="120">
        <v>16452</v>
      </c>
      <c r="G195" s="121">
        <v>159.07</v>
      </c>
      <c r="H195" s="121" t="s">
        <v>2357</v>
      </c>
      <c r="I195" s="121">
        <v>2007068</v>
      </c>
      <c r="J195" s="118" t="s">
        <v>199</v>
      </c>
      <c r="K195" s="121" t="s">
        <v>1051</v>
      </c>
      <c r="L195" s="118" t="s">
        <v>201</v>
      </c>
    </row>
    <row r="196" spans="1:12" x14ac:dyDescent="0.25">
      <c r="A196" s="117">
        <v>39184</v>
      </c>
      <c r="B196" s="118" t="s">
        <v>1697</v>
      </c>
      <c r="C196" s="118" t="s">
        <v>369</v>
      </c>
      <c r="D196" s="119">
        <v>40</v>
      </c>
      <c r="E196" s="118">
        <v>771</v>
      </c>
      <c r="F196" s="120">
        <v>30840</v>
      </c>
      <c r="G196" s="121">
        <v>298.16000000000003</v>
      </c>
      <c r="H196" s="121" t="s">
        <v>2358</v>
      </c>
      <c r="I196" s="121">
        <v>2007068</v>
      </c>
      <c r="J196" s="118" t="s">
        <v>199</v>
      </c>
      <c r="K196" s="121" t="s">
        <v>1051</v>
      </c>
      <c r="L196" s="118" t="s">
        <v>201</v>
      </c>
    </row>
    <row r="197" spans="1:12" x14ac:dyDescent="0.25">
      <c r="A197" s="117">
        <v>39174</v>
      </c>
      <c r="B197" s="118" t="s">
        <v>1107</v>
      </c>
      <c r="C197" s="118" t="s">
        <v>369</v>
      </c>
      <c r="D197" s="119">
        <v>50</v>
      </c>
      <c r="E197" s="118">
        <v>93.35</v>
      </c>
      <c r="F197" s="120">
        <v>4667.5</v>
      </c>
      <c r="G197" s="121">
        <v>45.12</v>
      </c>
      <c r="H197" s="121" t="s">
        <v>2359</v>
      </c>
      <c r="I197" s="121">
        <v>2007061</v>
      </c>
      <c r="J197" s="118" t="s">
        <v>199</v>
      </c>
      <c r="K197" s="121" t="s">
        <v>1051</v>
      </c>
      <c r="L197" s="118" t="s">
        <v>201</v>
      </c>
    </row>
    <row r="198" spans="1:12" x14ac:dyDescent="0.25">
      <c r="A198" s="117">
        <v>39493</v>
      </c>
      <c r="B198" s="118" t="s">
        <v>1058</v>
      </c>
      <c r="C198" s="118" t="s">
        <v>369</v>
      </c>
      <c r="D198" s="119">
        <v>16</v>
      </c>
      <c r="E198" s="118">
        <v>385</v>
      </c>
      <c r="F198" s="120">
        <v>6160</v>
      </c>
      <c r="G198" s="121">
        <v>59.61</v>
      </c>
      <c r="H198" s="121" t="s">
        <v>2360</v>
      </c>
      <c r="I198" s="121">
        <v>200708225</v>
      </c>
      <c r="J198" s="118" t="s">
        <v>199</v>
      </c>
      <c r="K198" s="121" t="s">
        <v>1051</v>
      </c>
      <c r="L198" s="118" t="s">
        <v>204</v>
      </c>
    </row>
    <row r="199" spans="1:12" x14ac:dyDescent="0.25">
      <c r="D199" s="124"/>
      <c r="F199" s="120">
        <f>SUM(F122:F198)</f>
        <v>1073021</v>
      </c>
      <c r="G199" s="120">
        <f>SUM(G122:G198)</f>
        <v>7533.9700000000012</v>
      </c>
    </row>
    <row r="200" spans="1:12" x14ac:dyDescent="0.25">
      <c r="D200" s="124"/>
      <c r="F200" s="120" t="s">
        <v>659</v>
      </c>
      <c r="G200" s="120">
        <f>F199-G199</f>
        <v>1065487.03</v>
      </c>
    </row>
    <row r="201" spans="1:12" x14ac:dyDescent="0.25">
      <c r="A201" s="19" t="s">
        <v>2361</v>
      </c>
      <c r="D201" s="124"/>
      <c r="F201" s="125" t="s">
        <v>2362</v>
      </c>
      <c r="G201" s="125">
        <f>G200-G120</f>
        <v>-7197.1999999999534</v>
      </c>
    </row>
    <row r="202" spans="1:12" x14ac:dyDescent="0.25">
      <c r="D202" s="124"/>
      <c r="I202" s="124"/>
    </row>
    <row r="203" spans="1:12" x14ac:dyDescent="0.25">
      <c r="D203" s="124"/>
      <c r="F203" s="124"/>
    </row>
    <row r="204" spans="1:12" x14ac:dyDescent="0.25">
      <c r="A204" s="19" t="s">
        <v>1281</v>
      </c>
      <c r="D204" s="124"/>
    </row>
    <row r="205" spans="1:12" x14ac:dyDescent="0.25">
      <c r="A205" s="117">
        <v>39532</v>
      </c>
      <c r="B205" s="118" t="s">
        <v>1510</v>
      </c>
      <c r="C205" s="118" t="s">
        <v>197</v>
      </c>
      <c r="D205" s="119">
        <v>7</v>
      </c>
      <c r="E205" s="120">
        <v>2055</v>
      </c>
      <c r="F205" s="120">
        <v>14385</v>
      </c>
      <c r="G205" s="121">
        <v>139.19999999999999</v>
      </c>
      <c r="H205" s="121" t="s">
        <v>1511</v>
      </c>
      <c r="I205" s="121">
        <v>200708249</v>
      </c>
      <c r="J205" s="118" t="s">
        <v>199</v>
      </c>
      <c r="K205" s="121" t="s">
        <v>1051</v>
      </c>
      <c r="L205" s="118" t="s">
        <v>204</v>
      </c>
    </row>
    <row r="206" spans="1:12" x14ac:dyDescent="0.25">
      <c r="A206" s="117">
        <v>39472</v>
      </c>
      <c r="B206" s="118" t="s">
        <v>1512</v>
      </c>
      <c r="C206" s="118" t="s">
        <v>197</v>
      </c>
      <c r="D206" s="119">
        <v>7</v>
      </c>
      <c r="E206" s="118">
        <v>856.4</v>
      </c>
      <c r="F206" s="120">
        <v>5994.8</v>
      </c>
      <c r="G206" s="121">
        <v>58.01</v>
      </c>
      <c r="H206" s="121" t="s">
        <v>1513</v>
      </c>
      <c r="I206" s="121">
        <v>2008019</v>
      </c>
      <c r="J206" s="118" t="s">
        <v>199</v>
      </c>
      <c r="K206" s="121" t="s">
        <v>1051</v>
      </c>
      <c r="L206" s="118" t="s">
        <v>201</v>
      </c>
    </row>
    <row r="207" spans="1:12" x14ac:dyDescent="0.25">
      <c r="A207" s="117">
        <v>39469</v>
      </c>
      <c r="B207" s="118" t="s">
        <v>1512</v>
      </c>
      <c r="C207" s="118" t="s">
        <v>197</v>
      </c>
      <c r="D207" s="119">
        <v>5</v>
      </c>
      <c r="E207" s="118">
        <v>900.95</v>
      </c>
      <c r="F207" s="120">
        <v>4504.75</v>
      </c>
      <c r="G207" s="121">
        <v>43.59</v>
      </c>
      <c r="H207" s="121" t="s">
        <v>1514</v>
      </c>
      <c r="I207" s="121">
        <v>2008016</v>
      </c>
      <c r="J207" s="118" t="s">
        <v>199</v>
      </c>
      <c r="K207" s="121" t="s">
        <v>1051</v>
      </c>
      <c r="L207" s="118" t="s">
        <v>201</v>
      </c>
    </row>
    <row r="208" spans="1:12" x14ac:dyDescent="0.25">
      <c r="A208" s="117">
        <v>39426</v>
      </c>
      <c r="B208" s="118" t="s">
        <v>1512</v>
      </c>
      <c r="C208" s="118" t="s">
        <v>197</v>
      </c>
      <c r="D208" s="119">
        <v>15</v>
      </c>
      <c r="E208" s="120">
        <v>1030.05</v>
      </c>
      <c r="F208" s="120">
        <v>15450.75</v>
      </c>
      <c r="G208" s="121">
        <v>149.51</v>
      </c>
      <c r="H208" s="121" t="s">
        <v>1515</v>
      </c>
      <c r="I208" s="121">
        <v>2007236</v>
      </c>
      <c r="J208" s="118" t="s">
        <v>199</v>
      </c>
      <c r="K208" s="121" t="s">
        <v>1051</v>
      </c>
      <c r="L208" s="118" t="s">
        <v>201</v>
      </c>
    </row>
    <row r="209" spans="1:12" x14ac:dyDescent="0.25">
      <c r="A209" s="117">
        <v>39409</v>
      </c>
      <c r="B209" s="118" t="s">
        <v>1512</v>
      </c>
      <c r="C209" s="118" t="s">
        <v>197</v>
      </c>
      <c r="D209" s="119">
        <v>3</v>
      </c>
      <c r="E209" s="120">
        <v>1020.2</v>
      </c>
      <c r="F209" s="120">
        <v>3060.6</v>
      </c>
      <c r="G209" s="121">
        <v>31.92</v>
      </c>
      <c r="H209" s="121" t="s">
        <v>1516</v>
      </c>
      <c r="I209" s="121">
        <v>200708167</v>
      </c>
      <c r="J209" s="118" t="s">
        <v>307</v>
      </c>
      <c r="K209" s="121" t="s">
        <v>1051</v>
      </c>
      <c r="L209" s="118" t="s">
        <v>204</v>
      </c>
    </row>
    <row r="210" spans="1:12" x14ac:dyDescent="0.25">
      <c r="A210" s="117">
        <v>39533</v>
      </c>
      <c r="B210" s="118" t="s">
        <v>282</v>
      </c>
      <c r="C210" s="118" t="s">
        <v>197</v>
      </c>
      <c r="D210" s="119">
        <v>120</v>
      </c>
      <c r="E210" s="118">
        <v>17.05</v>
      </c>
      <c r="F210" s="120">
        <v>2046</v>
      </c>
      <c r="G210" s="121">
        <v>30.64</v>
      </c>
      <c r="H210" s="121" t="s">
        <v>1517</v>
      </c>
      <c r="I210" s="121">
        <v>200708250</v>
      </c>
      <c r="J210" s="118" t="s">
        <v>199</v>
      </c>
      <c r="K210" s="121" t="s">
        <v>1051</v>
      </c>
      <c r="L210" s="118" t="s">
        <v>204</v>
      </c>
    </row>
    <row r="211" spans="1:12" x14ac:dyDescent="0.25">
      <c r="A211" s="117">
        <v>39486</v>
      </c>
      <c r="B211" s="118" t="s">
        <v>282</v>
      </c>
      <c r="C211" s="118" t="s">
        <v>197</v>
      </c>
      <c r="D211" s="119">
        <v>100</v>
      </c>
      <c r="E211" s="118">
        <v>30.8</v>
      </c>
      <c r="F211" s="120">
        <v>3080</v>
      </c>
      <c r="G211" s="121">
        <v>29.81</v>
      </c>
      <c r="H211" s="121" t="s">
        <v>1518</v>
      </c>
      <c r="I211" s="121">
        <v>200708220</v>
      </c>
      <c r="J211" s="118" t="s">
        <v>307</v>
      </c>
      <c r="K211" s="121" t="s">
        <v>1051</v>
      </c>
      <c r="L211" s="118" t="s">
        <v>204</v>
      </c>
    </row>
    <row r="212" spans="1:12" x14ac:dyDescent="0.25">
      <c r="A212" s="117">
        <v>39485</v>
      </c>
      <c r="B212" s="118" t="s">
        <v>282</v>
      </c>
      <c r="C212" s="118" t="s">
        <v>197</v>
      </c>
      <c r="D212" s="119">
        <v>100</v>
      </c>
      <c r="E212" s="118">
        <v>34.200000000000003</v>
      </c>
      <c r="F212" s="120">
        <v>3420</v>
      </c>
      <c r="G212" s="121">
        <v>33.1</v>
      </c>
      <c r="H212" s="121" t="s">
        <v>1519</v>
      </c>
      <c r="I212" s="121">
        <v>200708219</v>
      </c>
      <c r="J212" s="118" t="s">
        <v>307</v>
      </c>
      <c r="K212" s="121" t="s">
        <v>1051</v>
      </c>
      <c r="L212" s="118" t="s">
        <v>204</v>
      </c>
    </row>
    <row r="213" spans="1:12" x14ac:dyDescent="0.25">
      <c r="A213" s="117">
        <v>39456</v>
      </c>
      <c r="B213" s="118" t="s">
        <v>282</v>
      </c>
      <c r="C213" s="118" t="s">
        <v>197</v>
      </c>
      <c r="D213" s="119">
        <v>100</v>
      </c>
      <c r="E213" s="118">
        <v>42.25</v>
      </c>
      <c r="F213" s="120">
        <v>4225</v>
      </c>
      <c r="G213" s="121">
        <v>40.89</v>
      </c>
      <c r="H213" s="121" t="s">
        <v>1520</v>
      </c>
      <c r="I213" s="121">
        <v>2008007</v>
      </c>
      <c r="J213" s="118" t="s">
        <v>307</v>
      </c>
      <c r="K213" s="121" t="s">
        <v>1051</v>
      </c>
      <c r="L213" s="118" t="s">
        <v>201</v>
      </c>
    </row>
    <row r="214" spans="1:12" x14ac:dyDescent="0.25">
      <c r="A214" s="117">
        <v>39449</v>
      </c>
      <c r="B214" s="118" t="s">
        <v>282</v>
      </c>
      <c r="C214" s="118" t="s">
        <v>197</v>
      </c>
      <c r="D214" s="119">
        <v>100</v>
      </c>
      <c r="E214" s="118">
        <v>49.05</v>
      </c>
      <c r="F214" s="120">
        <v>4905</v>
      </c>
      <c r="G214" s="121">
        <v>47.47</v>
      </c>
      <c r="H214" s="121" t="s">
        <v>1521</v>
      </c>
      <c r="I214" s="121">
        <v>2008002</v>
      </c>
      <c r="J214" s="118" t="s">
        <v>307</v>
      </c>
      <c r="K214" s="121" t="s">
        <v>1051</v>
      </c>
      <c r="L214" s="118" t="s">
        <v>201</v>
      </c>
    </row>
    <row r="215" spans="1:12" x14ac:dyDescent="0.25">
      <c r="A215" s="117">
        <v>39440</v>
      </c>
      <c r="B215" s="118" t="s">
        <v>282</v>
      </c>
      <c r="C215" s="118" t="s">
        <v>197</v>
      </c>
      <c r="D215" s="119">
        <v>400</v>
      </c>
      <c r="E215" s="118">
        <v>44</v>
      </c>
      <c r="F215" s="120">
        <v>17600</v>
      </c>
      <c r="G215" s="121">
        <v>170.32</v>
      </c>
      <c r="H215" s="121" t="s">
        <v>1522</v>
      </c>
      <c r="I215" s="121">
        <v>2007245</v>
      </c>
      <c r="J215" s="118" t="s">
        <v>307</v>
      </c>
      <c r="K215" s="121" t="s">
        <v>1051</v>
      </c>
      <c r="L215" s="118" t="s">
        <v>201</v>
      </c>
    </row>
    <row r="216" spans="1:12" x14ac:dyDescent="0.25">
      <c r="A216" s="117">
        <v>39434</v>
      </c>
      <c r="B216" s="118" t="s">
        <v>282</v>
      </c>
      <c r="C216" s="118" t="s">
        <v>197</v>
      </c>
      <c r="D216" s="119">
        <v>75</v>
      </c>
      <c r="E216" s="118">
        <v>39.4</v>
      </c>
      <c r="F216" s="120">
        <v>2955</v>
      </c>
      <c r="G216" s="121">
        <v>28.59</v>
      </c>
      <c r="H216" s="121" t="s">
        <v>1523</v>
      </c>
      <c r="I216" s="121">
        <v>200708184</v>
      </c>
      <c r="J216" s="118" t="s">
        <v>307</v>
      </c>
      <c r="K216" s="121" t="s">
        <v>1051</v>
      </c>
      <c r="L216" s="118" t="s">
        <v>204</v>
      </c>
    </row>
    <row r="217" spans="1:12" x14ac:dyDescent="0.25">
      <c r="A217" s="117">
        <v>39430</v>
      </c>
      <c r="B217" s="118" t="s">
        <v>282</v>
      </c>
      <c r="C217" s="118" t="s">
        <v>197</v>
      </c>
      <c r="D217" s="119">
        <v>300</v>
      </c>
      <c r="E217" s="118">
        <v>41.5</v>
      </c>
      <c r="F217" s="120">
        <v>12450</v>
      </c>
      <c r="G217" s="121">
        <v>120.5</v>
      </c>
      <c r="H217" s="121" t="s">
        <v>1524</v>
      </c>
      <c r="I217" s="121">
        <v>200708182</v>
      </c>
      <c r="J217" s="118" t="s">
        <v>307</v>
      </c>
      <c r="K217" s="121" t="s">
        <v>1051</v>
      </c>
      <c r="L217" s="118" t="s">
        <v>204</v>
      </c>
    </row>
    <row r="218" spans="1:12" x14ac:dyDescent="0.25">
      <c r="A218" s="117">
        <v>39429</v>
      </c>
      <c r="B218" s="118" t="s">
        <v>282</v>
      </c>
      <c r="C218" s="118" t="s">
        <v>197</v>
      </c>
      <c r="D218" s="119">
        <v>125</v>
      </c>
      <c r="E218" s="118">
        <v>43.5</v>
      </c>
      <c r="F218" s="120">
        <v>5437.5</v>
      </c>
      <c r="G218" s="121">
        <v>52.63</v>
      </c>
      <c r="H218" s="121" t="s">
        <v>1525</v>
      </c>
      <c r="I218" s="121">
        <v>200708181</v>
      </c>
      <c r="J218" s="118" t="s">
        <v>307</v>
      </c>
      <c r="K218" s="121" t="s">
        <v>1051</v>
      </c>
      <c r="L218" s="118" t="s">
        <v>204</v>
      </c>
    </row>
    <row r="219" spans="1:12" x14ac:dyDescent="0.25">
      <c r="A219" s="117">
        <v>39520</v>
      </c>
      <c r="B219" s="118" t="s">
        <v>1526</v>
      </c>
      <c r="C219" s="118" t="s">
        <v>197</v>
      </c>
      <c r="D219" s="119">
        <v>75</v>
      </c>
      <c r="E219" s="118">
        <v>219</v>
      </c>
      <c r="F219" s="120">
        <v>16425</v>
      </c>
      <c r="G219" s="121">
        <v>158.94</v>
      </c>
      <c r="H219" s="121" t="s">
        <v>1527</v>
      </c>
      <c r="I219" s="121">
        <v>200708243</v>
      </c>
      <c r="J219" s="118" t="s">
        <v>199</v>
      </c>
      <c r="K219" s="121" t="s">
        <v>1051</v>
      </c>
      <c r="L219" s="118" t="s">
        <v>204</v>
      </c>
    </row>
    <row r="220" spans="1:12" x14ac:dyDescent="0.25">
      <c r="A220" s="117">
        <v>39511</v>
      </c>
      <c r="B220" s="118" t="s">
        <v>1526</v>
      </c>
      <c r="C220" s="118" t="s">
        <v>197</v>
      </c>
      <c r="D220" s="119">
        <v>24</v>
      </c>
      <c r="E220" s="118">
        <v>226.45</v>
      </c>
      <c r="F220" s="120">
        <v>5434.8</v>
      </c>
      <c r="G220" s="121">
        <v>52.59</v>
      </c>
      <c r="H220" s="121" t="s">
        <v>1528</v>
      </c>
      <c r="I220" s="121">
        <v>2008046</v>
      </c>
      <c r="J220" s="118" t="s">
        <v>199</v>
      </c>
      <c r="K220" s="121" t="s">
        <v>1051</v>
      </c>
      <c r="L220" s="118" t="s">
        <v>201</v>
      </c>
    </row>
    <row r="221" spans="1:12" x14ac:dyDescent="0.25">
      <c r="A221" s="117">
        <v>39499</v>
      </c>
      <c r="B221" s="118" t="s">
        <v>1526</v>
      </c>
      <c r="C221" s="118" t="s">
        <v>197</v>
      </c>
      <c r="D221" s="119">
        <v>75</v>
      </c>
      <c r="E221" s="118">
        <v>258.89999999999998</v>
      </c>
      <c r="F221" s="120">
        <v>19417.5</v>
      </c>
      <c r="G221" s="121">
        <v>187.9</v>
      </c>
      <c r="H221" s="121" t="s">
        <v>1529</v>
      </c>
      <c r="I221" s="121">
        <v>200708229</v>
      </c>
      <c r="J221" s="118" t="s">
        <v>199</v>
      </c>
      <c r="K221" s="121" t="s">
        <v>1051</v>
      </c>
      <c r="L221" s="118" t="s">
        <v>204</v>
      </c>
    </row>
    <row r="222" spans="1:12" x14ac:dyDescent="0.25">
      <c r="A222" s="117">
        <v>39497</v>
      </c>
      <c r="B222" s="118" t="s">
        <v>1526</v>
      </c>
      <c r="C222" s="118" t="s">
        <v>197</v>
      </c>
      <c r="D222" s="119">
        <v>25</v>
      </c>
      <c r="E222" s="118">
        <v>267.5</v>
      </c>
      <c r="F222" s="120">
        <v>6687.5</v>
      </c>
      <c r="G222" s="121">
        <v>64.72</v>
      </c>
      <c r="H222" s="121" t="s">
        <v>1530</v>
      </c>
      <c r="I222" s="121">
        <v>2008036</v>
      </c>
      <c r="J222" s="118" t="s">
        <v>199</v>
      </c>
      <c r="K222" s="121" t="s">
        <v>1051</v>
      </c>
      <c r="L222" s="118" t="s">
        <v>201</v>
      </c>
    </row>
    <row r="223" spans="1:12" x14ac:dyDescent="0.25">
      <c r="A223" s="117">
        <v>39493</v>
      </c>
      <c r="B223" s="118" t="s">
        <v>1526</v>
      </c>
      <c r="C223" s="118" t="s">
        <v>197</v>
      </c>
      <c r="D223" s="119">
        <v>50</v>
      </c>
      <c r="E223" s="118">
        <v>277.5</v>
      </c>
      <c r="F223" s="120">
        <v>13875</v>
      </c>
      <c r="G223" s="121">
        <v>134.27000000000001</v>
      </c>
      <c r="H223" s="121" t="s">
        <v>1531</v>
      </c>
      <c r="I223" s="121">
        <v>2008034</v>
      </c>
      <c r="J223" s="118" t="s">
        <v>199</v>
      </c>
      <c r="K223" s="121" t="s">
        <v>1051</v>
      </c>
      <c r="L223" s="118" t="s">
        <v>201</v>
      </c>
    </row>
    <row r="224" spans="1:12" x14ac:dyDescent="0.25">
      <c r="A224" s="117">
        <v>40123</v>
      </c>
      <c r="B224" s="118" t="s">
        <v>1532</v>
      </c>
      <c r="C224" s="118" t="s">
        <v>197</v>
      </c>
      <c r="D224" s="119">
        <v>100</v>
      </c>
      <c r="E224" s="118">
        <v>525</v>
      </c>
      <c r="F224" s="120">
        <f>D224*E224</f>
        <v>52500</v>
      </c>
      <c r="G224" s="121">
        <v>0</v>
      </c>
      <c r="H224" s="121" t="s">
        <v>1533</v>
      </c>
      <c r="J224" s="118" t="s">
        <v>1534</v>
      </c>
      <c r="K224" s="121" t="s">
        <v>1051</v>
      </c>
      <c r="L224" s="118"/>
    </row>
    <row r="225" spans="1:12" x14ac:dyDescent="0.25">
      <c r="A225" s="117">
        <v>39534</v>
      </c>
      <c r="B225" s="118" t="s">
        <v>1535</v>
      </c>
      <c r="C225" s="118" t="s">
        <v>197</v>
      </c>
      <c r="D225" s="119">
        <v>50</v>
      </c>
      <c r="E225" s="118">
        <v>136</v>
      </c>
      <c r="F225" s="120">
        <v>6800</v>
      </c>
      <c r="G225" s="121">
        <v>65.81</v>
      </c>
      <c r="H225" s="121" t="s">
        <v>1536</v>
      </c>
      <c r="I225" s="121">
        <v>2008060</v>
      </c>
      <c r="J225" s="118" t="s">
        <v>199</v>
      </c>
      <c r="K225" s="121" t="s">
        <v>1051</v>
      </c>
      <c r="L225" s="118" t="s">
        <v>201</v>
      </c>
    </row>
    <row r="226" spans="1:12" x14ac:dyDescent="0.25">
      <c r="A226" s="117">
        <v>39534</v>
      </c>
      <c r="B226" s="118" t="s">
        <v>1535</v>
      </c>
      <c r="C226" s="118" t="s">
        <v>197</v>
      </c>
      <c r="D226" s="119">
        <v>25</v>
      </c>
      <c r="E226" s="118">
        <v>137</v>
      </c>
      <c r="F226" s="120">
        <v>3425</v>
      </c>
      <c r="G226" s="121">
        <v>33.14</v>
      </c>
      <c r="H226" s="121" t="s">
        <v>1537</v>
      </c>
      <c r="I226" s="121">
        <v>2008060</v>
      </c>
      <c r="J226" s="118" t="s">
        <v>199</v>
      </c>
      <c r="K226" s="121" t="s">
        <v>1051</v>
      </c>
      <c r="L226" s="118" t="s">
        <v>201</v>
      </c>
    </row>
    <row r="227" spans="1:12" x14ac:dyDescent="0.25">
      <c r="D227" s="124"/>
    </row>
    <row r="228" spans="1:12" x14ac:dyDescent="0.25">
      <c r="D228" s="124"/>
    </row>
    <row r="229" spans="1:12" x14ac:dyDescent="0.25">
      <c r="A229" s="19" t="s">
        <v>2363</v>
      </c>
      <c r="D229" s="124"/>
    </row>
    <row r="230" spans="1:12" ht="20.399999999999999" x14ac:dyDescent="0.25">
      <c r="A230" s="126" t="s">
        <v>661</v>
      </c>
      <c r="B230" s="126" t="s">
        <v>2364</v>
      </c>
      <c r="C230" s="126" t="s">
        <v>2365</v>
      </c>
      <c r="D230" s="126" t="s">
        <v>2366</v>
      </c>
      <c r="E230" s="126" t="s">
        <v>2367</v>
      </c>
      <c r="F230" s="126" t="s">
        <v>2368</v>
      </c>
      <c r="G230" s="126" t="s">
        <v>2369</v>
      </c>
      <c r="H230" s="126" t="s">
        <v>2370</v>
      </c>
      <c r="I230" s="126" t="s">
        <v>2371</v>
      </c>
      <c r="J230" s="126" t="s">
        <v>2372</v>
      </c>
      <c r="K230" s="126" t="s">
        <v>2373</v>
      </c>
    </row>
    <row r="231" spans="1:12" ht="40.799999999999997" x14ac:dyDescent="0.25">
      <c r="A231" s="127">
        <v>39464</v>
      </c>
      <c r="B231" s="128">
        <v>4963101</v>
      </c>
      <c r="C231" s="129" t="s">
        <v>2374</v>
      </c>
      <c r="D231" s="129" t="s">
        <v>2375</v>
      </c>
      <c r="E231" s="129" t="s">
        <v>2376</v>
      </c>
      <c r="F231" s="129">
        <v>11303677</v>
      </c>
      <c r="G231" s="130">
        <v>25875</v>
      </c>
      <c r="H231" s="128" t="s">
        <v>2377</v>
      </c>
      <c r="I231" s="129">
        <v>8500900247</v>
      </c>
      <c r="J231" s="129" t="s">
        <v>2378</v>
      </c>
      <c r="K231" s="129">
        <v>51838407</v>
      </c>
    </row>
    <row r="232" spans="1:12" ht="20.399999999999999" x14ac:dyDescent="0.25">
      <c r="A232" s="127">
        <v>39392.903032407405</v>
      </c>
      <c r="B232" s="128">
        <v>3376605</v>
      </c>
      <c r="C232" s="129" t="s">
        <v>2374</v>
      </c>
      <c r="D232" s="129" t="s">
        <v>2379</v>
      </c>
      <c r="E232" s="129" t="s">
        <v>2376</v>
      </c>
      <c r="F232" s="129">
        <v>96015007</v>
      </c>
      <c r="G232" s="130">
        <v>15000</v>
      </c>
      <c r="H232" s="128" t="s">
        <v>2377</v>
      </c>
      <c r="I232" s="129">
        <v>8500900247</v>
      </c>
      <c r="J232" s="129" t="s">
        <v>2378</v>
      </c>
      <c r="K232" s="129">
        <v>51838407</v>
      </c>
    </row>
  </sheetData>
  <phoneticPr fontId="10" type="noConversion"/>
  <pageMargins left="0.75" right="0.75" top="1" bottom="1" header="0.5" footer="0.5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85"/>
  <sheetViews>
    <sheetView topLeftCell="A46" workbookViewId="0">
      <selection activeCell="P22" sqref="P22"/>
    </sheetView>
  </sheetViews>
  <sheetFormatPr defaultColWidth="9.21875" defaultRowHeight="13.2" x14ac:dyDescent="0.25"/>
  <cols>
    <col min="1" max="1" width="9.21875" style="1"/>
    <col min="2" max="2" width="30.77734375" style="1" customWidth="1"/>
    <col min="3" max="5" width="9.21875" style="1"/>
    <col min="6" max="7" width="10.21875" style="139" bestFit="1" customWidth="1"/>
    <col min="8" max="8" width="21.44140625" style="76" customWidth="1"/>
    <col min="9" max="16384" width="9.21875" style="1"/>
  </cols>
  <sheetData>
    <row r="1" spans="1:8" x14ac:dyDescent="0.25">
      <c r="A1" s="131" t="s">
        <v>467</v>
      </c>
      <c r="B1" s="131" t="s">
        <v>468</v>
      </c>
      <c r="C1" s="131" t="s">
        <v>186</v>
      </c>
      <c r="D1" s="131" t="s">
        <v>469</v>
      </c>
      <c r="E1" s="132" t="s">
        <v>188</v>
      </c>
      <c r="F1" s="133" t="s">
        <v>470</v>
      </c>
      <c r="G1" s="133" t="s">
        <v>471</v>
      </c>
      <c r="H1" s="134" t="s">
        <v>191</v>
      </c>
    </row>
    <row r="2" spans="1:8" x14ac:dyDescent="0.25">
      <c r="A2" s="5">
        <v>39268</v>
      </c>
      <c r="B2" s="6" t="s">
        <v>2380</v>
      </c>
      <c r="C2" s="7" t="s">
        <v>197</v>
      </c>
      <c r="D2" s="7">
        <v>400</v>
      </c>
      <c r="E2" s="8">
        <v>38</v>
      </c>
      <c r="F2" s="13">
        <v>15200</v>
      </c>
      <c r="G2" s="1">
        <v>106.74</v>
      </c>
      <c r="H2" s="1" t="s">
        <v>2381</v>
      </c>
    </row>
    <row r="3" spans="1:8" x14ac:dyDescent="0.25">
      <c r="A3" s="5">
        <v>39268</v>
      </c>
      <c r="B3" s="6" t="s">
        <v>2380</v>
      </c>
      <c r="C3" s="7" t="s">
        <v>197</v>
      </c>
      <c r="D3" s="7">
        <v>800</v>
      </c>
      <c r="E3" s="8">
        <v>44.5</v>
      </c>
      <c r="F3" s="13">
        <v>35600</v>
      </c>
      <c r="G3" s="1">
        <v>213.48</v>
      </c>
      <c r="H3" s="1" t="s">
        <v>2382</v>
      </c>
    </row>
    <row r="4" spans="1:8" x14ac:dyDescent="0.25">
      <c r="A4" s="5">
        <v>39275</v>
      </c>
      <c r="B4" s="6" t="s">
        <v>2383</v>
      </c>
      <c r="C4" s="7" t="s">
        <v>197</v>
      </c>
      <c r="D4" s="7">
        <v>400</v>
      </c>
      <c r="E4" s="8">
        <v>2.8</v>
      </c>
      <c r="F4" s="13">
        <v>1120</v>
      </c>
      <c r="G4" s="1">
        <v>106.74</v>
      </c>
      <c r="H4" s="1" t="s">
        <v>2384</v>
      </c>
    </row>
    <row r="5" spans="1:8" x14ac:dyDescent="0.25">
      <c r="A5" s="5">
        <v>39275</v>
      </c>
      <c r="B5" s="6" t="s">
        <v>2385</v>
      </c>
      <c r="C5" s="7" t="s">
        <v>197</v>
      </c>
      <c r="D5" s="7">
        <v>400</v>
      </c>
      <c r="E5" s="8">
        <v>36.5</v>
      </c>
      <c r="F5" s="13">
        <v>14600</v>
      </c>
      <c r="G5" s="1">
        <v>106.74</v>
      </c>
      <c r="H5" s="1" t="s">
        <v>2386</v>
      </c>
    </row>
    <row r="6" spans="1:8" x14ac:dyDescent="0.25">
      <c r="A6" s="5">
        <v>39276</v>
      </c>
      <c r="B6" s="6" t="s">
        <v>2385</v>
      </c>
      <c r="C6" s="7" t="s">
        <v>197</v>
      </c>
      <c r="D6" s="7">
        <v>400</v>
      </c>
      <c r="E6" s="8">
        <v>35.450000000000003</v>
      </c>
      <c r="F6" s="13">
        <v>14180</v>
      </c>
      <c r="G6" s="1">
        <v>106.74</v>
      </c>
      <c r="H6" s="1" t="s">
        <v>2387</v>
      </c>
    </row>
    <row r="7" spans="1:8" x14ac:dyDescent="0.25">
      <c r="A7" s="5">
        <v>39276</v>
      </c>
      <c r="B7" s="6" t="s">
        <v>2385</v>
      </c>
      <c r="C7" s="7" t="s">
        <v>197</v>
      </c>
      <c r="D7" s="7">
        <v>400</v>
      </c>
      <c r="E7" s="8">
        <v>37.549999999999997</v>
      </c>
      <c r="F7" s="13">
        <v>15020</v>
      </c>
      <c r="G7" s="1">
        <v>106.74</v>
      </c>
      <c r="H7" s="1" t="s">
        <v>2388</v>
      </c>
    </row>
    <row r="8" spans="1:8" x14ac:dyDescent="0.25">
      <c r="A8" s="5">
        <v>39281</v>
      </c>
      <c r="B8" s="6" t="s">
        <v>2389</v>
      </c>
      <c r="C8" s="7" t="s">
        <v>197</v>
      </c>
      <c r="D8" s="7">
        <v>400</v>
      </c>
      <c r="E8" s="8">
        <v>38</v>
      </c>
      <c r="F8" s="13">
        <v>15200</v>
      </c>
      <c r="G8" s="1">
        <v>106.74</v>
      </c>
      <c r="H8" s="1" t="s">
        <v>2390</v>
      </c>
    </row>
    <row r="9" spans="1:8" x14ac:dyDescent="0.25">
      <c r="A9" s="5">
        <v>39282</v>
      </c>
      <c r="B9" s="6" t="s">
        <v>2435</v>
      </c>
      <c r="C9" s="7" t="s">
        <v>197</v>
      </c>
      <c r="D9" s="7">
        <v>400</v>
      </c>
      <c r="E9" s="8">
        <v>30.1</v>
      </c>
      <c r="F9" s="13">
        <v>12040</v>
      </c>
      <c r="G9" s="1">
        <v>106.74</v>
      </c>
      <c r="H9" s="1" t="s">
        <v>2436</v>
      </c>
    </row>
    <row r="10" spans="1:8" x14ac:dyDescent="0.25">
      <c r="A10" s="5">
        <v>39282</v>
      </c>
      <c r="B10" s="6" t="s">
        <v>2437</v>
      </c>
      <c r="C10" s="7" t="s">
        <v>197</v>
      </c>
      <c r="D10" s="7">
        <v>800</v>
      </c>
      <c r="E10" s="8">
        <v>13</v>
      </c>
      <c r="F10" s="13">
        <v>10400</v>
      </c>
      <c r="G10" s="1">
        <v>213.48</v>
      </c>
      <c r="H10" s="1" t="s">
        <v>2438</v>
      </c>
    </row>
    <row r="11" spans="1:8" x14ac:dyDescent="0.25">
      <c r="A11" s="5">
        <v>39282</v>
      </c>
      <c r="B11" s="6" t="s">
        <v>2435</v>
      </c>
      <c r="C11" s="7" t="s">
        <v>197</v>
      </c>
      <c r="D11" s="7">
        <v>400</v>
      </c>
      <c r="E11" s="8">
        <v>42</v>
      </c>
      <c r="F11" s="13">
        <v>16800</v>
      </c>
      <c r="G11" s="1">
        <v>106.74</v>
      </c>
      <c r="H11" s="1" t="s">
        <v>2439</v>
      </c>
    </row>
    <row r="12" spans="1:8" x14ac:dyDescent="0.25">
      <c r="A12" s="5">
        <v>39283</v>
      </c>
      <c r="B12" s="6" t="s">
        <v>2435</v>
      </c>
      <c r="C12" s="7" t="s">
        <v>197</v>
      </c>
      <c r="D12" s="7">
        <v>800</v>
      </c>
      <c r="E12" s="8">
        <v>38.299999999999997</v>
      </c>
      <c r="F12" s="13">
        <v>30640</v>
      </c>
      <c r="G12" s="1">
        <v>213.48</v>
      </c>
      <c r="H12" s="1" t="s">
        <v>2440</v>
      </c>
    </row>
    <row r="13" spans="1:8" x14ac:dyDescent="0.25">
      <c r="A13" s="5">
        <v>39283</v>
      </c>
      <c r="B13" s="6" t="s">
        <v>2435</v>
      </c>
      <c r="C13" s="7" t="s">
        <v>197</v>
      </c>
      <c r="D13" s="7">
        <v>400</v>
      </c>
      <c r="E13" s="8">
        <v>32</v>
      </c>
      <c r="F13" s="13">
        <v>12800</v>
      </c>
      <c r="G13" s="1">
        <v>106.74</v>
      </c>
      <c r="H13" s="1" t="s">
        <v>2441</v>
      </c>
    </row>
    <row r="14" spans="1:8" x14ac:dyDescent="0.25">
      <c r="A14" s="5">
        <v>39290</v>
      </c>
      <c r="B14" s="6" t="s">
        <v>2442</v>
      </c>
      <c r="C14" s="7" t="s">
        <v>197</v>
      </c>
      <c r="D14" s="7">
        <v>400</v>
      </c>
      <c r="E14" s="8">
        <v>31.2</v>
      </c>
      <c r="F14" s="13">
        <v>12480</v>
      </c>
      <c r="G14" s="1">
        <v>106.74</v>
      </c>
      <c r="H14" s="1" t="s">
        <v>2443</v>
      </c>
    </row>
    <row r="15" spans="1:8" x14ac:dyDescent="0.25">
      <c r="A15" s="5">
        <v>39295</v>
      </c>
      <c r="B15" s="6" t="s">
        <v>2444</v>
      </c>
      <c r="C15" s="7" t="s">
        <v>197</v>
      </c>
      <c r="D15" s="7">
        <v>400</v>
      </c>
      <c r="E15" s="8">
        <v>36.1</v>
      </c>
      <c r="F15" s="13">
        <v>14440</v>
      </c>
      <c r="G15" s="1">
        <v>106.74</v>
      </c>
      <c r="H15" s="1" t="s">
        <v>2445</v>
      </c>
    </row>
    <row r="16" spans="1:8" x14ac:dyDescent="0.25">
      <c r="A16" s="5">
        <v>39295</v>
      </c>
      <c r="B16" s="6" t="s">
        <v>2444</v>
      </c>
      <c r="C16" s="7" t="s">
        <v>197</v>
      </c>
      <c r="D16" s="7">
        <v>400</v>
      </c>
      <c r="E16" s="8">
        <v>36</v>
      </c>
      <c r="F16" s="13">
        <v>14400</v>
      </c>
      <c r="G16" s="1">
        <v>106.74</v>
      </c>
      <c r="H16" s="1" t="s">
        <v>2446</v>
      </c>
    </row>
    <row r="17" spans="1:8" x14ac:dyDescent="0.25">
      <c r="A17" s="5">
        <v>39303</v>
      </c>
      <c r="B17" s="6" t="s">
        <v>2447</v>
      </c>
      <c r="C17" s="7" t="s">
        <v>197</v>
      </c>
      <c r="D17" s="7">
        <v>400</v>
      </c>
      <c r="E17" s="8">
        <v>13.9</v>
      </c>
      <c r="F17" s="13">
        <v>5560</v>
      </c>
      <c r="G17" s="1">
        <v>106.74</v>
      </c>
      <c r="H17" s="1" t="s">
        <v>2448</v>
      </c>
    </row>
    <row r="18" spans="1:8" x14ac:dyDescent="0.25">
      <c r="A18" s="5">
        <v>39371</v>
      </c>
      <c r="B18" s="6" t="s">
        <v>2449</v>
      </c>
      <c r="C18" s="7" t="s">
        <v>197</v>
      </c>
      <c r="D18" s="7">
        <v>400</v>
      </c>
      <c r="E18" s="8">
        <v>3</v>
      </c>
      <c r="F18" s="13">
        <v>1200</v>
      </c>
      <c r="G18" s="1">
        <v>73.03</v>
      </c>
      <c r="H18" s="1" t="s">
        <v>2450</v>
      </c>
    </row>
    <row r="19" spans="1:8" x14ac:dyDescent="0.25">
      <c r="A19" s="5">
        <v>39506</v>
      </c>
      <c r="B19" s="6" t="s">
        <v>2451</v>
      </c>
      <c r="C19" s="7" t="s">
        <v>197</v>
      </c>
      <c r="D19" s="7">
        <v>400</v>
      </c>
      <c r="E19" s="8">
        <v>2.0499999999999998</v>
      </c>
      <c r="F19" s="135">
        <v>820</v>
      </c>
      <c r="G19" s="1">
        <v>106.74</v>
      </c>
      <c r="H19" s="1" t="s">
        <v>2452</v>
      </c>
    </row>
    <row r="20" spans="1:8" x14ac:dyDescent="0.25">
      <c r="A20" s="5">
        <v>39265</v>
      </c>
      <c r="B20" s="6" t="s">
        <v>2453</v>
      </c>
      <c r="C20" s="7" t="s">
        <v>197</v>
      </c>
      <c r="D20" s="7">
        <v>2700</v>
      </c>
      <c r="E20" s="8">
        <v>2</v>
      </c>
      <c r="F20" s="13">
        <v>5400</v>
      </c>
      <c r="G20" s="1">
        <v>106.74</v>
      </c>
      <c r="H20" s="1" t="s">
        <v>2454</v>
      </c>
    </row>
    <row r="21" spans="1:8" x14ac:dyDescent="0.25">
      <c r="A21" s="5">
        <v>39272</v>
      </c>
      <c r="B21" s="6" t="s">
        <v>2453</v>
      </c>
      <c r="C21" s="7" t="s">
        <v>197</v>
      </c>
      <c r="D21" s="7">
        <v>2700</v>
      </c>
      <c r="E21" s="8">
        <v>3</v>
      </c>
      <c r="F21" s="13">
        <v>8100</v>
      </c>
      <c r="G21" s="1">
        <v>106.74</v>
      </c>
      <c r="H21" s="1" t="s">
        <v>2455</v>
      </c>
    </row>
    <row r="22" spans="1:8" x14ac:dyDescent="0.25">
      <c r="A22" s="5">
        <v>39273</v>
      </c>
      <c r="B22" s="6" t="s">
        <v>2456</v>
      </c>
      <c r="C22" s="7" t="s">
        <v>197</v>
      </c>
      <c r="D22" s="7">
        <v>2700</v>
      </c>
      <c r="E22" s="8">
        <v>4.2</v>
      </c>
      <c r="F22" s="13">
        <v>11340</v>
      </c>
      <c r="G22" s="1">
        <v>106.74</v>
      </c>
      <c r="H22" s="1" t="s">
        <v>2457</v>
      </c>
    </row>
    <row r="23" spans="1:8" x14ac:dyDescent="0.25">
      <c r="A23" s="5">
        <v>39274</v>
      </c>
      <c r="B23" s="6" t="s">
        <v>2456</v>
      </c>
      <c r="C23" s="7" t="s">
        <v>197</v>
      </c>
      <c r="D23" s="7">
        <v>2700</v>
      </c>
      <c r="E23" s="8">
        <v>3.8</v>
      </c>
      <c r="F23" s="13">
        <v>10260</v>
      </c>
      <c r="G23" s="1">
        <v>106.74</v>
      </c>
      <c r="H23" s="1" t="s">
        <v>2458</v>
      </c>
    </row>
    <row r="24" spans="1:8" x14ac:dyDescent="0.25">
      <c r="A24" s="5">
        <v>39217</v>
      </c>
      <c r="B24" s="6" t="s">
        <v>2459</v>
      </c>
      <c r="C24" s="7" t="s">
        <v>197</v>
      </c>
      <c r="D24" s="7">
        <v>100</v>
      </c>
      <c r="E24" s="8">
        <v>36</v>
      </c>
      <c r="F24" s="13">
        <v>3600</v>
      </c>
      <c r="G24" s="1">
        <v>112.36</v>
      </c>
      <c r="H24" s="1" t="s">
        <v>2460</v>
      </c>
    </row>
    <row r="25" spans="1:8" x14ac:dyDescent="0.25">
      <c r="A25" s="5">
        <v>39241</v>
      </c>
      <c r="B25" s="6" t="s">
        <v>2461</v>
      </c>
      <c r="C25" s="7" t="s">
        <v>197</v>
      </c>
      <c r="D25" s="7">
        <v>200</v>
      </c>
      <c r="E25" s="8">
        <v>86</v>
      </c>
      <c r="F25" s="13">
        <v>17200</v>
      </c>
      <c r="G25" s="1">
        <v>426.97</v>
      </c>
      <c r="H25" s="1" t="s">
        <v>2462</v>
      </c>
    </row>
    <row r="26" spans="1:8" x14ac:dyDescent="0.25">
      <c r="A26" s="5">
        <v>39247</v>
      </c>
      <c r="B26" s="6" t="s">
        <v>2463</v>
      </c>
      <c r="C26" s="7" t="s">
        <v>197</v>
      </c>
      <c r="D26" s="7">
        <v>100</v>
      </c>
      <c r="E26" s="8">
        <v>82</v>
      </c>
      <c r="F26" s="13">
        <v>8200</v>
      </c>
      <c r="G26" s="1">
        <v>213.48</v>
      </c>
      <c r="H26" s="1" t="s">
        <v>2464</v>
      </c>
    </row>
    <row r="27" spans="1:8" x14ac:dyDescent="0.25">
      <c r="A27" s="5">
        <v>39247</v>
      </c>
      <c r="B27" s="6" t="s">
        <v>2463</v>
      </c>
      <c r="C27" s="7" t="s">
        <v>197</v>
      </c>
      <c r="D27" s="7">
        <v>100</v>
      </c>
      <c r="E27" s="8">
        <v>78</v>
      </c>
      <c r="F27" s="13">
        <v>7800</v>
      </c>
      <c r="G27" s="1">
        <v>213.48</v>
      </c>
      <c r="H27" s="1" t="s">
        <v>2465</v>
      </c>
    </row>
    <row r="28" spans="1:8" x14ac:dyDescent="0.25">
      <c r="A28" s="5">
        <v>39247</v>
      </c>
      <c r="B28" s="6" t="s">
        <v>2463</v>
      </c>
      <c r="C28" s="7" t="s">
        <v>197</v>
      </c>
      <c r="D28" s="7">
        <v>50</v>
      </c>
      <c r="E28" s="8">
        <v>75.5</v>
      </c>
      <c r="F28" s="13">
        <v>3775</v>
      </c>
      <c r="G28" s="1">
        <v>106.74</v>
      </c>
      <c r="H28" s="1" t="s">
        <v>2466</v>
      </c>
    </row>
    <row r="29" spans="1:8" x14ac:dyDescent="0.25">
      <c r="A29" s="5">
        <v>39247</v>
      </c>
      <c r="B29" s="6" t="s">
        <v>2463</v>
      </c>
      <c r="C29" s="7" t="s">
        <v>197</v>
      </c>
      <c r="D29" s="7">
        <v>100</v>
      </c>
      <c r="E29" s="8">
        <v>88</v>
      </c>
      <c r="F29" s="13">
        <v>8800</v>
      </c>
      <c r="G29" s="1">
        <v>213.48</v>
      </c>
      <c r="H29" s="1" t="s">
        <v>2467</v>
      </c>
    </row>
    <row r="30" spans="1:8" x14ac:dyDescent="0.25">
      <c r="A30" s="5">
        <v>39248</v>
      </c>
      <c r="B30" s="6" t="s">
        <v>2463</v>
      </c>
      <c r="C30" s="7" t="s">
        <v>197</v>
      </c>
      <c r="D30" s="7">
        <v>50</v>
      </c>
      <c r="E30" s="8">
        <v>61.5</v>
      </c>
      <c r="F30" s="13">
        <v>3075</v>
      </c>
      <c r="G30" s="1">
        <v>106.74</v>
      </c>
      <c r="H30" s="1" t="s">
        <v>2468</v>
      </c>
    </row>
    <row r="31" spans="1:8" x14ac:dyDescent="0.25">
      <c r="A31" s="5">
        <v>39248</v>
      </c>
      <c r="B31" s="6" t="s">
        <v>2463</v>
      </c>
      <c r="C31" s="7" t="s">
        <v>197</v>
      </c>
      <c r="D31" s="7">
        <v>50</v>
      </c>
      <c r="E31" s="8">
        <v>56</v>
      </c>
      <c r="F31" s="13">
        <v>2800</v>
      </c>
      <c r="G31" s="1">
        <v>106.74</v>
      </c>
      <c r="H31" s="1" t="s">
        <v>2768</v>
      </c>
    </row>
    <row r="32" spans="1:8" x14ac:dyDescent="0.25">
      <c r="A32" s="5">
        <v>39252</v>
      </c>
      <c r="B32" s="6" t="s">
        <v>2463</v>
      </c>
      <c r="C32" s="7" t="s">
        <v>197</v>
      </c>
      <c r="D32" s="7">
        <v>100</v>
      </c>
      <c r="E32" s="8">
        <v>30.2</v>
      </c>
      <c r="F32" s="13">
        <v>3020</v>
      </c>
      <c r="G32" s="1">
        <v>213.48</v>
      </c>
      <c r="H32" s="1" t="s">
        <v>2769</v>
      </c>
    </row>
    <row r="33" spans="1:8" x14ac:dyDescent="0.25">
      <c r="A33" s="5">
        <v>39253</v>
      </c>
      <c r="B33" s="6" t="s">
        <v>2463</v>
      </c>
      <c r="C33" s="7" t="s">
        <v>197</v>
      </c>
      <c r="D33" s="7">
        <v>100</v>
      </c>
      <c r="E33" s="8">
        <v>21</v>
      </c>
      <c r="F33" s="13">
        <v>2100</v>
      </c>
      <c r="G33" s="1">
        <v>213.48</v>
      </c>
      <c r="H33" s="1" t="s">
        <v>2770</v>
      </c>
    </row>
    <row r="34" spans="1:8" x14ac:dyDescent="0.25">
      <c r="A34" s="5">
        <v>39259</v>
      </c>
      <c r="B34" s="6" t="s">
        <v>2771</v>
      </c>
      <c r="C34" s="7" t="s">
        <v>197</v>
      </c>
      <c r="D34" s="7">
        <v>100</v>
      </c>
      <c r="E34" s="8">
        <v>97</v>
      </c>
      <c r="F34" s="13">
        <v>9700</v>
      </c>
      <c r="G34" s="1">
        <v>213.48</v>
      </c>
      <c r="H34" s="1" t="s">
        <v>2772</v>
      </c>
    </row>
    <row r="35" spans="1:8" x14ac:dyDescent="0.25">
      <c r="A35" s="5">
        <v>39272</v>
      </c>
      <c r="B35" s="6" t="s">
        <v>2773</v>
      </c>
      <c r="C35" s="7" t="s">
        <v>197</v>
      </c>
      <c r="D35" s="7">
        <v>100</v>
      </c>
      <c r="E35" s="8">
        <v>79.95</v>
      </c>
      <c r="F35" s="13">
        <v>7995</v>
      </c>
      <c r="G35" s="1">
        <v>213.48</v>
      </c>
      <c r="H35" s="1" t="s">
        <v>2774</v>
      </c>
    </row>
    <row r="36" spans="1:8" x14ac:dyDescent="0.25">
      <c r="A36" s="5">
        <v>39219</v>
      </c>
      <c r="B36" s="6" t="s">
        <v>2775</v>
      </c>
      <c r="C36" s="7" t="s">
        <v>197</v>
      </c>
      <c r="D36" s="7">
        <v>300</v>
      </c>
      <c r="E36" s="8">
        <v>17.5</v>
      </c>
      <c r="F36" s="13">
        <v>5250</v>
      </c>
      <c r="G36" s="1">
        <v>224.72</v>
      </c>
      <c r="H36" s="1" t="s">
        <v>2776</v>
      </c>
    </row>
    <row r="37" spans="1:8" x14ac:dyDescent="0.25">
      <c r="A37" s="5">
        <v>39219</v>
      </c>
      <c r="B37" s="6" t="s">
        <v>2775</v>
      </c>
      <c r="C37" s="7" t="s">
        <v>197</v>
      </c>
      <c r="D37" s="7">
        <v>150</v>
      </c>
      <c r="E37" s="8">
        <v>16</v>
      </c>
      <c r="F37" s="13">
        <v>2400</v>
      </c>
      <c r="G37" s="1">
        <v>112.36</v>
      </c>
      <c r="H37" s="1" t="s">
        <v>2777</v>
      </c>
    </row>
    <row r="38" spans="1:8" x14ac:dyDescent="0.25">
      <c r="A38" s="5">
        <v>39220</v>
      </c>
      <c r="B38" s="6" t="s">
        <v>2775</v>
      </c>
      <c r="C38" s="7" t="s">
        <v>197</v>
      </c>
      <c r="D38" s="7">
        <v>150</v>
      </c>
      <c r="E38" s="8">
        <v>12.2</v>
      </c>
      <c r="F38" s="13">
        <v>1830</v>
      </c>
      <c r="G38" s="1">
        <v>112.36</v>
      </c>
      <c r="H38" s="1" t="s">
        <v>2778</v>
      </c>
    </row>
    <row r="39" spans="1:8" x14ac:dyDescent="0.25">
      <c r="A39" s="5">
        <v>39223</v>
      </c>
      <c r="B39" s="6" t="s">
        <v>2775</v>
      </c>
      <c r="C39" s="7" t="s">
        <v>197</v>
      </c>
      <c r="D39" s="7">
        <v>600</v>
      </c>
      <c r="E39" s="8">
        <v>6</v>
      </c>
      <c r="F39" s="13">
        <v>3600</v>
      </c>
      <c r="G39" s="1">
        <v>426.97</v>
      </c>
      <c r="H39" s="1" t="s">
        <v>2779</v>
      </c>
    </row>
    <row r="40" spans="1:8" x14ac:dyDescent="0.25">
      <c r="A40" s="5">
        <v>39223</v>
      </c>
      <c r="B40" s="6" t="s">
        <v>2775</v>
      </c>
      <c r="C40" s="7" t="s">
        <v>197</v>
      </c>
      <c r="D40" s="7">
        <v>600</v>
      </c>
      <c r="E40" s="8">
        <v>5.8</v>
      </c>
      <c r="F40" s="13">
        <v>3480</v>
      </c>
      <c r="G40" s="1">
        <v>426.97</v>
      </c>
      <c r="H40" s="1" t="s">
        <v>2780</v>
      </c>
    </row>
    <row r="41" spans="1:8" x14ac:dyDescent="0.25">
      <c r="A41" s="5">
        <v>39223</v>
      </c>
      <c r="B41" s="6" t="s">
        <v>2775</v>
      </c>
      <c r="C41" s="7" t="s">
        <v>197</v>
      </c>
      <c r="D41" s="7">
        <v>300</v>
      </c>
      <c r="E41" s="8">
        <v>5.35</v>
      </c>
      <c r="F41" s="13">
        <v>1605</v>
      </c>
      <c r="G41" s="1">
        <v>213.48</v>
      </c>
      <c r="H41" s="1" t="s">
        <v>2781</v>
      </c>
    </row>
    <row r="42" spans="1:8" x14ac:dyDescent="0.25">
      <c r="A42" s="5">
        <v>39231</v>
      </c>
      <c r="B42" s="6" t="s">
        <v>2775</v>
      </c>
      <c r="C42" s="7" t="s">
        <v>197</v>
      </c>
      <c r="D42" s="7">
        <v>900</v>
      </c>
      <c r="E42" s="8">
        <v>1.1499999999999999</v>
      </c>
      <c r="F42" s="13">
        <v>1035</v>
      </c>
      <c r="G42" s="1">
        <v>640.44000000000005</v>
      </c>
      <c r="H42" s="1" t="s">
        <v>2782</v>
      </c>
    </row>
    <row r="43" spans="1:8" x14ac:dyDescent="0.25">
      <c r="A43" s="5">
        <v>39231</v>
      </c>
      <c r="B43" s="6" t="s">
        <v>2783</v>
      </c>
      <c r="C43" s="7" t="s">
        <v>197</v>
      </c>
      <c r="D43" s="7">
        <v>150</v>
      </c>
      <c r="E43" s="8">
        <v>32.799999999999997</v>
      </c>
      <c r="F43" s="13">
        <v>4920</v>
      </c>
      <c r="G43" s="1">
        <v>106.74</v>
      </c>
      <c r="H43" s="1" t="s">
        <v>2784</v>
      </c>
    </row>
    <row r="44" spans="1:8" x14ac:dyDescent="0.25">
      <c r="A44" s="5">
        <v>39231</v>
      </c>
      <c r="B44" s="6" t="s">
        <v>2783</v>
      </c>
      <c r="C44" s="7" t="s">
        <v>197</v>
      </c>
      <c r="D44" s="7">
        <v>300</v>
      </c>
      <c r="E44" s="8">
        <v>34</v>
      </c>
      <c r="F44" s="13">
        <v>10200</v>
      </c>
      <c r="G44" s="1">
        <v>213.48</v>
      </c>
      <c r="H44" s="1" t="s">
        <v>2785</v>
      </c>
    </row>
    <row r="45" spans="1:8" x14ac:dyDescent="0.25">
      <c r="A45" s="5">
        <v>39233</v>
      </c>
      <c r="B45" s="6" t="s">
        <v>2786</v>
      </c>
      <c r="C45" s="7" t="s">
        <v>197</v>
      </c>
      <c r="D45" s="7">
        <v>3350</v>
      </c>
      <c r="E45" s="8">
        <v>1.4</v>
      </c>
      <c r="F45" s="13">
        <v>4690</v>
      </c>
      <c r="G45" s="1">
        <v>106.74</v>
      </c>
      <c r="H45" s="1" t="s">
        <v>2787</v>
      </c>
    </row>
    <row r="46" spans="1:8" x14ac:dyDescent="0.25">
      <c r="A46" s="5">
        <v>39234</v>
      </c>
      <c r="B46" s="6" t="s">
        <v>2786</v>
      </c>
      <c r="C46" s="7" t="s">
        <v>197</v>
      </c>
      <c r="D46" s="7">
        <v>3350</v>
      </c>
      <c r="E46" s="8">
        <v>0.95</v>
      </c>
      <c r="F46" s="13">
        <v>3182.5</v>
      </c>
      <c r="G46" s="1">
        <v>106.74</v>
      </c>
      <c r="H46" s="1" t="s">
        <v>2788</v>
      </c>
    </row>
    <row r="47" spans="1:8" x14ac:dyDescent="0.25">
      <c r="A47" s="5">
        <v>39261</v>
      </c>
      <c r="B47" s="6" t="s">
        <v>2789</v>
      </c>
      <c r="C47" s="7" t="s">
        <v>197</v>
      </c>
      <c r="D47" s="7">
        <v>3350</v>
      </c>
      <c r="E47" s="8">
        <v>1.3</v>
      </c>
      <c r="F47" s="13">
        <v>4355</v>
      </c>
      <c r="G47" s="1">
        <v>106.74</v>
      </c>
      <c r="H47" s="1" t="s">
        <v>2790</v>
      </c>
    </row>
    <row r="48" spans="1:8" x14ac:dyDescent="0.25">
      <c r="A48" s="5">
        <v>39266</v>
      </c>
      <c r="B48" s="6" t="s">
        <v>75</v>
      </c>
      <c r="C48" s="7" t="s">
        <v>197</v>
      </c>
      <c r="D48" s="7">
        <v>3350</v>
      </c>
      <c r="E48" s="8">
        <v>2.95</v>
      </c>
      <c r="F48" s="13">
        <v>9882.5</v>
      </c>
      <c r="G48" s="1">
        <v>106.74</v>
      </c>
      <c r="H48" s="1" t="s">
        <v>76</v>
      </c>
    </row>
    <row r="49" spans="1:8" x14ac:dyDescent="0.25">
      <c r="A49" s="5">
        <v>39266</v>
      </c>
      <c r="B49" s="6" t="s">
        <v>75</v>
      </c>
      <c r="C49" s="7" t="s">
        <v>197</v>
      </c>
      <c r="D49" s="7">
        <v>3350</v>
      </c>
      <c r="E49" s="8">
        <v>3.1</v>
      </c>
      <c r="F49" s="13">
        <v>10385</v>
      </c>
      <c r="G49" s="1">
        <v>106.74</v>
      </c>
      <c r="H49" s="1" t="s">
        <v>77</v>
      </c>
    </row>
    <row r="50" spans="1:8" x14ac:dyDescent="0.25">
      <c r="A50" s="5">
        <v>39371</v>
      </c>
      <c r="B50" s="6" t="s">
        <v>78</v>
      </c>
      <c r="C50" s="7" t="s">
        <v>197</v>
      </c>
      <c r="D50" s="7">
        <v>3350</v>
      </c>
      <c r="E50" s="8">
        <v>0.5</v>
      </c>
      <c r="F50" s="13">
        <v>1675</v>
      </c>
      <c r="G50" s="1">
        <v>73.03</v>
      </c>
      <c r="H50" s="1" t="s">
        <v>79</v>
      </c>
    </row>
    <row r="51" spans="1:8" x14ac:dyDescent="0.25">
      <c r="A51" s="5">
        <v>39216</v>
      </c>
      <c r="B51" s="6" t="s">
        <v>80</v>
      </c>
      <c r="C51" s="7" t="s">
        <v>197</v>
      </c>
      <c r="D51" s="7">
        <v>600</v>
      </c>
      <c r="E51" s="8">
        <v>12</v>
      </c>
      <c r="F51" s="13">
        <v>7200</v>
      </c>
      <c r="G51" s="1">
        <v>112.36</v>
      </c>
      <c r="H51" s="1" t="s">
        <v>1396</v>
      </c>
    </row>
    <row r="52" spans="1:8" x14ac:dyDescent="0.25">
      <c r="A52" s="5">
        <v>39218</v>
      </c>
      <c r="B52" s="6" t="s">
        <v>80</v>
      </c>
      <c r="C52" s="7" t="s">
        <v>197</v>
      </c>
      <c r="D52" s="7">
        <v>600</v>
      </c>
      <c r="E52" s="8">
        <v>7.5</v>
      </c>
      <c r="F52" s="13">
        <v>4500</v>
      </c>
      <c r="G52" s="1">
        <v>112.36</v>
      </c>
      <c r="H52" s="1" t="s">
        <v>1397</v>
      </c>
    </row>
    <row r="53" spans="1:8" x14ac:dyDescent="0.25">
      <c r="A53" s="5"/>
      <c r="B53" s="6"/>
      <c r="C53" s="7"/>
      <c r="D53" s="7"/>
      <c r="E53" s="8"/>
      <c r="F53" s="13">
        <f>SUM(F2:F52)</f>
        <v>435855</v>
      </c>
      <c r="G53" s="1">
        <f>SUM(G2:G52)</f>
        <v>8297.6699999999946</v>
      </c>
      <c r="H53" s="136"/>
    </row>
    <row r="54" spans="1:8" x14ac:dyDescent="0.25">
      <c r="A54" s="5"/>
      <c r="B54" s="6"/>
      <c r="C54" s="7"/>
      <c r="D54" s="7"/>
      <c r="E54" s="8"/>
      <c r="F54" s="13" t="s">
        <v>624</v>
      </c>
      <c r="G54" s="13">
        <f>F53+G53</f>
        <v>444152.67</v>
      </c>
      <c r="H54" s="136"/>
    </row>
    <row r="55" spans="1:8" x14ac:dyDescent="0.25">
      <c r="A55" s="5"/>
      <c r="B55" s="6"/>
      <c r="C55" s="7"/>
      <c r="D55" s="7"/>
      <c r="E55" s="8"/>
      <c r="F55" s="13"/>
      <c r="G55" s="137"/>
      <c r="H55" s="136"/>
    </row>
    <row r="56" spans="1:8" x14ac:dyDescent="0.25">
      <c r="A56" s="5">
        <v>39268</v>
      </c>
      <c r="B56" s="6" t="s">
        <v>2380</v>
      </c>
      <c r="C56" s="7" t="s">
        <v>369</v>
      </c>
      <c r="D56" s="7">
        <v>400</v>
      </c>
      <c r="E56" s="8">
        <v>40</v>
      </c>
      <c r="F56" s="13">
        <v>16000</v>
      </c>
      <c r="G56" s="1">
        <v>39.44</v>
      </c>
      <c r="H56" s="1" t="s">
        <v>1398</v>
      </c>
    </row>
    <row r="57" spans="1:8" x14ac:dyDescent="0.25">
      <c r="A57" s="5">
        <v>39269</v>
      </c>
      <c r="B57" s="6" t="s">
        <v>2380</v>
      </c>
      <c r="C57" s="7" t="s">
        <v>369</v>
      </c>
      <c r="D57" s="7">
        <v>800</v>
      </c>
      <c r="E57" s="8">
        <v>49</v>
      </c>
      <c r="F57" s="13">
        <v>39200</v>
      </c>
      <c r="G57" s="1">
        <v>293.58</v>
      </c>
      <c r="H57" s="1" t="s">
        <v>1399</v>
      </c>
    </row>
    <row r="58" spans="1:8" x14ac:dyDescent="0.25">
      <c r="A58" s="5">
        <v>39281</v>
      </c>
      <c r="B58" s="6" t="s">
        <v>2385</v>
      </c>
      <c r="C58" s="7" t="s">
        <v>369</v>
      </c>
      <c r="D58" s="7">
        <v>1200</v>
      </c>
      <c r="E58" s="8">
        <v>49.8</v>
      </c>
      <c r="F58" s="13">
        <v>59760</v>
      </c>
      <c r="G58" s="1">
        <v>448.71</v>
      </c>
      <c r="H58" s="1" t="s">
        <v>1400</v>
      </c>
    </row>
    <row r="59" spans="1:8" x14ac:dyDescent="0.25">
      <c r="A59" s="5">
        <v>39282</v>
      </c>
      <c r="B59" s="6" t="s">
        <v>2435</v>
      </c>
      <c r="C59" s="7" t="s">
        <v>369</v>
      </c>
      <c r="D59" s="7">
        <v>800</v>
      </c>
      <c r="E59" s="8">
        <v>31.8</v>
      </c>
      <c r="F59" s="13">
        <v>25440</v>
      </c>
      <c r="G59" s="1">
        <v>88.64</v>
      </c>
      <c r="H59" s="1" t="s">
        <v>1401</v>
      </c>
    </row>
    <row r="60" spans="1:8" x14ac:dyDescent="0.25">
      <c r="A60" s="5">
        <v>39282</v>
      </c>
      <c r="B60" s="6" t="s">
        <v>2389</v>
      </c>
      <c r="C60" s="7" t="s">
        <v>369</v>
      </c>
      <c r="D60" s="7">
        <v>400</v>
      </c>
      <c r="E60" s="8">
        <v>48.4</v>
      </c>
      <c r="F60" s="13">
        <v>19360</v>
      </c>
      <c r="G60" s="1">
        <v>150.83000000000001</v>
      </c>
      <c r="H60" s="1" t="s">
        <v>1402</v>
      </c>
    </row>
    <row r="61" spans="1:8" x14ac:dyDescent="0.25">
      <c r="A61" s="5">
        <v>39283</v>
      </c>
      <c r="B61" s="6" t="s">
        <v>2437</v>
      </c>
      <c r="C61" s="7" t="s">
        <v>369</v>
      </c>
      <c r="D61" s="7">
        <v>400</v>
      </c>
      <c r="E61" s="8">
        <v>8.1</v>
      </c>
      <c r="F61" s="13">
        <v>3240</v>
      </c>
      <c r="G61" s="1">
        <v>150.81</v>
      </c>
      <c r="H61" s="1" t="s">
        <v>1403</v>
      </c>
    </row>
    <row r="62" spans="1:8" x14ac:dyDescent="0.25">
      <c r="A62" s="5">
        <v>39283</v>
      </c>
      <c r="B62" s="6" t="s">
        <v>2437</v>
      </c>
      <c r="C62" s="7" t="s">
        <v>369</v>
      </c>
      <c r="D62" s="7">
        <v>400</v>
      </c>
      <c r="E62" s="8">
        <v>8.15</v>
      </c>
      <c r="F62" s="13">
        <v>3260</v>
      </c>
      <c r="G62" s="1">
        <v>150.81</v>
      </c>
      <c r="H62" s="1" t="s">
        <v>1404</v>
      </c>
    </row>
    <row r="63" spans="1:8" x14ac:dyDescent="0.25">
      <c r="A63" s="5">
        <v>39288</v>
      </c>
      <c r="B63" s="6" t="s">
        <v>2435</v>
      </c>
      <c r="C63" s="7" t="s">
        <v>369</v>
      </c>
      <c r="D63" s="7">
        <v>400</v>
      </c>
      <c r="E63" s="8">
        <v>22</v>
      </c>
      <c r="F63" s="13">
        <v>8800</v>
      </c>
      <c r="G63" s="1">
        <v>150.4</v>
      </c>
      <c r="H63" s="1" t="s">
        <v>1405</v>
      </c>
    </row>
    <row r="64" spans="1:8" x14ac:dyDescent="0.25">
      <c r="A64" s="5">
        <v>39288</v>
      </c>
      <c r="B64" s="6" t="s">
        <v>2435</v>
      </c>
      <c r="C64" s="7" t="s">
        <v>369</v>
      </c>
      <c r="D64" s="7">
        <v>400</v>
      </c>
      <c r="E64" s="8">
        <v>22</v>
      </c>
      <c r="F64" s="13">
        <v>8800</v>
      </c>
      <c r="G64" s="1">
        <v>150.4</v>
      </c>
      <c r="H64" s="1" t="s">
        <v>1406</v>
      </c>
    </row>
    <row r="65" spans="1:8" x14ac:dyDescent="0.25">
      <c r="A65" s="5">
        <v>39288</v>
      </c>
      <c r="B65" s="6" t="s">
        <v>2435</v>
      </c>
      <c r="C65" s="7" t="s">
        <v>369</v>
      </c>
      <c r="D65" s="7">
        <v>400</v>
      </c>
      <c r="E65" s="8">
        <v>20.9</v>
      </c>
      <c r="F65" s="13">
        <v>8360</v>
      </c>
      <c r="G65" s="1">
        <v>150.32</v>
      </c>
      <c r="H65" s="1" t="s">
        <v>1407</v>
      </c>
    </row>
    <row r="66" spans="1:8" x14ac:dyDescent="0.25">
      <c r="A66" s="5">
        <v>39294</v>
      </c>
      <c r="B66" s="6" t="s">
        <v>2442</v>
      </c>
      <c r="C66" s="7" t="s">
        <v>369</v>
      </c>
      <c r="D66" s="7">
        <v>400</v>
      </c>
      <c r="E66" s="8">
        <v>36</v>
      </c>
      <c r="F66" s="13">
        <v>14400</v>
      </c>
      <c r="G66" s="1">
        <v>149.99</v>
      </c>
      <c r="H66" s="1" t="s">
        <v>1408</v>
      </c>
    </row>
    <row r="67" spans="1:8" x14ac:dyDescent="0.25">
      <c r="A67" s="5">
        <v>39318</v>
      </c>
      <c r="B67" s="6" t="s">
        <v>2447</v>
      </c>
      <c r="C67" s="7" t="s">
        <v>369</v>
      </c>
      <c r="D67" s="7">
        <v>400</v>
      </c>
      <c r="E67" s="8">
        <v>1.55</v>
      </c>
      <c r="F67" s="135">
        <v>620</v>
      </c>
      <c r="G67" s="1">
        <v>149.01</v>
      </c>
      <c r="H67" s="1" t="s">
        <v>1409</v>
      </c>
    </row>
    <row r="68" spans="1:8" x14ac:dyDescent="0.25">
      <c r="A68" s="5">
        <v>39318</v>
      </c>
      <c r="B68" s="6" t="s">
        <v>2444</v>
      </c>
      <c r="C68" s="7" t="s">
        <v>369</v>
      </c>
      <c r="D68" s="7">
        <v>800</v>
      </c>
      <c r="E68" s="8">
        <v>4.0999999999999996</v>
      </c>
      <c r="F68" s="13">
        <v>3280</v>
      </c>
      <c r="G68" s="1">
        <v>292.92</v>
      </c>
      <c r="H68" s="1" t="s">
        <v>1410</v>
      </c>
    </row>
    <row r="69" spans="1:8" x14ac:dyDescent="0.25">
      <c r="A69" s="5">
        <v>39374</v>
      </c>
      <c r="B69" s="6" t="s">
        <v>2449</v>
      </c>
      <c r="C69" s="7" t="s">
        <v>369</v>
      </c>
      <c r="D69" s="7">
        <v>400</v>
      </c>
      <c r="E69" s="8">
        <v>16</v>
      </c>
      <c r="F69" s="13">
        <v>6400</v>
      </c>
      <c r="G69" s="1">
        <v>127.16</v>
      </c>
      <c r="H69" s="1" t="s">
        <v>1411</v>
      </c>
    </row>
    <row r="70" spans="1:8" x14ac:dyDescent="0.25">
      <c r="A70" s="5">
        <v>39266</v>
      </c>
      <c r="B70" s="6" t="s">
        <v>2453</v>
      </c>
      <c r="C70" s="7" t="s">
        <v>369</v>
      </c>
      <c r="D70" s="7">
        <v>2700</v>
      </c>
      <c r="E70" s="8">
        <v>2.15</v>
      </c>
      <c r="F70" s="13">
        <v>5805</v>
      </c>
      <c r="G70" s="1">
        <v>162.81</v>
      </c>
      <c r="H70" s="1" t="s">
        <v>1412</v>
      </c>
    </row>
    <row r="71" spans="1:8" x14ac:dyDescent="0.25">
      <c r="A71" s="5">
        <v>39273</v>
      </c>
      <c r="B71" s="6" t="s">
        <v>2453</v>
      </c>
      <c r="C71" s="7" t="s">
        <v>369</v>
      </c>
      <c r="D71" s="7">
        <v>2700</v>
      </c>
      <c r="E71" s="8">
        <v>3.8</v>
      </c>
      <c r="F71" s="13">
        <v>10260</v>
      </c>
      <c r="G71" s="1">
        <v>163.56</v>
      </c>
      <c r="H71" s="1" t="s">
        <v>1413</v>
      </c>
    </row>
    <row r="72" spans="1:8" x14ac:dyDescent="0.25">
      <c r="A72" s="5">
        <v>39275</v>
      </c>
      <c r="B72" s="6" t="s">
        <v>2456</v>
      </c>
      <c r="C72" s="7" t="s">
        <v>369</v>
      </c>
      <c r="D72" s="7">
        <v>5400</v>
      </c>
      <c r="E72" s="8">
        <v>5.0999999999999996</v>
      </c>
      <c r="F72" s="13">
        <v>27540</v>
      </c>
      <c r="G72" s="1">
        <v>328.32</v>
      </c>
      <c r="H72" s="1" t="s">
        <v>1414</v>
      </c>
    </row>
    <row r="73" spans="1:8" x14ac:dyDescent="0.25">
      <c r="A73" s="5">
        <v>39219</v>
      </c>
      <c r="B73" s="6" t="s">
        <v>2459</v>
      </c>
      <c r="C73" s="7" t="s">
        <v>369</v>
      </c>
      <c r="D73" s="7">
        <v>100</v>
      </c>
      <c r="E73" s="8">
        <v>38</v>
      </c>
      <c r="F73" s="13">
        <v>3800</v>
      </c>
      <c r="G73" s="1">
        <v>147.18</v>
      </c>
      <c r="H73" s="1" t="s">
        <v>107</v>
      </c>
    </row>
    <row r="74" spans="1:8" x14ac:dyDescent="0.25">
      <c r="A74" s="5">
        <v>39247</v>
      </c>
      <c r="B74" s="6" t="s">
        <v>2461</v>
      </c>
      <c r="C74" s="7" t="s">
        <v>369</v>
      </c>
      <c r="D74" s="7">
        <v>200</v>
      </c>
      <c r="E74" s="8">
        <v>76</v>
      </c>
      <c r="F74" s="13">
        <v>15200</v>
      </c>
      <c r="G74" s="1">
        <v>570.64</v>
      </c>
      <c r="H74" s="1" t="s">
        <v>108</v>
      </c>
    </row>
    <row r="75" spans="1:8" x14ac:dyDescent="0.25">
      <c r="A75" s="5">
        <v>39262</v>
      </c>
      <c r="B75" s="6" t="s">
        <v>2771</v>
      </c>
      <c r="C75" s="7" t="s">
        <v>369</v>
      </c>
      <c r="D75" s="7">
        <v>100</v>
      </c>
      <c r="E75" s="8">
        <v>72.5</v>
      </c>
      <c r="F75" s="13">
        <v>7250</v>
      </c>
      <c r="G75" s="1">
        <v>286.12</v>
      </c>
      <c r="H75" s="1" t="s">
        <v>109</v>
      </c>
    </row>
    <row r="76" spans="1:8" x14ac:dyDescent="0.25">
      <c r="A76" s="5">
        <v>39274</v>
      </c>
      <c r="B76" s="6" t="s">
        <v>2773</v>
      </c>
      <c r="C76" s="7" t="s">
        <v>369</v>
      </c>
      <c r="D76" s="7">
        <v>100</v>
      </c>
      <c r="E76" s="8">
        <v>82.8</v>
      </c>
      <c r="F76" s="13">
        <v>8280</v>
      </c>
      <c r="G76" s="1">
        <v>289.69</v>
      </c>
      <c r="H76" s="1" t="s">
        <v>110</v>
      </c>
    </row>
    <row r="77" spans="1:8" x14ac:dyDescent="0.25">
      <c r="A77" s="5">
        <v>39239</v>
      </c>
      <c r="B77" s="6" t="s">
        <v>2783</v>
      </c>
      <c r="C77" s="7" t="s">
        <v>369</v>
      </c>
      <c r="D77" s="7">
        <v>450</v>
      </c>
      <c r="E77" s="8">
        <v>54</v>
      </c>
      <c r="F77" s="13">
        <v>24300</v>
      </c>
      <c r="G77" s="1">
        <v>455.16</v>
      </c>
      <c r="H77" s="1" t="s">
        <v>111</v>
      </c>
    </row>
    <row r="78" spans="1:8" x14ac:dyDescent="0.25">
      <c r="A78" s="5">
        <v>39239</v>
      </c>
      <c r="B78" s="6" t="s">
        <v>2786</v>
      </c>
      <c r="C78" s="7" t="s">
        <v>369</v>
      </c>
      <c r="D78" s="7">
        <v>3350</v>
      </c>
      <c r="E78" s="8">
        <v>0.9</v>
      </c>
      <c r="F78" s="13">
        <v>3015</v>
      </c>
      <c r="G78" s="1">
        <v>158.51</v>
      </c>
      <c r="H78" s="1" t="s">
        <v>112</v>
      </c>
    </row>
    <row r="79" spans="1:8" x14ac:dyDescent="0.25">
      <c r="A79" s="5">
        <v>39239</v>
      </c>
      <c r="B79" s="6" t="s">
        <v>2786</v>
      </c>
      <c r="C79" s="7" t="s">
        <v>369</v>
      </c>
      <c r="D79" s="7">
        <v>3350</v>
      </c>
      <c r="E79" s="8">
        <v>1</v>
      </c>
      <c r="F79" s="13">
        <v>3350</v>
      </c>
      <c r="G79" s="1">
        <v>158.56</v>
      </c>
      <c r="H79" s="1" t="s">
        <v>113</v>
      </c>
    </row>
    <row r="80" spans="1:8" x14ac:dyDescent="0.25">
      <c r="A80" s="5">
        <v>39269</v>
      </c>
      <c r="B80" s="6" t="s">
        <v>75</v>
      </c>
      <c r="C80" s="7" t="s">
        <v>369</v>
      </c>
      <c r="D80" s="7">
        <v>6700</v>
      </c>
      <c r="E80" s="8">
        <v>3.25</v>
      </c>
      <c r="F80" s="13">
        <v>21775</v>
      </c>
      <c r="G80" s="1">
        <v>353.86</v>
      </c>
      <c r="H80" s="1" t="s">
        <v>114</v>
      </c>
    </row>
    <row r="81" spans="1:8" x14ac:dyDescent="0.25">
      <c r="A81" s="5">
        <v>39279</v>
      </c>
      <c r="B81" s="6" t="s">
        <v>2789</v>
      </c>
      <c r="C81" s="7" t="s">
        <v>369</v>
      </c>
      <c r="D81" s="7">
        <v>3350</v>
      </c>
      <c r="E81" s="8">
        <v>0.35</v>
      </c>
      <c r="F81" s="13">
        <v>1172.5</v>
      </c>
      <c r="G81" s="1">
        <v>163.89</v>
      </c>
      <c r="H81" s="1" t="s">
        <v>120</v>
      </c>
    </row>
    <row r="82" spans="1:8" x14ac:dyDescent="0.25">
      <c r="F82" s="138">
        <f>SUM(F56:F81)</f>
        <v>348667.5</v>
      </c>
      <c r="G82" s="139">
        <f>SUM(G56:G81)</f>
        <v>5731.32</v>
      </c>
    </row>
    <row r="83" spans="1:8" x14ac:dyDescent="0.25">
      <c r="F83" s="12" t="s">
        <v>659</v>
      </c>
      <c r="G83" s="138">
        <f>F82-G82</f>
        <v>342936.18</v>
      </c>
    </row>
    <row r="85" spans="1:8" x14ac:dyDescent="0.25">
      <c r="F85" s="17" t="s">
        <v>660</v>
      </c>
      <c r="G85" s="111">
        <f>G83-G54</f>
        <v>-101216.48999999999</v>
      </c>
    </row>
  </sheetData>
  <autoFilter ref="A1:H81"/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227"/>
  <sheetViews>
    <sheetView topLeftCell="A40" workbookViewId="0">
      <selection activeCell="P22" sqref="P22"/>
    </sheetView>
  </sheetViews>
  <sheetFormatPr defaultColWidth="9.21875" defaultRowHeight="13.2" x14ac:dyDescent="0.25"/>
  <cols>
    <col min="1" max="7" width="10.77734375" style="4" customWidth="1"/>
    <col min="8" max="8" width="25.77734375" style="4" customWidth="1"/>
    <col min="9" max="9" width="9.21875" style="4" customWidth="1"/>
    <col min="10" max="10" width="9.21875" style="4"/>
    <col min="11" max="11" width="20.77734375" style="4" customWidth="1"/>
    <col min="12" max="12" width="10.77734375" style="4" customWidth="1"/>
    <col min="13" max="16384" width="9.21875" style="1"/>
  </cols>
  <sheetData>
    <row r="1" spans="1:12" ht="22.8" x14ac:dyDescent="0.25">
      <c r="A1" s="140" t="s">
        <v>184</v>
      </c>
      <c r="B1" s="140" t="s">
        <v>185</v>
      </c>
      <c r="C1" s="140" t="s">
        <v>186</v>
      </c>
      <c r="D1" s="140" t="s">
        <v>187</v>
      </c>
      <c r="E1" s="140" t="s">
        <v>188</v>
      </c>
      <c r="F1" s="140" t="s">
        <v>189</v>
      </c>
      <c r="G1" s="140" t="s">
        <v>190</v>
      </c>
      <c r="H1" s="140" t="s">
        <v>191</v>
      </c>
      <c r="I1" s="140" t="s">
        <v>192</v>
      </c>
      <c r="J1" s="140" t="s">
        <v>193</v>
      </c>
      <c r="K1" s="140" t="s">
        <v>194</v>
      </c>
      <c r="L1" s="140" t="s">
        <v>195</v>
      </c>
    </row>
    <row r="2" spans="1:12" x14ac:dyDescent="0.25">
      <c r="A2" s="114" t="s">
        <v>1054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</row>
    <row r="3" spans="1:12" x14ac:dyDescent="0.25">
      <c r="A3" s="141" t="s">
        <v>121</v>
      </c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</row>
    <row r="4" spans="1:12" x14ac:dyDescent="0.25">
      <c r="A4" s="114" t="s">
        <v>122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</row>
    <row r="5" spans="1:12" x14ac:dyDescent="0.25">
      <c r="A5" s="142">
        <v>39157</v>
      </c>
      <c r="B5" s="143" t="s">
        <v>1697</v>
      </c>
      <c r="C5" s="143" t="s">
        <v>197</v>
      </c>
      <c r="D5" s="143">
        <v>40</v>
      </c>
      <c r="E5" s="143">
        <v>713.5</v>
      </c>
      <c r="F5" s="144">
        <v>28540</v>
      </c>
      <c r="G5" s="4">
        <v>275.93</v>
      </c>
      <c r="H5" s="4" t="s">
        <v>123</v>
      </c>
      <c r="I5" s="4">
        <v>2007051</v>
      </c>
      <c r="J5" s="143" t="s">
        <v>199</v>
      </c>
      <c r="K5" s="4" t="s">
        <v>1051</v>
      </c>
      <c r="L5" s="143" t="s">
        <v>201</v>
      </c>
    </row>
    <row r="6" spans="1:12" x14ac:dyDescent="0.25">
      <c r="A6" s="142">
        <v>39143</v>
      </c>
      <c r="B6" s="143" t="s">
        <v>205</v>
      </c>
      <c r="C6" s="143" t="s">
        <v>197</v>
      </c>
      <c r="D6" s="143">
        <v>7</v>
      </c>
      <c r="E6" s="144">
        <v>1343</v>
      </c>
      <c r="F6" s="144">
        <v>9401</v>
      </c>
      <c r="G6" s="4">
        <v>90.89</v>
      </c>
      <c r="H6" s="4" t="s">
        <v>124</v>
      </c>
      <c r="I6" s="4">
        <v>2007041</v>
      </c>
      <c r="J6" s="143" t="s">
        <v>199</v>
      </c>
      <c r="K6" s="4" t="s">
        <v>1051</v>
      </c>
      <c r="L6" s="143" t="s">
        <v>201</v>
      </c>
    </row>
    <row r="7" spans="1:12" x14ac:dyDescent="0.25">
      <c r="A7" s="142">
        <v>39142</v>
      </c>
      <c r="B7" s="143" t="s">
        <v>1697</v>
      </c>
      <c r="C7" s="143" t="s">
        <v>197</v>
      </c>
      <c r="D7" s="143">
        <v>8</v>
      </c>
      <c r="E7" s="143">
        <v>703</v>
      </c>
      <c r="F7" s="144">
        <v>5624</v>
      </c>
      <c r="G7" s="4">
        <v>54.37</v>
      </c>
      <c r="H7" s="4" t="s">
        <v>125</v>
      </c>
      <c r="I7" s="4">
        <v>2007040</v>
      </c>
      <c r="J7" s="143" t="s">
        <v>199</v>
      </c>
      <c r="K7" s="4" t="s">
        <v>1051</v>
      </c>
      <c r="L7" s="143" t="s">
        <v>201</v>
      </c>
    </row>
    <row r="8" spans="1:12" x14ac:dyDescent="0.25">
      <c r="A8" s="142">
        <v>39140</v>
      </c>
      <c r="B8" s="143" t="s">
        <v>1697</v>
      </c>
      <c r="C8" s="143" t="s">
        <v>197</v>
      </c>
      <c r="D8" s="143">
        <v>2</v>
      </c>
      <c r="E8" s="143">
        <v>722.95</v>
      </c>
      <c r="F8" s="144">
        <v>1445.9</v>
      </c>
      <c r="G8" s="4">
        <v>29.87</v>
      </c>
      <c r="H8" s="4" t="s">
        <v>126</v>
      </c>
      <c r="I8" s="4">
        <v>2007038</v>
      </c>
      <c r="J8" s="143" t="s">
        <v>199</v>
      </c>
      <c r="K8" s="4" t="s">
        <v>1051</v>
      </c>
      <c r="L8" s="143" t="s">
        <v>201</v>
      </c>
    </row>
    <row r="9" spans="1:12" x14ac:dyDescent="0.25">
      <c r="A9" s="142">
        <v>39136</v>
      </c>
      <c r="B9" s="143" t="s">
        <v>1697</v>
      </c>
      <c r="C9" s="143" t="s">
        <v>197</v>
      </c>
      <c r="D9" s="143">
        <v>10</v>
      </c>
      <c r="E9" s="143">
        <v>756</v>
      </c>
      <c r="F9" s="144">
        <v>7560</v>
      </c>
      <c r="G9" s="4">
        <v>73.09</v>
      </c>
      <c r="H9" s="4" t="s">
        <v>127</v>
      </c>
      <c r="I9" s="4">
        <v>2007036</v>
      </c>
      <c r="J9" s="143" t="s">
        <v>199</v>
      </c>
      <c r="K9" s="4" t="s">
        <v>1051</v>
      </c>
      <c r="L9" s="143" t="s">
        <v>201</v>
      </c>
    </row>
    <row r="10" spans="1:12" x14ac:dyDescent="0.25">
      <c r="A10" s="142">
        <v>39133</v>
      </c>
      <c r="B10" s="143" t="s">
        <v>205</v>
      </c>
      <c r="C10" s="143" t="s">
        <v>197</v>
      </c>
      <c r="D10" s="143">
        <v>7</v>
      </c>
      <c r="E10" s="144">
        <v>1434.09</v>
      </c>
      <c r="F10" s="144">
        <v>10038.6</v>
      </c>
      <c r="G10" s="4">
        <v>97.05</v>
      </c>
      <c r="H10" s="4" t="s">
        <v>128</v>
      </c>
      <c r="I10" s="4">
        <v>2007033</v>
      </c>
      <c r="J10" s="143" t="s">
        <v>199</v>
      </c>
      <c r="K10" s="4" t="s">
        <v>1051</v>
      </c>
      <c r="L10" s="143" t="s">
        <v>201</v>
      </c>
    </row>
    <row r="11" spans="1:12" x14ac:dyDescent="0.25">
      <c r="A11" s="142">
        <v>39126</v>
      </c>
      <c r="B11" s="143" t="s">
        <v>1697</v>
      </c>
      <c r="C11" s="143" t="s">
        <v>197</v>
      </c>
      <c r="D11" s="143">
        <v>20</v>
      </c>
      <c r="E11" s="143">
        <v>740</v>
      </c>
      <c r="F11" s="144">
        <v>14800</v>
      </c>
      <c r="G11" s="4">
        <v>143.09</v>
      </c>
      <c r="H11" s="4" t="s">
        <v>1456</v>
      </c>
      <c r="I11" s="4">
        <v>2007029</v>
      </c>
      <c r="J11" s="143" t="s">
        <v>199</v>
      </c>
      <c r="K11" s="4" t="s">
        <v>1051</v>
      </c>
      <c r="L11" s="143" t="s">
        <v>201</v>
      </c>
    </row>
    <row r="12" spans="1:12" x14ac:dyDescent="0.25">
      <c r="A12" s="142">
        <v>39084</v>
      </c>
      <c r="B12" s="143" t="s">
        <v>2261</v>
      </c>
      <c r="C12" s="143" t="s">
        <v>197</v>
      </c>
      <c r="D12" s="143">
        <v>10</v>
      </c>
      <c r="E12" s="144">
        <v>1257</v>
      </c>
      <c r="F12" s="144">
        <v>12570</v>
      </c>
      <c r="G12" s="4">
        <v>121.52</v>
      </c>
      <c r="H12" s="4" t="s">
        <v>1457</v>
      </c>
      <c r="I12" s="4">
        <v>2007001</v>
      </c>
      <c r="J12" s="143" t="s">
        <v>199</v>
      </c>
      <c r="K12" s="4" t="s">
        <v>1051</v>
      </c>
      <c r="L12" s="143" t="s">
        <v>201</v>
      </c>
    </row>
    <row r="13" spans="1:12" x14ac:dyDescent="0.25">
      <c r="A13" s="142">
        <v>39070</v>
      </c>
      <c r="B13" s="143" t="s">
        <v>1113</v>
      </c>
      <c r="C13" s="143" t="s">
        <v>197</v>
      </c>
      <c r="D13" s="143">
        <v>30</v>
      </c>
      <c r="E13" s="143">
        <v>136.69999999999999</v>
      </c>
      <c r="F13" s="144">
        <v>4101</v>
      </c>
      <c r="G13" s="4">
        <v>39.65</v>
      </c>
      <c r="H13" s="4" t="s">
        <v>1458</v>
      </c>
      <c r="I13" s="4">
        <v>2006241</v>
      </c>
      <c r="J13" s="143" t="s">
        <v>199</v>
      </c>
      <c r="K13" s="4" t="s">
        <v>1051</v>
      </c>
      <c r="L13" s="143" t="s">
        <v>201</v>
      </c>
    </row>
    <row r="14" spans="1:12" x14ac:dyDescent="0.25">
      <c r="A14" s="142">
        <v>39070</v>
      </c>
      <c r="B14" s="143" t="s">
        <v>1697</v>
      </c>
      <c r="C14" s="143" t="s">
        <v>197</v>
      </c>
      <c r="D14" s="143">
        <v>10</v>
      </c>
      <c r="E14" s="143">
        <v>600</v>
      </c>
      <c r="F14" s="144">
        <v>6000</v>
      </c>
      <c r="G14" s="4">
        <v>58.01</v>
      </c>
      <c r="H14" s="4" t="s">
        <v>1459</v>
      </c>
      <c r="I14" s="4">
        <v>2006241</v>
      </c>
      <c r="J14" s="143" t="s">
        <v>199</v>
      </c>
      <c r="K14" s="4" t="s">
        <v>1051</v>
      </c>
      <c r="L14" s="143" t="s">
        <v>201</v>
      </c>
    </row>
    <row r="15" spans="1:12" x14ac:dyDescent="0.25">
      <c r="A15" s="142">
        <v>39064</v>
      </c>
      <c r="B15" s="143" t="s">
        <v>1697</v>
      </c>
      <c r="C15" s="143" t="s">
        <v>197</v>
      </c>
      <c r="D15" s="143">
        <v>10</v>
      </c>
      <c r="E15" s="143">
        <v>597</v>
      </c>
      <c r="F15" s="144">
        <v>5970</v>
      </c>
      <c r="G15" s="4">
        <v>57.72</v>
      </c>
      <c r="H15" s="4" t="s">
        <v>1460</v>
      </c>
      <c r="I15" s="4">
        <v>2006237</v>
      </c>
      <c r="J15" s="143" t="s">
        <v>199</v>
      </c>
      <c r="K15" s="4" t="s">
        <v>1051</v>
      </c>
      <c r="L15" s="143" t="s">
        <v>201</v>
      </c>
    </row>
    <row r="16" spans="1:12" x14ac:dyDescent="0.25">
      <c r="A16" s="142">
        <v>39063</v>
      </c>
      <c r="B16" s="143" t="s">
        <v>205</v>
      </c>
      <c r="C16" s="143" t="s">
        <v>197</v>
      </c>
      <c r="D16" s="143">
        <v>5</v>
      </c>
      <c r="E16" s="144">
        <v>1250</v>
      </c>
      <c r="F16" s="144">
        <v>6250</v>
      </c>
      <c r="G16" s="4">
        <v>60.42</v>
      </c>
      <c r="H16" s="4" t="s">
        <v>1461</v>
      </c>
      <c r="I16" s="4">
        <v>2006236</v>
      </c>
      <c r="J16" s="143" t="s">
        <v>199</v>
      </c>
      <c r="K16" s="4" t="s">
        <v>1051</v>
      </c>
      <c r="L16" s="143" t="s">
        <v>201</v>
      </c>
    </row>
    <row r="17" spans="1:12" x14ac:dyDescent="0.25">
      <c r="A17" s="142">
        <v>39056</v>
      </c>
      <c r="B17" s="143" t="s">
        <v>1113</v>
      </c>
      <c r="C17" s="143" t="s">
        <v>197</v>
      </c>
      <c r="D17" s="143">
        <v>30</v>
      </c>
      <c r="E17" s="143">
        <v>151.35</v>
      </c>
      <c r="F17" s="144">
        <v>4540.5</v>
      </c>
      <c r="G17" s="4">
        <v>43.9</v>
      </c>
      <c r="H17" s="4" t="s">
        <v>1462</v>
      </c>
      <c r="I17" s="4">
        <v>2006231</v>
      </c>
      <c r="J17" s="143" t="s">
        <v>199</v>
      </c>
      <c r="K17" s="4" t="s">
        <v>1051</v>
      </c>
      <c r="L17" s="143" t="s">
        <v>201</v>
      </c>
    </row>
    <row r="18" spans="1:12" x14ac:dyDescent="0.25">
      <c r="A18" s="142">
        <v>39044</v>
      </c>
      <c r="B18" s="143" t="s">
        <v>1463</v>
      </c>
      <c r="C18" s="143" t="s">
        <v>197</v>
      </c>
      <c r="D18" s="143">
        <v>60</v>
      </c>
      <c r="E18" s="143">
        <v>179.1</v>
      </c>
      <c r="F18" s="144">
        <v>10746</v>
      </c>
      <c r="G18" s="4">
        <v>103.89</v>
      </c>
      <c r="H18" s="4" t="s">
        <v>137</v>
      </c>
      <c r="I18" s="4">
        <v>2006223</v>
      </c>
      <c r="J18" s="143" t="s">
        <v>199</v>
      </c>
      <c r="K18" s="4" t="s">
        <v>1051</v>
      </c>
      <c r="L18" s="143" t="s">
        <v>201</v>
      </c>
    </row>
    <row r="19" spans="1:12" x14ac:dyDescent="0.25">
      <c r="A19" s="142">
        <v>39041</v>
      </c>
      <c r="B19" s="143" t="s">
        <v>1463</v>
      </c>
      <c r="C19" s="143" t="s">
        <v>197</v>
      </c>
      <c r="D19" s="143">
        <v>40</v>
      </c>
      <c r="E19" s="143">
        <v>176.8</v>
      </c>
      <c r="F19" s="144">
        <v>7072</v>
      </c>
      <c r="G19" s="4">
        <v>68.37</v>
      </c>
      <c r="H19" s="4" t="s">
        <v>139</v>
      </c>
      <c r="I19" s="4">
        <v>2006220</v>
      </c>
      <c r="J19" s="143" t="s">
        <v>199</v>
      </c>
      <c r="K19" s="4" t="s">
        <v>1051</v>
      </c>
      <c r="L19" s="143" t="s">
        <v>201</v>
      </c>
    </row>
    <row r="20" spans="1:12" x14ac:dyDescent="0.25">
      <c r="A20" s="142">
        <v>39038</v>
      </c>
      <c r="B20" s="143" t="s">
        <v>1551</v>
      </c>
      <c r="C20" s="143" t="s">
        <v>197</v>
      </c>
      <c r="D20" s="143">
        <v>5</v>
      </c>
      <c r="E20" s="144">
        <v>2180</v>
      </c>
      <c r="F20" s="144">
        <v>10900</v>
      </c>
      <c r="G20" s="4">
        <v>105.39</v>
      </c>
      <c r="H20" s="4" t="s">
        <v>140</v>
      </c>
      <c r="I20" s="4">
        <v>2006219</v>
      </c>
      <c r="J20" s="143" t="s">
        <v>199</v>
      </c>
      <c r="K20" s="4" t="s">
        <v>1051</v>
      </c>
      <c r="L20" s="143" t="s">
        <v>201</v>
      </c>
    </row>
    <row r="21" spans="1:12" x14ac:dyDescent="0.25">
      <c r="A21" s="142">
        <v>39038</v>
      </c>
      <c r="B21" s="143" t="s">
        <v>2261</v>
      </c>
      <c r="C21" s="143" t="s">
        <v>197</v>
      </c>
      <c r="D21" s="143">
        <v>10</v>
      </c>
      <c r="E21" s="144">
        <v>1089.9000000000001</v>
      </c>
      <c r="F21" s="144">
        <v>10899</v>
      </c>
      <c r="G21" s="4">
        <v>105.37</v>
      </c>
      <c r="H21" s="4" t="s">
        <v>141</v>
      </c>
      <c r="I21" s="4">
        <v>2006219</v>
      </c>
      <c r="J21" s="143" t="s">
        <v>199</v>
      </c>
      <c r="K21" s="4" t="s">
        <v>1051</v>
      </c>
      <c r="L21" s="143" t="s">
        <v>201</v>
      </c>
    </row>
    <row r="22" spans="1:12" x14ac:dyDescent="0.25">
      <c r="A22" s="142">
        <v>39035</v>
      </c>
      <c r="B22" s="143" t="s">
        <v>142</v>
      </c>
      <c r="C22" s="143" t="s">
        <v>197</v>
      </c>
      <c r="D22" s="143">
        <v>15</v>
      </c>
      <c r="E22" s="143">
        <v>711</v>
      </c>
      <c r="F22" s="144">
        <v>10665</v>
      </c>
      <c r="G22" s="4">
        <v>103.11</v>
      </c>
      <c r="H22" s="4" t="s">
        <v>143</v>
      </c>
      <c r="I22" s="4">
        <v>2006216</v>
      </c>
      <c r="J22" s="143" t="s">
        <v>199</v>
      </c>
      <c r="K22" s="4" t="s">
        <v>1051</v>
      </c>
      <c r="L22" s="143" t="s">
        <v>201</v>
      </c>
    </row>
    <row r="23" spans="1:12" x14ac:dyDescent="0.25">
      <c r="A23" s="142">
        <v>39009</v>
      </c>
      <c r="B23" s="143" t="s">
        <v>1983</v>
      </c>
      <c r="C23" s="143" t="s">
        <v>197</v>
      </c>
      <c r="D23" s="143">
        <v>10</v>
      </c>
      <c r="E23" s="143">
        <v>766.55</v>
      </c>
      <c r="F23" s="144">
        <v>7665.45</v>
      </c>
      <c r="G23" s="4">
        <v>74.11</v>
      </c>
      <c r="H23" s="4" t="s">
        <v>144</v>
      </c>
      <c r="I23" s="4">
        <v>2006199</v>
      </c>
      <c r="J23" s="143" t="s">
        <v>199</v>
      </c>
      <c r="K23" s="4" t="s">
        <v>1051</v>
      </c>
      <c r="L23" s="143" t="s">
        <v>201</v>
      </c>
    </row>
    <row r="24" spans="1:12" x14ac:dyDescent="0.25">
      <c r="A24" s="142">
        <v>39002</v>
      </c>
      <c r="B24" s="143" t="s">
        <v>1551</v>
      </c>
      <c r="C24" s="143" t="s">
        <v>197</v>
      </c>
      <c r="D24" s="143">
        <v>1</v>
      </c>
      <c r="E24" s="144">
        <v>2014</v>
      </c>
      <c r="F24" s="144">
        <v>2014</v>
      </c>
      <c r="G24" s="4">
        <v>30.58</v>
      </c>
      <c r="H24" s="4" t="s">
        <v>145</v>
      </c>
      <c r="I24" s="4">
        <v>2006194</v>
      </c>
      <c r="J24" s="143" t="s">
        <v>199</v>
      </c>
      <c r="K24" s="4" t="s">
        <v>1051</v>
      </c>
      <c r="L24" s="143" t="s">
        <v>201</v>
      </c>
    </row>
    <row r="25" spans="1:12" x14ac:dyDescent="0.25">
      <c r="A25" s="142">
        <v>38923</v>
      </c>
      <c r="B25" s="143" t="s">
        <v>1463</v>
      </c>
      <c r="C25" s="143" t="s">
        <v>197</v>
      </c>
      <c r="D25" s="143">
        <v>40</v>
      </c>
      <c r="E25" s="143">
        <v>163.25</v>
      </c>
      <c r="F25" s="144">
        <v>6530</v>
      </c>
      <c r="G25" s="4">
        <v>63.13</v>
      </c>
      <c r="H25" s="4" t="s">
        <v>146</v>
      </c>
      <c r="I25" s="4">
        <v>2006139</v>
      </c>
      <c r="J25" s="143" t="s">
        <v>199</v>
      </c>
      <c r="K25" s="4" t="s">
        <v>1051</v>
      </c>
      <c r="L25" s="143" t="s">
        <v>201</v>
      </c>
    </row>
    <row r="26" spans="1:12" x14ac:dyDescent="0.25">
      <c r="A26" s="142">
        <v>38916</v>
      </c>
      <c r="B26" s="143" t="s">
        <v>211</v>
      </c>
      <c r="C26" s="143" t="s">
        <v>197</v>
      </c>
      <c r="D26" s="143">
        <v>20</v>
      </c>
      <c r="E26" s="143">
        <v>320</v>
      </c>
      <c r="F26" s="144">
        <v>6400</v>
      </c>
      <c r="G26" s="4">
        <v>61.88</v>
      </c>
      <c r="H26" s="4" t="s">
        <v>147</v>
      </c>
      <c r="I26" s="4">
        <v>2006134</v>
      </c>
      <c r="J26" s="143" t="s">
        <v>199</v>
      </c>
      <c r="K26" s="4" t="s">
        <v>1051</v>
      </c>
      <c r="L26" s="143" t="s">
        <v>201</v>
      </c>
    </row>
    <row r="27" spans="1:12" x14ac:dyDescent="0.25">
      <c r="A27" s="142">
        <v>38905</v>
      </c>
      <c r="B27" s="143" t="s">
        <v>2222</v>
      </c>
      <c r="C27" s="143" t="s">
        <v>197</v>
      </c>
      <c r="D27" s="143">
        <v>200</v>
      </c>
      <c r="E27" s="143">
        <v>62.1</v>
      </c>
      <c r="F27" s="144">
        <v>12420</v>
      </c>
      <c r="G27" s="4">
        <v>120.09</v>
      </c>
      <c r="H27" s="4" t="s">
        <v>148</v>
      </c>
      <c r="I27" s="4">
        <v>2006127</v>
      </c>
      <c r="J27" s="143" t="s">
        <v>199</v>
      </c>
      <c r="K27" s="4" t="s">
        <v>1051</v>
      </c>
      <c r="L27" s="143" t="s">
        <v>201</v>
      </c>
    </row>
    <row r="28" spans="1:12" x14ac:dyDescent="0.25">
      <c r="A28" s="142">
        <v>38903</v>
      </c>
      <c r="B28" s="143" t="s">
        <v>211</v>
      </c>
      <c r="C28" s="143" t="s">
        <v>197</v>
      </c>
      <c r="D28" s="143">
        <v>20</v>
      </c>
      <c r="E28" s="143">
        <v>344.9</v>
      </c>
      <c r="F28" s="144">
        <v>6898</v>
      </c>
      <c r="G28" s="4">
        <v>66.69</v>
      </c>
      <c r="H28" s="4" t="s">
        <v>149</v>
      </c>
      <c r="I28" s="4">
        <v>2006125</v>
      </c>
      <c r="J28" s="143" t="s">
        <v>199</v>
      </c>
      <c r="K28" s="4" t="s">
        <v>1051</v>
      </c>
      <c r="L28" s="143" t="s">
        <v>201</v>
      </c>
    </row>
    <row r="29" spans="1:12" x14ac:dyDescent="0.25">
      <c r="A29" s="142"/>
      <c r="B29" s="143"/>
      <c r="C29" s="143"/>
      <c r="D29" s="143">
        <f>SUM(D5:D28)</f>
        <v>610</v>
      </c>
      <c r="E29" s="143"/>
      <c r="F29" s="144">
        <f>SUM(F5:F28)</f>
        <v>209050.45</v>
      </c>
      <c r="G29" s="4">
        <f>SUM(G5:G28)</f>
        <v>2048.12</v>
      </c>
      <c r="H29" s="145"/>
      <c r="I29" s="145"/>
      <c r="J29" s="143"/>
      <c r="K29" s="145"/>
      <c r="L29" s="143"/>
    </row>
    <row r="30" spans="1:12" x14ac:dyDescent="0.25">
      <c r="A30" s="142"/>
      <c r="B30" s="143"/>
      <c r="C30" s="143"/>
      <c r="D30" s="143"/>
      <c r="E30" s="143"/>
      <c r="F30" s="144" t="s">
        <v>150</v>
      </c>
      <c r="G30" s="144">
        <f>F29+G29</f>
        <v>211098.57</v>
      </c>
      <c r="H30" s="145"/>
      <c r="I30" s="145"/>
      <c r="J30" s="143"/>
      <c r="K30" s="145"/>
      <c r="L30" s="143"/>
    </row>
    <row r="31" spans="1:12" x14ac:dyDescent="0.25">
      <c r="A31" s="114" t="s">
        <v>151</v>
      </c>
      <c r="B31" s="143"/>
      <c r="C31" s="143"/>
      <c r="D31" s="143"/>
      <c r="E31" s="143"/>
      <c r="F31" s="144"/>
      <c r="G31" s="145"/>
      <c r="H31" s="145"/>
      <c r="I31" s="145"/>
      <c r="J31" s="143"/>
      <c r="K31" s="145"/>
      <c r="L31" s="143"/>
    </row>
    <row r="32" spans="1:12" x14ac:dyDescent="0.25">
      <c r="A32" s="142">
        <v>39169</v>
      </c>
      <c r="B32" s="143" t="s">
        <v>205</v>
      </c>
      <c r="C32" s="143" t="s">
        <v>369</v>
      </c>
      <c r="D32" s="143">
        <v>7</v>
      </c>
      <c r="E32" s="144">
        <v>1359</v>
      </c>
      <c r="F32" s="144">
        <v>9513</v>
      </c>
      <c r="G32" s="4">
        <v>91.97</v>
      </c>
      <c r="H32" s="4" t="s">
        <v>152</v>
      </c>
      <c r="I32" s="4">
        <v>2007058</v>
      </c>
      <c r="J32" s="143" t="s">
        <v>199</v>
      </c>
      <c r="K32" s="4" t="s">
        <v>1051</v>
      </c>
      <c r="L32" s="143" t="s">
        <v>201</v>
      </c>
    </row>
    <row r="33" spans="1:12" x14ac:dyDescent="0.25">
      <c r="A33" s="142">
        <v>39164</v>
      </c>
      <c r="B33" s="143" t="s">
        <v>205</v>
      </c>
      <c r="C33" s="143" t="s">
        <v>369</v>
      </c>
      <c r="D33" s="143">
        <v>7</v>
      </c>
      <c r="E33" s="144">
        <v>1372</v>
      </c>
      <c r="F33" s="144">
        <v>9604</v>
      </c>
      <c r="G33" s="4">
        <v>92.86</v>
      </c>
      <c r="H33" s="4" t="s">
        <v>153</v>
      </c>
      <c r="I33" s="4">
        <v>2007056</v>
      </c>
      <c r="J33" s="143" t="s">
        <v>199</v>
      </c>
      <c r="K33" s="4" t="s">
        <v>1051</v>
      </c>
      <c r="L33" s="143" t="s">
        <v>201</v>
      </c>
    </row>
    <row r="34" spans="1:12" x14ac:dyDescent="0.25">
      <c r="A34" s="142">
        <v>39164</v>
      </c>
      <c r="B34" s="143" t="s">
        <v>2261</v>
      </c>
      <c r="C34" s="143" t="s">
        <v>369</v>
      </c>
      <c r="D34" s="143">
        <v>10</v>
      </c>
      <c r="E34" s="144">
        <v>1303</v>
      </c>
      <c r="F34" s="144">
        <v>13030</v>
      </c>
      <c r="G34" s="4">
        <v>125.98</v>
      </c>
      <c r="H34" s="4" t="s">
        <v>154</v>
      </c>
      <c r="I34" s="4">
        <v>2007056</v>
      </c>
      <c r="J34" s="143" t="s">
        <v>199</v>
      </c>
      <c r="K34" s="4" t="s">
        <v>1051</v>
      </c>
      <c r="L34" s="143" t="s">
        <v>201</v>
      </c>
    </row>
    <row r="35" spans="1:12" x14ac:dyDescent="0.25">
      <c r="A35" s="142">
        <v>39164</v>
      </c>
      <c r="B35" s="143" t="s">
        <v>1697</v>
      </c>
      <c r="C35" s="143" t="s">
        <v>369</v>
      </c>
      <c r="D35" s="143">
        <v>40</v>
      </c>
      <c r="E35" s="143">
        <v>787</v>
      </c>
      <c r="F35" s="144">
        <v>31480</v>
      </c>
      <c r="G35" s="4">
        <v>304.35000000000002</v>
      </c>
      <c r="H35" s="4" t="s">
        <v>155</v>
      </c>
      <c r="I35" s="4">
        <v>2007056</v>
      </c>
      <c r="J35" s="143" t="s">
        <v>199</v>
      </c>
      <c r="K35" s="4" t="s">
        <v>1051</v>
      </c>
      <c r="L35" s="143" t="s">
        <v>201</v>
      </c>
    </row>
    <row r="36" spans="1:12" x14ac:dyDescent="0.25">
      <c r="A36" s="142">
        <v>39162</v>
      </c>
      <c r="B36" s="143" t="s">
        <v>205</v>
      </c>
      <c r="C36" s="143" t="s">
        <v>369</v>
      </c>
      <c r="D36" s="143">
        <v>3</v>
      </c>
      <c r="E36" s="144">
        <v>1320</v>
      </c>
      <c r="F36" s="144">
        <v>3960</v>
      </c>
      <c r="G36" s="4">
        <v>38.29</v>
      </c>
      <c r="H36" s="4" t="s">
        <v>156</v>
      </c>
      <c r="I36" s="4">
        <v>2007054</v>
      </c>
      <c r="J36" s="143" t="s">
        <v>199</v>
      </c>
      <c r="K36" s="4" t="s">
        <v>1051</v>
      </c>
      <c r="L36" s="143" t="s">
        <v>201</v>
      </c>
    </row>
    <row r="37" spans="1:12" x14ac:dyDescent="0.25">
      <c r="A37" s="142">
        <v>39160</v>
      </c>
      <c r="B37" s="143" t="s">
        <v>205</v>
      </c>
      <c r="C37" s="143" t="s">
        <v>369</v>
      </c>
      <c r="D37" s="143">
        <v>2</v>
      </c>
      <c r="E37" s="144">
        <v>1301</v>
      </c>
      <c r="F37" s="144">
        <v>2602</v>
      </c>
      <c r="G37" s="4">
        <v>31.31</v>
      </c>
      <c r="H37" s="4" t="s">
        <v>157</v>
      </c>
      <c r="I37" s="4">
        <v>2007052</v>
      </c>
      <c r="J37" s="143" t="s">
        <v>199</v>
      </c>
      <c r="K37" s="4" t="s">
        <v>1051</v>
      </c>
      <c r="L37" s="143" t="s">
        <v>201</v>
      </c>
    </row>
    <row r="38" spans="1:12" x14ac:dyDescent="0.25">
      <c r="A38" s="142">
        <v>39149</v>
      </c>
      <c r="B38" s="143" t="s">
        <v>1697</v>
      </c>
      <c r="C38" s="143" t="s">
        <v>369</v>
      </c>
      <c r="D38" s="143">
        <v>40</v>
      </c>
      <c r="E38" s="143">
        <v>746.9</v>
      </c>
      <c r="F38" s="144">
        <v>29876</v>
      </c>
      <c r="G38" s="4">
        <v>288.85000000000002</v>
      </c>
      <c r="H38" s="4" t="s">
        <v>158</v>
      </c>
      <c r="I38" s="4">
        <v>2007045</v>
      </c>
      <c r="J38" s="143" t="s">
        <v>199</v>
      </c>
      <c r="K38" s="4" t="s">
        <v>1051</v>
      </c>
      <c r="L38" s="143" t="s">
        <v>201</v>
      </c>
    </row>
    <row r="39" spans="1:12" x14ac:dyDescent="0.25">
      <c r="A39" s="142">
        <v>39094</v>
      </c>
      <c r="B39" s="143" t="s">
        <v>1113</v>
      </c>
      <c r="C39" s="143" t="s">
        <v>369</v>
      </c>
      <c r="D39" s="143">
        <v>60</v>
      </c>
      <c r="E39" s="143">
        <v>139.6</v>
      </c>
      <c r="F39" s="144">
        <v>8376</v>
      </c>
      <c r="G39" s="4">
        <v>80.98</v>
      </c>
      <c r="H39" s="4" t="s">
        <v>159</v>
      </c>
      <c r="I39" s="4">
        <v>2007009</v>
      </c>
      <c r="J39" s="143" t="s">
        <v>199</v>
      </c>
      <c r="K39" s="4" t="s">
        <v>1051</v>
      </c>
      <c r="L39" s="143" t="s">
        <v>201</v>
      </c>
    </row>
    <row r="40" spans="1:12" x14ac:dyDescent="0.25">
      <c r="A40" s="142">
        <v>39079</v>
      </c>
      <c r="B40" s="143" t="s">
        <v>2261</v>
      </c>
      <c r="C40" s="143" t="s">
        <v>369</v>
      </c>
      <c r="D40" s="143">
        <v>10</v>
      </c>
      <c r="E40" s="144">
        <v>1205</v>
      </c>
      <c r="F40" s="144">
        <v>12050</v>
      </c>
      <c r="G40" s="4">
        <v>116.5</v>
      </c>
      <c r="H40" s="4" t="s">
        <v>160</v>
      </c>
      <c r="I40" s="4">
        <v>2006247</v>
      </c>
      <c r="J40" s="143" t="s">
        <v>199</v>
      </c>
      <c r="K40" s="4" t="s">
        <v>1051</v>
      </c>
      <c r="L40" s="143" t="s">
        <v>201</v>
      </c>
    </row>
    <row r="41" spans="1:12" x14ac:dyDescent="0.25">
      <c r="A41" s="142">
        <v>39077</v>
      </c>
      <c r="B41" s="143" t="s">
        <v>1697</v>
      </c>
      <c r="C41" s="143" t="s">
        <v>369</v>
      </c>
      <c r="D41" s="143">
        <v>20</v>
      </c>
      <c r="E41" s="143">
        <v>620</v>
      </c>
      <c r="F41" s="144">
        <v>12400</v>
      </c>
      <c r="G41" s="4">
        <v>119.88</v>
      </c>
      <c r="H41" s="4" t="s">
        <v>161</v>
      </c>
      <c r="I41" s="4">
        <v>2006245</v>
      </c>
      <c r="J41" s="143" t="s">
        <v>199</v>
      </c>
      <c r="K41" s="4" t="s">
        <v>1051</v>
      </c>
      <c r="L41" s="143" t="s">
        <v>201</v>
      </c>
    </row>
    <row r="42" spans="1:12" x14ac:dyDescent="0.25">
      <c r="A42" s="142">
        <v>39073</v>
      </c>
      <c r="B42" s="143" t="s">
        <v>1551</v>
      </c>
      <c r="C42" s="143" t="s">
        <v>369</v>
      </c>
      <c r="D42" s="143">
        <v>5</v>
      </c>
      <c r="E42" s="144">
        <v>2168</v>
      </c>
      <c r="F42" s="144">
        <v>10840</v>
      </c>
      <c r="G42" s="4">
        <v>104.8</v>
      </c>
      <c r="H42" s="4" t="s">
        <v>162</v>
      </c>
      <c r="I42" s="4">
        <v>2006244</v>
      </c>
      <c r="J42" s="143" t="s">
        <v>199</v>
      </c>
      <c r="K42" s="4" t="s">
        <v>1051</v>
      </c>
      <c r="L42" s="143" t="s">
        <v>201</v>
      </c>
    </row>
    <row r="43" spans="1:12" x14ac:dyDescent="0.25">
      <c r="A43" s="142">
        <v>39062</v>
      </c>
      <c r="B43" s="143" t="s">
        <v>1463</v>
      </c>
      <c r="C43" s="143" t="s">
        <v>369</v>
      </c>
      <c r="D43" s="143">
        <v>100</v>
      </c>
      <c r="E43" s="143">
        <v>183</v>
      </c>
      <c r="F43" s="144">
        <v>18300</v>
      </c>
      <c r="G43" s="4">
        <v>176.93</v>
      </c>
      <c r="H43" s="4" t="s">
        <v>163</v>
      </c>
      <c r="I43" s="4">
        <v>2006235</v>
      </c>
      <c r="J43" s="143" t="s">
        <v>199</v>
      </c>
      <c r="K43" s="4" t="s">
        <v>1051</v>
      </c>
      <c r="L43" s="143" t="s">
        <v>201</v>
      </c>
    </row>
    <row r="44" spans="1:12" x14ac:dyDescent="0.25">
      <c r="A44" s="142">
        <v>39043</v>
      </c>
      <c r="B44" s="143" t="s">
        <v>142</v>
      </c>
      <c r="C44" s="143" t="s">
        <v>369</v>
      </c>
      <c r="D44" s="143">
        <v>15</v>
      </c>
      <c r="E44" s="143">
        <v>728</v>
      </c>
      <c r="F44" s="144">
        <v>10920</v>
      </c>
      <c r="G44" s="4">
        <v>105.57</v>
      </c>
      <c r="H44" s="4" t="s">
        <v>164</v>
      </c>
      <c r="I44" s="4">
        <v>2006222</v>
      </c>
      <c r="J44" s="143" t="s">
        <v>199</v>
      </c>
      <c r="K44" s="4" t="s">
        <v>1051</v>
      </c>
      <c r="L44" s="143" t="s">
        <v>201</v>
      </c>
    </row>
    <row r="45" spans="1:12" x14ac:dyDescent="0.25">
      <c r="A45" s="142">
        <v>39016</v>
      </c>
      <c r="B45" s="143" t="s">
        <v>1983</v>
      </c>
      <c r="C45" s="143" t="s">
        <v>369</v>
      </c>
      <c r="D45" s="143">
        <v>10</v>
      </c>
      <c r="E45" s="143">
        <v>905</v>
      </c>
      <c r="F45" s="144">
        <v>9050</v>
      </c>
      <c r="G45" s="4">
        <v>87.49</v>
      </c>
      <c r="H45" s="4" t="s">
        <v>165</v>
      </c>
      <c r="I45" s="4">
        <v>2006203</v>
      </c>
      <c r="J45" s="143" t="s">
        <v>199</v>
      </c>
      <c r="K45" s="4" t="s">
        <v>1051</v>
      </c>
      <c r="L45" s="143" t="s">
        <v>201</v>
      </c>
    </row>
    <row r="46" spans="1:12" x14ac:dyDescent="0.25">
      <c r="A46" s="142">
        <v>39009</v>
      </c>
      <c r="B46" s="143" t="s">
        <v>1551</v>
      </c>
      <c r="C46" s="143" t="s">
        <v>369</v>
      </c>
      <c r="D46" s="143">
        <v>1</v>
      </c>
      <c r="E46" s="144">
        <v>2074.1</v>
      </c>
      <c r="F46" s="144">
        <v>2074.1</v>
      </c>
      <c r="G46" s="4">
        <v>30.65</v>
      </c>
      <c r="H46" s="4" t="s">
        <v>166</v>
      </c>
      <c r="I46" s="4">
        <v>2006199</v>
      </c>
      <c r="J46" s="143" t="s">
        <v>199</v>
      </c>
      <c r="K46" s="4" t="s">
        <v>1051</v>
      </c>
      <c r="L46" s="143" t="s">
        <v>201</v>
      </c>
    </row>
    <row r="47" spans="1:12" x14ac:dyDescent="0.25">
      <c r="A47" s="142">
        <v>38968</v>
      </c>
      <c r="B47" s="143" t="s">
        <v>211</v>
      </c>
      <c r="C47" s="143" t="s">
        <v>369</v>
      </c>
      <c r="D47" s="143">
        <v>40</v>
      </c>
      <c r="E47" s="143">
        <v>417</v>
      </c>
      <c r="F47" s="144">
        <v>16680</v>
      </c>
      <c r="G47" s="4">
        <v>161.26</v>
      </c>
      <c r="H47" s="4" t="s">
        <v>167</v>
      </c>
      <c r="I47" s="4">
        <v>2006171</v>
      </c>
      <c r="J47" s="143" t="s">
        <v>199</v>
      </c>
      <c r="K47" s="4" t="s">
        <v>1051</v>
      </c>
      <c r="L47" s="143" t="s">
        <v>201</v>
      </c>
    </row>
    <row r="48" spans="1:12" x14ac:dyDescent="0.25">
      <c r="A48" s="142">
        <v>38958</v>
      </c>
      <c r="B48" s="143" t="s">
        <v>1463</v>
      </c>
      <c r="C48" s="143" t="s">
        <v>369</v>
      </c>
      <c r="D48" s="143">
        <v>40</v>
      </c>
      <c r="E48" s="143">
        <v>185</v>
      </c>
      <c r="F48" s="144">
        <v>7400</v>
      </c>
      <c r="G48" s="4">
        <v>14.86</v>
      </c>
      <c r="H48" s="4" t="s">
        <v>168</v>
      </c>
      <c r="I48" s="4">
        <v>2006163</v>
      </c>
      <c r="J48" s="143" t="s">
        <v>199</v>
      </c>
      <c r="K48" s="4" t="s">
        <v>1051</v>
      </c>
      <c r="L48" s="143" t="s">
        <v>201</v>
      </c>
    </row>
    <row r="49" spans="1:12" x14ac:dyDescent="0.25">
      <c r="A49" s="142">
        <v>38957</v>
      </c>
      <c r="B49" s="143" t="s">
        <v>2222</v>
      </c>
      <c r="C49" s="143" t="s">
        <v>369</v>
      </c>
      <c r="D49" s="143">
        <v>200</v>
      </c>
      <c r="E49" s="143">
        <v>63.25</v>
      </c>
      <c r="F49" s="144">
        <v>12650</v>
      </c>
      <c r="G49" s="4">
        <v>21.43</v>
      </c>
      <c r="H49" s="4" t="s">
        <v>169</v>
      </c>
      <c r="I49" s="4">
        <v>2006162</v>
      </c>
      <c r="J49" s="143" t="s">
        <v>199</v>
      </c>
      <c r="K49" s="4" t="s">
        <v>1051</v>
      </c>
      <c r="L49" s="143" t="s">
        <v>201</v>
      </c>
    </row>
    <row r="50" spans="1:12" x14ac:dyDescent="0.25">
      <c r="D50" s="4">
        <f>SUM(D32:D49)</f>
        <v>610</v>
      </c>
      <c r="F50" s="144">
        <f>SUM(F32:F49)</f>
        <v>220805.1</v>
      </c>
      <c r="G50" s="4">
        <f>SUM(G32:G49)</f>
        <v>1993.9599999999998</v>
      </c>
    </row>
    <row r="51" spans="1:12" x14ac:dyDescent="0.25">
      <c r="F51" s="146" t="s">
        <v>659</v>
      </c>
      <c r="G51" s="147">
        <f>F50-G50</f>
        <v>218811.14</v>
      </c>
    </row>
    <row r="52" spans="1:12" x14ac:dyDescent="0.25">
      <c r="A52" s="19" t="s">
        <v>170</v>
      </c>
      <c r="F52" s="146"/>
      <c r="G52" s="146"/>
    </row>
    <row r="53" spans="1:12" x14ac:dyDescent="0.25">
      <c r="F53" s="148" t="s">
        <v>660</v>
      </c>
      <c r="G53" s="149">
        <f>G51-G30</f>
        <v>7712.570000000007</v>
      </c>
    </row>
    <row r="55" spans="1:12" x14ac:dyDescent="0.25">
      <c r="A55" s="19" t="s">
        <v>1281</v>
      </c>
    </row>
    <row r="56" spans="1:12" x14ac:dyDescent="0.25">
      <c r="A56" s="142">
        <v>39160</v>
      </c>
      <c r="B56" s="143" t="s">
        <v>1107</v>
      </c>
      <c r="C56" s="143" t="s">
        <v>197</v>
      </c>
      <c r="D56" s="143">
        <v>50</v>
      </c>
      <c r="E56" s="143">
        <v>93.45</v>
      </c>
      <c r="F56" s="144">
        <v>4672.5</v>
      </c>
      <c r="G56" s="4">
        <v>45.18</v>
      </c>
      <c r="H56" s="4" t="s">
        <v>1982</v>
      </c>
      <c r="I56" s="4">
        <v>2007052</v>
      </c>
      <c r="J56" s="143" t="s">
        <v>199</v>
      </c>
      <c r="K56" s="4" t="s">
        <v>1051</v>
      </c>
      <c r="L56" s="143" t="s">
        <v>201</v>
      </c>
    </row>
    <row r="57" spans="1:12" x14ac:dyDescent="0.25">
      <c r="A57" s="142">
        <v>39073</v>
      </c>
      <c r="B57" s="143" t="s">
        <v>1983</v>
      </c>
      <c r="C57" s="143" t="s">
        <v>197</v>
      </c>
      <c r="D57" s="143">
        <v>6</v>
      </c>
      <c r="E57" s="144">
        <v>1660</v>
      </c>
      <c r="F57" s="144">
        <v>9960</v>
      </c>
      <c r="G57" s="4">
        <v>96.29</v>
      </c>
      <c r="H57" s="4" t="s">
        <v>1984</v>
      </c>
      <c r="I57" s="4">
        <v>2006244</v>
      </c>
      <c r="J57" s="143" t="s">
        <v>199</v>
      </c>
      <c r="K57" s="4" t="s">
        <v>1051</v>
      </c>
      <c r="L57" s="143" t="s">
        <v>201</v>
      </c>
    </row>
    <row r="58" spans="1:12" x14ac:dyDescent="0.25">
      <c r="A58" s="142">
        <v>39073</v>
      </c>
      <c r="B58" s="143" t="s">
        <v>1983</v>
      </c>
      <c r="C58" s="143" t="s">
        <v>197</v>
      </c>
      <c r="D58" s="143">
        <v>1</v>
      </c>
      <c r="E58" s="144">
        <v>1649.9</v>
      </c>
      <c r="F58" s="144">
        <v>1649.9</v>
      </c>
      <c r="G58" s="4">
        <v>30.12</v>
      </c>
      <c r="H58" s="4" t="s">
        <v>1985</v>
      </c>
      <c r="I58" s="4">
        <v>2006244</v>
      </c>
      <c r="J58" s="143" t="s">
        <v>199</v>
      </c>
      <c r="K58" s="4" t="s">
        <v>1051</v>
      </c>
      <c r="L58" s="143" t="s">
        <v>201</v>
      </c>
    </row>
    <row r="59" spans="1:12" x14ac:dyDescent="0.25">
      <c r="A59" s="142">
        <v>39070</v>
      </c>
      <c r="B59" s="143" t="s">
        <v>1983</v>
      </c>
      <c r="C59" s="143" t="s">
        <v>197</v>
      </c>
      <c r="D59" s="143">
        <v>8</v>
      </c>
      <c r="E59" s="144">
        <v>1156</v>
      </c>
      <c r="F59" s="144">
        <v>9248</v>
      </c>
      <c r="G59" s="4">
        <v>89.41</v>
      </c>
      <c r="H59" s="4" t="s">
        <v>1986</v>
      </c>
      <c r="I59" s="4">
        <v>2006241</v>
      </c>
      <c r="J59" s="143" t="s">
        <v>199</v>
      </c>
      <c r="K59" s="4" t="s">
        <v>1051</v>
      </c>
      <c r="L59" s="143" t="s">
        <v>201</v>
      </c>
    </row>
    <row r="60" spans="1:12" x14ac:dyDescent="0.25">
      <c r="A60" s="142">
        <v>39142</v>
      </c>
      <c r="B60" s="143" t="s">
        <v>1551</v>
      </c>
      <c r="C60" s="143" t="s">
        <v>197</v>
      </c>
      <c r="D60" s="143">
        <v>5</v>
      </c>
      <c r="E60" s="144">
        <v>2100</v>
      </c>
      <c r="F60" s="144">
        <v>10500</v>
      </c>
      <c r="G60" s="4">
        <v>101.52</v>
      </c>
      <c r="H60" s="4" t="s">
        <v>1987</v>
      </c>
      <c r="I60" s="4">
        <v>2007040</v>
      </c>
      <c r="J60" s="143" t="s">
        <v>199</v>
      </c>
      <c r="K60" s="4" t="s">
        <v>1051</v>
      </c>
      <c r="L60" s="143" t="s">
        <v>201</v>
      </c>
    </row>
    <row r="61" spans="1:12" x14ac:dyDescent="0.25">
      <c r="A61" s="142">
        <v>39080</v>
      </c>
      <c r="B61" s="143" t="s">
        <v>1551</v>
      </c>
      <c r="C61" s="143" t="s">
        <v>197</v>
      </c>
      <c r="D61" s="143">
        <v>5</v>
      </c>
      <c r="E61" s="144">
        <v>2258</v>
      </c>
      <c r="F61" s="144">
        <v>11290</v>
      </c>
      <c r="G61" s="4">
        <v>109.15</v>
      </c>
      <c r="H61" s="4" t="s">
        <v>1988</v>
      </c>
      <c r="I61" s="4">
        <v>2006248</v>
      </c>
      <c r="J61" s="143" t="s">
        <v>199</v>
      </c>
      <c r="K61" s="4" t="s">
        <v>1051</v>
      </c>
      <c r="L61" s="143" t="s">
        <v>201</v>
      </c>
    </row>
    <row r="62" spans="1:12" x14ac:dyDescent="0.25">
      <c r="A62" s="142"/>
      <c r="B62" s="143"/>
      <c r="C62" s="143"/>
      <c r="D62" s="143"/>
      <c r="E62" s="143"/>
      <c r="F62" s="144"/>
      <c r="J62" s="143"/>
      <c r="L62" s="143"/>
    </row>
    <row r="63" spans="1:12" x14ac:dyDescent="0.25">
      <c r="A63" s="142"/>
      <c r="B63" s="143"/>
      <c r="C63" s="143"/>
      <c r="D63" s="143"/>
      <c r="E63" s="143"/>
      <c r="F63" s="144"/>
      <c r="J63" s="143"/>
      <c r="L63" s="143"/>
    </row>
    <row r="64" spans="1:12" x14ac:dyDescent="0.25">
      <c r="A64" s="142"/>
      <c r="B64" s="143"/>
      <c r="C64" s="143"/>
      <c r="D64" s="143"/>
      <c r="E64" s="143"/>
      <c r="F64" s="144"/>
      <c r="J64" s="143"/>
      <c r="L64" s="143"/>
    </row>
    <row r="65" spans="1:12" x14ac:dyDescent="0.25">
      <c r="A65" s="142"/>
      <c r="B65" s="143"/>
      <c r="C65" s="143"/>
      <c r="D65" s="143"/>
      <c r="E65" s="143"/>
      <c r="F65" s="144"/>
      <c r="J65" s="143"/>
      <c r="L65" s="143"/>
    </row>
    <row r="66" spans="1:12" x14ac:dyDescent="0.25">
      <c r="A66" s="142"/>
      <c r="B66" s="143"/>
      <c r="C66" s="143"/>
      <c r="D66" s="143"/>
      <c r="E66" s="143"/>
      <c r="F66" s="144"/>
      <c r="J66" s="143"/>
      <c r="L66" s="143"/>
    </row>
    <row r="67" spans="1:12" x14ac:dyDescent="0.25">
      <c r="A67" s="142"/>
      <c r="B67" s="143"/>
      <c r="C67" s="143"/>
      <c r="D67" s="143"/>
      <c r="E67" s="143"/>
      <c r="F67" s="144"/>
      <c r="J67" s="143"/>
      <c r="L67" s="143"/>
    </row>
    <row r="68" spans="1:12" x14ac:dyDescent="0.25">
      <c r="A68" s="142"/>
      <c r="B68" s="143"/>
      <c r="C68" s="143"/>
      <c r="D68" s="143"/>
      <c r="E68" s="143"/>
      <c r="F68" s="144"/>
      <c r="J68" s="143"/>
      <c r="L68" s="143"/>
    </row>
    <row r="69" spans="1:12" x14ac:dyDescent="0.25">
      <c r="A69" s="142"/>
      <c r="B69" s="143"/>
      <c r="C69" s="143"/>
      <c r="D69" s="143"/>
      <c r="E69" s="143"/>
      <c r="F69" s="144"/>
      <c r="J69" s="143"/>
      <c r="L69" s="143"/>
    </row>
    <row r="70" spans="1:12" x14ac:dyDescent="0.25">
      <c r="A70" s="142"/>
      <c r="B70" s="143"/>
      <c r="C70" s="143"/>
      <c r="D70" s="143"/>
      <c r="E70" s="144"/>
      <c r="F70" s="144"/>
      <c r="J70" s="143"/>
      <c r="L70" s="143"/>
    </row>
    <row r="71" spans="1:12" x14ac:dyDescent="0.25">
      <c r="A71" s="142"/>
      <c r="B71" s="143"/>
      <c r="C71" s="143"/>
      <c r="D71" s="143"/>
      <c r="E71" s="143"/>
      <c r="F71" s="144"/>
      <c r="J71" s="143"/>
      <c r="L71" s="143"/>
    </row>
    <row r="72" spans="1:12" x14ac:dyDescent="0.25">
      <c r="A72" s="142"/>
      <c r="B72" s="143"/>
      <c r="C72" s="143"/>
      <c r="D72" s="143"/>
      <c r="E72" s="143"/>
      <c r="F72" s="144"/>
      <c r="J72" s="143"/>
      <c r="L72" s="143"/>
    </row>
    <row r="73" spans="1:12" x14ac:dyDescent="0.25">
      <c r="A73" s="142"/>
      <c r="B73" s="143"/>
      <c r="C73" s="143"/>
      <c r="D73" s="143"/>
      <c r="E73" s="143"/>
      <c r="F73" s="144"/>
      <c r="J73" s="143"/>
      <c r="L73" s="143"/>
    </row>
    <row r="74" spans="1:12" x14ac:dyDescent="0.25">
      <c r="A74" s="142"/>
      <c r="B74" s="143"/>
      <c r="C74" s="143"/>
      <c r="D74" s="143"/>
      <c r="E74" s="143"/>
      <c r="F74" s="144"/>
      <c r="J74" s="143"/>
      <c r="K74" s="143"/>
      <c r="L74" s="143"/>
    </row>
    <row r="75" spans="1:12" x14ac:dyDescent="0.25">
      <c r="A75" s="142"/>
      <c r="B75" s="143"/>
      <c r="C75" s="143"/>
      <c r="D75" s="143"/>
      <c r="E75" s="143"/>
      <c r="F75" s="144"/>
      <c r="J75" s="143"/>
      <c r="L75" s="143"/>
    </row>
    <row r="76" spans="1:12" x14ac:dyDescent="0.25">
      <c r="A76" s="142"/>
      <c r="B76" s="143"/>
      <c r="C76" s="143"/>
      <c r="D76" s="143"/>
      <c r="E76" s="143"/>
      <c r="F76" s="144"/>
      <c r="J76" s="143"/>
      <c r="L76" s="143"/>
    </row>
    <row r="77" spans="1:12" x14ac:dyDescent="0.25">
      <c r="A77" s="142"/>
      <c r="B77" s="143"/>
      <c r="C77" s="143"/>
      <c r="D77" s="143"/>
      <c r="E77" s="143"/>
      <c r="F77" s="144"/>
      <c r="J77" s="143"/>
      <c r="L77" s="143"/>
    </row>
    <row r="78" spans="1:12" x14ac:dyDescent="0.25">
      <c r="A78" s="142"/>
      <c r="B78" s="143"/>
      <c r="C78" s="143"/>
      <c r="D78" s="143"/>
      <c r="E78" s="143"/>
      <c r="F78" s="144"/>
      <c r="J78" s="143"/>
      <c r="L78" s="143"/>
    </row>
    <row r="79" spans="1:12" x14ac:dyDescent="0.25">
      <c r="A79" s="142"/>
      <c r="B79" s="143"/>
      <c r="C79" s="143"/>
      <c r="D79" s="143"/>
      <c r="E79" s="143"/>
      <c r="F79" s="144"/>
      <c r="J79" s="143"/>
      <c r="L79" s="143"/>
    </row>
    <row r="80" spans="1:12" x14ac:dyDescent="0.25">
      <c r="A80" s="142"/>
      <c r="B80" s="143"/>
      <c r="C80" s="143"/>
      <c r="D80" s="143"/>
      <c r="E80" s="143"/>
      <c r="F80" s="144"/>
      <c r="J80" s="143"/>
      <c r="L80" s="143"/>
    </row>
    <row r="81" spans="1:12" x14ac:dyDescent="0.25">
      <c r="A81" s="142"/>
      <c r="B81" s="143"/>
      <c r="C81" s="143"/>
      <c r="D81" s="143"/>
      <c r="E81" s="143"/>
      <c r="F81" s="144"/>
      <c r="J81" s="143"/>
      <c r="L81" s="143"/>
    </row>
    <row r="82" spans="1:12" x14ac:dyDescent="0.25">
      <c r="A82" s="142"/>
      <c r="B82" s="143"/>
      <c r="C82" s="143"/>
      <c r="D82" s="143"/>
      <c r="E82" s="143"/>
      <c r="F82" s="144"/>
      <c r="J82" s="143"/>
      <c r="L82" s="143"/>
    </row>
    <row r="83" spans="1:12" x14ac:dyDescent="0.25">
      <c r="A83" s="142"/>
      <c r="B83" s="143"/>
      <c r="C83" s="143"/>
      <c r="D83" s="143"/>
      <c r="E83" s="143"/>
      <c r="F83" s="144"/>
      <c r="J83" s="143"/>
      <c r="L83" s="143"/>
    </row>
    <row r="84" spans="1:12" x14ac:dyDescent="0.25">
      <c r="A84" s="142"/>
      <c r="B84" s="143"/>
      <c r="C84" s="143"/>
      <c r="D84" s="143"/>
      <c r="E84" s="143"/>
      <c r="F84" s="144"/>
      <c r="J84" s="143"/>
      <c r="L84" s="143"/>
    </row>
    <row r="85" spans="1:12" x14ac:dyDescent="0.25">
      <c r="A85" s="142"/>
      <c r="B85" s="143"/>
      <c r="C85" s="143"/>
      <c r="D85" s="143"/>
      <c r="E85" s="143"/>
      <c r="F85" s="144"/>
      <c r="J85" s="143"/>
      <c r="L85" s="143"/>
    </row>
    <row r="86" spans="1:12" x14ac:dyDescent="0.25">
      <c r="A86" s="142"/>
      <c r="B86" s="143"/>
      <c r="C86" s="143"/>
      <c r="D86" s="143"/>
      <c r="E86" s="143"/>
      <c r="F86" s="144"/>
      <c r="J86" s="143"/>
      <c r="L86" s="143"/>
    </row>
    <row r="87" spans="1:12" x14ac:dyDescent="0.25">
      <c r="A87" s="142"/>
      <c r="B87" s="143"/>
      <c r="C87" s="143"/>
      <c r="D87" s="143"/>
      <c r="E87" s="143"/>
      <c r="F87" s="144"/>
      <c r="J87" s="143"/>
      <c r="L87" s="143"/>
    </row>
    <row r="88" spans="1:12" x14ac:dyDescent="0.25">
      <c r="A88" s="142"/>
      <c r="B88" s="143"/>
      <c r="C88" s="143"/>
      <c r="D88" s="143"/>
      <c r="E88" s="143"/>
      <c r="F88" s="144"/>
      <c r="J88" s="143"/>
      <c r="L88" s="143"/>
    </row>
    <row r="89" spans="1:12" x14ac:dyDescent="0.25">
      <c r="A89" s="142"/>
      <c r="B89" s="143"/>
      <c r="C89" s="143"/>
      <c r="D89" s="143"/>
      <c r="E89" s="143"/>
      <c r="F89" s="144"/>
      <c r="J89" s="143"/>
      <c r="L89" s="143"/>
    </row>
    <row r="90" spans="1:12" x14ac:dyDescent="0.25">
      <c r="A90" s="142"/>
      <c r="B90" s="143"/>
      <c r="C90" s="143"/>
      <c r="D90" s="143"/>
      <c r="E90" s="143"/>
      <c r="F90" s="144"/>
      <c r="J90" s="143"/>
      <c r="L90" s="143"/>
    </row>
    <row r="91" spans="1:12" x14ac:dyDescent="0.25">
      <c r="A91" s="142"/>
      <c r="B91" s="143"/>
      <c r="C91" s="143"/>
      <c r="D91" s="143"/>
      <c r="E91" s="143"/>
      <c r="F91" s="144"/>
      <c r="J91" s="143"/>
      <c r="L91" s="143"/>
    </row>
    <row r="92" spans="1:12" x14ac:dyDescent="0.25">
      <c r="A92" s="142"/>
      <c r="B92" s="143"/>
      <c r="C92" s="143"/>
      <c r="D92" s="143"/>
      <c r="E92" s="143"/>
      <c r="F92" s="144"/>
      <c r="J92" s="143"/>
      <c r="L92" s="143"/>
    </row>
    <row r="93" spans="1:12" x14ac:dyDescent="0.25">
      <c r="A93" s="142"/>
      <c r="B93" s="143"/>
      <c r="C93" s="143"/>
      <c r="D93" s="143"/>
      <c r="E93" s="143"/>
      <c r="F93" s="144"/>
      <c r="J93" s="143"/>
      <c r="L93" s="143"/>
    </row>
    <row r="94" spans="1:12" x14ac:dyDescent="0.25">
      <c r="A94" s="142"/>
      <c r="B94" s="143"/>
      <c r="C94" s="143"/>
      <c r="D94" s="143"/>
      <c r="E94" s="143"/>
      <c r="F94" s="144"/>
      <c r="J94" s="143"/>
      <c r="L94" s="143"/>
    </row>
    <row r="95" spans="1:12" x14ac:dyDescent="0.25">
      <c r="A95" s="142"/>
      <c r="B95" s="143"/>
      <c r="C95" s="143"/>
      <c r="D95" s="143"/>
      <c r="E95" s="143"/>
      <c r="F95" s="144"/>
      <c r="J95" s="143"/>
      <c r="L95" s="143"/>
    </row>
    <row r="96" spans="1:12" x14ac:dyDescent="0.25">
      <c r="A96" s="142"/>
      <c r="B96" s="143"/>
      <c r="C96" s="143"/>
      <c r="D96" s="143"/>
      <c r="E96" s="143"/>
      <c r="F96" s="144"/>
      <c r="J96" s="143"/>
      <c r="L96" s="143"/>
    </row>
    <row r="97" spans="1:12" x14ac:dyDescent="0.25">
      <c r="A97" s="142"/>
      <c r="B97" s="143"/>
      <c r="C97" s="143"/>
      <c r="D97" s="143"/>
      <c r="E97" s="143"/>
      <c r="F97" s="144"/>
      <c r="J97" s="143"/>
      <c r="L97" s="143"/>
    </row>
    <row r="98" spans="1:12" x14ac:dyDescent="0.25">
      <c r="A98" s="142"/>
      <c r="B98" s="143"/>
      <c r="C98" s="143"/>
      <c r="D98" s="143"/>
      <c r="E98" s="143"/>
      <c r="F98" s="144"/>
      <c r="J98" s="143"/>
      <c r="L98" s="143"/>
    </row>
    <row r="99" spans="1:12" x14ac:dyDescent="0.25">
      <c r="A99" s="142"/>
      <c r="B99" s="143"/>
      <c r="C99" s="143"/>
      <c r="D99" s="143"/>
      <c r="E99" s="143"/>
      <c r="F99" s="144"/>
      <c r="J99" s="143"/>
      <c r="L99" s="143"/>
    </row>
    <row r="100" spans="1:12" x14ac:dyDescent="0.25">
      <c r="A100" s="142"/>
      <c r="B100" s="143"/>
      <c r="C100" s="143"/>
      <c r="D100" s="143"/>
      <c r="E100" s="143"/>
      <c r="F100" s="144"/>
      <c r="J100" s="143"/>
      <c r="L100" s="143"/>
    </row>
    <row r="101" spans="1:12" x14ac:dyDescent="0.25">
      <c r="A101" s="142"/>
      <c r="B101" s="143"/>
      <c r="C101" s="143"/>
      <c r="D101" s="143"/>
      <c r="E101" s="143"/>
      <c r="F101" s="144"/>
      <c r="J101" s="143"/>
      <c r="L101" s="143"/>
    </row>
    <row r="102" spans="1:12" x14ac:dyDescent="0.25">
      <c r="A102" s="142"/>
      <c r="B102" s="143"/>
      <c r="C102" s="143"/>
      <c r="D102" s="143"/>
      <c r="E102" s="143"/>
      <c r="F102" s="144"/>
      <c r="J102" s="143"/>
      <c r="L102" s="143"/>
    </row>
    <row r="103" spans="1:12" x14ac:dyDescent="0.25">
      <c r="A103" s="142"/>
      <c r="B103" s="143"/>
      <c r="C103" s="143"/>
      <c r="D103" s="143"/>
      <c r="E103" s="143"/>
      <c r="F103" s="144"/>
      <c r="J103" s="143"/>
      <c r="L103" s="143"/>
    </row>
    <row r="104" spans="1:12" x14ac:dyDescent="0.25">
      <c r="A104" s="142"/>
      <c r="B104" s="143"/>
      <c r="C104" s="143"/>
      <c r="D104" s="143"/>
      <c r="E104" s="143"/>
      <c r="F104" s="144"/>
      <c r="J104" s="143"/>
      <c r="L104" s="143"/>
    </row>
    <row r="105" spans="1:12" x14ac:dyDescent="0.25">
      <c r="A105" s="142"/>
      <c r="B105" s="143"/>
      <c r="C105" s="143"/>
      <c r="D105" s="143"/>
      <c r="E105" s="143"/>
      <c r="F105" s="144"/>
      <c r="J105" s="143"/>
      <c r="L105" s="143"/>
    </row>
    <row r="106" spans="1:12" x14ac:dyDescent="0.25">
      <c r="A106" s="142"/>
      <c r="B106" s="143"/>
      <c r="C106" s="143"/>
      <c r="D106" s="143"/>
      <c r="E106" s="143"/>
      <c r="F106" s="144"/>
      <c r="J106" s="143"/>
      <c r="L106" s="143"/>
    </row>
    <row r="107" spans="1:12" x14ac:dyDescent="0.25">
      <c r="A107" s="142"/>
      <c r="B107" s="143"/>
      <c r="C107" s="143"/>
      <c r="D107" s="143"/>
      <c r="E107" s="143"/>
      <c r="F107" s="144"/>
      <c r="J107" s="143"/>
      <c r="L107" s="143"/>
    </row>
    <row r="108" spans="1:12" x14ac:dyDescent="0.25">
      <c r="A108" s="142"/>
      <c r="B108" s="143"/>
      <c r="C108" s="143"/>
      <c r="D108" s="143"/>
      <c r="E108" s="143"/>
      <c r="F108" s="144"/>
      <c r="J108" s="143"/>
      <c r="L108" s="143"/>
    </row>
    <row r="109" spans="1:12" x14ac:dyDescent="0.25">
      <c r="A109" s="142"/>
      <c r="B109" s="143"/>
      <c r="C109" s="143"/>
      <c r="D109" s="143"/>
      <c r="E109" s="143"/>
      <c r="F109" s="144"/>
      <c r="J109" s="143"/>
      <c r="L109" s="143"/>
    </row>
    <row r="110" spans="1:12" x14ac:dyDescent="0.25">
      <c r="A110" s="142"/>
      <c r="B110" s="143"/>
      <c r="C110" s="143"/>
      <c r="D110" s="143"/>
      <c r="E110" s="143"/>
      <c r="F110" s="144"/>
      <c r="J110" s="143"/>
      <c r="L110" s="143"/>
    </row>
    <row r="111" spans="1:12" x14ac:dyDescent="0.25">
      <c r="A111" s="142"/>
      <c r="B111" s="143"/>
      <c r="C111" s="143"/>
      <c r="D111" s="143"/>
      <c r="E111" s="143"/>
      <c r="F111" s="144"/>
      <c r="J111" s="143"/>
      <c r="L111" s="143"/>
    </row>
    <row r="112" spans="1:12" x14ac:dyDescent="0.25">
      <c r="A112" s="142"/>
      <c r="B112" s="143"/>
      <c r="C112" s="143"/>
      <c r="D112" s="143"/>
      <c r="E112" s="143"/>
      <c r="F112" s="144"/>
      <c r="J112" s="143"/>
      <c r="L112" s="143"/>
    </row>
    <row r="113" spans="1:12" x14ac:dyDescent="0.25">
      <c r="A113" s="142"/>
      <c r="B113" s="143"/>
      <c r="C113" s="143"/>
      <c r="D113" s="143"/>
      <c r="E113" s="143"/>
      <c r="F113" s="144"/>
      <c r="J113" s="143"/>
      <c r="L113" s="143"/>
    </row>
    <row r="114" spans="1:12" x14ac:dyDescent="0.25">
      <c r="A114" s="142"/>
      <c r="B114" s="143"/>
      <c r="C114" s="143"/>
      <c r="D114" s="143"/>
      <c r="E114" s="143"/>
      <c r="F114" s="144"/>
      <c r="J114" s="143"/>
      <c r="L114" s="143"/>
    </row>
    <row r="115" spans="1:12" x14ac:dyDescent="0.25">
      <c r="A115" s="142"/>
      <c r="B115" s="143"/>
      <c r="C115" s="143"/>
      <c r="D115" s="143"/>
      <c r="E115" s="143"/>
      <c r="F115" s="144"/>
      <c r="J115" s="143"/>
      <c r="L115" s="143"/>
    </row>
    <row r="116" spans="1:12" x14ac:dyDescent="0.25">
      <c r="A116" s="142"/>
      <c r="B116" s="143"/>
      <c r="C116" s="143"/>
      <c r="D116" s="143"/>
      <c r="E116" s="143"/>
      <c r="F116" s="144"/>
      <c r="J116" s="143"/>
      <c r="L116" s="143"/>
    </row>
    <row r="117" spans="1:12" x14ac:dyDescent="0.25">
      <c r="A117" s="142"/>
      <c r="B117" s="143"/>
      <c r="C117" s="143"/>
      <c r="D117" s="143"/>
      <c r="E117" s="143"/>
      <c r="F117" s="144"/>
      <c r="J117" s="143"/>
      <c r="L117" s="143"/>
    </row>
    <row r="118" spans="1:12" x14ac:dyDescent="0.25">
      <c r="A118" s="142"/>
      <c r="B118" s="143"/>
      <c r="C118" s="143"/>
      <c r="D118" s="143"/>
      <c r="E118" s="143"/>
      <c r="F118" s="143"/>
      <c r="J118" s="143"/>
      <c r="L118" s="143"/>
    </row>
    <row r="119" spans="1:12" x14ac:dyDescent="0.25">
      <c r="A119" s="142"/>
      <c r="B119" s="143"/>
      <c r="C119" s="143"/>
      <c r="D119" s="143"/>
      <c r="E119" s="143"/>
      <c r="F119" s="144"/>
      <c r="J119" s="143"/>
      <c r="L119" s="143"/>
    </row>
    <row r="120" spans="1:12" x14ac:dyDescent="0.25">
      <c r="A120" s="142"/>
      <c r="B120" s="143"/>
      <c r="C120" s="143"/>
      <c r="D120" s="143"/>
      <c r="E120" s="143"/>
      <c r="F120" s="144"/>
      <c r="J120" s="143"/>
      <c r="L120" s="143"/>
    </row>
    <row r="121" spans="1:12" x14ac:dyDescent="0.25">
      <c r="A121" s="142"/>
      <c r="B121" s="143"/>
      <c r="C121" s="143"/>
      <c r="D121" s="143"/>
      <c r="E121" s="143"/>
      <c r="F121" s="144"/>
      <c r="J121" s="143"/>
      <c r="L121" s="143"/>
    </row>
    <row r="122" spans="1:12" x14ac:dyDescent="0.25">
      <c r="A122" s="142"/>
      <c r="B122" s="143"/>
      <c r="C122" s="143"/>
      <c r="D122" s="143"/>
      <c r="E122" s="143"/>
      <c r="F122" s="144"/>
      <c r="J122" s="143"/>
      <c r="L122" s="143"/>
    </row>
    <row r="123" spans="1:12" x14ac:dyDescent="0.25">
      <c r="A123" s="142"/>
      <c r="B123" s="143"/>
      <c r="C123" s="143"/>
      <c r="D123" s="143"/>
      <c r="E123" s="143"/>
      <c r="F123" s="144"/>
      <c r="J123" s="143"/>
      <c r="L123" s="143"/>
    </row>
    <row r="124" spans="1:12" x14ac:dyDescent="0.25">
      <c r="A124" s="142"/>
      <c r="B124" s="143"/>
      <c r="C124" s="143"/>
      <c r="D124" s="143"/>
      <c r="E124" s="144"/>
      <c r="F124" s="144"/>
      <c r="J124" s="143"/>
      <c r="K124" s="143"/>
      <c r="L124" s="143"/>
    </row>
    <row r="125" spans="1:12" x14ac:dyDescent="0.25">
      <c r="A125" s="142"/>
      <c r="B125" s="143"/>
      <c r="C125" s="143"/>
      <c r="D125" s="143"/>
      <c r="E125" s="144"/>
      <c r="F125" s="144"/>
      <c r="J125" s="143"/>
      <c r="K125" s="143"/>
      <c r="L125" s="143"/>
    </row>
    <row r="126" spans="1:12" x14ac:dyDescent="0.25">
      <c r="A126" s="142"/>
      <c r="B126" s="143"/>
      <c r="C126" s="143"/>
      <c r="D126" s="143"/>
      <c r="E126" s="144"/>
      <c r="F126" s="144"/>
      <c r="J126" s="143"/>
      <c r="K126" s="143"/>
      <c r="L126" s="143"/>
    </row>
    <row r="127" spans="1:12" x14ac:dyDescent="0.25">
      <c r="A127" s="142"/>
      <c r="B127" s="143"/>
      <c r="C127" s="143"/>
      <c r="D127" s="143"/>
      <c r="E127" s="144"/>
      <c r="F127" s="144"/>
      <c r="J127" s="143"/>
      <c r="K127" s="143"/>
      <c r="L127" s="143"/>
    </row>
    <row r="128" spans="1:12" x14ac:dyDescent="0.25">
      <c r="A128" s="142"/>
      <c r="B128" s="143"/>
      <c r="C128" s="143"/>
      <c r="D128" s="143"/>
      <c r="E128" s="144"/>
      <c r="F128" s="144"/>
      <c r="J128" s="143"/>
      <c r="K128" s="143"/>
      <c r="L128" s="143"/>
    </row>
    <row r="129" spans="1:12" x14ac:dyDescent="0.25">
      <c r="A129" s="142"/>
      <c r="B129" s="143"/>
      <c r="C129" s="143"/>
      <c r="D129" s="143"/>
      <c r="E129" s="144"/>
      <c r="F129" s="144"/>
      <c r="J129" s="143"/>
      <c r="L129" s="143"/>
    </row>
    <row r="130" spans="1:12" x14ac:dyDescent="0.25">
      <c r="A130" s="142"/>
      <c r="B130" s="143"/>
      <c r="C130" s="143"/>
      <c r="D130" s="143"/>
      <c r="E130" s="143"/>
      <c r="F130" s="144"/>
      <c r="J130" s="143"/>
      <c r="L130" s="143"/>
    </row>
    <row r="131" spans="1:12" x14ac:dyDescent="0.25">
      <c r="A131" s="142"/>
      <c r="B131" s="143"/>
      <c r="C131" s="143"/>
      <c r="D131" s="143"/>
      <c r="E131" s="143"/>
      <c r="F131" s="144"/>
      <c r="J131" s="143"/>
      <c r="L131" s="143"/>
    </row>
    <row r="132" spans="1:12" x14ac:dyDescent="0.25">
      <c r="A132" s="142"/>
      <c r="B132" s="143"/>
      <c r="C132" s="143"/>
      <c r="D132" s="143"/>
      <c r="E132" s="143"/>
      <c r="F132" s="144"/>
      <c r="J132" s="143"/>
      <c r="L132" s="143"/>
    </row>
    <row r="133" spans="1:12" x14ac:dyDescent="0.25">
      <c r="A133" s="142"/>
      <c r="B133" s="143"/>
      <c r="C133" s="143"/>
      <c r="D133" s="143"/>
      <c r="E133" s="144"/>
      <c r="F133" s="144"/>
      <c r="J133" s="143"/>
      <c r="L133" s="143"/>
    </row>
    <row r="134" spans="1:12" x14ac:dyDescent="0.25">
      <c r="A134" s="142"/>
      <c r="B134" s="143"/>
      <c r="C134" s="143"/>
      <c r="D134" s="143"/>
      <c r="E134" s="144"/>
      <c r="F134" s="144"/>
      <c r="J134" s="143"/>
      <c r="L134" s="143"/>
    </row>
    <row r="135" spans="1:12" x14ac:dyDescent="0.25">
      <c r="A135" s="142"/>
      <c r="B135" s="143"/>
      <c r="C135" s="143"/>
      <c r="D135" s="143"/>
      <c r="E135" s="143"/>
      <c r="F135" s="144"/>
      <c r="J135" s="143"/>
      <c r="L135" s="143"/>
    </row>
    <row r="136" spans="1:12" x14ac:dyDescent="0.25">
      <c r="A136" s="142"/>
      <c r="B136" s="143"/>
      <c r="C136" s="143"/>
      <c r="D136" s="143"/>
      <c r="E136" s="144"/>
      <c r="F136" s="144"/>
      <c r="J136" s="143"/>
      <c r="L136" s="143"/>
    </row>
    <row r="137" spans="1:12" x14ac:dyDescent="0.25">
      <c r="A137" s="142"/>
      <c r="B137" s="143"/>
      <c r="C137" s="143"/>
      <c r="D137" s="150"/>
      <c r="E137" s="144"/>
      <c r="F137" s="144"/>
      <c r="J137" s="143"/>
      <c r="L137" s="143"/>
    </row>
    <row r="138" spans="1:12" x14ac:dyDescent="0.25">
      <c r="A138" s="142"/>
      <c r="B138" s="143"/>
      <c r="C138" s="143"/>
      <c r="D138" s="143"/>
      <c r="E138" s="144"/>
      <c r="F138" s="144"/>
      <c r="J138" s="143"/>
      <c r="L138" s="143"/>
    </row>
    <row r="139" spans="1:12" x14ac:dyDescent="0.25">
      <c r="A139" s="151"/>
      <c r="B139" s="141"/>
      <c r="C139" s="141"/>
      <c r="D139" s="141"/>
      <c r="E139" s="141"/>
      <c r="F139" s="141"/>
      <c r="G139" s="141"/>
      <c r="H139" s="141"/>
      <c r="I139" s="141"/>
      <c r="J139" s="141"/>
      <c r="K139" s="141"/>
      <c r="L139" s="141"/>
    </row>
    <row r="140" spans="1:12" x14ac:dyDescent="0.25">
      <c r="A140" s="142"/>
      <c r="B140" s="143"/>
      <c r="C140" s="143"/>
      <c r="D140" s="143"/>
      <c r="E140" s="143"/>
      <c r="F140" s="144"/>
      <c r="J140" s="143"/>
      <c r="L140" s="143"/>
    </row>
    <row r="141" spans="1:12" x14ac:dyDescent="0.25">
      <c r="A141" s="142"/>
      <c r="B141" s="143"/>
      <c r="C141" s="143"/>
      <c r="D141" s="143"/>
      <c r="E141" s="143"/>
      <c r="F141" s="144"/>
      <c r="J141" s="143"/>
      <c r="K141" s="143"/>
      <c r="L141" s="143"/>
    </row>
    <row r="142" spans="1:12" x14ac:dyDescent="0.25">
      <c r="A142" s="142"/>
      <c r="B142" s="143"/>
      <c r="C142" s="143"/>
      <c r="D142" s="143"/>
      <c r="E142" s="143"/>
      <c r="F142" s="144"/>
      <c r="J142" s="143"/>
      <c r="L142" s="143"/>
    </row>
    <row r="143" spans="1:12" x14ac:dyDescent="0.25">
      <c r="A143" s="142"/>
      <c r="B143" s="143"/>
      <c r="C143" s="143"/>
      <c r="D143" s="143"/>
      <c r="E143" s="143"/>
      <c r="F143" s="144"/>
      <c r="J143" s="143"/>
      <c r="L143" s="143"/>
    </row>
    <row r="144" spans="1:12" x14ac:dyDescent="0.25">
      <c r="A144" s="142"/>
      <c r="B144" s="143"/>
      <c r="C144" s="143"/>
      <c r="D144" s="143"/>
      <c r="E144" s="143"/>
      <c r="F144" s="144"/>
      <c r="J144" s="143"/>
      <c r="L144" s="143"/>
    </row>
    <row r="145" spans="1:12" x14ac:dyDescent="0.25">
      <c r="A145" s="142"/>
      <c r="B145" s="143"/>
      <c r="C145" s="143"/>
      <c r="D145" s="143"/>
      <c r="E145" s="143"/>
      <c r="F145" s="144"/>
      <c r="J145" s="143"/>
      <c r="L145" s="143"/>
    </row>
    <row r="146" spans="1:12" x14ac:dyDescent="0.25">
      <c r="A146" s="142"/>
      <c r="B146" s="143"/>
      <c r="C146" s="143"/>
      <c r="D146" s="143"/>
      <c r="E146" s="143"/>
      <c r="F146" s="144"/>
      <c r="J146" s="143"/>
      <c r="K146" s="143"/>
      <c r="L146" s="143"/>
    </row>
    <row r="147" spans="1:12" x14ac:dyDescent="0.25">
      <c r="A147" s="142"/>
      <c r="B147" s="143"/>
      <c r="C147" s="143"/>
      <c r="D147" s="143"/>
      <c r="E147" s="143"/>
      <c r="F147" s="144"/>
      <c r="J147" s="143"/>
      <c r="L147" s="143"/>
    </row>
    <row r="148" spans="1:12" x14ac:dyDescent="0.25">
      <c r="A148" s="142"/>
      <c r="B148" s="143"/>
      <c r="C148" s="143"/>
      <c r="D148" s="143"/>
      <c r="E148" s="143"/>
      <c r="F148" s="144"/>
      <c r="J148" s="143"/>
      <c r="L148" s="143"/>
    </row>
    <row r="149" spans="1:12" x14ac:dyDescent="0.25">
      <c r="A149" s="142"/>
      <c r="B149" s="143"/>
      <c r="C149" s="143"/>
      <c r="D149" s="143"/>
      <c r="E149" s="144"/>
      <c r="F149" s="144"/>
      <c r="J149" s="143"/>
      <c r="L149" s="143"/>
    </row>
    <row r="150" spans="1:12" x14ac:dyDescent="0.25">
      <c r="A150" s="142"/>
      <c r="B150" s="143"/>
      <c r="C150" s="143"/>
      <c r="D150" s="143"/>
      <c r="E150" s="144"/>
      <c r="F150" s="144"/>
      <c r="J150" s="143"/>
      <c r="L150" s="143"/>
    </row>
    <row r="151" spans="1:12" x14ac:dyDescent="0.25">
      <c r="A151" s="142"/>
      <c r="B151" s="143"/>
      <c r="C151" s="143"/>
      <c r="D151" s="143"/>
      <c r="E151" s="143"/>
      <c r="F151" s="144"/>
      <c r="J151" s="143"/>
      <c r="K151" s="143"/>
      <c r="L151" s="143"/>
    </row>
    <row r="152" spans="1:12" x14ac:dyDescent="0.25">
      <c r="A152" s="142"/>
      <c r="B152" s="143"/>
      <c r="C152" s="143"/>
      <c r="D152" s="143"/>
      <c r="E152" s="143"/>
      <c r="F152" s="144"/>
      <c r="J152" s="143"/>
      <c r="L152" s="143"/>
    </row>
    <row r="153" spans="1:12" x14ac:dyDescent="0.25">
      <c r="A153" s="142"/>
      <c r="B153" s="143"/>
      <c r="C153" s="143"/>
      <c r="D153" s="143"/>
      <c r="E153" s="143"/>
      <c r="F153" s="144"/>
      <c r="J153" s="143"/>
      <c r="K153" s="143"/>
      <c r="L153" s="143"/>
    </row>
    <row r="154" spans="1:12" x14ac:dyDescent="0.25">
      <c r="A154" s="142"/>
      <c r="B154" s="143"/>
      <c r="C154" s="143"/>
      <c r="D154" s="143"/>
      <c r="E154" s="143"/>
      <c r="F154" s="144"/>
      <c r="J154" s="143"/>
      <c r="K154" s="143"/>
      <c r="L154" s="143"/>
    </row>
    <row r="155" spans="1:12" x14ac:dyDescent="0.25">
      <c r="A155" s="142"/>
      <c r="B155" s="143"/>
      <c r="C155" s="143"/>
      <c r="D155" s="143"/>
      <c r="E155" s="143"/>
      <c r="F155" s="144"/>
      <c r="J155" s="143"/>
      <c r="L155" s="143"/>
    </row>
    <row r="156" spans="1:12" x14ac:dyDescent="0.25">
      <c r="A156" s="142"/>
      <c r="B156" s="143"/>
      <c r="C156" s="143"/>
      <c r="D156" s="143"/>
      <c r="E156" s="143"/>
      <c r="F156" s="144"/>
      <c r="J156" s="143"/>
      <c r="L156" s="143"/>
    </row>
    <row r="157" spans="1:12" x14ac:dyDescent="0.25">
      <c r="A157" s="142"/>
      <c r="B157" s="143"/>
      <c r="C157" s="143"/>
      <c r="D157" s="143"/>
      <c r="E157" s="143"/>
      <c r="F157" s="144"/>
      <c r="J157" s="143"/>
      <c r="L157" s="143"/>
    </row>
    <row r="158" spans="1:12" x14ac:dyDescent="0.25">
      <c r="A158" s="142"/>
      <c r="B158" s="143"/>
      <c r="C158" s="143"/>
      <c r="D158" s="143"/>
      <c r="E158" s="143"/>
      <c r="F158" s="144"/>
      <c r="J158" s="143"/>
      <c r="L158" s="143"/>
    </row>
    <row r="159" spans="1:12" x14ac:dyDescent="0.25">
      <c r="A159" s="142"/>
      <c r="B159" s="143"/>
      <c r="C159" s="143"/>
      <c r="D159" s="143"/>
      <c r="E159" s="143"/>
      <c r="F159" s="144"/>
      <c r="J159" s="143"/>
      <c r="L159" s="143"/>
    </row>
    <row r="160" spans="1:12" x14ac:dyDescent="0.25">
      <c r="A160" s="142"/>
      <c r="B160" s="143"/>
      <c r="C160" s="143"/>
      <c r="D160" s="143"/>
      <c r="E160" s="143"/>
      <c r="F160" s="144"/>
      <c r="J160" s="143"/>
      <c r="K160" s="143"/>
      <c r="L160" s="143"/>
    </row>
    <row r="161" spans="1:12" x14ac:dyDescent="0.25">
      <c r="A161" s="142"/>
      <c r="B161" s="143"/>
      <c r="C161" s="143"/>
      <c r="D161" s="143"/>
      <c r="E161" s="143"/>
      <c r="F161" s="144"/>
      <c r="J161" s="143"/>
      <c r="L161" s="143"/>
    </row>
    <row r="162" spans="1:12" x14ac:dyDescent="0.25">
      <c r="A162" s="142"/>
      <c r="B162" s="143"/>
      <c r="C162" s="143"/>
      <c r="D162" s="143"/>
      <c r="E162" s="143"/>
      <c r="F162" s="144"/>
      <c r="J162" s="143"/>
      <c r="L162" s="143"/>
    </row>
    <row r="163" spans="1:12" x14ac:dyDescent="0.25">
      <c r="A163" s="142"/>
      <c r="B163" s="143"/>
      <c r="C163" s="143"/>
      <c r="D163" s="143"/>
      <c r="E163" s="143"/>
      <c r="F163" s="144"/>
      <c r="J163" s="143"/>
      <c r="K163" s="143"/>
      <c r="L163" s="143"/>
    </row>
    <row r="164" spans="1:12" x14ac:dyDescent="0.25">
      <c r="A164" s="142"/>
      <c r="B164" s="143"/>
      <c r="C164" s="143"/>
      <c r="D164" s="143"/>
      <c r="E164" s="143"/>
      <c r="F164" s="144"/>
      <c r="J164" s="143"/>
      <c r="L164" s="143"/>
    </row>
    <row r="165" spans="1:12" x14ac:dyDescent="0.25">
      <c r="A165" s="142"/>
      <c r="B165" s="143"/>
      <c r="C165" s="143"/>
      <c r="D165" s="143"/>
      <c r="E165" s="143"/>
      <c r="F165" s="144"/>
      <c r="J165" s="143"/>
      <c r="L165" s="143"/>
    </row>
    <row r="166" spans="1:12" x14ac:dyDescent="0.25">
      <c r="A166" s="142"/>
      <c r="B166" s="143"/>
      <c r="C166" s="143"/>
      <c r="D166" s="143"/>
      <c r="E166" s="143"/>
      <c r="F166" s="144"/>
      <c r="J166" s="143"/>
      <c r="L166" s="143"/>
    </row>
    <row r="167" spans="1:12" x14ac:dyDescent="0.25">
      <c r="A167" s="142"/>
      <c r="B167" s="143"/>
      <c r="C167" s="143"/>
      <c r="D167" s="143"/>
      <c r="E167" s="144"/>
      <c r="F167" s="144"/>
      <c r="J167" s="143"/>
      <c r="L167" s="143"/>
    </row>
    <row r="168" spans="1:12" x14ac:dyDescent="0.25">
      <c r="A168" s="142"/>
      <c r="B168" s="143"/>
      <c r="C168" s="143"/>
      <c r="D168" s="143"/>
      <c r="E168" s="143"/>
      <c r="F168" s="144"/>
      <c r="J168" s="143"/>
      <c r="L168" s="143"/>
    </row>
    <row r="169" spans="1:12" x14ac:dyDescent="0.25">
      <c r="A169" s="142"/>
      <c r="B169" s="143"/>
      <c r="C169" s="143"/>
      <c r="D169" s="143"/>
      <c r="E169" s="143"/>
      <c r="F169" s="144"/>
      <c r="J169" s="143"/>
      <c r="L169" s="143"/>
    </row>
    <row r="170" spans="1:12" x14ac:dyDescent="0.25">
      <c r="A170" s="142"/>
      <c r="B170" s="143"/>
      <c r="C170" s="143"/>
      <c r="D170" s="143"/>
      <c r="E170" s="143"/>
      <c r="F170" s="144"/>
      <c r="J170" s="143"/>
      <c r="L170" s="143"/>
    </row>
    <row r="171" spans="1:12" x14ac:dyDescent="0.25">
      <c r="A171" s="142"/>
      <c r="B171" s="143"/>
      <c r="C171" s="143"/>
      <c r="D171" s="143"/>
      <c r="E171" s="143"/>
      <c r="F171" s="144"/>
      <c r="J171" s="143"/>
      <c r="L171" s="143"/>
    </row>
    <row r="172" spans="1:12" x14ac:dyDescent="0.25">
      <c r="A172" s="142"/>
      <c r="B172" s="143"/>
      <c r="C172" s="143"/>
      <c r="D172" s="143"/>
      <c r="E172" s="143"/>
      <c r="F172" s="144"/>
      <c r="J172" s="143"/>
      <c r="L172" s="143"/>
    </row>
    <row r="173" spans="1:12" x14ac:dyDescent="0.25">
      <c r="A173" s="142"/>
      <c r="B173" s="143"/>
      <c r="C173" s="143"/>
      <c r="D173" s="143"/>
      <c r="E173" s="143"/>
      <c r="F173" s="144"/>
      <c r="J173" s="143"/>
      <c r="L173" s="143"/>
    </row>
    <row r="174" spans="1:12" x14ac:dyDescent="0.25">
      <c r="A174" s="142"/>
      <c r="B174" s="143"/>
      <c r="C174" s="143"/>
      <c r="D174" s="143"/>
      <c r="E174" s="143"/>
      <c r="F174" s="144"/>
      <c r="J174" s="143"/>
      <c r="L174" s="143"/>
    </row>
    <row r="175" spans="1:12" x14ac:dyDescent="0.25">
      <c r="A175" s="142"/>
      <c r="B175" s="143"/>
      <c r="C175" s="143"/>
      <c r="D175" s="143"/>
      <c r="E175" s="143"/>
      <c r="F175" s="144"/>
      <c r="J175" s="143"/>
      <c r="L175" s="143"/>
    </row>
    <row r="176" spans="1:12" x14ac:dyDescent="0.25">
      <c r="A176" s="142"/>
      <c r="B176" s="143"/>
      <c r="C176" s="143"/>
      <c r="D176" s="143"/>
      <c r="E176" s="143"/>
      <c r="F176" s="144"/>
      <c r="J176" s="143"/>
      <c r="L176" s="143"/>
    </row>
    <row r="177" spans="1:12" x14ac:dyDescent="0.25">
      <c r="A177" s="142"/>
      <c r="B177" s="143"/>
      <c r="C177" s="143"/>
      <c r="D177" s="143"/>
      <c r="E177" s="143"/>
      <c r="F177" s="144"/>
      <c r="J177" s="143"/>
      <c r="K177" s="143"/>
      <c r="L177" s="143"/>
    </row>
    <row r="178" spans="1:12" x14ac:dyDescent="0.25">
      <c r="A178" s="142"/>
      <c r="B178" s="143"/>
      <c r="C178" s="143"/>
      <c r="D178" s="143"/>
      <c r="E178" s="143"/>
      <c r="F178" s="144"/>
      <c r="J178" s="143"/>
      <c r="K178" s="143"/>
      <c r="L178" s="143"/>
    </row>
    <row r="179" spans="1:12" x14ac:dyDescent="0.25">
      <c r="A179" s="142"/>
      <c r="B179" s="143"/>
      <c r="C179" s="143"/>
      <c r="D179" s="143"/>
      <c r="E179" s="144"/>
      <c r="F179" s="144"/>
      <c r="J179" s="143"/>
      <c r="K179" s="143"/>
      <c r="L179" s="143"/>
    </row>
    <row r="180" spans="1:12" x14ac:dyDescent="0.25">
      <c r="A180" s="142"/>
      <c r="B180" s="143"/>
      <c r="C180" s="143"/>
      <c r="D180" s="143"/>
      <c r="E180" s="143"/>
      <c r="F180" s="144"/>
      <c r="J180" s="143"/>
      <c r="L180" s="143"/>
    </row>
    <row r="181" spans="1:12" x14ac:dyDescent="0.25">
      <c r="A181" s="142"/>
      <c r="B181" s="143"/>
      <c r="C181" s="143"/>
      <c r="D181" s="143"/>
      <c r="E181" s="143"/>
      <c r="F181" s="144"/>
      <c r="J181" s="143"/>
      <c r="L181" s="143"/>
    </row>
    <row r="182" spans="1:12" x14ac:dyDescent="0.25">
      <c r="A182" s="142"/>
      <c r="B182" s="143"/>
      <c r="C182" s="143"/>
      <c r="D182" s="143"/>
      <c r="E182" s="143"/>
      <c r="F182" s="144"/>
      <c r="J182" s="143"/>
      <c r="L182" s="143"/>
    </row>
    <row r="183" spans="1:12" x14ac:dyDescent="0.25">
      <c r="A183" s="142"/>
      <c r="B183" s="143"/>
      <c r="C183" s="143"/>
      <c r="D183" s="143"/>
      <c r="E183" s="143"/>
      <c r="F183" s="144"/>
      <c r="J183" s="143"/>
      <c r="L183" s="143"/>
    </row>
    <row r="184" spans="1:12" x14ac:dyDescent="0.25">
      <c r="A184" s="142"/>
      <c r="B184" s="143"/>
      <c r="C184" s="143"/>
      <c r="D184" s="143"/>
      <c r="E184" s="143"/>
      <c r="F184" s="144"/>
      <c r="J184" s="143"/>
      <c r="L184" s="143"/>
    </row>
    <row r="185" spans="1:12" x14ac:dyDescent="0.25">
      <c r="A185" s="142"/>
      <c r="B185" s="143"/>
      <c r="C185" s="143"/>
      <c r="D185" s="143"/>
      <c r="E185" s="143"/>
      <c r="F185" s="144"/>
      <c r="J185" s="143"/>
      <c r="K185" s="143"/>
      <c r="L185" s="143"/>
    </row>
    <row r="186" spans="1:12" x14ac:dyDescent="0.25">
      <c r="A186" s="142"/>
      <c r="B186" s="143"/>
      <c r="C186" s="143"/>
      <c r="D186" s="143"/>
      <c r="E186" s="143"/>
      <c r="F186" s="144"/>
      <c r="J186" s="143"/>
      <c r="L186" s="143"/>
    </row>
    <row r="187" spans="1:12" x14ac:dyDescent="0.25">
      <c r="A187" s="142"/>
      <c r="B187" s="143"/>
      <c r="C187" s="143"/>
      <c r="D187" s="143"/>
      <c r="E187" s="143"/>
      <c r="F187" s="144"/>
      <c r="J187" s="143"/>
      <c r="L187" s="143"/>
    </row>
    <row r="188" spans="1:12" x14ac:dyDescent="0.25">
      <c r="A188" s="142"/>
      <c r="B188" s="143"/>
      <c r="C188" s="143"/>
      <c r="D188" s="143"/>
      <c r="E188" s="143"/>
      <c r="F188" s="144"/>
      <c r="J188" s="143"/>
      <c r="L188" s="143"/>
    </row>
    <row r="189" spans="1:12" x14ac:dyDescent="0.25">
      <c r="A189" s="142"/>
      <c r="B189" s="143"/>
      <c r="C189" s="143"/>
      <c r="D189" s="143"/>
      <c r="E189" s="143"/>
      <c r="F189" s="144"/>
      <c r="J189" s="143"/>
      <c r="L189" s="143"/>
    </row>
    <row r="190" spans="1:12" x14ac:dyDescent="0.25">
      <c r="A190" s="142"/>
      <c r="B190" s="143"/>
      <c r="C190" s="143"/>
      <c r="D190" s="143"/>
      <c r="E190" s="143"/>
      <c r="F190" s="144"/>
      <c r="J190" s="143"/>
      <c r="L190" s="143"/>
    </row>
    <row r="191" spans="1:12" x14ac:dyDescent="0.25">
      <c r="A191" s="142"/>
      <c r="B191" s="143"/>
      <c r="C191" s="143"/>
      <c r="D191" s="143"/>
      <c r="E191" s="143"/>
      <c r="F191" s="144"/>
      <c r="J191" s="143"/>
      <c r="L191" s="143"/>
    </row>
    <row r="192" spans="1:12" x14ac:dyDescent="0.25">
      <c r="A192" s="142"/>
      <c r="B192" s="143"/>
      <c r="C192" s="143"/>
      <c r="D192" s="143"/>
      <c r="E192" s="143"/>
      <c r="F192" s="144"/>
      <c r="J192" s="143"/>
      <c r="L192" s="143"/>
    </row>
    <row r="193" spans="1:12" x14ac:dyDescent="0.25">
      <c r="A193" s="142"/>
      <c r="B193" s="143"/>
      <c r="C193" s="143"/>
      <c r="D193" s="143"/>
      <c r="E193" s="143"/>
      <c r="F193" s="144"/>
      <c r="J193" s="143"/>
      <c r="L193" s="143"/>
    </row>
    <row r="194" spans="1:12" x14ac:dyDescent="0.25">
      <c r="A194" s="142"/>
      <c r="B194" s="143"/>
      <c r="C194" s="143"/>
      <c r="D194" s="143"/>
      <c r="E194" s="143"/>
      <c r="F194" s="144"/>
      <c r="J194" s="143"/>
      <c r="L194" s="143"/>
    </row>
    <row r="195" spans="1:12" x14ac:dyDescent="0.25">
      <c r="A195" s="142"/>
      <c r="B195" s="143"/>
      <c r="C195" s="143"/>
      <c r="D195" s="143"/>
      <c r="E195" s="143"/>
      <c r="F195" s="144"/>
      <c r="J195" s="143"/>
      <c r="L195" s="143"/>
    </row>
    <row r="196" spans="1:12" x14ac:dyDescent="0.25">
      <c r="A196" s="142"/>
      <c r="B196" s="143"/>
      <c r="C196" s="143"/>
      <c r="D196" s="143"/>
      <c r="E196" s="143"/>
      <c r="F196" s="144"/>
      <c r="J196" s="143"/>
      <c r="L196" s="143"/>
    </row>
    <row r="197" spans="1:12" x14ac:dyDescent="0.25">
      <c r="A197" s="142"/>
      <c r="B197" s="143"/>
      <c r="C197" s="143"/>
      <c r="D197" s="143"/>
      <c r="E197" s="143"/>
      <c r="F197" s="144"/>
      <c r="J197" s="143"/>
      <c r="L197" s="143"/>
    </row>
    <row r="198" spans="1:12" x14ac:dyDescent="0.25">
      <c r="A198" s="142"/>
      <c r="B198" s="143"/>
      <c r="C198" s="143"/>
      <c r="D198" s="143"/>
      <c r="E198" s="143"/>
      <c r="F198" s="144"/>
      <c r="J198" s="143"/>
      <c r="K198" s="143"/>
      <c r="L198" s="143"/>
    </row>
    <row r="199" spans="1:12" x14ac:dyDescent="0.25">
      <c r="A199" s="142"/>
      <c r="B199" s="143"/>
      <c r="C199" s="143"/>
      <c r="D199" s="143"/>
      <c r="E199" s="143"/>
      <c r="F199" s="144"/>
      <c r="J199" s="143"/>
      <c r="L199" s="143"/>
    </row>
    <row r="200" spans="1:12" x14ac:dyDescent="0.25">
      <c r="A200" s="142"/>
      <c r="B200" s="143"/>
      <c r="C200" s="143"/>
      <c r="D200" s="143"/>
      <c r="E200" s="143"/>
      <c r="F200" s="144"/>
      <c r="J200" s="143"/>
      <c r="L200" s="143"/>
    </row>
    <row r="201" spans="1:12" x14ac:dyDescent="0.25">
      <c r="A201" s="142"/>
      <c r="B201" s="143"/>
      <c r="C201" s="143"/>
      <c r="D201" s="143"/>
      <c r="E201" s="144"/>
      <c r="F201" s="144"/>
      <c r="J201" s="143"/>
      <c r="L201" s="143"/>
    </row>
    <row r="202" spans="1:12" x14ac:dyDescent="0.25">
      <c r="A202" s="142"/>
      <c r="B202" s="143"/>
      <c r="C202" s="143"/>
      <c r="D202" s="143"/>
      <c r="E202" s="144"/>
      <c r="F202" s="144"/>
      <c r="J202" s="143"/>
      <c r="L202" s="143"/>
    </row>
    <row r="203" spans="1:12" x14ac:dyDescent="0.25">
      <c r="A203" s="142"/>
      <c r="B203" s="143"/>
      <c r="C203" s="143"/>
      <c r="D203" s="143"/>
      <c r="E203" s="143"/>
      <c r="F203" s="144"/>
      <c r="J203" s="143"/>
      <c r="L203" s="143"/>
    </row>
    <row r="204" spans="1:12" x14ac:dyDescent="0.25">
      <c r="A204" s="142"/>
      <c r="B204" s="143"/>
      <c r="C204" s="143"/>
      <c r="D204" s="143"/>
      <c r="E204" s="143"/>
      <c r="F204" s="144"/>
      <c r="J204" s="143"/>
      <c r="L204" s="143"/>
    </row>
    <row r="205" spans="1:12" x14ac:dyDescent="0.25">
      <c r="A205" s="142"/>
      <c r="B205" s="143"/>
      <c r="C205" s="143"/>
      <c r="D205" s="143"/>
      <c r="E205" s="143"/>
      <c r="F205" s="144"/>
      <c r="J205" s="143"/>
      <c r="L205" s="143"/>
    </row>
    <row r="206" spans="1:12" x14ac:dyDescent="0.25">
      <c r="A206" s="142"/>
      <c r="B206" s="143"/>
      <c r="C206" s="143"/>
      <c r="D206" s="143"/>
      <c r="E206" s="143"/>
      <c r="F206" s="144"/>
      <c r="J206" s="143"/>
      <c r="L206" s="143"/>
    </row>
    <row r="207" spans="1:12" x14ac:dyDescent="0.25">
      <c r="A207" s="142"/>
      <c r="B207" s="143"/>
      <c r="C207" s="143"/>
      <c r="D207" s="143"/>
      <c r="E207" s="143"/>
      <c r="F207" s="144"/>
      <c r="J207" s="143"/>
      <c r="L207" s="143"/>
    </row>
    <row r="208" spans="1:12" x14ac:dyDescent="0.25">
      <c r="A208" s="142"/>
      <c r="B208" s="143"/>
      <c r="C208" s="143"/>
      <c r="D208" s="143"/>
      <c r="E208" s="143"/>
      <c r="F208" s="144"/>
      <c r="J208" s="143"/>
      <c r="L208" s="143"/>
    </row>
    <row r="209" spans="1:12" x14ac:dyDescent="0.25">
      <c r="A209" s="142"/>
      <c r="B209" s="143"/>
      <c r="C209" s="143"/>
      <c r="D209" s="143"/>
      <c r="E209" s="143"/>
      <c r="F209" s="144"/>
      <c r="J209" s="143"/>
      <c r="L209" s="143"/>
    </row>
    <row r="210" spans="1:12" x14ac:dyDescent="0.25">
      <c r="A210" s="142"/>
      <c r="B210" s="143"/>
      <c r="C210" s="143"/>
      <c r="D210" s="143"/>
      <c r="E210" s="144"/>
      <c r="F210" s="144"/>
      <c r="J210" s="143"/>
      <c r="L210" s="143"/>
    </row>
    <row r="211" spans="1:12" x14ac:dyDescent="0.25">
      <c r="A211" s="142"/>
      <c r="B211" s="143"/>
      <c r="C211" s="143"/>
      <c r="D211" s="143"/>
      <c r="E211" s="144"/>
      <c r="F211" s="144"/>
      <c r="J211" s="143"/>
      <c r="K211" s="143"/>
      <c r="L211" s="143"/>
    </row>
    <row r="212" spans="1:12" x14ac:dyDescent="0.25">
      <c r="A212" s="142"/>
      <c r="B212" s="143"/>
      <c r="C212" s="143"/>
      <c r="D212" s="143"/>
      <c r="E212" s="144"/>
      <c r="F212" s="144"/>
      <c r="J212" s="143"/>
      <c r="K212" s="143"/>
      <c r="L212" s="143"/>
    </row>
    <row r="213" spans="1:12" x14ac:dyDescent="0.25">
      <c r="A213" s="142"/>
      <c r="B213" s="143"/>
      <c r="C213" s="143"/>
      <c r="D213" s="143"/>
      <c r="E213" s="144"/>
      <c r="F213" s="144"/>
      <c r="J213" s="143"/>
      <c r="K213" s="143"/>
      <c r="L213" s="143"/>
    </row>
    <row r="214" spans="1:12" x14ac:dyDescent="0.25">
      <c r="A214" s="142"/>
      <c r="B214" s="143"/>
      <c r="C214" s="143"/>
      <c r="D214" s="143"/>
      <c r="E214" s="144"/>
      <c r="F214" s="144"/>
      <c r="J214" s="143"/>
      <c r="K214" s="143"/>
      <c r="L214" s="143"/>
    </row>
    <row r="215" spans="1:12" x14ac:dyDescent="0.25">
      <c r="A215" s="142"/>
      <c r="B215" s="143"/>
      <c r="C215" s="143"/>
      <c r="D215" s="143"/>
      <c r="E215" s="144"/>
      <c r="F215" s="144"/>
      <c r="J215" s="143"/>
      <c r="K215" s="143"/>
      <c r="L215" s="143"/>
    </row>
    <row r="216" spans="1:12" x14ac:dyDescent="0.25">
      <c r="A216" s="142"/>
      <c r="B216" s="143"/>
      <c r="C216" s="143"/>
      <c r="D216" s="143"/>
      <c r="E216" s="143"/>
      <c r="F216" s="144"/>
      <c r="J216" s="143"/>
      <c r="L216" s="143"/>
    </row>
    <row r="217" spans="1:12" x14ac:dyDescent="0.25">
      <c r="A217" s="142"/>
      <c r="B217" s="143"/>
      <c r="C217" s="143"/>
      <c r="D217" s="143"/>
      <c r="E217" s="143"/>
      <c r="F217" s="144"/>
      <c r="J217" s="143"/>
      <c r="L217" s="143"/>
    </row>
    <row r="218" spans="1:12" x14ac:dyDescent="0.25">
      <c r="A218" s="142"/>
      <c r="B218" s="143"/>
      <c r="C218" s="143"/>
      <c r="D218" s="150"/>
      <c r="E218" s="143"/>
      <c r="F218" s="144"/>
      <c r="J218" s="143"/>
      <c r="L218" s="143"/>
    </row>
    <row r="219" spans="1:12" x14ac:dyDescent="0.25">
      <c r="F219" s="144"/>
      <c r="G219" s="144"/>
    </row>
    <row r="220" spans="1:12" x14ac:dyDescent="0.25">
      <c r="A220" s="21"/>
    </row>
    <row r="221" spans="1:12" x14ac:dyDescent="0.25">
      <c r="F221" s="148"/>
      <c r="G221" s="149"/>
    </row>
    <row r="223" spans="1:12" x14ac:dyDescent="0.25">
      <c r="A223" s="21"/>
    </row>
    <row r="224" spans="1:12" x14ac:dyDescent="0.25">
      <c r="A224" s="142"/>
      <c r="B224" s="143"/>
      <c r="C224" s="143"/>
      <c r="D224" s="143"/>
      <c r="E224" s="143"/>
      <c r="F224" s="144"/>
      <c r="J224" s="143"/>
      <c r="L224" s="143"/>
    </row>
    <row r="225" spans="1:12" x14ac:dyDescent="0.25">
      <c r="A225" s="142"/>
      <c r="B225" s="143"/>
      <c r="C225" s="143"/>
      <c r="D225" s="143"/>
      <c r="E225" s="143"/>
      <c r="F225" s="144"/>
      <c r="J225" s="143"/>
      <c r="L225" s="143"/>
    </row>
    <row r="226" spans="1:12" x14ac:dyDescent="0.25">
      <c r="A226" s="142"/>
      <c r="B226" s="143"/>
      <c r="C226" s="143"/>
      <c r="D226" s="143"/>
      <c r="E226" s="143"/>
      <c r="F226" s="144"/>
      <c r="J226" s="143"/>
      <c r="L226" s="143"/>
    </row>
    <row r="227" spans="1:12" x14ac:dyDescent="0.25">
      <c r="A227" s="142"/>
      <c r="B227" s="143"/>
      <c r="C227" s="143"/>
      <c r="D227" s="143"/>
      <c r="E227" s="143"/>
      <c r="F227" s="144"/>
      <c r="J227" s="143"/>
      <c r="L227" s="143"/>
    </row>
  </sheetData>
  <phoneticPr fontId="10" type="noConversion"/>
  <pageMargins left="0.75" right="0.75" top="1" bottom="1" header="0.5" footer="0.5"/>
  <pageSetup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B2"/>
  <sheetViews>
    <sheetView workbookViewId="0">
      <selection activeCell="P22" sqref="P22"/>
    </sheetView>
  </sheetViews>
  <sheetFormatPr defaultColWidth="9.21875" defaultRowHeight="13.2" x14ac:dyDescent="0.25"/>
  <cols>
    <col min="1" max="1" width="9.21875" style="1"/>
    <col min="2" max="2" width="47.5546875" style="1" customWidth="1"/>
    <col min="3" max="16384" width="9.21875" style="1"/>
  </cols>
  <sheetData>
    <row r="1" spans="2:2" ht="13.8" thickBot="1" x14ac:dyDescent="0.3"/>
    <row r="2" spans="2:2" ht="38.25" customHeight="1" thickBot="1" x14ac:dyDescent="0.3">
      <c r="B2" s="152" t="s">
        <v>171</v>
      </c>
    </row>
  </sheetData>
  <phoneticPr fontId="10" type="noConversion"/>
  <pageMargins left="0.75" right="0.75" top="1" bottom="1" header="0.5" footer="0.5"/>
  <pageSetup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4"/>
  <sheetViews>
    <sheetView workbookViewId="0">
      <selection activeCell="P22" sqref="P22"/>
    </sheetView>
  </sheetViews>
  <sheetFormatPr defaultColWidth="9.21875" defaultRowHeight="13.2" x14ac:dyDescent="0.25"/>
  <cols>
    <col min="1" max="1" width="3.44140625" style="1" bestFit="1" customWidth="1"/>
    <col min="2" max="2" width="11.21875" style="1" bestFit="1" customWidth="1"/>
    <col min="3" max="3" width="11" style="1" bestFit="1" customWidth="1"/>
    <col min="4" max="4" width="10.21875" style="1" bestFit="1" customWidth="1"/>
    <col min="5" max="5" width="11.5546875" style="1" bestFit="1" customWidth="1"/>
    <col min="6" max="6" width="24.44140625" style="1" customWidth="1"/>
    <col min="7" max="7" width="7.5546875" style="1" bestFit="1" customWidth="1"/>
    <col min="8" max="8" width="10.21875" style="1" bestFit="1" customWidth="1"/>
    <col min="9" max="9" width="9.21875" style="1"/>
    <col min="10" max="10" width="3.44140625" style="1" bestFit="1" customWidth="1"/>
    <col min="11" max="11" width="11.21875" style="1" bestFit="1" customWidth="1"/>
    <col min="12" max="12" width="11" style="1" bestFit="1" customWidth="1"/>
    <col min="13" max="13" width="10.21875" style="1" bestFit="1" customWidth="1"/>
    <col min="14" max="14" width="11.5546875" style="1" bestFit="1" customWidth="1"/>
    <col min="15" max="15" width="24.44140625" style="1" customWidth="1"/>
    <col min="16" max="16" width="7.5546875" style="1" bestFit="1" customWidth="1"/>
    <col min="17" max="17" width="9.77734375" style="1" bestFit="1" customWidth="1"/>
    <col min="18" max="16384" width="9.21875" style="1"/>
  </cols>
  <sheetData>
    <row r="2" spans="1:17" x14ac:dyDescent="0.25">
      <c r="A2" s="1037" t="s">
        <v>667</v>
      </c>
      <c r="B2" s="1037"/>
      <c r="C2" s="1037"/>
      <c r="D2" s="1037"/>
      <c r="E2" s="1037"/>
      <c r="F2" s="1037"/>
      <c r="G2" s="1037"/>
      <c r="H2" s="1037"/>
    </row>
    <row r="3" spans="1:17" s="24" customFormat="1" ht="36" customHeight="1" x14ac:dyDescent="0.25">
      <c r="A3" s="213" t="s">
        <v>997</v>
      </c>
      <c r="B3" s="213" t="s">
        <v>998</v>
      </c>
      <c r="C3" s="213" t="s">
        <v>999</v>
      </c>
      <c r="D3" s="213" t="s">
        <v>1000</v>
      </c>
      <c r="E3" s="213" t="s">
        <v>1001</v>
      </c>
      <c r="F3" s="213" t="s">
        <v>995</v>
      </c>
      <c r="G3" s="213" t="s">
        <v>996</v>
      </c>
      <c r="H3" s="213" t="s">
        <v>1002</v>
      </c>
    </row>
    <row r="4" spans="1:17" x14ac:dyDescent="0.25">
      <c r="A4" s="1">
        <v>1</v>
      </c>
      <c r="B4" s="1" t="s">
        <v>918</v>
      </c>
      <c r="C4" s="57">
        <v>40871</v>
      </c>
      <c r="D4" s="57">
        <v>40871</v>
      </c>
      <c r="E4" s="1" t="s">
        <v>919</v>
      </c>
      <c r="F4" s="1" t="s">
        <v>920</v>
      </c>
      <c r="G4" s="1" t="s">
        <v>921</v>
      </c>
      <c r="H4" s="18">
        <v>10200</v>
      </c>
      <c r="I4" s="18"/>
    </row>
    <row r="5" spans="1:17" x14ac:dyDescent="0.25">
      <c r="A5" s="1">
        <v>2</v>
      </c>
      <c r="B5" s="1" t="s">
        <v>969</v>
      </c>
      <c r="C5" s="57">
        <v>40876</v>
      </c>
      <c r="D5" s="57">
        <v>40876</v>
      </c>
      <c r="E5" s="1" t="s">
        <v>919</v>
      </c>
      <c r="F5" s="1" t="s">
        <v>970</v>
      </c>
      <c r="G5" s="1" t="s">
        <v>921</v>
      </c>
      <c r="H5" s="1">
        <v>1</v>
      </c>
      <c r="I5" s="18"/>
    </row>
    <row r="6" spans="1:17" x14ac:dyDescent="0.25">
      <c r="A6" s="1">
        <v>10</v>
      </c>
      <c r="B6" s="1" t="s">
        <v>922</v>
      </c>
      <c r="C6" s="57">
        <v>40904</v>
      </c>
      <c r="D6" s="57">
        <v>40904</v>
      </c>
      <c r="E6" s="1" t="s">
        <v>919</v>
      </c>
      <c r="F6" s="1" t="s">
        <v>923</v>
      </c>
      <c r="G6" s="1" t="s">
        <v>921</v>
      </c>
      <c r="H6" s="18">
        <v>17700</v>
      </c>
      <c r="I6" s="18"/>
    </row>
    <row r="7" spans="1:17" x14ac:dyDescent="0.25">
      <c r="A7" s="1">
        <v>18</v>
      </c>
      <c r="B7" s="1" t="s">
        <v>924</v>
      </c>
      <c r="C7" s="57">
        <v>40938</v>
      </c>
      <c r="D7" s="57">
        <v>40938</v>
      </c>
      <c r="E7" s="1" t="s">
        <v>919</v>
      </c>
      <c r="F7" s="1" t="s">
        <v>925</v>
      </c>
      <c r="G7" s="1" t="s">
        <v>921</v>
      </c>
      <c r="H7" s="18">
        <v>10000</v>
      </c>
      <c r="I7" s="18"/>
    </row>
    <row r="8" spans="1:17" x14ac:dyDescent="0.25">
      <c r="A8" s="1">
        <v>24</v>
      </c>
      <c r="B8" s="1" t="s">
        <v>971</v>
      </c>
      <c r="C8" s="57">
        <v>40969</v>
      </c>
      <c r="D8" s="57">
        <v>40969</v>
      </c>
      <c r="E8" s="1" t="s">
        <v>919</v>
      </c>
      <c r="F8" s="1" t="s">
        <v>972</v>
      </c>
      <c r="G8" s="1" t="s">
        <v>921</v>
      </c>
      <c r="H8" s="1">
        <v>241</v>
      </c>
      <c r="I8" s="18"/>
    </row>
    <row r="9" spans="1:17" ht="13.8" thickBot="1" x14ac:dyDescent="0.3">
      <c r="C9" s="57"/>
      <c r="D9" s="57"/>
      <c r="H9" s="18"/>
    </row>
    <row r="10" spans="1:17" ht="13.8" thickBot="1" x14ac:dyDescent="0.3">
      <c r="C10" s="57"/>
      <c r="D10" s="57"/>
      <c r="H10" s="342">
        <f>SUM(H4:H9)</f>
        <v>38142</v>
      </c>
    </row>
    <row r="11" spans="1:17" x14ac:dyDescent="0.25">
      <c r="C11" s="57"/>
      <c r="D11" s="57"/>
    </row>
    <row r="12" spans="1:17" x14ac:dyDescent="0.25">
      <c r="A12" s="1038" t="s">
        <v>668</v>
      </c>
      <c r="B12" s="1038"/>
      <c r="C12" s="1038"/>
      <c r="D12" s="1038"/>
      <c r="E12" s="1038"/>
      <c r="F12" s="1038"/>
      <c r="G12" s="1038"/>
      <c r="H12" s="1038"/>
      <c r="Q12" s="18"/>
    </row>
    <row r="13" spans="1:17" x14ac:dyDescent="0.25">
      <c r="A13" s="341" t="s">
        <v>997</v>
      </c>
      <c r="B13" s="341" t="s">
        <v>998</v>
      </c>
      <c r="C13" s="341" t="s">
        <v>999</v>
      </c>
      <c r="D13" s="341" t="s">
        <v>1000</v>
      </c>
      <c r="E13" s="341" t="s">
        <v>1001</v>
      </c>
      <c r="F13" s="341" t="s">
        <v>995</v>
      </c>
      <c r="G13" s="341" t="s">
        <v>996</v>
      </c>
      <c r="H13" s="341" t="s">
        <v>1002</v>
      </c>
      <c r="Q13" s="18"/>
    </row>
    <row r="14" spans="1:17" x14ac:dyDescent="0.25">
      <c r="A14" s="1">
        <v>3</v>
      </c>
      <c r="B14" s="1" t="s">
        <v>973</v>
      </c>
      <c r="C14" s="57">
        <v>40876</v>
      </c>
      <c r="D14" s="57">
        <v>40876</v>
      </c>
      <c r="E14" s="1" t="s">
        <v>919</v>
      </c>
      <c r="F14" s="1" t="s">
        <v>974</v>
      </c>
      <c r="G14" s="1" t="s">
        <v>951</v>
      </c>
      <c r="H14" s="1">
        <v>1</v>
      </c>
      <c r="Q14" s="18"/>
    </row>
    <row r="15" spans="1:17" x14ac:dyDescent="0.25">
      <c r="A15" s="1">
        <v>8</v>
      </c>
      <c r="B15" s="1" t="s">
        <v>926</v>
      </c>
      <c r="C15" s="57">
        <v>40900</v>
      </c>
      <c r="D15" s="57">
        <v>40900</v>
      </c>
      <c r="E15" s="1" t="s">
        <v>919</v>
      </c>
      <c r="F15" s="1" t="s">
        <v>950</v>
      </c>
      <c r="G15" s="1" t="s">
        <v>951</v>
      </c>
      <c r="H15" s="18">
        <v>109</v>
      </c>
    </row>
    <row r="16" spans="1:17" x14ac:dyDescent="0.25">
      <c r="A16" s="1">
        <v>11</v>
      </c>
      <c r="B16" s="1" t="s">
        <v>952</v>
      </c>
      <c r="C16" s="57">
        <v>40907</v>
      </c>
      <c r="D16" s="57">
        <v>40907</v>
      </c>
      <c r="E16" s="1" t="s">
        <v>919</v>
      </c>
      <c r="F16" s="1" t="s">
        <v>953</v>
      </c>
      <c r="G16" s="1" t="s">
        <v>951</v>
      </c>
      <c r="H16" s="18">
        <v>2700</v>
      </c>
    </row>
    <row r="17" spans="1:17" x14ac:dyDescent="0.25">
      <c r="A17" s="1">
        <v>14</v>
      </c>
      <c r="B17" s="1" t="s">
        <v>954</v>
      </c>
      <c r="C17" s="57">
        <v>40918</v>
      </c>
      <c r="D17" s="57">
        <v>40918</v>
      </c>
      <c r="E17" s="1" t="s">
        <v>919</v>
      </c>
      <c r="F17" s="1" t="s">
        <v>955</v>
      </c>
      <c r="G17" s="1" t="s">
        <v>951</v>
      </c>
      <c r="H17" s="18">
        <v>40000</v>
      </c>
    </row>
    <row r="18" spans="1:17" x14ac:dyDescent="0.25">
      <c r="A18" s="1">
        <v>19</v>
      </c>
      <c r="B18" s="1" t="s">
        <v>956</v>
      </c>
      <c r="C18" s="57">
        <v>40939</v>
      </c>
      <c r="D18" s="57">
        <v>40939</v>
      </c>
      <c r="E18" s="1" t="s">
        <v>919</v>
      </c>
      <c r="F18" s="1" t="s">
        <v>957</v>
      </c>
      <c r="G18" s="1" t="s">
        <v>951</v>
      </c>
      <c r="H18" s="18">
        <v>24000</v>
      </c>
    </row>
    <row r="19" spans="1:17" x14ac:dyDescent="0.25">
      <c r="A19" s="1">
        <v>21</v>
      </c>
      <c r="B19" s="1" t="s">
        <v>975</v>
      </c>
      <c r="C19" s="57">
        <v>40945</v>
      </c>
      <c r="D19" s="57">
        <v>40945</v>
      </c>
      <c r="E19" s="1" t="s">
        <v>919</v>
      </c>
      <c r="F19" s="1" t="s">
        <v>976</v>
      </c>
      <c r="G19" s="1" t="s">
        <v>951</v>
      </c>
      <c r="H19" s="18">
        <v>10000</v>
      </c>
    </row>
    <row r="20" spans="1:17" x14ac:dyDescent="0.25">
      <c r="A20" s="1">
        <v>23</v>
      </c>
      <c r="B20" s="1" t="s">
        <v>977</v>
      </c>
      <c r="C20" s="57">
        <v>40966</v>
      </c>
      <c r="D20" s="57">
        <v>40966</v>
      </c>
      <c r="E20" s="1" t="s">
        <v>919</v>
      </c>
      <c r="F20" s="1" t="s">
        <v>978</v>
      </c>
      <c r="G20" s="1" t="s">
        <v>951</v>
      </c>
      <c r="H20" s="18">
        <v>20000</v>
      </c>
    </row>
    <row r="21" spans="1:17" x14ac:dyDescent="0.25">
      <c r="A21" s="1">
        <v>25</v>
      </c>
      <c r="B21" s="1" t="s">
        <v>979</v>
      </c>
      <c r="C21" s="392">
        <v>40983</v>
      </c>
      <c r="D21" s="392">
        <v>40983</v>
      </c>
      <c r="F21" s="1" t="s">
        <v>980</v>
      </c>
      <c r="G21" s="1" t="s">
        <v>951</v>
      </c>
      <c r="H21" s="18">
        <v>10000</v>
      </c>
    </row>
    <row r="22" spans="1:17" ht="13.8" thickBot="1" x14ac:dyDescent="0.3">
      <c r="H22" s="18"/>
    </row>
    <row r="23" spans="1:17" ht="13.8" thickBot="1" x14ac:dyDescent="0.3">
      <c r="H23" s="342">
        <f>SUM(H14:H22)</f>
        <v>106810</v>
      </c>
    </row>
    <row r="24" spans="1:17" x14ac:dyDescent="0.25">
      <c r="C24" s="57"/>
      <c r="D24" s="57"/>
      <c r="H24" s="18"/>
    </row>
    <row r="25" spans="1:17" x14ac:dyDescent="0.25">
      <c r="A25" s="1039" t="s">
        <v>1003</v>
      </c>
      <c r="B25" s="1039"/>
      <c r="C25" s="1039"/>
      <c r="D25" s="1039"/>
      <c r="E25" s="1039"/>
      <c r="F25" s="1039"/>
      <c r="G25" s="1039"/>
      <c r="H25" s="1039"/>
      <c r="M25" s="18"/>
    </row>
    <row r="26" spans="1:17" x14ac:dyDescent="0.25">
      <c r="A26" s="343"/>
      <c r="B26" s="344" t="s">
        <v>1004</v>
      </c>
      <c r="C26" s="345"/>
      <c r="D26" s="345"/>
      <c r="E26" s="343"/>
      <c r="F26" s="343"/>
      <c r="G26" s="343"/>
      <c r="H26" s="343"/>
      <c r="L26" s="57"/>
      <c r="M26" s="57"/>
    </row>
    <row r="27" spans="1:17" x14ac:dyDescent="0.25">
      <c r="A27" s="1">
        <v>4</v>
      </c>
      <c r="B27" s="1" t="s">
        <v>958</v>
      </c>
      <c r="C27" s="57">
        <v>40877</v>
      </c>
      <c r="D27" s="57">
        <v>40877</v>
      </c>
      <c r="E27" s="1" t="s">
        <v>919</v>
      </c>
      <c r="F27" s="1" t="s">
        <v>959</v>
      </c>
      <c r="G27" s="1" t="s">
        <v>921</v>
      </c>
      <c r="H27" s="1">
        <v>100</v>
      </c>
      <c r="L27" s="57"/>
      <c r="M27" s="57"/>
    </row>
    <row r="28" spans="1:17" x14ac:dyDescent="0.25">
      <c r="A28" s="1">
        <v>5</v>
      </c>
      <c r="B28" s="1" t="s">
        <v>960</v>
      </c>
      <c r="C28" s="57">
        <v>40879</v>
      </c>
      <c r="D28" s="57">
        <v>40879</v>
      </c>
      <c r="E28" s="1" t="s">
        <v>919</v>
      </c>
      <c r="F28" s="1" t="s">
        <v>961</v>
      </c>
      <c r="G28" s="1" t="s">
        <v>921</v>
      </c>
      <c r="H28" s="18">
        <v>2691</v>
      </c>
      <c r="L28" s="57"/>
      <c r="M28" s="57"/>
      <c r="Q28" s="18"/>
    </row>
    <row r="29" spans="1:17" x14ac:dyDescent="0.25">
      <c r="A29" s="1">
        <v>6</v>
      </c>
      <c r="B29" s="1" t="s">
        <v>962</v>
      </c>
      <c r="C29" s="57">
        <v>40886</v>
      </c>
      <c r="D29" s="57">
        <v>40886</v>
      </c>
      <c r="E29" s="1" t="s">
        <v>919</v>
      </c>
      <c r="F29" s="1" t="s">
        <v>963</v>
      </c>
      <c r="G29" s="1" t="s">
        <v>921</v>
      </c>
      <c r="H29" s="18">
        <v>3944</v>
      </c>
      <c r="L29" s="57"/>
      <c r="M29" s="57"/>
      <c r="Q29" s="18"/>
    </row>
    <row r="30" spans="1:17" x14ac:dyDescent="0.25">
      <c r="A30" s="1">
        <v>7</v>
      </c>
      <c r="B30" s="1" t="s">
        <v>964</v>
      </c>
      <c r="C30" s="57">
        <v>40893</v>
      </c>
      <c r="D30" s="57">
        <v>40893</v>
      </c>
      <c r="E30" s="1" t="s">
        <v>919</v>
      </c>
      <c r="F30" s="1" t="s">
        <v>965</v>
      </c>
      <c r="G30" s="1" t="s">
        <v>921</v>
      </c>
      <c r="H30" s="18">
        <v>3004</v>
      </c>
      <c r="L30" s="57"/>
      <c r="M30" s="57"/>
      <c r="Q30" s="18"/>
    </row>
    <row r="31" spans="1:17" x14ac:dyDescent="0.25">
      <c r="A31" s="1">
        <v>9</v>
      </c>
      <c r="B31" s="1" t="s">
        <v>966</v>
      </c>
      <c r="C31" s="57">
        <v>40900</v>
      </c>
      <c r="D31" s="57">
        <v>40900</v>
      </c>
      <c r="E31" s="1" t="s">
        <v>919</v>
      </c>
      <c r="F31" s="1" t="s">
        <v>967</v>
      </c>
      <c r="G31" s="1" t="s">
        <v>921</v>
      </c>
      <c r="H31" s="18">
        <v>4111</v>
      </c>
      <c r="L31" s="57"/>
      <c r="M31" s="57"/>
      <c r="Q31" s="18"/>
    </row>
    <row r="32" spans="1:17" ht="13.8" thickBot="1" x14ac:dyDescent="0.3">
      <c r="A32" s="1">
        <v>12</v>
      </c>
      <c r="B32" s="1" t="s">
        <v>968</v>
      </c>
      <c r="C32" s="57">
        <v>40910</v>
      </c>
      <c r="D32" s="57">
        <v>40910</v>
      </c>
      <c r="E32" s="1" t="s">
        <v>919</v>
      </c>
      <c r="F32" s="1" t="s">
        <v>985</v>
      </c>
      <c r="G32" s="1" t="s">
        <v>921</v>
      </c>
      <c r="H32" s="18">
        <v>3900</v>
      </c>
      <c r="L32" s="57"/>
      <c r="M32" s="57"/>
      <c r="Q32" s="18"/>
    </row>
    <row r="33" spans="1:17" ht="13.8" thickBot="1" x14ac:dyDescent="0.3">
      <c r="C33" s="57"/>
      <c r="D33" s="57"/>
      <c r="H33" s="342">
        <f>SUM(H27:H32)</f>
        <v>17750</v>
      </c>
      <c r="L33" s="57"/>
      <c r="M33" s="57"/>
      <c r="Q33" s="18"/>
    </row>
    <row r="34" spans="1:17" x14ac:dyDescent="0.25">
      <c r="C34" s="57"/>
      <c r="D34" s="57"/>
      <c r="H34" s="81"/>
      <c r="L34" s="57"/>
      <c r="M34" s="57"/>
      <c r="Q34" s="18"/>
    </row>
    <row r="35" spans="1:17" x14ac:dyDescent="0.25">
      <c r="A35" s="343"/>
      <c r="B35" s="344" t="s">
        <v>1005</v>
      </c>
      <c r="C35" s="345"/>
      <c r="D35" s="345"/>
      <c r="E35" s="343"/>
      <c r="F35" s="343"/>
      <c r="G35" s="343"/>
      <c r="H35" s="346"/>
      <c r="L35" s="57"/>
      <c r="M35" s="57"/>
      <c r="Q35" s="18"/>
    </row>
    <row r="36" spans="1:17" x14ac:dyDescent="0.25">
      <c r="A36" s="1">
        <v>13</v>
      </c>
      <c r="B36" s="1" t="s">
        <v>986</v>
      </c>
      <c r="C36" s="57">
        <v>40918</v>
      </c>
      <c r="D36" s="57">
        <v>40918</v>
      </c>
      <c r="E36" s="1" t="s">
        <v>919</v>
      </c>
      <c r="F36" s="1" t="s">
        <v>987</v>
      </c>
      <c r="G36" s="1" t="s">
        <v>921</v>
      </c>
      <c r="H36" s="18">
        <v>3909</v>
      </c>
      <c r="L36" s="57"/>
      <c r="M36" s="57"/>
      <c r="Q36" s="18"/>
    </row>
    <row r="37" spans="1:17" x14ac:dyDescent="0.25">
      <c r="A37" s="1">
        <v>15</v>
      </c>
      <c r="B37" s="1" t="s">
        <v>988</v>
      </c>
      <c r="C37" s="57">
        <v>40927</v>
      </c>
      <c r="D37" s="57">
        <v>40927</v>
      </c>
      <c r="E37" s="1" t="s">
        <v>919</v>
      </c>
      <c r="F37" s="1" t="s">
        <v>989</v>
      </c>
      <c r="G37" s="1" t="s">
        <v>921</v>
      </c>
      <c r="H37" s="18">
        <v>3190</v>
      </c>
      <c r="L37" s="57"/>
      <c r="M37" s="57"/>
      <c r="Q37" s="18"/>
    </row>
    <row r="38" spans="1:17" x14ac:dyDescent="0.25">
      <c r="A38" s="1">
        <v>16</v>
      </c>
      <c r="B38" s="1" t="s">
        <v>990</v>
      </c>
      <c r="C38" s="57">
        <v>40928</v>
      </c>
      <c r="D38" s="57">
        <v>40928</v>
      </c>
      <c r="E38" s="1" t="s">
        <v>919</v>
      </c>
      <c r="F38" s="1" t="s">
        <v>991</v>
      </c>
      <c r="G38" s="1" t="s">
        <v>921</v>
      </c>
      <c r="H38" s="18">
        <v>1000</v>
      </c>
      <c r="L38" s="57"/>
      <c r="M38" s="57"/>
      <c r="Q38" s="18"/>
    </row>
    <row r="39" spans="1:17" ht="13.8" thickBot="1" x14ac:dyDescent="0.3">
      <c r="A39" s="1">
        <v>17</v>
      </c>
      <c r="B39" s="1" t="s">
        <v>992</v>
      </c>
      <c r="C39" s="57">
        <v>40931</v>
      </c>
      <c r="D39" s="57">
        <v>40931</v>
      </c>
      <c r="E39" s="1" t="s">
        <v>919</v>
      </c>
      <c r="F39" s="1" t="s">
        <v>993</v>
      </c>
      <c r="G39" s="1" t="s">
        <v>921</v>
      </c>
      <c r="H39" s="18">
        <v>3300</v>
      </c>
      <c r="L39" s="57"/>
      <c r="M39" s="57"/>
      <c r="Q39" s="18"/>
    </row>
    <row r="40" spans="1:17" ht="13.8" thickBot="1" x14ac:dyDescent="0.3">
      <c r="C40" s="57"/>
      <c r="D40" s="57"/>
      <c r="H40" s="342">
        <f>SUM(H36:H39)</f>
        <v>11399</v>
      </c>
      <c r="L40" s="57"/>
      <c r="M40" s="57"/>
      <c r="Q40" s="18"/>
    </row>
    <row r="41" spans="1:17" x14ac:dyDescent="0.25">
      <c r="C41" s="57"/>
      <c r="D41" s="57"/>
      <c r="H41" s="81"/>
      <c r="L41" s="57"/>
      <c r="M41" s="57"/>
      <c r="Q41" s="18"/>
    </row>
    <row r="42" spans="1:17" x14ac:dyDescent="0.25">
      <c r="A42" s="343"/>
      <c r="B42" s="343" t="s">
        <v>983</v>
      </c>
      <c r="C42" s="345"/>
      <c r="D42" s="345"/>
      <c r="E42" s="343"/>
      <c r="F42" s="343"/>
      <c r="G42" s="343"/>
      <c r="H42" s="346"/>
      <c r="L42" s="57"/>
      <c r="M42" s="57"/>
      <c r="Q42" s="18"/>
    </row>
    <row r="43" spans="1:17" x14ac:dyDescent="0.25">
      <c r="A43" s="1">
        <v>20</v>
      </c>
      <c r="B43" s="1" t="s">
        <v>994</v>
      </c>
      <c r="C43" s="57">
        <v>40942</v>
      </c>
      <c r="D43" s="57">
        <v>40942</v>
      </c>
      <c r="E43" s="1" t="s">
        <v>919</v>
      </c>
      <c r="F43" s="1" t="s">
        <v>993</v>
      </c>
      <c r="G43" s="1" t="s">
        <v>921</v>
      </c>
      <c r="H43" s="18">
        <v>25000</v>
      </c>
      <c r="L43" s="57"/>
      <c r="M43" s="57"/>
      <c r="Q43" s="18"/>
    </row>
    <row r="44" spans="1:17" ht="13.8" thickBot="1" x14ac:dyDescent="0.3">
      <c r="A44" s="1">
        <v>22</v>
      </c>
      <c r="B44" s="1" t="s">
        <v>981</v>
      </c>
      <c r="C44" s="57">
        <v>40950</v>
      </c>
      <c r="D44" s="57">
        <v>40950</v>
      </c>
      <c r="E44" s="1" t="s">
        <v>919</v>
      </c>
      <c r="F44" s="1" t="s">
        <v>982</v>
      </c>
      <c r="G44" s="1" t="s">
        <v>921</v>
      </c>
      <c r="H44" s="18">
        <v>25000</v>
      </c>
      <c r="L44" s="57"/>
      <c r="M44" s="57"/>
      <c r="Q44" s="18"/>
    </row>
    <row r="45" spans="1:17" ht="13.8" thickBot="1" x14ac:dyDescent="0.3">
      <c r="C45" s="57"/>
      <c r="D45" s="57"/>
      <c r="H45" s="342">
        <f>SUM(H43:H44)</f>
        <v>50000</v>
      </c>
      <c r="L45" s="57"/>
      <c r="M45" s="57"/>
      <c r="Q45" s="18"/>
    </row>
    <row r="46" spans="1:17" x14ac:dyDescent="0.25">
      <c r="C46" s="57"/>
      <c r="D46" s="57"/>
      <c r="H46" s="18"/>
      <c r="L46" s="57"/>
      <c r="M46" s="57"/>
      <c r="Q46" s="18"/>
    </row>
    <row r="47" spans="1:17" x14ac:dyDescent="0.25">
      <c r="G47" s="2"/>
      <c r="H47" s="18"/>
      <c r="L47" s="57"/>
      <c r="M47" s="57"/>
      <c r="Q47" s="18"/>
    </row>
    <row r="48" spans="1:17" x14ac:dyDescent="0.25">
      <c r="G48" s="2" t="s">
        <v>984</v>
      </c>
      <c r="H48" s="18">
        <f>H45+H40+H33</f>
        <v>79149</v>
      </c>
      <c r="K48" s="18"/>
      <c r="N48" s="18"/>
    </row>
    <row r="50" spans="7:17" x14ac:dyDescent="0.25">
      <c r="G50" s="2"/>
      <c r="H50" s="18"/>
      <c r="Q50" s="18"/>
    </row>
    <row r="52" spans="7:17" x14ac:dyDescent="0.25">
      <c r="G52" s="2" t="s">
        <v>2027</v>
      </c>
      <c r="H52" s="18">
        <v>100000</v>
      </c>
    </row>
    <row r="54" spans="7:17" x14ac:dyDescent="0.25">
      <c r="G54" s="2" t="s">
        <v>2028</v>
      </c>
      <c r="H54" s="18">
        <f>H52-H48</f>
        <v>20851</v>
      </c>
    </row>
  </sheetData>
  <mergeCells count="3">
    <mergeCell ref="A2:H2"/>
    <mergeCell ref="A12:H12"/>
    <mergeCell ref="A25:H25"/>
  </mergeCells>
  <phoneticPr fontId="1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7" baseType="lpstr">
      <vt:lpstr>Summary</vt:lpstr>
      <vt:lpstr>My-Accounts</vt:lpstr>
      <vt:lpstr>Truck</vt:lpstr>
      <vt:lpstr>ICICI-Cash</vt:lpstr>
      <vt:lpstr>ICICI-FNO</vt:lpstr>
      <vt:lpstr>FY18-Equ-FNO-Zerodha</vt:lpstr>
      <vt:lpstr>FY17-Equ-FNO-Zerodha</vt:lpstr>
      <vt:lpstr>FY16-Equ-FNO-Zerodha</vt:lpstr>
      <vt:lpstr>FY16-Equ-FNO-RKG </vt:lpstr>
      <vt:lpstr>FY15-Equ-FNO-RKG</vt:lpstr>
      <vt:lpstr>FY15-ICICI-Cash</vt:lpstr>
      <vt:lpstr>FY15-ICICI-FNO</vt:lpstr>
      <vt:lpstr>FY14-ICICI</vt:lpstr>
      <vt:lpstr>FY14-Equ-FNO-RKG</vt:lpstr>
      <vt:lpstr>FY13-Equ-FNO-RKG</vt:lpstr>
      <vt:lpstr>FY13-FNO</vt:lpstr>
      <vt:lpstr>FY13-Equity</vt:lpstr>
      <vt:lpstr>FY12-Equity</vt:lpstr>
      <vt:lpstr>FY12-FNO</vt:lpstr>
      <vt:lpstr>FY12-Equ-FNO-RKG </vt:lpstr>
      <vt:lpstr>FY11-Equity</vt:lpstr>
      <vt:lpstr>FY11-FNO</vt:lpstr>
      <vt:lpstr>FY11-Equ-FNO-RKG</vt:lpstr>
      <vt:lpstr>FY11-Equity-SBI</vt:lpstr>
      <vt:lpstr>FY11-Angel</vt:lpstr>
      <vt:lpstr>FY10-Equity</vt:lpstr>
      <vt:lpstr>FY10-FNO</vt:lpstr>
      <vt:lpstr>FY10-Equity-SBI</vt:lpstr>
      <vt:lpstr>FY09-Equity</vt:lpstr>
      <vt:lpstr>FY09-FNO</vt:lpstr>
      <vt:lpstr>FY08-Equity</vt:lpstr>
      <vt:lpstr>FY08-FNO</vt:lpstr>
      <vt:lpstr>FY07-Equity</vt:lpstr>
      <vt:lpstr>FY07-FNO</vt:lpstr>
      <vt:lpstr>Income-From-PC</vt:lpstr>
      <vt:lpstr>PL-Chart</vt:lpstr>
      <vt:lpstr>'My-Accounts'!Print_Area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AnbuMaran</dc:creator>
  <cp:lastModifiedBy>Rebecca</cp:lastModifiedBy>
  <cp:lastPrinted>2012-03-28T14:51:22Z</cp:lastPrinted>
  <dcterms:created xsi:type="dcterms:W3CDTF">2011-04-11T12:13:19Z</dcterms:created>
  <dcterms:modified xsi:type="dcterms:W3CDTF">2018-09-08T13:00:45Z</dcterms:modified>
</cp:coreProperties>
</file>