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6" i="2" l="1"/>
  <c r="I54" i="2" s="1"/>
  <c r="I57" i="2" s="1"/>
  <c r="I55" i="2"/>
  <c r="I53" i="2"/>
  <c r="I52" i="2"/>
  <c r="I50" i="2"/>
  <c r="I51" i="2" s="1"/>
  <c r="I43" i="2"/>
  <c r="I30" i="2"/>
  <c r="I24" i="2"/>
  <c r="I36" i="2" s="1"/>
  <c r="I14" i="2"/>
  <c r="I18" i="2" s="1"/>
  <c r="I10" i="2"/>
  <c r="I11" i="2" s="1"/>
  <c r="I20" i="2" l="1"/>
  <c r="I27" i="2"/>
  <c r="I34" i="2"/>
  <c r="I26" i="2"/>
  <c r="I25" i="2" s="1"/>
  <c r="I29" i="2"/>
  <c r="I33" i="2"/>
  <c r="I32" i="2"/>
  <c r="I31" i="2"/>
  <c r="I28" i="2"/>
  <c r="I22" i="2"/>
  <c r="I19" i="2"/>
  <c r="I21" i="2"/>
  <c r="I13" i="2"/>
  <c r="I6" i="2"/>
  <c r="I15" i="2"/>
  <c r="I17" i="2"/>
  <c r="I8" i="2"/>
  <c r="I9" i="2" s="1"/>
  <c r="H55" i="2"/>
  <c r="H53" i="2"/>
  <c r="H56" i="2" s="1"/>
  <c r="H54" i="2" s="1"/>
  <c r="H57" i="2" s="1"/>
  <c r="H52" i="2"/>
  <c r="H50" i="2"/>
  <c r="H51" i="2" s="1"/>
  <c r="H43" i="2"/>
  <c r="H30" i="2"/>
  <c r="H24" i="2"/>
  <c r="H36" i="2" s="1"/>
  <c r="H14" i="2"/>
  <c r="I35" i="2" l="1"/>
  <c r="I7" i="2"/>
  <c r="H20" i="2"/>
  <c r="H33" i="2"/>
  <c r="H29" i="2"/>
  <c r="H32" i="2"/>
  <c r="H28" i="2"/>
  <c r="H31" i="2"/>
  <c r="H27" i="2"/>
  <c r="H34" i="2"/>
  <c r="H26" i="2"/>
  <c r="H8" i="2"/>
  <c r="H13" i="2"/>
  <c r="H18" i="2"/>
  <c r="H17" i="2" s="1"/>
  <c r="H10" i="2"/>
  <c r="H15" i="2"/>
  <c r="G55" i="2"/>
  <c r="G53" i="2"/>
  <c r="G56" i="2" s="1"/>
  <c r="G52" i="2"/>
  <c r="G50" i="2"/>
  <c r="G51" i="2" s="1"/>
  <c r="G43" i="2"/>
  <c r="G30" i="2"/>
  <c r="G24" i="2"/>
  <c r="G36" i="2" s="1"/>
  <c r="G14" i="2"/>
  <c r="G20" i="2" s="1"/>
  <c r="H9" i="2" l="1"/>
  <c r="H35" i="2"/>
  <c r="H6" i="2"/>
  <c r="H7" i="2" s="1"/>
  <c r="H11" i="2"/>
  <c r="H22" i="2"/>
  <c r="H21" i="2" s="1"/>
  <c r="H19" i="2"/>
  <c r="H25" i="2"/>
  <c r="G54" i="2"/>
  <c r="G57" i="2" s="1"/>
  <c r="G15" i="2" s="1"/>
  <c r="G33" i="2"/>
  <c r="G29" i="2"/>
  <c r="G32" i="2"/>
  <c r="G28" i="2"/>
  <c r="G31" i="2"/>
  <c r="G27" i="2"/>
  <c r="G34" i="2"/>
  <c r="G26" i="2"/>
  <c r="G8" i="2"/>
  <c r="G18" i="2"/>
  <c r="G17" i="2" s="1"/>
  <c r="G10" i="2"/>
  <c r="ER56" i="6"/>
  <c r="ER54" i="6" s="1"/>
  <c r="ER57" i="6" s="1"/>
  <c r="EP56" i="6"/>
  <c r="EN56" i="6"/>
  <c r="ER55" i="6"/>
  <c r="EQ55" i="6"/>
  <c r="EP55" i="6"/>
  <c r="EO55" i="6"/>
  <c r="EO54" i="6" s="1"/>
  <c r="EO57" i="6" s="1"/>
  <c r="EN55" i="6"/>
  <c r="EN54" i="6" s="1"/>
  <c r="EN57" i="6" s="1"/>
  <c r="EP54" i="6"/>
  <c r="EP57" i="6" s="1"/>
  <c r="ER53" i="6"/>
  <c r="EQ53" i="6"/>
  <c r="EQ56" i="6" s="1"/>
  <c r="EQ54" i="6" s="1"/>
  <c r="EQ57" i="6" s="1"/>
  <c r="EP53" i="6"/>
  <c r="EO53" i="6"/>
  <c r="EO56" i="6" s="1"/>
  <c r="EN53" i="6"/>
  <c r="ER52" i="6"/>
  <c r="EQ52" i="6"/>
  <c r="EP52" i="6"/>
  <c r="EO52" i="6"/>
  <c r="EN52" i="6"/>
  <c r="EO51" i="6"/>
  <c r="EO28" i="6" s="1"/>
  <c r="ER50" i="6"/>
  <c r="ER51" i="6" s="1"/>
  <c r="EQ50" i="6"/>
  <c r="EQ8" i="6" s="1"/>
  <c r="EQ9" i="6" s="1"/>
  <c r="EP50" i="6"/>
  <c r="EP51" i="6" s="1"/>
  <c r="EO50" i="6"/>
  <c r="EN50" i="6"/>
  <c r="EN51" i="6" s="1"/>
  <c r="ER43" i="6"/>
  <c r="EQ43" i="6"/>
  <c r="EP43" i="6"/>
  <c r="EO43" i="6"/>
  <c r="EN43" i="6"/>
  <c r="EP36" i="6"/>
  <c r="EO31" i="6"/>
  <c r="ER30" i="6"/>
  <c r="EQ30" i="6"/>
  <c r="EP30" i="6"/>
  <c r="EO30" i="6"/>
  <c r="EN30" i="6"/>
  <c r="EO27" i="6"/>
  <c r="ER24" i="6"/>
  <c r="ER36" i="6" s="1"/>
  <c r="EQ24" i="6"/>
  <c r="EQ36" i="6" s="1"/>
  <c r="EP24" i="6"/>
  <c r="EO24" i="6"/>
  <c r="EO36" i="6" s="1"/>
  <c r="EN24" i="6"/>
  <c r="EN36" i="6" s="1"/>
  <c r="EQ20" i="6"/>
  <c r="EP18" i="6"/>
  <c r="EP22" i="6" s="1"/>
  <c r="EO18" i="6"/>
  <c r="EP17" i="6"/>
  <c r="ER14" i="6"/>
  <c r="ER20" i="6" s="1"/>
  <c r="EQ14" i="6"/>
  <c r="EP14" i="6"/>
  <c r="EO14" i="6"/>
  <c r="EO17" i="6" s="1"/>
  <c r="EN14" i="6"/>
  <c r="EP11" i="6"/>
  <c r="EQ10" i="6"/>
  <c r="EQ11" i="6" s="1"/>
  <c r="EP10" i="6"/>
  <c r="EO8" i="6"/>
  <c r="EQ6" i="6"/>
  <c r="EQ7" i="6" s="1"/>
  <c r="G9" i="2" l="1"/>
  <c r="G13" i="2"/>
  <c r="G35" i="2"/>
  <c r="G6" i="2"/>
  <c r="G7" i="2" s="1"/>
  <c r="G11" i="2"/>
  <c r="G19" i="2"/>
  <c r="G22" i="2"/>
  <c r="G21" i="2" s="1"/>
  <c r="G25" i="2"/>
  <c r="EO13" i="6"/>
  <c r="EO15" i="6"/>
  <c r="ER29" i="6"/>
  <c r="ER32" i="6"/>
  <c r="ER27" i="6"/>
  <c r="ER33" i="6"/>
  <c r="ER28" i="6"/>
  <c r="ER31" i="6"/>
  <c r="ER34" i="6"/>
  <c r="ER26" i="6"/>
  <c r="EN33" i="6"/>
  <c r="EN28" i="6"/>
  <c r="EN31" i="6"/>
  <c r="EN34" i="6"/>
  <c r="EN35" i="6" s="1"/>
  <c r="EN26" i="6"/>
  <c r="EN25" i="6" s="1"/>
  <c r="EN29" i="6"/>
  <c r="EN32" i="6"/>
  <c r="EN27" i="6"/>
  <c r="EN15" i="6"/>
  <c r="EQ15" i="6"/>
  <c r="EQ13" i="6"/>
  <c r="EP31" i="6"/>
  <c r="EP34" i="6"/>
  <c r="EP26" i="6"/>
  <c r="EP29" i="6"/>
  <c r="EP27" i="6"/>
  <c r="EP32" i="6"/>
  <c r="EP33" i="6"/>
  <c r="EP28" i="6"/>
  <c r="EP13" i="6"/>
  <c r="EO22" i="6"/>
  <c r="ER17" i="6"/>
  <c r="EO33" i="6"/>
  <c r="EQ51" i="6"/>
  <c r="EP6" i="6"/>
  <c r="EP7" i="6" s="1"/>
  <c r="EN8" i="6"/>
  <c r="ER13" i="6"/>
  <c r="EP15" i="6"/>
  <c r="EN18" i="6"/>
  <c r="EN10" i="6"/>
  <c r="EO32" i="6"/>
  <c r="EO10" i="6"/>
  <c r="EO9" i="6" s="1"/>
  <c r="EN17" i="6"/>
  <c r="EQ18" i="6"/>
  <c r="EQ17" i="6" s="1"/>
  <c r="EO20" i="6"/>
  <c r="EO29" i="6"/>
  <c r="EP8" i="6"/>
  <c r="EP9" i="6" s="1"/>
  <c r="ER15" i="6"/>
  <c r="EN20" i="6"/>
  <c r="ER8" i="6"/>
  <c r="ER9" i="6" s="1"/>
  <c r="EN13" i="6"/>
  <c r="ER18" i="6"/>
  <c r="EP20" i="6"/>
  <c r="EO26" i="6"/>
  <c r="EO25" i="6" s="1"/>
  <c r="EO34" i="6"/>
  <c r="ER10" i="6"/>
  <c r="ER11" i="6" l="1"/>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EJ13" i="6" l="1"/>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<sst xmlns="http://schemas.openxmlformats.org/spreadsheetml/2006/main" count="160" uniqueCount="74">
  <si>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</si>
  <si>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</si>
  <si>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</si>
  <si>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</si>
  <si>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</si>
  <si>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</si>
  <si>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</si>
  <si>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</si>
  <si>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</si>
  <si>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</si>
  <si>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</si>
  <si>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</si>
  <si>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</si>
  <si>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</si>
  <si>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</si>
  <si>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</si>
  <si>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</si>
  <si>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</si>
  <si>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</si>
  <si>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</si>
  <si>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</si>
  <si>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</si>
  <si>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</si>
  <si>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</si>
  <si>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</si>
  <si>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</si>
  <si>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</si>
  <si>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</si>
  <si>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</si>
  <si>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</si>
  <si>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</si>
  <si>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</si>
  <si>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</si>
  <si>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</si>
  <si>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</si>
  <si>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</si>
  <si>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</si>
  <si>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</si>
  <si>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</si>
  <si>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</si>
  <si>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</si>
  <si>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</si>
  <si>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</si>
  <si>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</si>
  <si>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</si>
  <si>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</si>
  <si>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</si>
  <si>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</si>
  <si>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</si>
  <si>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</si>
  <si>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</si>
  <si>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</si>
  <si>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</si>
  <si>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</si>
  <si>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</si>
  <si>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</si>
  <si>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</si>
  <si>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</si>
  <si>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</si>
  <si>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</si>
  <si>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</si>
  <si>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</si>
  <si>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</si>
  <si>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</si>
  <si>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</si>
  <si>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</si>
  <si>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</si>
  <si>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</si>
  <si>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</si>
  <si>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for-Jul/04/2019 Nifty closed on a bull note at 11910 level .So today on upside first intra resistance is at 11938-43.Next resistance are 11966-71,12013-18,12040-45,12066-70,12128-33,12180-85,12235-40,12274-79,12320-25,12366-71 level.On downside first support is at 11882-77 next support are at 11853-48,11806-01,11780-75, 11754-50,11692-87,11667-63,11642-38,11573-68,11590-85,11548-43,11490-85,11423-18,11392-87,11312-07,11272-67,11235-30,11180-75,11152-47,11117-12,11082-78,11047-42,11010-05,10970-65,10930-25,10885-80,10830-25,10783-78,10734-29,10705-00,10656-51 level. Market is in bull zone .So today for intraday on upside intra resistance are at 11943 and 11971 level and On downside be alert below 11877 and avoid all longs below 11848 level as selling may intensify below that level . Positional Support for NIFTY 11831 11798 11777 11709 11694 11679 11451 11084 and positional Immediate resistance for NIFTY is 11969.</t>
  </si>
  <si>
    <t>Intraday Resistance of NIFTY are 11948.6 : 11975 : 12081.1 : 12103.9</t>
  </si>
  <si>
    <t>Intraday Support of NIFTY are 11884.9 : 11858.5 : 11753.6 : 11731</t>
  </si>
  <si>
    <t>Oscillator Analysis The oscillator is showing BUY signal Short Term Oscillator Analysis-The signal is BUY but NIFTY is in overbought level. </t>
  </si>
  <si>
    <t>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</si>
</sst>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9" borderId="5" xfId="1" applyNumberFormat="1" applyFont="1" applyFill="1" applyBorder="1" applyAlignment="1"/>
    <xf numFmtId="164" fontId="28" fillId="19"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I2" sqref="I2"/>
    </sheetView>
  </sheetViews>
  <sheetFormatPr defaultColWidth="8.6328125" defaultRowHeight="14.75" customHeight="1" x14ac:dyDescent="0.35"/>
  <cols>
    <col min="1" max="4" width="8.6328125" style="1" customWidth="1"/>
    <col min="5" max="6" width="10.6328125" style="1" customWidth="1"/>
    <col min="7" max="11" width="10.6328125" style="91" customWidth="1"/>
    <col min="12" max="12" width="11" style="207" bestFit="1" customWidth="1"/>
    <col min="14" max="14" width="9.36328125" style="1" bestFit="1" customWidth="1"/>
    <col min="15" max="255" width="8.6328125" style="1" customWidth="1"/>
  </cols>
  <sheetData>
    <row r="1" spans="1:11" ht="14.75" customHeight="1" x14ac:dyDescent="0.35">
      <c r="A1" s="215"/>
      <c r="B1" s="216"/>
      <c r="C1" s="216"/>
      <c r="D1" s="216"/>
      <c r="E1" s="2" t="s">
        <v>67</v>
      </c>
      <c r="F1" s="2" t="s">
        <v>1</v>
      </c>
      <c r="G1" s="3">
        <v>43647</v>
      </c>
      <c r="H1" s="3">
        <v>43648</v>
      </c>
      <c r="I1" s="3">
        <v>43649</v>
      </c>
      <c r="J1" s="3"/>
      <c r="K1" s="3"/>
    </row>
    <row r="2" spans="1:11" ht="14.75" customHeight="1" x14ac:dyDescent="0.35">
      <c r="A2" s="4"/>
      <c r="B2" s="5"/>
      <c r="C2" s="5"/>
      <c r="D2" s="6" t="s">
        <v>2</v>
      </c>
      <c r="E2" s="7">
        <v>12041.15</v>
      </c>
      <c r="F2" s="7">
        <v>11911.15</v>
      </c>
      <c r="G2" s="7">
        <v>11884.65</v>
      </c>
      <c r="H2" s="7">
        <v>11917.45</v>
      </c>
      <c r="I2" s="7">
        <v>11945.2</v>
      </c>
      <c r="J2" s="7"/>
      <c r="K2" s="7"/>
    </row>
    <row r="3" spans="1:11" ht="14.75" customHeight="1" x14ac:dyDescent="0.35">
      <c r="A3" s="4"/>
      <c r="B3" s="8"/>
      <c r="C3" s="9"/>
      <c r="D3" s="6" t="s">
        <v>3</v>
      </c>
      <c r="E3" s="10">
        <v>11108.3</v>
      </c>
      <c r="F3" s="10">
        <v>11651</v>
      </c>
      <c r="G3" s="10">
        <v>11830.8</v>
      </c>
      <c r="H3" s="10">
        <v>11814.7</v>
      </c>
      <c r="I3" s="10">
        <v>11887.05</v>
      </c>
      <c r="J3" s="10"/>
      <c r="K3" s="10"/>
    </row>
    <row r="4" spans="1:11" ht="14.75" customHeight="1" x14ac:dyDescent="0.35">
      <c r="A4" s="4"/>
      <c r="B4" s="8"/>
      <c r="C4" s="9"/>
      <c r="D4" s="6" t="s">
        <v>4</v>
      </c>
      <c r="E4" s="11">
        <v>11922.8</v>
      </c>
      <c r="F4" s="11">
        <v>11788.85</v>
      </c>
      <c r="G4" s="11">
        <v>11865.6</v>
      </c>
      <c r="H4" s="11">
        <v>11910.3</v>
      </c>
      <c r="I4" s="11">
        <v>11916.75</v>
      </c>
      <c r="J4" s="11"/>
      <c r="K4" s="11"/>
    </row>
    <row r="5" spans="1:11" ht="14.75" customHeight="1" x14ac:dyDescent="0.35">
      <c r="A5" s="213" t="s">
        <v>5</v>
      </c>
      <c r="B5" s="214"/>
      <c r="C5" s="214"/>
      <c r="D5" s="214"/>
      <c r="E5" s="5"/>
      <c r="F5" s="5"/>
      <c r="G5" s="5"/>
      <c r="H5" s="5"/>
      <c r="I5" s="5"/>
      <c r="J5" s="5"/>
      <c r="K5" s="5"/>
    </row>
    <row r="6" spans="1:11" ht="14.75" customHeight="1" x14ac:dyDescent="0.35">
      <c r="A6" s="12"/>
      <c r="B6" s="13"/>
      <c r="C6" s="13"/>
      <c r="D6" s="14" t="s">
        <v>6</v>
      </c>
      <c r="E6" s="15">
        <f t="shared" ref="E6:F6" si="0">E10+E50</f>
        <v>13206.050000000001</v>
      </c>
      <c r="F6" s="15">
        <f t="shared" si="0"/>
        <v>12176.483333333332</v>
      </c>
      <c r="G6" s="15">
        <f t="shared" ref="G6" si="1">G10+G50</f>
        <v>11943.749999999998</v>
      </c>
      <c r="H6" s="15">
        <f t="shared" ref="H6:I6" si="2">H10+H50</f>
        <v>12049.683333333331</v>
      </c>
      <c r="I6" s="15">
        <f t="shared" si="2"/>
        <v>12003.76666666667</v>
      </c>
      <c r="J6" s="15"/>
      <c r="K6" s="15"/>
    </row>
    <row r="7" spans="1:11" ht="14.75" hidden="1" customHeight="1" x14ac:dyDescent="0.35">
      <c r="A7" s="12"/>
      <c r="B7" s="13"/>
      <c r="C7" s="13"/>
      <c r="D7" s="14" t="s">
        <v>7</v>
      </c>
      <c r="E7" s="16">
        <f t="shared" ref="E7:F7" si="3">(E6+E8)/2</f>
        <v>12914.825000000001</v>
      </c>
      <c r="F7" s="16">
        <f t="shared" si="3"/>
        <v>12110.149999999998</v>
      </c>
      <c r="G7" s="16">
        <f t="shared" ref="G7" si="4">(G6+G8)/2</f>
        <v>11928.974999999999</v>
      </c>
      <c r="H7" s="16">
        <f t="shared" ref="H7:I7" si="5">(H6+H8)/2</f>
        <v>12016.624999999998</v>
      </c>
      <c r="I7" s="16">
        <f t="shared" si="5"/>
        <v>11989.125000000004</v>
      </c>
      <c r="J7" s="16"/>
      <c r="K7" s="16"/>
    </row>
    <row r="8" spans="1:11" ht="14.75" customHeight="1" x14ac:dyDescent="0.35">
      <c r="A8" s="12"/>
      <c r="B8" s="13"/>
      <c r="C8" s="13"/>
      <c r="D8" s="14" t="s">
        <v>8</v>
      </c>
      <c r="E8" s="17">
        <f t="shared" ref="E8:F8" si="6">E14+E50</f>
        <v>12623.6</v>
      </c>
      <c r="F8" s="17">
        <f t="shared" si="6"/>
        <v>12043.816666666666</v>
      </c>
      <c r="G8" s="17">
        <f t="shared" ref="G8" si="7">G14+G50</f>
        <v>11914.199999999999</v>
      </c>
      <c r="H8" s="17">
        <f t="shared" ref="H8:I8" si="8">H14+H50</f>
        <v>11983.566666666666</v>
      </c>
      <c r="I8" s="17">
        <f t="shared" si="8"/>
        <v>11974.483333333335</v>
      </c>
      <c r="J8" s="17"/>
      <c r="K8" s="17"/>
    </row>
    <row r="9" spans="1:11" ht="14.75" hidden="1" customHeight="1" x14ac:dyDescent="0.35">
      <c r="A9" s="12"/>
      <c r="B9" s="13"/>
      <c r="C9" s="13"/>
      <c r="D9" s="14" t="s">
        <v>9</v>
      </c>
      <c r="E9" s="16">
        <f t="shared" ref="E9:F9" si="9">(E8+E10)/2</f>
        <v>12448.400000000001</v>
      </c>
      <c r="F9" s="16">
        <f t="shared" si="9"/>
        <v>11980.074999999999</v>
      </c>
      <c r="G9" s="16">
        <f t="shared" ref="G9" si="10">(G8+G10)/2</f>
        <v>11902.05</v>
      </c>
      <c r="H9" s="16">
        <f t="shared" ref="H9:I9" si="11">(H8+H10)/2</f>
        <v>11965.249999999998</v>
      </c>
      <c r="I9" s="16">
        <f t="shared" si="11"/>
        <v>11960.050000000003</v>
      </c>
      <c r="J9" s="16"/>
      <c r="K9" s="16"/>
    </row>
    <row r="10" spans="1:11" ht="14.75" customHeight="1" x14ac:dyDescent="0.35">
      <c r="A10" s="12"/>
      <c r="B10" s="13"/>
      <c r="C10" s="13"/>
      <c r="D10" s="14" t="s">
        <v>10</v>
      </c>
      <c r="E10" s="18">
        <f t="shared" ref="E10:F10" si="12">(2*E14)-E3</f>
        <v>12273.2</v>
      </c>
      <c r="F10" s="18">
        <f t="shared" si="12"/>
        <v>11916.333333333332</v>
      </c>
      <c r="G10" s="18">
        <f t="shared" ref="G10" si="13">(2*G14)-G3</f>
        <v>11889.899999999998</v>
      </c>
      <c r="H10" s="18">
        <f t="shared" ref="H10:I10" si="14">(2*H14)-H3</f>
        <v>11946.933333333331</v>
      </c>
      <c r="I10" s="18">
        <f t="shared" si="14"/>
        <v>11945.616666666669</v>
      </c>
      <c r="J10" s="18"/>
      <c r="K10" s="18"/>
    </row>
    <row r="11" spans="1:11" ht="14.75" hidden="1" customHeight="1" x14ac:dyDescent="0.35">
      <c r="A11" s="12"/>
      <c r="B11" s="13"/>
      <c r="C11" s="13"/>
      <c r="D11" s="14" t="s">
        <v>11</v>
      </c>
      <c r="E11" s="16">
        <f t="shared" ref="E11:F11" si="15">(E10+E14)/2</f>
        <v>11981.975</v>
      </c>
      <c r="F11" s="16">
        <f t="shared" si="15"/>
        <v>11850</v>
      </c>
      <c r="G11" s="16">
        <f t="shared" ref="G11" si="16">(G10+G14)/2</f>
        <v>11875.124999999998</v>
      </c>
      <c r="H11" s="16">
        <f t="shared" ref="H11:I11" si="17">(H10+H14)/2</f>
        <v>11913.874999999998</v>
      </c>
      <c r="I11" s="16">
        <f t="shared" si="17"/>
        <v>11930.975000000002</v>
      </c>
      <c r="J11" s="16"/>
      <c r="K11" s="16"/>
    </row>
    <row r="12" spans="1:11" ht="8.15" customHeight="1" x14ac:dyDescent="0.35">
      <c r="A12" s="12"/>
      <c r="B12" s="13"/>
      <c r="C12" s="13"/>
      <c r="D12" s="19"/>
      <c r="E12" s="11"/>
      <c r="F12" s="11"/>
      <c r="G12" s="11"/>
      <c r="H12" s="11"/>
      <c r="I12" s="11"/>
      <c r="J12" s="11"/>
      <c r="K12" s="11"/>
    </row>
    <row r="13" spans="1:11" ht="14.75" customHeight="1" x14ac:dyDescent="0.35">
      <c r="A13" s="12"/>
      <c r="B13" s="13"/>
      <c r="C13" s="13"/>
      <c r="D13" s="14" t="s">
        <v>12</v>
      </c>
      <c r="E13" s="20">
        <f t="shared" ref="E13:F13" si="18">E14+E57/2</f>
        <v>11806.775000000001</v>
      </c>
      <c r="F13" s="20">
        <f t="shared" si="18"/>
        <v>11786.258333333331</v>
      </c>
      <c r="G13" s="20">
        <f t="shared" ref="G13" si="19">G14+G57/2</f>
        <v>11862.974999999999</v>
      </c>
      <c r="H13" s="20">
        <f t="shared" ref="H13:I13" si="20">H14+H57/2</f>
        <v>11895.558333333331</v>
      </c>
      <c r="I13" s="20">
        <f t="shared" si="20"/>
        <v>11916.541666666668</v>
      </c>
      <c r="J13" s="20"/>
      <c r="K13" s="20"/>
    </row>
    <row r="14" spans="1:11" ht="14.75" customHeight="1" x14ac:dyDescent="0.35">
      <c r="A14" s="12"/>
      <c r="B14" s="13"/>
      <c r="C14" s="13"/>
      <c r="D14" s="14" t="s">
        <v>13</v>
      </c>
      <c r="E14" s="11">
        <f t="shared" ref="E14:F14" si="21">(E2+E3+E4)/3</f>
        <v>11690.75</v>
      </c>
      <c r="F14" s="11">
        <f t="shared" si="21"/>
        <v>11783.666666666666</v>
      </c>
      <c r="G14" s="11">
        <f t="shared" ref="G14" si="22">(G2+G3+G4)/3</f>
        <v>11860.349999999999</v>
      </c>
      <c r="H14" s="11">
        <f t="shared" ref="H14:I14" si="23">(H2+H3+H4)/3</f>
        <v>11880.816666666666</v>
      </c>
      <c r="I14" s="11">
        <f t="shared" si="23"/>
        <v>11916.333333333334</v>
      </c>
      <c r="J14" s="11"/>
      <c r="K14" s="11"/>
    </row>
    <row r="15" spans="1:11" ht="14.75" customHeight="1" x14ac:dyDescent="0.35">
      <c r="A15" s="12"/>
      <c r="B15" s="13"/>
      <c r="C15" s="13"/>
      <c r="D15" s="14" t="s">
        <v>14</v>
      </c>
      <c r="E15" s="21">
        <f t="shared" ref="E15:F15" si="24">E14-E57/2</f>
        <v>11574.724999999999</v>
      </c>
      <c r="F15" s="21">
        <f t="shared" si="24"/>
        <v>11781.075000000001</v>
      </c>
      <c r="G15" s="21">
        <f t="shared" ref="G15" si="25">G14-G57/2</f>
        <v>11857.724999999999</v>
      </c>
      <c r="H15" s="21">
        <f t="shared" ref="H15:I15" si="26">H14-H57/2</f>
        <v>11866.075000000001</v>
      </c>
      <c r="I15" s="21">
        <f t="shared" si="26"/>
        <v>11916.125</v>
      </c>
      <c r="J15" s="21"/>
      <c r="K15" s="21"/>
    </row>
    <row r="16" spans="1:11" ht="8.15" customHeight="1" x14ac:dyDescent="0.35">
      <c r="A16" s="12"/>
      <c r="B16" s="13"/>
      <c r="C16" s="13"/>
      <c r="D16" s="19"/>
      <c r="E16" s="11"/>
      <c r="F16" s="11"/>
      <c r="G16" s="11"/>
      <c r="H16" s="11"/>
      <c r="I16" s="11"/>
      <c r="J16" s="11"/>
      <c r="K16" s="11"/>
    </row>
    <row r="17" spans="1:11" ht="14.75" hidden="1" customHeight="1" x14ac:dyDescent="0.35">
      <c r="A17" s="12"/>
      <c r="B17" s="13"/>
      <c r="C17" s="13"/>
      <c r="D17" s="14" t="s">
        <v>15</v>
      </c>
      <c r="E17" s="16">
        <f t="shared" ref="E17:F17" si="27">(E14+E18)/2</f>
        <v>11515.55</v>
      </c>
      <c r="F17" s="16">
        <f t="shared" si="27"/>
        <v>11719.924999999999</v>
      </c>
      <c r="G17" s="16">
        <f t="shared" ref="G17" si="28">(G14+G18)/2</f>
        <v>11848.199999999997</v>
      </c>
      <c r="H17" s="16">
        <f t="shared" ref="H17:I17" si="29">(H14+H18)/2</f>
        <v>11862.499999999998</v>
      </c>
      <c r="I17" s="16">
        <f t="shared" si="29"/>
        <v>11901.900000000001</v>
      </c>
      <c r="J17" s="16"/>
      <c r="K17" s="16"/>
    </row>
    <row r="18" spans="1:11" ht="14.75" customHeight="1" x14ac:dyDescent="0.35">
      <c r="A18" s="12"/>
      <c r="B18" s="13"/>
      <c r="C18" s="13"/>
      <c r="D18" s="14" t="s">
        <v>16</v>
      </c>
      <c r="E18" s="22">
        <f t="shared" ref="E18:F18" si="30">2*E14-E2</f>
        <v>11340.35</v>
      </c>
      <c r="F18" s="22">
        <f t="shared" si="30"/>
        <v>11656.183333333332</v>
      </c>
      <c r="G18" s="22">
        <f t="shared" ref="G18" si="31">2*G14-G2</f>
        <v>11836.049999999997</v>
      </c>
      <c r="H18" s="22">
        <f t="shared" ref="H18:I18" si="32">2*H14-H2</f>
        <v>11844.183333333331</v>
      </c>
      <c r="I18" s="22">
        <f t="shared" si="32"/>
        <v>11887.466666666667</v>
      </c>
      <c r="J18" s="22"/>
      <c r="K18" s="22"/>
    </row>
    <row r="19" spans="1:11" ht="14.75" hidden="1" customHeight="1" x14ac:dyDescent="0.35">
      <c r="A19" s="12"/>
      <c r="B19" s="13"/>
      <c r="C19" s="13"/>
      <c r="D19" s="14" t="s">
        <v>17</v>
      </c>
      <c r="E19" s="16">
        <f t="shared" ref="E19:F19" si="33">(E18+E20)/2</f>
        <v>11049.125</v>
      </c>
      <c r="F19" s="16">
        <f t="shared" si="33"/>
        <v>11589.849999999999</v>
      </c>
      <c r="G19" s="16">
        <f t="shared" ref="G19" si="34">(G18+G20)/2</f>
        <v>11821.274999999998</v>
      </c>
      <c r="H19" s="16">
        <f t="shared" ref="H19:I19" si="35">(H18+H20)/2</f>
        <v>11811.124999999998</v>
      </c>
      <c r="I19" s="16">
        <f t="shared" si="35"/>
        <v>11872.825000000001</v>
      </c>
      <c r="J19" s="16"/>
      <c r="K19" s="16"/>
    </row>
    <row r="20" spans="1:11" ht="14.75" customHeight="1" x14ac:dyDescent="0.35">
      <c r="A20" s="12"/>
      <c r="B20" s="13"/>
      <c r="C20" s="13"/>
      <c r="D20" s="14" t="s">
        <v>18</v>
      </c>
      <c r="E20" s="23">
        <f t="shared" ref="E20:F20" si="36">E14-E50</f>
        <v>10757.9</v>
      </c>
      <c r="F20" s="23">
        <f t="shared" si="36"/>
        <v>11523.516666666666</v>
      </c>
      <c r="G20" s="23">
        <f t="shared" ref="G20" si="37">G14-G50</f>
        <v>11806.499999999998</v>
      </c>
      <c r="H20" s="23">
        <f t="shared" ref="H20:I20" si="38">H14-H50</f>
        <v>11778.066666666666</v>
      </c>
      <c r="I20" s="23">
        <f t="shared" si="38"/>
        <v>11858.183333333332</v>
      </c>
      <c r="J20" s="23"/>
      <c r="K20" s="23"/>
    </row>
    <row r="21" spans="1:11" ht="14.75" hidden="1" customHeight="1" x14ac:dyDescent="0.35">
      <c r="A21" s="12"/>
      <c r="B21" s="13"/>
      <c r="C21" s="13"/>
      <c r="D21" s="14" t="s">
        <v>19</v>
      </c>
      <c r="E21" s="16">
        <f t="shared" ref="E21:F21" si="39">(E20+E22)/2</f>
        <v>10582.7</v>
      </c>
      <c r="F21" s="16">
        <f t="shared" si="39"/>
        <v>11459.775</v>
      </c>
      <c r="G21" s="16">
        <f t="shared" ref="G21" si="40">(G20+G22)/2</f>
        <v>11794.349999999999</v>
      </c>
      <c r="H21" s="16">
        <f t="shared" ref="H21:I21" si="41">(H20+H22)/2</f>
        <v>11759.749999999998</v>
      </c>
      <c r="I21" s="16">
        <f t="shared" si="41"/>
        <v>11843.75</v>
      </c>
      <c r="J21" s="16"/>
      <c r="K21" s="16"/>
    </row>
    <row r="22" spans="1:11" ht="14.75" customHeight="1" x14ac:dyDescent="0.35">
      <c r="A22" s="12"/>
      <c r="B22" s="13"/>
      <c r="C22" s="13"/>
      <c r="D22" s="14" t="s">
        <v>20</v>
      </c>
      <c r="E22" s="24">
        <f t="shared" ref="E22:F22" si="42">E18-E50</f>
        <v>10407.5</v>
      </c>
      <c r="F22" s="24">
        <f t="shared" si="42"/>
        <v>11396.033333333333</v>
      </c>
      <c r="G22" s="24">
        <f t="shared" ref="G22" si="43">G18-G50</f>
        <v>11782.199999999997</v>
      </c>
      <c r="H22" s="24">
        <f t="shared" ref="H22:I22" si="44">H18-H50</f>
        <v>11741.433333333331</v>
      </c>
      <c r="I22" s="24">
        <f t="shared" si="44"/>
        <v>11829.316666666666</v>
      </c>
      <c r="J22" s="24"/>
      <c r="K22" s="24"/>
    </row>
    <row r="23" spans="1:11" ht="14.75" customHeight="1" x14ac:dyDescent="0.35">
      <c r="A23" s="213" t="s">
        <v>21</v>
      </c>
      <c r="B23" s="214"/>
      <c r="C23" s="214"/>
      <c r="D23" s="214"/>
      <c r="E23" s="25"/>
      <c r="F23" s="25"/>
      <c r="G23" s="25"/>
      <c r="H23" s="25"/>
      <c r="I23" s="25"/>
      <c r="J23" s="25"/>
      <c r="K23" s="25"/>
    </row>
    <row r="24" spans="1:11" ht="14.75" customHeight="1" x14ac:dyDescent="0.35">
      <c r="A24" s="12"/>
      <c r="B24" s="13"/>
      <c r="C24" s="13"/>
      <c r="D24" s="14" t="s">
        <v>22</v>
      </c>
      <c r="E24" s="17">
        <f t="shared" ref="E24:F24" si="45">(E2/E3)*E4</f>
        <v>12924.049874418228</v>
      </c>
      <c r="F24" s="17">
        <f t="shared" si="45"/>
        <v>12052.077991374132</v>
      </c>
      <c r="G24" s="17">
        <f t="shared" ref="G24" si="46">(G2/G3)*G4</f>
        <v>11919.608398417691</v>
      </c>
      <c r="H24" s="17">
        <f t="shared" ref="H24:I24" si="47">(H2/H3)*H4</f>
        <v>12013.881413408717</v>
      </c>
      <c r="I24" s="17">
        <f t="shared" si="47"/>
        <v>11975.045288780648</v>
      </c>
      <c r="J24" s="17"/>
      <c r="K24" s="17"/>
    </row>
    <row r="25" spans="1:11" ht="14.75" hidden="1" customHeight="1" x14ac:dyDescent="0.35">
      <c r="A25" s="12"/>
      <c r="B25" s="13"/>
      <c r="C25" s="13"/>
      <c r="D25" s="14" t="s">
        <v>23</v>
      </c>
      <c r="E25" s="16">
        <f t="shared" ref="E25:F25" si="48">E26+1.168*(E26-E27)</f>
        <v>12735.49892</v>
      </c>
      <c r="F25" s="16">
        <f t="shared" si="48"/>
        <v>12015.492680000001</v>
      </c>
      <c r="G25" s="16">
        <f t="shared" ref="G25" si="49">G26+1.168*(G26-G27)</f>
        <v>11912.514120000002</v>
      </c>
      <c r="H25" s="16">
        <f t="shared" ref="H25:I25" si="50">H26+1.168*(H26-H27)</f>
        <v>11999.8158</v>
      </c>
      <c r="I25" s="16">
        <f t="shared" si="50"/>
        <v>11967.410279999998</v>
      </c>
      <c r="J25" s="16"/>
      <c r="K25" s="16"/>
    </row>
    <row r="26" spans="1:11" ht="14.75" customHeight="1" x14ac:dyDescent="0.35">
      <c r="A26" s="12"/>
      <c r="B26" s="13"/>
      <c r="C26" s="13"/>
      <c r="D26" s="14" t="s">
        <v>24</v>
      </c>
      <c r="E26" s="18">
        <f t="shared" ref="E26:F26" si="51">E4+E51/2</f>
        <v>12435.8675</v>
      </c>
      <c r="F26" s="18">
        <f t="shared" si="51"/>
        <v>11931.932500000001</v>
      </c>
      <c r="G26" s="18">
        <f t="shared" ref="G26" si="52">G4+G51/2</f>
        <v>11895.217500000001</v>
      </c>
      <c r="H26" s="18">
        <f t="shared" ref="H26:I26" si="53">H4+H51/2</f>
        <v>11966.8125</v>
      </c>
      <c r="I26" s="18">
        <f t="shared" si="53"/>
        <v>11948.7325</v>
      </c>
      <c r="J26" s="18"/>
      <c r="K26" s="18"/>
    </row>
    <row r="27" spans="1:11" ht="14.75" customHeight="1" x14ac:dyDescent="0.35">
      <c r="A27" s="12"/>
      <c r="B27" s="13"/>
      <c r="C27" s="13"/>
      <c r="D27" s="14" t="s">
        <v>25</v>
      </c>
      <c r="E27" s="7">
        <f t="shared" ref="E27:F27" si="54">E4+E51/4</f>
        <v>12179.33375</v>
      </c>
      <c r="F27" s="7">
        <f t="shared" si="54"/>
        <v>11860.391250000001</v>
      </c>
      <c r="G27" s="7">
        <f t="shared" ref="G27" si="55">G4+G51/4</f>
        <v>11880.408750000001</v>
      </c>
      <c r="H27" s="7">
        <f t="shared" ref="H27:I27" si="56">H4+H51/4</f>
        <v>11938.55625</v>
      </c>
      <c r="I27" s="7">
        <f t="shared" si="56"/>
        <v>11932.741250000001</v>
      </c>
      <c r="J27" s="7"/>
      <c r="K27" s="7"/>
    </row>
    <row r="28" spans="1:11" ht="14.75" hidden="1" customHeight="1" x14ac:dyDescent="0.35">
      <c r="A28" s="12"/>
      <c r="B28" s="13"/>
      <c r="C28" s="13"/>
      <c r="D28" s="14" t="s">
        <v>26</v>
      </c>
      <c r="E28" s="16">
        <f t="shared" ref="E28:F28" si="57">E4+E51/6</f>
        <v>12093.8225</v>
      </c>
      <c r="F28" s="16">
        <f t="shared" si="57"/>
        <v>11836.544166666667</v>
      </c>
      <c r="G28" s="16">
        <f t="shared" ref="G28" si="58">G4+G51/6</f>
        <v>11875.4725</v>
      </c>
      <c r="H28" s="16">
        <f t="shared" ref="H28:I28" si="59">H4+H51/6</f>
        <v>11929.137499999999</v>
      </c>
      <c r="I28" s="16">
        <f t="shared" si="59"/>
        <v>11927.410833333333</v>
      </c>
      <c r="J28" s="16"/>
      <c r="K28" s="16"/>
    </row>
    <row r="29" spans="1:11" ht="14.75" hidden="1" customHeight="1" x14ac:dyDescent="0.35">
      <c r="A29" s="12"/>
      <c r="B29" s="13"/>
      <c r="C29" s="13"/>
      <c r="D29" s="14" t="s">
        <v>27</v>
      </c>
      <c r="E29" s="16">
        <f t="shared" ref="E29:F29" si="60">E4+E51/12</f>
        <v>12008.311249999999</v>
      </c>
      <c r="F29" s="16">
        <f t="shared" si="60"/>
        <v>11812.697083333334</v>
      </c>
      <c r="G29" s="16">
        <f t="shared" ref="G29" si="61">G4+G51/12</f>
        <v>11870.536250000001</v>
      </c>
      <c r="H29" s="16">
        <f t="shared" ref="H29:I29" si="62">H4+H51/12</f>
        <v>11919.71875</v>
      </c>
      <c r="I29" s="16">
        <f t="shared" si="62"/>
        <v>11922.080416666668</v>
      </c>
      <c r="J29" s="16"/>
      <c r="K29" s="16"/>
    </row>
    <row r="30" spans="1:11" ht="14.75" customHeight="1" x14ac:dyDescent="0.35">
      <c r="A30" s="12"/>
      <c r="B30" s="13"/>
      <c r="C30" s="13"/>
      <c r="D30" s="14" t="s">
        <v>4</v>
      </c>
      <c r="E30" s="11">
        <f t="shared" ref="E30:F30" si="63">E4</f>
        <v>11922.8</v>
      </c>
      <c r="F30" s="11">
        <f t="shared" si="63"/>
        <v>11788.85</v>
      </c>
      <c r="G30" s="11">
        <f t="shared" ref="G30" si="64">G4</f>
        <v>11865.6</v>
      </c>
      <c r="H30" s="11">
        <f t="shared" ref="H30:I30" si="65">H4</f>
        <v>11910.3</v>
      </c>
      <c r="I30" s="11">
        <f t="shared" si="65"/>
        <v>11916.75</v>
      </c>
      <c r="J30" s="11"/>
      <c r="K30" s="11"/>
    </row>
    <row r="31" spans="1:11" ht="14.75" hidden="1" customHeight="1" x14ac:dyDescent="0.35">
      <c r="A31" s="12"/>
      <c r="B31" s="13"/>
      <c r="C31" s="13"/>
      <c r="D31" s="14" t="s">
        <v>28</v>
      </c>
      <c r="E31" s="16">
        <f t="shared" ref="E31:F31" si="66">E4-E51/12</f>
        <v>11837.28875</v>
      </c>
      <c r="F31" s="16">
        <f t="shared" si="66"/>
        <v>11765.002916666666</v>
      </c>
      <c r="G31" s="16">
        <f t="shared" ref="G31" si="67">G4-G51/12</f>
        <v>11860.66375</v>
      </c>
      <c r="H31" s="16">
        <f t="shared" ref="H31:I31" si="68">H4-H51/12</f>
        <v>11900.881249999999</v>
      </c>
      <c r="I31" s="16">
        <f t="shared" si="68"/>
        <v>11911.419583333332</v>
      </c>
      <c r="J31" s="16"/>
      <c r="K31" s="16"/>
    </row>
    <row r="32" spans="1:11" ht="14.75" hidden="1" customHeight="1" x14ac:dyDescent="0.35">
      <c r="A32" s="12"/>
      <c r="B32" s="13"/>
      <c r="C32" s="13"/>
      <c r="D32" s="14" t="s">
        <v>29</v>
      </c>
      <c r="E32" s="16">
        <f t="shared" ref="E32:F32" si="69">E4-E51/6</f>
        <v>11751.777499999998</v>
      </c>
      <c r="F32" s="16">
        <f t="shared" si="69"/>
        <v>11741.155833333334</v>
      </c>
      <c r="G32" s="16">
        <f t="shared" ref="G32" si="70">G4-G51/6</f>
        <v>11855.727500000001</v>
      </c>
      <c r="H32" s="16">
        <f t="shared" ref="H32:I32" si="71">H4-H51/6</f>
        <v>11891.4625</v>
      </c>
      <c r="I32" s="16">
        <f t="shared" si="71"/>
        <v>11906.089166666667</v>
      </c>
      <c r="J32" s="16"/>
      <c r="K32" s="16"/>
    </row>
    <row r="33" spans="1:14" ht="14.75" customHeight="1" x14ac:dyDescent="0.35">
      <c r="A33" s="12"/>
      <c r="B33" s="13"/>
      <c r="C33" s="13"/>
      <c r="D33" s="14" t="s">
        <v>30</v>
      </c>
      <c r="E33" s="10">
        <f t="shared" ref="E33:F33" si="72">E4-E51/4</f>
        <v>11666.266249999999</v>
      </c>
      <c r="F33" s="10">
        <f t="shared" si="72"/>
        <v>11717.30875</v>
      </c>
      <c r="G33" s="10">
        <f t="shared" ref="G33" si="73">G4-G51/4</f>
        <v>11850.79125</v>
      </c>
      <c r="H33" s="10">
        <f t="shared" ref="H33:I33" si="74">H4-H51/4</f>
        <v>11882.043749999999</v>
      </c>
      <c r="I33" s="10">
        <f t="shared" si="74"/>
        <v>11900.758749999999</v>
      </c>
      <c r="J33" s="10"/>
      <c r="K33" s="10"/>
    </row>
    <row r="34" spans="1:14" ht="14.75" customHeight="1" x14ac:dyDescent="0.35">
      <c r="A34" s="12"/>
      <c r="B34" s="13"/>
      <c r="C34" s="13"/>
      <c r="D34" s="14" t="s">
        <v>31</v>
      </c>
      <c r="E34" s="22">
        <f t="shared" ref="E34:F34" si="75">E4-E51/2</f>
        <v>11409.732499999998</v>
      </c>
      <c r="F34" s="22">
        <f t="shared" si="75"/>
        <v>11645.7675</v>
      </c>
      <c r="G34" s="22">
        <f t="shared" ref="G34" si="76">G4-G51/2</f>
        <v>11835.9825</v>
      </c>
      <c r="H34" s="22">
        <f t="shared" ref="H34:I34" si="77">H4-H51/2</f>
        <v>11853.787499999999</v>
      </c>
      <c r="I34" s="22">
        <f t="shared" si="77"/>
        <v>11884.7675</v>
      </c>
      <c r="J34" s="22"/>
      <c r="K34" s="22"/>
      <c r="N34" s="96"/>
    </row>
    <row r="35" spans="1:14" ht="14.75" hidden="1" customHeight="1" x14ac:dyDescent="0.35">
      <c r="A35" s="12"/>
      <c r="B35" s="13"/>
      <c r="C35" s="13"/>
      <c r="D35" s="14" t="s">
        <v>32</v>
      </c>
      <c r="E35" s="16">
        <f t="shared" ref="E35:F35" si="78">E34-1.168*(E33-E34)</f>
        <v>11110.101079999999</v>
      </c>
      <c r="F35" s="16">
        <f t="shared" si="78"/>
        <v>11562.20732</v>
      </c>
      <c r="G35" s="16">
        <f t="shared" ref="G35" si="79">G34-1.168*(G33-G34)</f>
        <v>11818.685879999999</v>
      </c>
      <c r="H35" s="16">
        <f t="shared" ref="H35:I35" si="80">H34-1.168*(H33-H34)</f>
        <v>11820.784199999998</v>
      </c>
      <c r="I35" s="16">
        <f t="shared" si="80"/>
        <v>11866.089720000002</v>
      </c>
      <c r="J35" s="16"/>
      <c r="K35" s="16"/>
    </row>
    <row r="36" spans="1:14" ht="14.75" customHeight="1" x14ac:dyDescent="0.35">
      <c r="A36" s="12"/>
      <c r="B36" s="13"/>
      <c r="C36" s="13"/>
      <c r="D36" s="14" t="s">
        <v>33</v>
      </c>
      <c r="E36" s="23">
        <f t="shared" ref="E36:F36" si="81">E4-(E24-E4)</f>
        <v>10921.550125581771</v>
      </c>
      <c r="F36" s="23">
        <f t="shared" si="81"/>
        <v>11525.622008625869</v>
      </c>
      <c r="G36" s="23">
        <f t="shared" ref="G36" si="82">G4-(G24-G4)</f>
        <v>11811.59160158231</v>
      </c>
      <c r="H36" s="23">
        <f t="shared" ref="H36:I36" si="83">H4-(H24-H4)</f>
        <v>11806.718586591282</v>
      </c>
      <c r="I36" s="23">
        <f t="shared" si="83"/>
        <v>11858.454711219352</v>
      </c>
      <c r="J36" s="23"/>
      <c r="K36" s="23"/>
      <c r="N36" s="96"/>
    </row>
    <row r="37" spans="1:14" ht="14.75" customHeight="1" x14ac:dyDescent="0.35">
      <c r="A37" s="213" t="s">
        <v>34</v>
      </c>
      <c r="B37" s="214"/>
      <c r="C37" s="214"/>
      <c r="D37" s="214"/>
      <c r="E37" s="26" t="s">
        <v>35</v>
      </c>
      <c r="F37" s="9"/>
      <c r="G37" s="9"/>
      <c r="H37" s="9"/>
      <c r="I37" s="9"/>
      <c r="J37" s="9"/>
      <c r="K37" s="9"/>
    </row>
    <row r="38" spans="1:14" ht="14.75" customHeight="1" x14ac:dyDescent="0.35">
      <c r="A38" s="30"/>
      <c r="B38" s="19"/>
      <c r="C38" s="19"/>
      <c r="D38" s="14" t="s">
        <v>36</v>
      </c>
      <c r="E38" s="15"/>
      <c r="F38" s="15"/>
      <c r="G38" s="15"/>
      <c r="H38" s="15"/>
      <c r="I38" s="15"/>
      <c r="J38" s="15"/>
      <c r="K38" s="15"/>
    </row>
    <row r="39" spans="1:14" ht="14.75" customHeight="1" x14ac:dyDescent="0.35">
      <c r="A39" s="30"/>
      <c r="B39" s="19"/>
      <c r="C39" s="19"/>
      <c r="D39" s="14" t="s">
        <v>37</v>
      </c>
      <c r="E39" s="17"/>
      <c r="F39" s="17"/>
      <c r="G39" s="77"/>
      <c r="H39" s="77"/>
      <c r="I39" s="77"/>
      <c r="J39" s="77"/>
      <c r="K39" s="77"/>
      <c r="L39" s="208"/>
      <c r="M39" s="205"/>
      <c r="N39" s="169"/>
    </row>
    <row r="40" spans="1:14" ht="14.75" customHeight="1" x14ac:dyDescent="0.35">
      <c r="A40" s="12"/>
      <c r="B40" s="19"/>
      <c r="C40" s="13"/>
      <c r="D40" s="14" t="s">
        <v>38</v>
      </c>
      <c r="E40" s="18"/>
      <c r="F40" s="18"/>
      <c r="G40" s="18"/>
      <c r="H40" s="18"/>
      <c r="I40" s="18">
        <v>12000.35</v>
      </c>
      <c r="J40" s="18"/>
      <c r="K40" s="18"/>
      <c r="L40" s="208"/>
      <c r="M40" s="205"/>
    </row>
    <row r="41" spans="1:14" ht="14.75" customHeight="1" x14ac:dyDescent="0.35">
      <c r="A41" s="12"/>
      <c r="B41" s="13"/>
      <c r="C41" s="13"/>
      <c r="D41" s="14" t="s">
        <v>39</v>
      </c>
      <c r="E41" s="7"/>
      <c r="F41" s="7"/>
      <c r="G41" s="7"/>
      <c r="H41" s="7"/>
      <c r="I41" s="7">
        <v>11957.501799999998</v>
      </c>
      <c r="J41" s="7"/>
      <c r="K41" s="7"/>
      <c r="L41" s="208"/>
      <c r="M41" s="205"/>
    </row>
    <row r="42" spans="1:14" ht="14.75" customHeight="1" x14ac:dyDescent="0.35">
      <c r="A42" s="12"/>
      <c r="B42" s="13"/>
      <c r="C42" s="13"/>
      <c r="D42" s="138" t="s">
        <v>64</v>
      </c>
      <c r="E42" s="20"/>
      <c r="F42" s="20"/>
      <c r="G42" s="20"/>
      <c r="H42" s="20"/>
      <c r="I42" s="20">
        <v>11930.349999999999</v>
      </c>
      <c r="J42" s="20"/>
      <c r="K42" s="20"/>
      <c r="N42" s="91"/>
    </row>
    <row r="43" spans="1:14" ht="14.75" customHeight="1" x14ac:dyDescent="0.35">
      <c r="A43" s="12"/>
      <c r="B43" s="13"/>
      <c r="C43" s="13"/>
      <c r="D43" s="14" t="s">
        <v>4</v>
      </c>
      <c r="E43" s="11">
        <f t="shared" ref="E43:F43" si="84">E4</f>
        <v>11922.8</v>
      </c>
      <c r="F43" s="11">
        <f t="shared" si="84"/>
        <v>11788.85</v>
      </c>
      <c r="G43" s="11">
        <f t="shared" ref="G43" si="85">G4</f>
        <v>11865.6</v>
      </c>
      <c r="H43" s="11">
        <f t="shared" ref="H43:I43" si="86">H4</f>
        <v>11910.3</v>
      </c>
      <c r="I43" s="11">
        <f t="shared" si="86"/>
        <v>11916.75</v>
      </c>
      <c r="J43" s="11"/>
      <c r="K43" s="11"/>
    </row>
    <row r="44" spans="1:14" ht="14.75" customHeight="1" x14ac:dyDescent="0.35">
      <c r="A44" s="12"/>
      <c r="B44" s="13"/>
      <c r="C44" s="13"/>
      <c r="D44" s="14" t="s">
        <v>40</v>
      </c>
      <c r="E44" s="21"/>
      <c r="F44" s="21"/>
      <c r="G44" s="21"/>
      <c r="H44" s="21"/>
      <c r="I44" s="21">
        <v>11893.3426</v>
      </c>
      <c r="J44" s="21"/>
      <c r="K44" s="21"/>
      <c r="L44" s="209"/>
    </row>
    <row r="45" spans="1:14" ht="14.75" customHeight="1" x14ac:dyDescent="0.35">
      <c r="A45" s="12"/>
      <c r="B45" s="13"/>
      <c r="C45" s="13"/>
      <c r="D45" s="14" t="s">
        <v>41</v>
      </c>
      <c r="E45" s="10"/>
      <c r="F45" s="10"/>
      <c r="G45" s="10"/>
      <c r="H45" s="10"/>
      <c r="I45" s="10">
        <v>11878.4287</v>
      </c>
      <c r="J45" s="10"/>
      <c r="K45" s="10"/>
      <c r="L45" s="210"/>
      <c r="N45" s="91"/>
    </row>
    <row r="46" spans="1:14" ht="14.75" customHeight="1" x14ac:dyDescent="0.35">
      <c r="A46" s="12"/>
      <c r="B46" s="13"/>
      <c r="C46" s="13"/>
      <c r="D46" s="14" t="s">
        <v>42</v>
      </c>
      <c r="E46" s="22"/>
      <c r="F46" s="22"/>
      <c r="G46" s="22"/>
      <c r="H46" s="22"/>
      <c r="I46" s="22">
        <v>11309.845499999999</v>
      </c>
      <c r="J46" s="22"/>
      <c r="K46" s="22"/>
      <c r="L46" s="208"/>
      <c r="M46" s="170"/>
      <c r="N46" s="91"/>
    </row>
    <row r="47" spans="1:14" ht="14.75" customHeight="1" x14ac:dyDescent="0.35">
      <c r="A47" s="12"/>
      <c r="B47" s="13"/>
      <c r="C47" s="13"/>
      <c r="D47" s="14" t="s">
        <v>43</v>
      </c>
      <c r="E47" s="23"/>
      <c r="F47" s="23"/>
      <c r="G47" s="23"/>
      <c r="H47" s="23"/>
      <c r="I47" s="23">
        <v>11166.5</v>
      </c>
      <c r="J47" s="206"/>
      <c r="K47" s="206"/>
      <c r="L47" s="208"/>
      <c r="M47" s="170"/>
    </row>
    <row r="48" spans="1:14" ht="14.75" customHeight="1" x14ac:dyDescent="0.35">
      <c r="A48" s="12"/>
      <c r="B48" s="13"/>
      <c r="C48" s="13"/>
      <c r="D48" s="14" t="s">
        <v>44</v>
      </c>
      <c r="E48" s="24"/>
      <c r="F48" s="24"/>
      <c r="G48" s="24"/>
      <c r="H48" s="24"/>
      <c r="I48" s="24">
        <v>11023.154500000001</v>
      </c>
      <c r="J48" s="24"/>
      <c r="K48" s="24"/>
    </row>
    <row r="49" spans="1:11" ht="14.75" customHeight="1" x14ac:dyDescent="0.35">
      <c r="A49" s="213" t="s">
        <v>45</v>
      </c>
      <c r="B49" s="214"/>
      <c r="C49" s="214"/>
      <c r="D49" s="214"/>
      <c r="E49" s="25"/>
      <c r="F49" s="25"/>
      <c r="G49" s="25"/>
      <c r="H49" s="25"/>
      <c r="I49" s="25"/>
      <c r="J49" s="25"/>
      <c r="K49" s="25"/>
    </row>
    <row r="50" spans="1:11" ht="14.75" customHeight="1" x14ac:dyDescent="0.35">
      <c r="A50" s="12"/>
      <c r="B50" s="13"/>
      <c r="C50" s="13"/>
      <c r="D50" s="14" t="s">
        <v>46</v>
      </c>
      <c r="E50" s="16">
        <f t="shared" ref="E50:F50" si="87">ABS(E2-E3)</f>
        <v>932.85000000000036</v>
      </c>
      <c r="F50" s="16">
        <f t="shared" si="87"/>
        <v>260.14999999999964</v>
      </c>
      <c r="G50" s="16">
        <f t="shared" ref="G50" si="88">ABS(G2-G3)</f>
        <v>53.850000000000364</v>
      </c>
      <c r="H50" s="16">
        <f t="shared" ref="H50:I50" si="89">ABS(H2-H3)</f>
        <v>102.75</v>
      </c>
      <c r="I50" s="16">
        <f t="shared" si="89"/>
        <v>58.150000000001455</v>
      </c>
      <c r="J50" s="16"/>
      <c r="K50" s="16"/>
    </row>
    <row r="51" spans="1:11" ht="14.75" customHeight="1" x14ac:dyDescent="0.35">
      <c r="A51" s="12"/>
      <c r="B51" s="13"/>
      <c r="C51" s="13"/>
      <c r="D51" s="14" t="s">
        <v>47</v>
      </c>
      <c r="E51" s="16">
        <f t="shared" ref="E51:F51" si="90">E50*1.1</f>
        <v>1026.1350000000004</v>
      </c>
      <c r="F51" s="16">
        <f t="shared" si="90"/>
        <v>286.16499999999962</v>
      </c>
      <c r="G51" s="16">
        <f t="shared" ref="G51" si="91">G50*1.1</f>
        <v>59.235000000000404</v>
      </c>
      <c r="H51" s="16">
        <f t="shared" ref="H51:I51" si="92">H50*1.1</f>
        <v>113.02500000000001</v>
      </c>
      <c r="I51" s="16">
        <f t="shared" si="92"/>
        <v>63.965000000001609</v>
      </c>
      <c r="J51" s="16"/>
      <c r="K51" s="16"/>
    </row>
    <row r="52" spans="1:11" ht="14.75" customHeight="1" x14ac:dyDescent="0.35">
      <c r="A52" s="12"/>
      <c r="B52" s="13"/>
      <c r="C52" s="13"/>
      <c r="D52" s="14" t="s">
        <v>48</v>
      </c>
      <c r="E52" s="16">
        <f t="shared" ref="E52:F52" si="93">(E2+E3)</f>
        <v>23149.449999999997</v>
      </c>
      <c r="F52" s="16">
        <f t="shared" si="93"/>
        <v>23562.15</v>
      </c>
      <c r="G52" s="16">
        <f t="shared" ref="G52" si="94">(G2+G3)</f>
        <v>23715.449999999997</v>
      </c>
      <c r="H52" s="16">
        <f t="shared" ref="H52:I52" si="95">(H2+H3)</f>
        <v>23732.15</v>
      </c>
      <c r="I52" s="16">
        <f t="shared" si="95"/>
        <v>23832.25</v>
      </c>
      <c r="J52" s="16"/>
      <c r="K52" s="16"/>
    </row>
    <row r="53" spans="1:11" ht="14.75" customHeight="1" x14ac:dyDescent="0.35">
      <c r="A53" s="12"/>
      <c r="B53" s="13"/>
      <c r="C53" s="13"/>
      <c r="D53" s="14" t="s">
        <v>49</v>
      </c>
      <c r="E53" s="16">
        <f t="shared" ref="E53:F53" si="96">(E2+E3)/2</f>
        <v>11574.724999999999</v>
      </c>
      <c r="F53" s="16">
        <f t="shared" si="96"/>
        <v>11781.075000000001</v>
      </c>
      <c r="G53" s="16">
        <f t="shared" ref="G53" si="97">(G2+G3)/2</f>
        <v>11857.724999999999</v>
      </c>
      <c r="H53" s="16">
        <f t="shared" ref="H53:I53" si="98">(H2+H3)/2</f>
        <v>11866.075000000001</v>
      </c>
      <c r="I53" s="16">
        <f t="shared" si="98"/>
        <v>11916.125</v>
      </c>
      <c r="J53" s="16"/>
      <c r="K53" s="16"/>
    </row>
    <row r="54" spans="1:11" ht="14.75" customHeight="1" x14ac:dyDescent="0.35">
      <c r="A54" s="12"/>
      <c r="B54" s="13"/>
      <c r="C54" s="13"/>
      <c r="D54" s="14" t="s">
        <v>12</v>
      </c>
      <c r="E54" s="16">
        <f t="shared" ref="E54:F54" si="99">E55-E56+E55</f>
        <v>11806.775000000001</v>
      </c>
      <c r="F54" s="16">
        <f t="shared" si="99"/>
        <v>11786.258333333331</v>
      </c>
      <c r="G54" s="16">
        <f t="shared" ref="G54" si="100">G55-G56+G55</f>
        <v>11862.974999999999</v>
      </c>
      <c r="H54" s="16">
        <f t="shared" ref="H54:I54" si="101">H55-H56+H55</f>
        <v>11895.558333333331</v>
      </c>
      <c r="I54" s="16">
        <f t="shared" si="101"/>
        <v>11916.541666666668</v>
      </c>
      <c r="J54" s="16"/>
      <c r="K54" s="16"/>
    </row>
    <row r="55" spans="1:11" ht="14.75" customHeight="1" x14ac:dyDescent="0.35">
      <c r="A55" s="12"/>
      <c r="B55" s="13"/>
      <c r="C55" s="13"/>
      <c r="D55" s="14" t="s">
        <v>50</v>
      </c>
      <c r="E55" s="16">
        <f t="shared" ref="E55:F55" si="102">(E2+E3+E4)/3</f>
        <v>11690.75</v>
      </c>
      <c r="F55" s="16">
        <f t="shared" si="102"/>
        <v>11783.666666666666</v>
      </c>
      <c r="G55" s="16">
        <f t="shared" ref="G55" si="103">(G2+G3+G4)/3</f>
        <v>11860.349999999999</v>
      </c>
      <c r="H55" s="16">
        <f t="shared" ref="H55:I55" si="104">(H2+H3+H4)/3</f>
        <v>11880.816666666666</v>
      </c>
      <c r="I55" s="16">
        <f t="shared" si="104"/>
        <v>11916.333333333334</v>
      </c>
      <c r="J55" s="16"/>
      <c r="K55" s="16"/>
    </row>
    <row r="56" spans="1:11" ht="14.75" customHeight="1" x14ac:dyDescent="0.35">
      <c r="A56" s="12"/>
      <c r="B56" s="13"/>
      <c r="C56" s="13"/>
      <c r="D56" s="14" t="s">
        <v>14</v>
      </c>
      <c r="E56" s="16">
        <f t="shared" ref="E56:F56" si="105">E53</f>
        <v>11574.724999999999</v>
      </c>
      <c r="F56" s="16">
        <f t="shared" si="105"/>
        <v>11781.075000000001</v>
      </c>
      <c r="G56" s="16">
        <f t="shared" ref="G56" si="106">G53</f>
        <v>11857.724999999999</v>
      </c>
      <c r="H56" s="16">
        <f t="shared" ref="H56:I56" si="107">H53</f>
        <v>11866.075000000001</v>
      </c>
      <c r="I56" s="16">
        <f t="shared" si="107"/>
        <v>11916.125</v>
      </c>
      <c r="J56" s="16"/>
      <c r="K56" s="16"/>
    </row>
    <row r="57" spans="1:11" ht="14.75" customHeight="1" x14ac:dyDescent="0.35">
      <c r="A57" s="12"/>
      <c r="B57" s="13"/>
      <c r="C57" s="13"/>
      <c r="D57" s="14" t="s">
        <v>51</v>
      </c>
      <c r="E57" s="31">
        <f>(E54-E56)</f>
        <v>232.05000000000291</v>
      </c>
      <c r="F57" s="31">
        <f>ABS(F54-F56)</f>
        <v>5.1833333333306655</v>
      </c>
      <c r="G57" s="31">
        <f>ABS(G54-G56)</f>
        <v>5.25</v>
      </c>
      <c r="H57" s="31">
        <f>ABS(H54-H56)</f>
        <v>29.483333333329938</v>
      </c>
      <c r="I57" s="31">
        <f>ABS(I54-I56)</f>
        <v>0.41666666666787933</v>
      </c>
      <c r="J57" s="31"/>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328125" defaultRowHeight="14.75" customHeight="1" x14ac:dyDescent="0.35"/>
  <cols>
    <col min="1" max="1" width="22" style="101" customWidth="1"/>
    <col min="2" max="2" width="12.6328125" style="101" customWidth="1"/>
    <col min="3" max="3" width="5.6328125" style="101" customWidth="1"/>
    <col min="4" max="4" width="12.6328125" style="101" customWidth="1"/>
    <col min="5" max="5" width="5.6328125" style="101" customWidth="1"/>
    <col min="6" max="6" width="12.6328125" style="101" customWidth="1"/>
    <col min="7" max="7" width="5.6328125" style="101" customWidth="1"/>
    <col min="8" max="8" width="12.6328125" style="101" customWidth="1"/>
    <col min="9" max="9" width="5.6328125" style="101" customWidth="1"/>
    <col min="10" max="10" width="12.6328125" style="101" customWidth="1"/>
    <col min="11" max="11" width="5.6328125" style="101" customWidth="1"/>
    <col min="12" max="12" width="12.6328125" style="101" customWidth="1"/>
    <col min="13" max="13" width="5.6328125" style="101" customWidth="1"/>
    <col min="14" max="14" width="12.6328125" style="101" customWidth="1"/>
    <col min="15" max="15" width="5.6328125" style="101" customWidth="1"/>
    <col min="16" max="16" width="12.6328125" style="101" customWidth="1"/>
    <col min="17" max="17" width="5.6328125" style="101" customWidth="1"/>
    <col min="18" max="18" width="12.6328125" style="101" customWidth="1"/>
    <col min="19" max="19" width="5.6328125" style="101" customWidth="1"/>
    <col min="20" max="255" width="8.6328125" style="101" customWidth="1"/>
    <col min="256" max="16384" width="8.6328125" style="93"/>
  </cols>
  <sheetData>
    <row r="1" spans="1:20" ht="14.75" customHeight="1" x14ac:dyDescent="0.35">
      <c r="A1" s="128"/>
      <c r="B1" s="139"/>
      <c r="C1" s="128"/>
      <c r="D1" s="139"/>
      <c r="E1" s="128"/>
      <c r="F1" s="139"/>
      <c r="G1" s="139"/>
      <c r="H1" s="139"/>
      <c r="I1" s="128"/>
      <c r="J1" s="139"/>
      <c r="K1" s="128"/>
      <c r="L1" s="139"/>
      <c r="M1" s="139"/>
      <c r="N1" s="139"/>
      <c r="O1" s="128"/>
      <c r="P1" s="139"/>
      <c r="Q1" s="128"/>
      <c r="R1" s="139"/>
      <c r="S1" s="139"/>
    </row>
    <row r="2" spans="1:20" ht="23.75" customHeight="1" x14ac:dyDescent="0.5">
      <c r="A2" s="140" t="s">
        <v>63</v>
      </c>
      <c r="B2" s="141"/>
      <c r="C2" s="141"/>
      <c r="D2" s="141"/>
      <c r="E2" s="141"/>
      <c r="F2" s="141"/>
      <c r="G2" s="141"/>
      <c r="H2" s="141"/>
      <c r="I2" s="141"/>
      <c r="J2" s="141"/>
      <c r="K2" s="141"/>
      <c r="L2" s="141"/>
      <c r="M2" s="141"/>
      <c r="N2" s="141"/>
      <c r="O2" s="141"/>
      <c r="P2" s="141"/>
      <c r="Q2" s="141"/>
      <c r="R2" s="141"/>
      <c r="S2" s="141"/>
    </row>
    <row r="3" spans="1:20" ht="14.75" customHeight="1" x14ac:dyDescent="0.35">
      <c r="A3" s="128"/>
      <c r="B3" s="139"/>
      <c r="C3" s="128"/>
      <c r="D3" s="139"/>
      <c r="E3" s="128"/>
      <c r="F3" s="139"/>
      <c r="G3" s="139"/>
      <c r="H3" s="139"/>
      <c r="I3" s="128"/>
      <c r="J3" s="139"/>
      <c r="K3" s="128"/>
      <c r="L3" s="139"/>
      <c r="M3" s="139"/>
      <c r="N3" s="139"/>
      <c r="O3" s="128"/>
      <c r="P3" s="139"/>
      <c r="Q3" s="128"/>
      <c r="R3" s="139"/>
      <c r="S3" s="139"/>
    </row>
    <row r="4" spans="1:20" ht="14.7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7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7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75" customHeight="1" x14ac:dyDescent="0.35">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5" customHeight="1" x14ac:dyDescent="0.35">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5" customHeight="1" x14ac:dyDescent="0.35">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5" customHeight="1" x14ac:dyDescent="0.35">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5" customHeight="1" x14ac:dyDescent="0.35">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5" customHeight="1" x14ac:dyDescent="0.35">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5" customHeight="1" x14ac:dyDescent="0.35">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7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75" customHeight="1" x14ac:dyDescent="0.35">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5" customHeight="1" x14ac:dyDescent="0.35">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5" customHeight="1" x14ac:dyDescent="0.35">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5" customHeight="1" x14ac:dyDescent="0.35">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5" customHeight="1" x14ac:dyDescent="0.35">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5" customHeight="1" x14ac:dyDescent="0.35">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5" customHeight="1" x14ac:dyDescent="0.35">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5" customHeight="1" x14ac:dyDescent="0.35">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5" customHeight="1" x14ac:dyDescent="0.35">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5" customHeight="1" x14ac:dyDescent="0.35">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5" customHeight="1" x14ac:dyDescent="0.35">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5" customHeight="1" x14ac:dyDescent="0.35">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5" customHeight="1" x14ac:dyDescent="0.35">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5" customHeight="1" x14ac:dyDescent="0.35">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5" customHeight="1" x14ac:dyDescent="0.35">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5" customHeight="1" x14ac:dyDescent="0.35">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5" customHeight="1" x14ac:dyDescent="0.35">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5" customHeight="1" x14ac:dyDescent="0.35">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5" customHeight="1" x14ac:dyDescent="0.35">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5" customHeight="1" x14ac:dyDescent="0.35">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5" customHeight="1" x14ac:dyDescent="0.35">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5" customHeight="1" x14ac:dyDescent="0.35">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5" customHeight="1" x14ac:dyDescent="0.35">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5" customHeight="1" x14ac:dyDescent="0.35">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5" customHeight="1" x14ac:dyDescent="0.35">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5" customHeight="1" x14ac:dyDescent="0.35">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N17" sqref="N17"/>
    </sheetView>
  </sheetViews>
  <sheetFormatPr defaultColWidth="8.6328125" defaultRowHeight="14.75" customHeight="1" x14ac:dyDescent="0.35"/>
  <cols>
    <col min="1" max="1" width="22" style="114" customWidth="1"/>
    <col min="2" max="2" width="12.6328125" style="114" customWidth="1"/>
    <col min="3" max="3" width="5.6328125" style="114" customWidth="1"/>
    <col min="4" max="4" width="12.6328125" style="114" customWidth="1"/>
    <col min="5" max="5" width="5.6328125" style="114" customWidth="1"/>
    <col min="6" max="6" width="12.6328125" style="114" customWidth="1"/>
    <col min="7" max="7" width="5.6328125" style="114" customWidth="1"/>
    <col min="8" max="8" width="12.6328125" style="114" customWidth="1"/>
    <col min="9" max="9" width="5.6328125" style="114" customWidth="1"/>
    <col min="10" max="10" width="12.6328125" style="114" customWidth="1"/>
    <col min="11" max="11" width="5.6328125" style="114" customWidth="1"/>
    <col min="12" max="12" width="12.6328125" style="114" customWidth="1"/>
    <col min="13" max="13" width="5.6328125" style="114" customWidth="1"/>
    <col min="14" max="14" width="12.6328125" style="114" customWidth="1"/>
    <col min="15" max="15" width="5.6328125" style="114" customWidth="1"/>
    <col min="16" max="16" width="12.6328125" style="114" customWidth="1"/>
    <col min="17" max="17" width="5.6328125" style="114" customWidth="1"/>
    <col min="18" max="18" width="12.6328125" style="114" customWidth="1"/>
    <col min="19" max="19" width="5.6328125" style="114" customWidth="1"/>
    <col min="20" max="20" width="12.6328125" style="114" customWidth="1"/>
    <col min="21" max="21" width="5.6328125" style="114" customWidth="1"/>
    <col min="22" max="22" width="12.6328125" style="114" customWidth="1"/>
    <col min="23" max="23" width="5.6328125" style="114" customWidth="1"/>
    <col min="24" max="24" width="12.6328125" style="114" customWidth="1"/>
    <col min="25" max="260" width="8.6328125" style="114" customWidth="1"/>
    <col min="261" max="16384" width="8.6328125" style="173"/>
  </cols>
  <sheetData>
    <row r="1" spans="1:24" ht="14.75" customHeight="1" x14ac:dyDescent="0.35">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5" customHeight="1" x14ac:dyDescent="0.5">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5" customHeight="1" x14ac:dyDescent="0.35">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5" customHeight="1" x14ac:dyDescent="0.35">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4">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4">
      <c r="A6" s="179" t="s">
        <v>55</v>
      </c>
      <c r="B6" s="180">
        <v>10585.65</v>
      </c>
      <c r="C6" s="112"/>
      <c r="D6" s="181">
        <v>12103.05</v>
      </c>
      <c r="E6" s="113"/>
      <c r="F6" s="182">
        <v>12000.35</v>
      </c>
      <c r="G6" s="111"/>
      <c r="H6" s="180">
        <v>11625.1</v>
      </c>
      <c r="I6" s="112"/>
      <c r="J6" s="181">
        <v>11651</v>
      </c>
      <c r="K6" s="113"/>
      <c r="L6" s="182">
        <v>11775.5</v>
      </c>
      <c r="M6" s="111"/>
      <c r="N6" s="180">
        <v>11815.3</v>
      </c>
      <c r="O6" s="112"/>
      <c r="P6" s="180"/>
      <c r="Q6" s="113"/>
      <c r="R6" s="182"/>
      <c r="S6" s="111"/>
      <c r="T6" s="180"/>
      <c r="U6" s="112"/>
      <c r="V6" s="180"/>
      <c r="W6" s="113"/>
      <c r="X6" s="182"/>
    </row>
    <row r="7" spans="1:24" ht="14.75" customHeight="1" x14ac:dyDescent="0.35">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4">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4">
      <c r="A9" s="179" t="s">
        <v>56</v>
      </c>
      <c r="B9" s="180">
        <v>12103.05</v>
      </c>
      <c r="C9" s="112"/>
      <c r="D9" s="181">
        <v>11769.5</v>
      </c>
      <c r="E9" s="113"/>
      <c r="F9" s="182">
        <v>11625.1</v>
      </c>
      <c r="G9" s="111"/>
      <c r="H9" s="180">
        <v>11843.5</v>
      </c>
      <c r="I9" s="112"/>
      <c r="J9" s="181">
        <v>11911.15</v>
      </c>
      <c r="K9" s="113"/>
      <c r="L9" s="182">
        <v>11890.55</v>
      </c>
      <c r="M9" s="111"/>
      <c r="N9" s="180">
        <v>11945.2</v>
      </c>
      <c r="O9" s="112"/>
      <c r="P9" s="181"/>
      <c r="Q9" s="113"/>
      <c r="R9" s="181"/>
      <c r="S9" s="111"/>
      <c r="T9" s="180"/>
      <c r="U9" s="112"/>
      <c r="V9" s="181"/>
      <c r="W9" s="113"/>
      <c r="X9" s="181"/>
    </row>
    <row r="10" spans="1:24" ht="14.75" customHeight="1" x14ac:dyDescent="0.35">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4">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4">
      <c r="A12" s="179" t="s">
        <v>57</v>
      </c>
      <c r="B12" s="180"/>
      <c r="C12" s="112"/>
      <c r="D12" s="181">
        <v>12000.35</v>
      </c>
      <c r="E12" s="113"/>
      <c r="F12" s="182">
        <v>11917.45</v>
      </c>
      <c r="G12" s="111"/>
      <c r="H12" s="180">
        <v>11651</v>
      </c>
      <c r="I12" s="112"/>
      <c r="J12" s="181">
        <v>11775.5</v>
      </c>
      <c r="K12" s="113"/>
      <c r="L12" s="182">
        <v>11815.3</v>
      </c>
      <c r="M12" s="111"/>
      <c r="N12" s="180"/>
      <c r="O12" s="112"/>
      <c r="P12" s="181"/>
      <c r="Q12" s="113"/>
      <c r="R12" s="182"/>
      <c r="S12" s="111"/>
      <c r="T12" s="180"/>
      <c r="U12" s="112"/>
      <c r="V12" s="181"/>
      <c r="W12" s="113"/>
      <c r="X12" s="182"/>
    </row>
    <row r="13" spans="1:24" ht="14.75" customHeight="1" x14ac:dyDescent="0.35">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5" customHeight="1" x14ac:dyDescent="0.35">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5" customHeight="1" x14ac:dyDescent="0.35">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5" customHeight="1" x14ac:dyDescent="0.35">
      <c r="A16" s="116">
        <v>0.23599999999999999</v>
      </c>
      <c r="B16" s="190">
        <f>VALUE(23.6/100*(B6-B9)+B9)</f>
        <v>11744.943599999999</v>
      </c>
      <c r="C16" s="191"/>
      <c r="D16" s="190">
        <f>VALUE(23.6/100*(D6-D9)+D9)</f>
        <v>11848.2178</v>
      </c>
      <c r="E16" s="190"/>
      <c r="F16" s="190">
        <f>VALUE(23.6/100*(F6-F9)+F9)</f>
        <v>11713.659</v>
      </c>
      <c r="G16" s="190"/>
      <c r="H16" s="190">
        <f>VALUE(23.6/100*(H6-H9)+H9)</f>
        <v>11791.9576</v>
      </c>
      <c r="I16" s="191"/>
      <c r="J16" s="190">
        <f>VALUE(23.6/100*(J6-J9)+J9)</f>
        <v>11849.7546</v>
      </c>
      <c r="K16" s="190"/>
      <c r="L16" s="190">
        <f>VALUE(23.6/100*(L6-L9)+L9)</f>
        <v>11863.3982</v>
      </c>
      <c r="M16" s="190"/>
      <c r="N16" s="190">
        <f>VALUE(23.6/100*(N6-N9)+N9)</f>
        <v>11914.543600000001</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5" customHeight="1" x14ac:dyDescent="0.35">
      <c r="A17" s="117">
        <v>0.38200000000000001</v>
      </c>
      <c r="B17" s="192">
        <f>38.2/100*(B6-B9)+B9</f>
        <v>11523.403199999999</v>
      </c>
      <c r="C17" s="193"/>
      <c r="D17" s="192">
        <f>VALUE(38.2/100*(D6-D9)+D9)</f>
        <v>11896.9161</v>
      </c>
      <c r="E17" s="192"/>
      <c r="F17" s="192">
        <f>VALUE(38.2/100*(F6-F9)+F9)</f>
        <v>11768.4455</v>
      </c>
      <c r="G17" s="192"/>
      <c r="H17" s="192">
        <f>38.2/100*(H6-H9)+H9</f>
        <v>11760.0712</v>
      </c>
      <c r="I17" s="193"/>
      <c r="J17" s="192">
        <f>VALUE(38.2/100*(J6-J9)+J9)</f>
        <v>11811.7727</v>
      </c>
      <c r="K17" s="192"/>
      <c r="L17" s="192">
        <f>VALUE(38.2/100*(L6-L9)+L9)</f>
        <v>11846.600899999999</v>
      </c>
      <c r="M17" s="192"/>
      <c r="N17" s="192">
        <f>38.2/100*(N6-N9)+N9</f>
        <v>11895.5782</v>
      </c>
      <c r="O17" s="193"/>
      <c r="P17" s="192">
        <f>VALUE(38.2/100*(P6-P9)+P9)</f>
        <v>0</v>
      </c>
      <c r="Q17" s="192"/>
      <c r="R17" s="192">
        <f>VALUE(38.2/100*(R6-R9)+R9)</f>
        <v>0</v>
      </c>
      <c r="S17" s="192"/>
      <c r="T17" s="192">
        <f>38.2/100*(T6-T9)+T9</f>
        <v>0</v>
      </c>
      <c r="U17" s="193"/>
      <c r="V17" s="192">
        <f>VALUE(38.2/100*(V6-V9)+V9)</f>
        <v>0</v>
      </c>
      <c r="W17" s="192"/>
      <c r="X17" s="192">
        <f>VALUE(38.2/100*(X6-X9)+X9)</f>
        <v>0</v>
      </c>
    </row>
    <row r="18" spans="1:24" ht="14.75" customHeight="1" x14ac:dyDescent="0.35">
      <c r="A18" s="116">
        <v>0.5</v>
      </c>
      <c r="B18" s="190">
        <f>VALUE(50/100*(B6-B9)+B9)</f>
        <v>11344.349999999999</v>
      </c>
      <c r="C18" s="191"/>
      <c r="D18" s="190">
        <f>VALUE(50/100*(D6-D9)+D9)</f>
        <v>11936.275</v>
      </c>
      <c r="E18" s="190"/>
      <c r="F18" s="190">
        <f>VALUE(50/100*(F6-F9)+F9)</f>
        <v>11812.725</v>
      </c>
      <c r="G18" s="190"/>
      <c r="H18" s="190">
        <f>VALUE(50/100*(H6-H9)+H9)</f>
        <v>11734.3</v>
      </c>
      <c r="I18" s="191"/>
      <c r="J18" s="190">
        <f>VALUE(50/100*(J6-J9)+J9)</f>
        <v>11781.075000000001</v>
      </c>
      <c r="K18" s="190"/>
      <c r="L18" s="190">
        <f>VALUE(50/100*(L6-L9)+L9)</f>
        <v>11833.025</v>
      </c>
      <c r="M18" s="190"/>
      <c r="N18" s="190">
        <f>VALUE(50/100*(N6-N9)+N9)</f>
        <v>11880.25</v>
      </c>
      <c r="O18" s="191"/>
      <c r="P18" s="190">
        <f>VALUE(50/100*(P6-P9)+P9)</f>
        <v>0</v>
      </c>
      <c r="Q18" s="190"/>
      <c r="R18" s="190">
        <f>VALUE(50/100*(R6-R9)+R9)</f>
        <v>0</v>
      </c>
      <c r="S18" s="190"/>
      <c r="T18" s="190">
        <f>VALUE(50/100*(T6-T9)+T9)</f>
        <v>0</v>
      </c>
      <c r="U18" s="191"/>
      <c r="V18" s="190">
        <f>VALUE(50/100*(V6-V9)+V9)</f>
        <v>0</v>
      </c>
      <c r="W18" s="190"/>
      <c r="X18" s="190">
        <f>VALUE(50/100*(X6-X9)+X9)</f>
        <v>0</v>
      </c>
    </row>
    <row r="19" spans="1:24" ht="14.75" customHeight="1" x14ac:dyDescent="0.35">
      <c r="A19" s="116">
        <v>0.61799999999999999</v>
      </c>
      <c r="B19" s="190">
        <f>VALUE(61.8/100*(B6-B9)+B9)</f>
        <v>11165.2968</v>
      </c>
      <c r="C19" s="191"/>
      <c r="D19" s="190">
        <f>VALUE(61.8/100*(D6-D9)+D9)</f>
        <v>11975.633899999999</v>
      </c>
      <c r="E19" s="190"/>
      <c r="F19" s="190">
        <f>VALUE(61.8/100*(F6-F9)+F9)</f>
        <v>11857.004500000001</v>
      </c>
      <c r="G19" s="190"/>
      <c r="H19" s="190">
        <f>VALUE(61.8/100*(H6-H9)+H9)</f>
        <v>11708.5288</v>
      </c>
      <c r="I19" s="191"/>
      <c r="J19" s="190">
        <f>VALUE(61.8/100*(J6-J9)+J9)</f>
        <v>11750.3773</v>
      </c>
      <c r="K19" s="190"/>
      <c r="L19" s="190">
        <f>VALUE(61.8/100*(L6-L9)+L9)</f>
        <v>11819.4491</v>
      </c>
      <c r="M19" s="190"/>
      <c r="N19" s="190">
        <f>VALUE(61.8/100*(N6-N9)+N9)</f>
        <v>11864.9218</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5" customHeight="1" x14ac:dyDescent="0.35">
      <c r="A20" s="118">
        <v>0.70699999999999996</v>
      </c>
      <c r="B20" s="194">
        <f>VALUE(70.7/100*(B6-B9)+B9)</f>
        <v>11030.2482</v>
      </c>
      <c r="C20" s="171"/>
      <c r="D20" s="194">
        <f>VALUE(70.7/100*(D6-D9)+D9)</f>
        <v>12005.31985</v>
      </c>
      <c r="E20" s="195"/>
      <c r="F20" s="194">
        <f>VALUE(70.7/100*(F6-F9)+F9)</f>
        <v>11890.401750000001</v>
      </c>
      <c r="G20" s="194"/>
      <c r="H20" s="194">
        <f>VALUE(70.7/100*(H6-H9)+H9)</f>
        <v>11689.091200000001</v>
      </c>
      <c r="I20" s="171"/>
      <c r="J20" s="194">
        <f>VALUE(70.7/100*(J6-J9)+J9)</f>
        <v>11727.22395</v>
      </c>
      <c r="K20" s="195"/>
      <c r="L20" s="194">
        <f>VALUE(70.7/100*(L6-L9)+L9)</f>
        <v>11809.209650000001</v>
      </c>
      <c r="M20" s="194"/>
      <c r="N20" s="194">
        <f>VALUE(70.7/100*(N6-N9)+N9)</f>
        <v>11853.360699999999</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5" customHeight="1" x14ac:dyDescent="0.35">
      <c r="A21" s="116">
        <v>0.78600000000000003</v>
      </c>
      <c r="B21" s="190">
        <f>VALUE(78.6/100*(B6-B9)+B9)</f>
        <v>10910.373599999999</v>
      </c>
      <c r="C21" s="191"/>
      <c r="D21" s="190">
        <f>VALUE(78.6/100*(D6-D9)+D9)</f>
        <v>12031.6703</v>
      </c>
      <c r="E21" s="190"/>
      <c r="F21" s="190">
        <f>VALUE(78.6/100*(F6-F9)+F9)</f>
        <v>11920.0465</v>
      </c>
      <c r="G21" s="190"/>
      <c r="H21" s="190">
        <f>VALUE(78.6/100*(H6-H9)+H9)</f>
        <v>11671.837600000001</v>
      </c>
      <c r="I21" s="191"/>
      <c r="J21" s="190">
        <f>VALUE(78.6/100*(J6-J9)+J9)</f>
        <v>11706.6721</v>
      </c>
      <c r="K21" s="190"/>
      <c r="L21" s="190">
        <f>VALUE(78.6/100*(L6-L9)+L9)</f>
        <v>11800.120699999999</v>
      </c>
      <c r="M21" s="190"/>
      <c r="N21" s="190">
        <f>VALUE(78.6/100*(N6-N9)+N9)</f>
        <v>11843.098599999999</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5" customHeight="1" x14ac:dyDescent="0.35">
      <c r="A22" s="118">
        <v>1</v>
      </c>
      <c r="B22" s="194">
        <f>VALUE(100/100*(B6-B9)+B9)</f>
        <v>10585.65</v>
      </c>
      <c r="C22" s="171"/>
      <c r="D22" s="194">
        <f>VALUE(100/100*(D6-D9)+D9)</f>
        <v>12103.05</v>
      </c>
      <c r="E22" s="195"/>
      <c r="F22" s="194">
        <f>VALUE(100/100*(F6-F9)+F9)</f>
        <v>12000.35</v>
      </c>
      <c r="G22" s="194"/>
      <c r="H22" s="194">
        <f>VALUE(100/100*(H6-H9)+H9)</f>
        <v>11625.1</v>
      </c>
      <c r="I22" s="171"/>
      <c r="J22" s="194">
        <f>VALUE(100/100*(J6-J9)+J9)</f>
        <v>11651</v>
      </c>
      <c r="K22" s="195"/>
      <c r="L22" s="194">
        <f>VALUE(100/100*(L6-L9)+L9)</f>
        <v>11775.5</v>
      </c>
      <c r="M22" s="194"/>
      <c r="N22" s="194">
        <f>VALUE(100/100*(N6-N9)+N9)</f>
        <v>11815.3</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5" customHeight="1" x14ac:dyDescent="0.35">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5" customHeight="1" x14ac:dyDescent="0.35">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5" customHeight="1" x14ac:dyDescent="0.35">
      <c r="A25" s="119">
        <v>0.38200000000000001</v>
      </c>
      <c r="B25" s="197">
        <f>VALUE(B12-38.2/100*(B6-B9))</f>
        <v>579.64679999999987</v>
      </c>
      <c r="C25" s="198"/>
      <c r="D25" s="197">
        <f>VALUE(D12-38.2/100*(D6-D9))</f>
        <v>11872.9339</v>
      </c>
      <c r="E25" s="197"/>
      <c r="F25" s="197">
        <f>VALUE(F12-38.2/100*(F6-F9))</f>
        <v>11774.104500000001</v>
      </c>
      <c r="G25" s="197"/>
      <c r="H25" s="197">
        <f>VALUE(H12-38.2/100*(H6-H9))</f>
        <v>11734.4288</v>
      </c>
      <c r="I25" s="198"/>
      <c r="J25" s="197">
        <f>VALUE(J12-38.2/100*(J6-J9))</f>
        <v>11874.8773</v>
      </c>
      <c r="K25" s="197"/>
      <c r="L25" s="199">
        <f>VALUE(L12-38.2/100*(L6-L9))</f>
        <v>11859.249099999999</v>
      </c>
      <c r="M25" s="197"/>
      <c r="N25" s="197">
        <f>VALUE(N12-38.2/100*(N6-N9))</f>
        <v>49.621800000000555</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5" customHeight="1" x14ac:dyDescent="0.35">
      <c r="A26" s="119">
        <v>0.5</v>
      </c>
      <c r="B26" s="197">
        <f>VALUE(B12-50/100*(B6-B9))</f>
        <v>758.69999999999982</v>
      </c>
      <c r="C26" s="198"/>
      <c r="D26" s="197">
        <f>VALUE(D12-50/100*(D6-D9))</f>
        <v>11833.575000000001</v>
      </c>
      <c r="E26" s="197"/>
      <c r="F26" s="197">
        <f>VALUE(F12-50/100*(F6-F9))</f>
        <v>11729.825000000001</v>
      </c>
      <c r="G26" s="197"/>
      <c r="H26" s="197">
        <f>VALUE(H12-50/100*(H6-H9))</f>
        <v>11760.2</v>
      </c>
      <c r="I26" s="198"/>
      <c r="J26" s="197">
        <f>VALUE(J12-50/100*(J6-J9))</f>
        <v>11905.575000000001</v>
      </c>
      <c r="K26" s="197"/>
      <c r="L26" s="197">
        <f>VALUE(L12-50/100*(L6-L9))</f>
        <v>11872.824999999999</v>
      </c>
      <c r="M26" s="197"/>
      <c r="N26" s="197">
        <f>VALUE(N12-50/100*(N6-N9))</f>
        <v>64.950000000000728</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5" customHeight="1" x14ac:dyDescent="0.35">
      <c r="A27" s="120">
        <v>0.61799999999999999</v>
      </c>
      <c r="B27" s="200">
        <f>VALUE(B12-61.8/100*(B6-B9))</f>
        <v>937.75319999999977</v>
      </c>
      <c r="C27" s="201"/>
      <c r="D27" s="200">
        <f>VALUE(D12-61.8/100*(D6-D9))</f>
        <v>11794.216100000001</v>
      </c>
      <c r="E27" s="200"/>
      <c r="F27" s="200">
        <f>VALUE(F12-61.8/100*(F6-F9))</f>
        <v>11685.5455</v>
      </c>
      <c r="G27" s="200"/>
      <c r="H27" s="200">
        <f>VALUE(H12-61.8/100*(H6-H9))</f>
        <v>11785.9712</v>
      </c>
      <c r="I27" s="201"/>
      <c r="J27" s="200">
        <f>VALUE(J12-61.8/100*(J6-J9))</f>
        <v>11936.2727</v>
      </c>
      <c r="K27" s="200"/>
      <c r="L27" s="200">
        <f>VALUE(L12-61.8/100*(L6-L9))</f>
        <v>11886.400899999999</v>
      </c>
      <c r="M27" s="200"/>
      <c r="N27" s="200">
        <f>VALUE(N12-61.8/100*(N6-N9))</f>
        <v>80.278200000000894</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5" customHeight="1" x14ac:dyDescent="0.35">
      <c r="A28" s="118">
        <v>0.70699999999999996</v>
      </c>
      <c r="B28" s="194">
        <f>VALUE(B12-70.07/100*(B6-B9))</f>
        <v>1063.2421799999995</v>
      </c>
      <c r="C28" s="171"/>
      <c r="D28" s="194">
        <f>VALUE(D12-70.07/100*(D6-D9))</f>
        <v>11766.631515000001</v>
      </c>
      <c r="E28" s="195"/>
      <c r="F28" s="194">
        <f>VALUE(F12-70.07/100*(F6-F9))</f>
        <v>11654.512325000002</v>
      </c>
      <c r="G28" s="194"/>
      <c r="H28" s="194">
        <f>VALUE(H12-70.07/100*(H6-H9))</f>
        <v>11804.032879999999</v>
      </c>
      <c r="I28" s="171"/>
      <c r="J28" s="194">
        <f>VALUE(J12-70.07/100*(J6-J9))</f>
        <v>11957.787104999999</v>
      </c>
      <c r="K28" s="195"/>
      <c r="L28" s="194">
        <f>VALUE(L12-70.07/100*(L6-L9))</f>
        <v>11895.915534999998</v>
      </c>
      <c r="M28" s="194"/>
      <c r="N28" s="194">
        <f>VALUE(N12-70.07/100*(N6-N9))</f>
        <v>91.020930000001002</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5" customHeight="1" x14ac:dyDescent="0.35">
      <c r="A29" s="119">
        <v>1</v>
      </c>
      <c r="B29" s="197">
        <f>VALUE(B12-100/100*(B6-B9))</f>
        <v>1517.3999999999996</v>
      </c>
      <c r="C29" s="198"/>
      <c r="D29" s="197">
        <f>VALUE(D12-100/100*(D6-D9))</f>
        <v>11666.800000000001</v>
      </c>
      <c r="E29" s="197"/>
      <c r="F29" s="197">
        <f>VALUE(F12-100/100*(F6-F9))</f>
        <v>11542.2</v>
      </c>
      <c r="G29" s="197"/>
      <c r="H29" s="211">
        <f>VALUE(H12-100/100*(H6-H9))</f>
        <v>11869.4</v>
      </c>
      <c r="I29" s="198"/>
      <c r="J29" s="197">
        <f>VALUE(J12-100/100*(J6-J9))</f>
        <v>12035.65</v>
      </c>
      <c r="K29" s="197"/>
      <c r="L29" s="197">
        <f>VALUE(L12-100/100*(L6-L9))</f>
        <v>11930.349999999999</v>
      </c>
      <c r="M29" s="197"/>
      <c r="N29" s="197">
        <f>VALUE(N12-100/100*(N6-N9))</f>
        <v>129.90000000000146</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5" customHeight="1" x14ac:dyDescent="0.35">
      <c r="A30" s="121">
        <v>1.236</v>
      </c>
      <c r="B30" s="202">
        <f>VALUE(B12-123.6/100*(B6-B9))</f>
        <v>1875.5063999999995</v>
      </c>
      <c r="C30" s="203"/>
      <c r="D30" s="202">
        <f>VALUE(D12-123.6/100*(D6-D9))</f>
        <v>11588.082200000001</v>
      </c>
      <c r="E30" s="202"/>
      <c r="F30" s="202">
        <f>VALUE(F12-123.6/100*(F6-F9))</f>
        <v>11453.641000000001</v>
      </c>
      <c r="G30" s="202"/>
      <c r="H30" s="212">
        <f>VALUE(H12-123.6/100*(H6-H9))</f>
        <v>11920.9424</v>
      </c>
      <c r="I30" s="203"/>
      <c r="J30" s="202">
        <f>VALUE(J12-123.6/100*(J6-J9))</f>
        <v>12097.045399999999</v>
      </c>
      <c r="K30" s="202"/>
      <c r="L30" s="202">
        <f>VALUE(L12-123.6/100*(L6-L9))</f>
        <v>11957.501799999998</v>
      </c>
      <c r="M30" s="202"/>
      <c r="N30" s="202">
        <f>VALUE(N12-123.6/100*(N6-N9))</f>
        <v>160.55640000000179</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5" customHeight="1" x14ac:dyDescent="0.35">
      <c r="A31" s="118">
        <v>1.3819999999999999</v>
      </c>
      <c r="B31" s="194">
        <f>VALUE(B12-138.2/100*(B6-B9))</f>
        <v>2097.0467999999992</v>
      </c>
      <c r="C31" s="171"/>
      <c r="D31" s="194">
        <f>VALUE(D12-138.2/100*(D6-D9))</f>
        <v>11539.383900000001</v>
      </c>
      <c r="E31" s="195"/>
      <c r="F31" s="194">
        <f>VALUE(F12-138.2/100*(F6-F9))</f>
        <v>11398.854500000001</v>
      </c>
      <c r="G31" s="194"/>
      <c r="H31" s="194">
        <f>VALUE(H12-138.2/100*(H6-H9))</f>
        <v>11952.828799999999</v>
      </c>
      <c r="I31" s="171"/>
      <c r="J31" s="194">
        <f>VALUE(J12-138.2/100*(J6-J9))</f>
        <v>12135.0273</v>
      </c>
      <c r="K31" s="195"/>
      <c r="L31" s="194">
        <f>VALUE(L12-138.2/100*(L6-L9))</f>
        <v>11974.299099999998</v>
      </c>
      <c r="M31" s="194"/>
      <c r="N31" s="194">
        <f>VALUE(N12-138.2/100*(N6-N9))</f>
        <v>179.521800000002</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5" customHeight="1" x14ac:dyDescent="0.35">
      <c r="A32" s="118">
        <v>1.5</v>
      </c>
      <c r="B32" s="194">
        <f>VALUE(B12-150/100*(B6-B9))</f>
        <v>2276.0999999999995</v>
      </c>
      <c r="C32" s="171"/>
      <c r="D32" s="194">
        <f>VALUE(D12-150/100*(D6-D9))</f>
        <v>11500.025000000001</v>
      </c>
      <c r="E32" s="195"/>
      <c r="F32" s="194">
        <f>VALUE(F12-150/100*(F6-F9))</f>
        <v>11354.575000000001</v>
      </c>
      <c r="G32" s="194"/>
      <c r="H32" s="194">
        <f>VALUE(H12-150/100*(H6-H9))</f>
        <v>11978.599999999999</v>
      </c>
      <c r="I32" s="171"/>
      <c r="J32" s="194">
        <f>VALUE(J12-150/100*(J6-J9))</f>
        <v>12165.724999999999</v>
      </c>
      <c r="K32" s="195"/>
      <c r="L32" s="194">
        <f>VALUE(L12-150/100*(L6-L9))</f>
        <v>11987.874999999998</v>
      </c>
      <c r="M32" s="194"/>
      <c r="N32" s="194">
        <f>VALUE(N12-150/100*(N6-N9))</f>
        <v>194.85000000000218</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5" customHeight="1" x14ac:dyDescent="0.35">
      <c r="A33" s="120">
        <v>1.6180000000000001</v>
      </c>
      <c r="B33" s="200">
        <f>VALUE(B12-161.8/100*(B6-B9))</f>
        <v>2455.1531999999997</v>
      </c>
      <c r="C33" s="201"/>
      <c r="D33" s="200">
        <f>VALUE(D12-161.8/100*(D6-D9))</f>
        <v>11460.666100000002</v>
      </c>
      <c r="E33" s="200"/>
      <c r="F33" s="200">
        <f>VALUE(F12-161.8/100*(F6-F9))</f>
        <v>11310.2955</v>
      </c>
      <c r="G33" s="200"/>
      <c r="H33" s="200">
        <f>VALUE(H12-161.8/100*(H6-H9))</f>
        <v>12004.3712</v>
      </c>
      <c r="I33" s="201"/>
      <c r="J33" s="200">
        <f>VALUE(J12-161.8/100*(J6-J9))</f>
        <v>12196.422699999999</v>
      </c>
      <c r="K33" s="200"/>
      <c r="L33" s="200">
        <f>VALUE(L12-161.8/100*(L6-L9))</f>
        <v>12001.450899999998</v>
      </c>
      <c r="M33" s="200"/>
      <c r="N33" s="200">
        <f>VALUE(N12-161.8/100*(N6-N9))</f>
        <v>210.17820000000236</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5" customHeight="1" x14ac:dyDescent="0.35">
      <c r="A34" s="118">
        <v>1.7070000000000001</v>
      </c>
      <c r="B34" s="194">
        <f>VALUE(B12-170.07/100*(B6-B9))</f>
        <v>2580.6421799999994</v>
      </c>
      <c r="C34" s="171"/>
      <c r="D34" s="194">
        <f>VALUE(D12-170.07/100*(D6-D9))</f>
        <v>11433.081515000002</v>
      </c>
      <c r="E34" s="195"/>
      <c r="F34" s="194">
        <f>VALUE(F12-170.07/100*(F6-F9))</f>
        <v>11279.262325000002</v>
      </c>
      <c r="G34" s="194"/>
      <c r="H34" s="194">
        <f>VALUE(H12-170.07/100*(H6-H9))</f>
        <v>12022.432879999998</v>
      </c>
      <c r="I34" s="171"/>
      <c r="J34" s="194">
        <f>VALUE(J12-170.07/100*(J6-J9))</f>
        <v>12217.937104999999</v>
      </c>
      <c r="K34" s="195"/>
      <c r="L34" s="194">
        <f>VALUE(L12-170.07/100*(L6-L9))</f>
        <v>12010.965534999998</v>
      </c>
      <c r="M34" s="194"/>
      <c r="N34" s="194">
        <f>VALUE(N12-170.07/100*(N6-N9))</f>
        <v>220.92093000000247</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5" customHeight="1" x14ac:dyDescent="0.35">
      <c r="A35" s="119">
        <v>2</v>
      </c>
      <c r="B35" s="197">
        <f>VALUE(B12-200/100*(B6-B9))</f>
        <v>3034.7999999999993</v>
      </c>
      <c r="C35" s="198"/>
      <c r="D35" s="197">
        <f>VALUE(D12-200/100*(D6-D9))</f>
        <v>11333.250000000002</v>
      </c>
      <c r="E35" s="197"/>
      <c r="F35" s="197">
        <f>VALUE(F12-200/100*(F6-F9))</f>
        <v>11166.95</v>
      </c>
      <c r="G35" s="197"/>
      <c r="H35" s="197">
        <f>VALUE(H12-200/100*(H6-H9))</f>
        <v>12087.8</v>
      </c>
      <c r="I35" s="198"/>
      <c r="J35" s="197">
        <f>VALUE(J12-200/100*(J6-J9))</f>
        <v>12295.8</v>
      </c>
      <c r="K35" s="197"/>
      <c r="L35" s="197">
        <f>VALUE(L12-200/100*(L6-L9))</f>
        <v>12045.399999999998</v>
      </c>
      <c r="M35" s="197"/>
      <c r="N35" s="197">
        <f>VALUE(N12-200/100*(N6-N9))</f>
        <v>259.80000000000291</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5" customHeight="1" x14ac:dyDescent="0.35">
      <c r="A36" s="118">
        <v>2.2360000000000002</v>
      </c>
      <c r="B36" s="194">
        <f>VALUE(B12-223.6/100*(B6-B9))</f>
        <v>3392.9063999999989</v>
      </c>
      <c r="C36" s="171"/>
      <c r="D36" s="194">
        <f>VALUE(D12-223.6/100*(D6-D9))</f>
        <v>11254.532200000001</v>
      </c>
      <c r="E36" s="195"/>
      <c r="F36" s="194">
        <f>VALUE(F12-223.6/100*(F6-F9))</f>
        <v>11078.391000000001</v>
      </c>
      <c r="G36" s="194"/>
      <c r="H36" s="194">
        <f>VALUE(H12-223.6/100*(H6-H9))</f>
        <v>12139.3424</v>
      </c>
      <c r="I36" s="171"/>
      <c r="J36" s="194">
        <f>VALUE(J12-223.6/100*(J6-J9))</f>
        <v>12357.195399999999</v>
      </c>
      <c r="K36" s="195"/>
      <c r="L36" s="194">
        <f>VALUE(L12-223.6/100*(L6-L9))</f>
        <v>12072.551799999997</v>
      </c>
      <c r="M36" s="194"/>
      <c r="N36" s="194">
        <f>VALUE(N12-223.6/100*(N6-N9))</f>
        <v>290.45640000000321</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5" customHeight="1" x14ac:dyDescent="0.35">
      <c r="A37" s="119">
        <v>2.3820000000000001</v>
      </c>
      <c r="B37" s="197">
        <f>VALUE(B12-238.2/100*(B6-B9))</f>
        <v>3614.4467999999988</v>
      </c>
      <c r="C37" s="198"/>
      <c r="D37" s="197">
        <f>VALUE(D12-238.2/100*(D6-D9))</f>
        <v>11205.833900000001</v>
      </c>
      <c r="E37" s="197"/>
      <c r="F37" s="197">
        <f>VALUE(F12-238.2/100*(F6-F9))</f>
        <v>11023.604500000001</v>
      </c>
      <c r="G37" s="197"/>
      <c r="H37" s="197">
        <f>VALUE(H12-238.2/100*(H6-H9))</f>
        <v>12171.228799999999</v>
      </c>
      <c r="I37" s="198"/>
      <c r="J37" s="197">
        <f>VALUE(J12-238.2/100*(J6-J9))</f>
        <v>12395.177299999999</v>
      </c>
      <c r="K37" s="197"/>
      <c r="L37" s="197">
        <f>VALUE(L12-238.2/100*(L6-L9))</f>
        <v>12089.349099999998</v>
      </c>
      <c r="M37" s="197"/>
      <c r="N37" s="197">
        <f>VALUE(N12-238.2/100*(N6-N9))</f>
        <v>309.42180000000343</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5" customHeight="1" x14ac:dyDescent="0.35">
      <c r="A38" s="119">
        <v>2.6179999999999999</v>
      </c>
      <c r="B38" s="197">
        <f>VALUE(B12-261.8/100*(B6-B9))</f>
        <v>3972.5531999999994</v>
      </c>
      <c r="C38" s="198"/>
      <c r="D38" s="197">
        <f>VALUE(D12-261.8/100*(D6-D9))</f>
        <v>11127.116100000003</v>
      </c>
      <c r="E38" s="197"/>
      <c r="F38" s="197">
        <f>VALUE(F12-261.8/100*(F6-F9))</f>
        <v>10935.0455</v>
      </c>
      <c r="G38" s="197"/>
      <c r="H38" s="197">
        <f>VALUE(H12-261.8/100*(H6-H9))</f>
        <v>12222.771199999999</v>
      </c>
      <c r="I38" s="198"/>
      <c r="J38" s="197">
        <f>VALUE(J12-261.8/100*(J6-J9))</f>
        <v>12456.572699999999</v>
      </c>
      <c r="K38" s="197"/>
      <c r="L38" s="197">
        <f>VALUE(L12-261.8/100*(L6-L9))</f>
        <v>12116.500899999997</v>
      </c>
      <c r="M38" s="197"/>
      <c r="N38" s="197">
        <f>VALUE(N12-261.8/100*(N6-N9))</f>
        <v>340.07820000000385</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5" customHeight="1" x14ac:dyDescent="0.35">
      <c r="A39" s="119">
        <v>3</v>
      </c>
      <c r="B39" s="197">
        <f>VALUE(B12-300/100*(B6-B9))</f>
        <v>4552.1999999999989</v>
      </c>
      <c r="C39" s="198"/>
      <c r="D39" s="197">
        <f>VALUE(D12-300/100*(D6-D9))</f>
        <v>10999.700000000003</v>
      </c>
      <c r="E39" s="197"/>
      <c r="F39" s="197">
        <f>VALUE(F12-300/100*(F6-F9))</f>
        <v>10791.7</v>
      </c>
      <c r="G39" s="197"/>
      <c r="H39" s="197">
        <f>VALUE(H12-300/100*(H6-H9))</f>
        <v>12306.199999999999</v>
      </c>
      <c r="I39" s="198"/>
      <c r="J39" s="197">
        <f>VALUE(J12-300/100*(J6-J9))</f>
        <v>12555.949999999999</v>
      </c>
      <c r="K39" s="197"/>
      <c r="L39" s="197">
        <f>VALUE(L12-300/100*(L6-L9))</f>
        <v>12160.449999999997</v>
      </c>
      <c r="M39" s="197"/>
      <c r="N39" s="197">
        <f>VALUE(N12-300/100*(N6-N9))</f>
        <v>389.70000000000437</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5" customHeight="1" x14ac:dyDescent="0.35">
      <c r="A40" s="118">
        <v>3.2360000000000002</v>
      </c>
      <c r="B40" s="194">
        <f>VALUE(B12-323.6/100*(B6-B9))</f>
        <v>4910.3063999999995</v>
      </c>
      <c r="C40" s="171"/>
      <c r="D40" s="194">
        <f>VALUE(D12-323.6/100*(D6-D9))</f>
        <v>10920.982200000002</v>
      </c>
      <c r="E40" s="195"/>
      <c r="F40" s="194">
        <f>VALUE(F12-323.6/100*(F6-F9))</f>
        <v>10703.141000000001</v>
      </c>
      <c r="G40" s="194"/>
      <c r="H40" s="194">
        <f>VALUE(H12-323.6/100*(H6-H9))</f>
        <v>12357.742399999999</v>
      </c>
      <c r="I40" s="171"/>
      <c r="J40" s="194">
        <f>VALUE(J12-323.6/100*(J6-J9))</f>
        <v>12617.345399999998</v>
      </c>
      <c r="K40" s="195"/>
      <c r="L40" s="194">
        <f>VALUE(L12-323.6/100*(L6-L9))</f>
        <v>12187.601799999997</v>
      </c>
      <c r="M40" s="194"/>
      <c r="N40" s="194">
        <f>VALUE(N12-323.6/100*(N6-N9))</f>
        <v>420.35640000000473</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5" customHeight="1" x14ac:dyDescent="0.35">
      <c r="A41" s="119">
        <v>3.3820000000000001</v>
      </c>
      <c r="B41" s="197">
        <f>VALUE(B12-338.2/100*(B6-B9))</f>
        <v>5131.8467999999984</v>
      </c>
      <c r="C41" s="198"/>
      <c r="D41" s="197">
        <f>VALUE(D12-338.2/100*(D6-D9))</f>
        <v>10872.283900000002</v>
      </c>
      <c r="E41" s="197"/>
      <c r="F41" s="197">
        <f>VALUE(F12-338.2/100*(F6-F9))</f>
        <v>10648.354500000001</v>
      </c>
      <c r="G41" s="197"/>
      <c r="H41" s="197">
        <f>VALUE(H12-338.2/100*(H6-H9))</f>
        <v>12389.628799999999</v>
      </c>
      <c r="I41" s="198"/>
      <c r="J41" s="197">
        <f>VALUE(J12-338.2/100*(J6-J9))</f>
        <v>12655.327299999999</v>
      </c>
      <c r="K41" s="197"/>
      <c r="L41" s="197">
        <f>VALUE(L12-338.2/100*(L6-L9))</f>
        <v>12204.399099999997</v>
      </c>
      <c r="M41" s="197"/>
      <c r="N41" s="197">
        <f>VALUE(N12-338.2/100*(N6-N9))</f>
        <v>439.32180000000488</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5" customHeight="1" x14ac:dyDescent="0.35">
      <c r="A42" s="119">
        <v>3.6179999999999999</v>
      </c>
      <c r="B42" s="197">
        <f>VALUE(B12-361.8/100*(B6-B9))</f>
        <v>5489.953199999999</v>
      </c>
      <c r="C42" s="198"/>
      <c r="D42" s="197">
        <f>VALUE(D12-361.8/100*(D6-D9))</f>
        <v>10793.566100000004</v>
      </c>
      <c r="E42" s="197"/>
      <c r="F42" s="197">
        <f>VALUE(F12-361.8/100*(F6-F9))</f>
        <v>10559.7955</v>
      </c>
      <c r="G42" s="197"/>
      <c r="H42" s="197">
        <f>VALUE(H12-361.8/100*(H6-H9))</f>
        <v>12441.171199999999</v>
      </c>
      <c r="I42" s="198"/>
      <c r="J42" s="197">
        <f>VALUE(J12-361.8/100*(J6-J9))</f>
        <v>12716.722699999998</v>
      </c>
      <c r="K42" s="197"/>
      <c r="L42" s="197">
        <f>VALUE(L12-361.8/100*(L6-L9))</f>
        <v>12231.550899999997</v>
      </c>
      <c r="M42" s="197"/>
      <c r="N42" s="197">
        <f>VALUE(N12-361.8/100*(N6-N9))</f>
        <v>469.9782000000053</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5" customHeight="1" x14ac:dyDescent="0.35">
      <c r="A43" s="119">
        <v>4</v>
      </c>
      <c r="B43" s="197">
        <f>VALUE(B12-400/100*(B6-B9))</f>
        <v>6069.5999999999985</v>
      </c>
      <c r="C43" s="198"/>
      <c r="D43" s="197">
        <f>VALUE(D12-400/100*(D6-D9))</f>
        <v>10666.150000000003</v>
      </c>
      <c r="E43" s="197"/>
      <c r="F43" s="197">
        <f>VALUE(F12-400/100*(F6-F9))</f>
        <v>10416.450000000001</v>
      </c>
      <c r="G43" s="197"/>
      <c r="H43" s="197">
        <f>VALUE(H12-400/100*(H6-H9))</f>
        <v>12524.599999999999</v>
      </c>
      <c r="I43" s="198"/>
      <c r="J43" s="197">
        <f>VALUE(J12-400/100*(J6-J9))</f>
        <v>12816.099999999999</v>
      </c>
      <c r="K43" s="197"/>
      <c r="L43" s="197">
        <f>VALUE(L12-400/100*(L6-L9))</f>
        <v>12275.499999999996</v>
      </c>
      <c r="M43" s="197"/>
      <c r="N43" s="197">
        <f>VALUE(N12-400/100*(N6-N9))</f>
        <v>519.60000000000582</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5" customHeight="1" x14ac:dyDescent="0.35">
      <c r="A44" s="118">
        <v>4.2359999999999998</v>
      </c>
      <c r="B44" s="194">
        <f>VALUE(B12-423.6/100*(B6-B9))</f>
        <v>6427.7063999999991</v>
      </c>
      <c r="C44" s="171"/>
      <c r="D44" s="194">
        <f>VALUE(D12-423.6/100*(D6-D9))</f>
        <v>10587.432200000003</v>
      </c>
      <c r="E44" s="195"/>
      <c r="F44" s="194">
        <f>VALUE(F12-423.6/100*(F6-F9))</f>
        <v>10327.891</v>
      </c>
      <c r="G44" s="194"/>
      <c r="H44" s="194">
        <f>VALUE(H12-423.6/100*(H6-H9))</f>
        <v>12576.142399999999</v>
      </c>
      <c r="I44" s="171"/>
      <c r="J44" s="194">
        <f>VALUE(J12-423.6/100*(J6-J9))</f>
        <v>12877.495399999998</v>
      </c>
      <c r="K44" s="195"/>
      <c r="L44" s="194">
        <f>VALUE(L12-423.6/100*(L6-L9))</f>
        <v>12302.651799999996</v>
      </c>
      <c r="M44" s="194"/>
      <c r="N44" s="194">
        <f>VALUE(N12-423.6/100*(N6-N9))</f>
        <v>550.25640000000624</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5" customHeight="1" x14ac:dyDescent="0.35">
      <c r="A45" s="118">
        <v>4.3819999999999997</v>
      </c>
      <c r="B45" s="194">
        <f>VALUE(B12-438.2/100*(B6-B9))</f>
        <v>6649.2467999999981</v>
      </c>
      <c r="C45" s="171"/>
      <c r="D45" s="194">
        <f>VALUE(D12-438.2/100*(D6-D9))</f>
        <v>10538.733900000003</v>
      </c>
      <c r="E45" s="195"/>
      <c r="F45" s="194">
        <f>VALUE(F12-438.2/100*(F6-F9))</f>
        <v>10273.104500000001</v>
      </c>
      <c r="G45" s="194"/>
      <c r="H45" s="194">
        <f>VALUE(H12-438.2/100*(H6-H9))</f>
        <v>12608.028799999998</v>
      </c>
      <c r="I45" s="171"/>
      <c r="J45" s="194">
        <f>VALUE(J12-438.2/100*(J6-J9))</f>
        <v>12915.477299999999</v>
      </c>
      <c r="K45" s="195"/>
      <c r="L45" s="194">
        <f>VALUE(L12-438.2/100*(L6-L9))</f>
        <v>12319.449099999996</v>
      </c>
      <c r="M45" s="194"/>
      <c r="N45" s="194">
        <f>VALUE(N12-438.2/100*(N6-N9))</f>
        <v>569.22180000000628</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5" customHeight="1" x14ac:dyDescent="0.35">
      <c r="A46" s="118">
        <v>4.6180000000000003</v>
      </c>
      <c r="B46" s="194">
        <f>VALUE(B12-461.8/100*(B6-B9))</f>
        <v>7007.3531999999987</v>
      </c>
      <c r="C46" s="171"/>
      <c r="D46" s="194">
        <f>VALUE(D12-461.8/100*(D6-D9))</f>
        <v>10460.016100000004</v>
      </c>
      <c r="E46" s="195"/>
      <c r="F46" s="194">
        <f>VALUE(F12-461.8/100*(F6-F9))</f>
        <v>10184.5455</v>
      </c>
      <c r="G46" s="194"/>
      <c r="H46" s="194">
        <f>VALUE(H12-461.8/100*(H6-H9))</f>
        <v>12659.571199999998</v>
      </c>
      <c r="I46" s="171"/>
      <c r="J46" s="194">
        <f>VALUE(J12-461.8/100*(J6-J9))</f>
        <v>12976.872699999998</v>
      </c>
      <c r="K46" s="195"/>
      <c r="L46" s="194">
        <f>VALUE(L12-461.8/100*(L6-L9))</f>
        <v>12346.600899999996</v>
      </c>
      <c r="M46" s="194"/>
      <c r="N46" s="194">
        <f>VALUE(N12-461.8/100*(N6-N9))</f>
        <v>599.87820000000681</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5" customHeight="1" x14ac:dyDescent="0.35">
      <c r="A47" s="118">
        <v>5</v>
      </c>
      <c r="B47" s="194">
        <f>VALUE(B12-500/100*(B6-B9))</f>
        <v>7586.9999999999982</v>
      </c>
      <c r="C47" s="171"/>
      <c r="D47" s="194">
        <f>VALUE(D12-500/100*(D6-D9))</f>
        <v>10332.600000000004</v>
      </c>
      <c r="E47" s="195"/>
      <c r="F47" s="194">
        <f>VALUE(F12-500/100*(F6-F9))</f>
        <v>10041.200000000001</v>
      </c>
      <c r="G47" s="194"/>
      <c r="H47" s="194">
        <f>VALUE(H12-500/100*(H6-H9))</f>
        <v>12742.999999999998</v>
      </c>
      <c r="I47" s="171"/>
      <c r="J47" s="194">
        <f>VALUE(J12-500/100*(J6-J9))</f>
        <v>13076.249999999998</v>
      </c>
      <c r="K47" s="195"/>
      <c r="L47" s="194">
        <f>VALUE(L12-500/100*(L6-L9))</f>
        <v>12390.549999999996</v>
      </c>
      <c r="M47" s="194"/>
      <c r="N47" s="194">
        <f>VALUE(N12-500/100*(N6-N9))</f>
        <v>649.50000000000728</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5" customHeight="1" x14ac:dyDescent="0.35">
      <c r="A48" s="118">
        <v>5.2359999999999998</v>
      </c>
      <c r="B48" s="194">
        <f>VALUE(B12-523.6/100*(B6-B9))</f>
        <v>7945.1063999999988</v>
      </c>
      <c r="C48" s="171"/>
      <c r="D48" s="194">
        <f>VALUE(D12-523.6/100*(D6-D9))</f>
        <v>10253.882200000004</v>
      </c>
      <c r="E48" s="195"/>
      <c r="F48" s="194">
        <f>VALUE(F12-523.6/100*(F6-F9))</f>
        <v>9952.6409999999996</v>
      </c>
      <c r="G48" s="194"/>
      <c r="H48" s="194">
        <f>VALUE(H12-523.6/100*(H6-H9))</f>
        <v>12794.542399999998</v>
      </c>
      <c r="I48" s="171"/>
      <c r="J48" s="194">
        <f>VALUE(J12-523.6/100*(J6-J9))</f>
        <v>13137.645399999998</v>
      </c>
      <c r="K48" s="195"/>
      <c r="L48" s="194">
        <f>VALUE(L12-523.6/100*(L6-L9))</f>
        <v>12417.701799999995</v>
      </c>
      <c r="M48" s="194"/>
      <c r="N48" s="194">
        <f>VALUE(N12-523.6/100*(N6-N9))</f>
        <v>680.15640000000769</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5" customHeight="1" x14ac:dyDescent="0.35">
      <c r="A49" s="118">
        <v>5.3819999999999997</v>
      </c>
      <c r="B49" s="194">
        <f>VALUE(B12-538.2/100*(B6-B9))</f>
        <v>8166.6467999999986</v>
      </c>
      <c r="C49" s="171"/>
      <c r="D49" s="194">
        <f>VALUE(D12-538.2/100*(D6-D9))</f>
        <v>10205.183900000004</v>
      </c>
      <c r="E49" s="195"/>
      <c r="F49" s="194">
        <f>VALUE(F12-538.2/100*(F6-F9))</f>
        <v>9897.8545000000013</v>
      </c>
      <c r="G49" s="194"/>
      <c r="H49" s="194">
        <f>VALUE(H12-538.2/100*(H6-H9))</f>
        <v>12826.428799999998</v>
      </c>
      <c r="I49" s="171"/>
      <c r="J49" s="194">
        <f>VALUE(J12-538.2/100*(J6-J9))</f>
        <v>13175.627299999998</v>
      </c>
      <c r="K49" s="195"/>
      <c r="L49" s="194">
        <f>VALUE(L12-538.2/100*(L6-L9))</f>
        <v>12434.499099999995</v>
      </c>
      <c r="M49" s="194"/>
      <c r="N49" s="194">
        <f>VALUE(N12-538.2/100*(N6-N9))</f>
        <v>699.12180000000785</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5" customHeight="1" x14ac:dyDescent="0.35">
      <c r="A50" s="118">
        <v>5.6180000000000003</v>
      </c>
      <c r="B50" s="194">
        <f>VALUE(B12-561.8/100*(B6-B9))</f>
        <v>8524.7531999999974</v>
      </c>
      <c r="C50" s="171"/>
      <c r="D50" s="194">
        <f>VALUE(D12-561.8/100*(D6-D9))</f>
        <v>10126.466100000005</v>
      </c>
      <c r="E50" s="195"/>
      <c r="F50" s="194">
        <f>VALUE(F12-561.8/100*(F6-F9))</f>
        <v>9809.2955000000002</v>
      </c>
      <c r="G50" s="194"/>
      <c r="H50" s="194">
        <f>VALUE(H12-561.8/100*(H6-H9))</f>
        <v>12877.971199999998</v>
      </c>
      <c r="I50" s="171"/>
      <c r="J50" s="194">
        <f>VALUE(J12-561.8/100*(J6-J9))</f>
        <v>13237.022699999998</v>
      </c>
      <c r="K50" s="195"/>
      <c r="L50" s="194">
        <f>VALUE(L12-561.8/100*(L6-L9))</f>
        <v>12461.650899999995</v>
      </c>
      <c r="M50" s="194"/>
      <c r="N50" s="194">
        <f>VALUE(N12-561.8/100*(N6-N9))</f>
        <v>729.77820000000816</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showGridLines="0" zoomScaleNormal="100" workbookViewId="0"/>
  </sheetViews>
  <sheetFormatPr defaultColWidth="8.6328125" defaultRowHeight="14.75" customHeight="1" x14ac:dyDescent="0.35"/>
  <cols>
    <col min="1" max="1" width="112.6328125" style="91" customWidth="1"/>
    <col min="2" max="252" width="8.6328125" style="91" customWidth="1"/>
  </cols>
  <sheetData>
    <row r="1" spans="1:1" ht="116" x14ac:dyDescent="0.35">
      <c r="A1" s="100" t="s">
        <v>69</v>
      </c>
    </row>
    <row r="2" spans="1:1" ht="14.75" customHeight="1" x14ac:dyDescent="0.35">
      <c r="A2" s="91" t="s">
        <v>70</v>
      </c>
    </row>
    <row r="3" spans="1:1" ht="14.75" customHeight="1" x14ac:dyDescent="0.35">
      <c r="A3" s="91" t="s">
        <v>71</v>
      </c>
    </row>
    <row r="4" spans="1:1" ht="14.75" customHeight="1" x14ac:dyDescent="0.35">
      <c r="A4" s="91" t="s">
        <v>72</v>
      </c>
    </row>
    <row r="5" spans="1:1" ht="14.75" customHeight="1" x14ac:dyDescent="0.35">
      <c r="A5" s="91" t="s">
        <v>73</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75"/>
  <sheetViews>
    <sheetView showGridLines="0" topLeftCell="EE1" zoomScaleNormal="100" workbookViewId="0">
      <selection activeCell="EN1" sqref="EN1:ER1048576"/>
    </sheetView>
  </sheetViews>
  <sheetFormatPr defaultColWidth="8.6328125" defaultRowHeight="14.75" customHeight="1" x14ac:dyDescent="0.35"/>
  <cols>
    <col min="1" max="4" width="8.6328125" style="33" customWidth="1"/>
    <col min="5" max="49" width="10.6328125" style="33" customWidth="1"/>
    <col min="50" max="148" width="10.6328125" style="91" customWidth="1"/>
    <col min="149" max="355" width="8.6328125" style="33" customWidth="1"/>
  </cols>
  <sheetData>
    <row r="1" spans="1:148" ht="14.75" customHeight="1" x14ac:dyDescent="0.35">
      <c r="A1" s="215"/>
      <c r="B1" s="216"/>
      <c r="C1" s="216"/>
      <c r="D1" s="21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row>
    <row r="2" spans="1:148" ht="14.7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row>
    <row r="3" spans="1:148" ht="14.7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row>
    <row r="4" spans="1:148" ht="14.7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row>
    <row r="5" spans="1:148" ht="14.75" customHeight="1" x14ac:dyDescent="0.35">
      <c r="A5" s="213" t="s">
        <v>5</v>
      </c>
      <c r="B5" s="214"/>
      <c r="C5" s="214"/>
      <c r="D5" s="21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row>
    <row r="6" spans="1:148" ht="14.7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R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row>
    <row r="7" spans="1:148" ht="14.75" customHeight="1" x14ac:dyDescent="0.35">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R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row>
    <row r="8" spans="1:148" ht="14.75" customHeight="1" x14ac:dyDescent="0.35">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R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row>
    <row r="9" spans="1:148" ht="14.75" customHeight="1" x14ac:dyDescent="0.35">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R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row>
    <row r="10" spans="1:148" ht="14.75" customHeight="1" x14ac:dyDescent="0.35">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R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row>
    <row r="11" spans="1:148" ht="14.75" customHeight="1" x14ac:dyDescent="0.35">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R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row>
    <row r="12" spans="1:148"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row>
    <row r="13" spans="1:148" ht="14.75" customHeight="1" x14ac:dyDescent="0.35">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R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row>
    <row r="14" spans="1:148" ht="14.75" customHeight="1" x14ac:dyDescent="0.35">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R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row>
    <row r="15" spans="1:148" ht="14.75" customHeight="1" x14ac:dyDescent="0.35">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R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row>
    <row r="16" spans="1:148"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row>
    <row r="17" spans="1:148" ht="14.75" customHeight="1" x14ac:dyDescent="0.35">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R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row>
    <row r="18" spans="1:148" ht="14.75" customHeight="1" x14ac:dyDescent="0.35">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R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row>
    <row r="19" spans="1:148" ht="14.75" customHeight="1" x14ac:dyDescent="0.35">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R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row>
    <row r="20" spans="1:148" ht="14.75" customHeight="1" x14ac:dyDescent="0.35">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R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row>
    <row r="21" spans="1:148" ht="14.75" customHeight="1" x14ac:dyDescent="0.35">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R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row>
    <row r="22" spans="1:148" ht="14.75" customHeight="1" x14ac:dyDescent="0.35">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R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row>
    <row r="23" spans="1:148" ht="14.75" customHeight="1" x14ac:dyDescent="0.35">
      <c r="A23" s="213" t="s">
        <v>21</v>
      </c>
      <c r="B23" s="214"/>
      <c r="C23" s="214"/>
      <c r="D23" s="21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row>
    <row r="24" spans="1:148" ht="14.75" customHeight="1" x14ac:dyDescent="0.35">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R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row>
    <row r="25" spans="1:148" ht="14.75" customHeight="1" x14ac:dyDescent="0.35">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R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row>
    <row r="26" spans="1:148" ht="14.75" customHeight="1" x14ac:dyDescent="0.35">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R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row>
    <row r="27" spans="1:148" ht="14.75" customHeight="1" x14ac:dyDescent="0.35">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R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row>
    <row r="28" spans="1:148" ht="14.75" customHeight="1" x14ac:dyDescent="0.35">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R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row>
    <row r="29" spans="1:148" ht="14.75" customHeight="1" x14ac:dyDescent="0.35">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R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row>
    <row r="30" spans="1:148" ht="14.75" customHeight="1" x14ac:dyDescent="0.35">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R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row>
    <row r="31" spans="1:148" ht="14.75" customHeight="1" x14ac:dyDescent="0.35">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R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row>
    <row r="32" spans="1:148" ht="14.75" customHeight="1" x14ac:dyDescent="0.35">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R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row>
    <row r="33" spans="1:148" ht="14.75" customHeight="1" x14ac:dyDescent="0.35">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R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row>
    <row r="34" spans="1:148" ht="14.75" customHeight="1" x14ac:dyDescent="0.35">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R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row>
    <row r="35" spans="1:148" ht="14.75" customHeight="1" x14ac:dyDescent="0.35">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R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row>
    <row r="36" spans="1:148" ht="14.75" customHeight="1" x14ac:dyDescent="0.35">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R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row>
    <row r="37" spans="1:148" ht="14.75" customHeight="1" x14ac:dyDescent="0.35">
      <c r="A37" s="213" t="s">
        <v>34</v>
      </c>
      <c r="B37" s="214"/>
      <c r="C37" s="214"/>
      <c r="D37" s="21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row>
    <row r="38" spans="1:148" ht="14.7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row>
    <row r="39" spans="1:148" ht="14.7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row>
    <row r="40" spans="1:148" ht="14.7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row>
    <row r="41" spans="1:148" ht="14.7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row>
    <row r="42" spans="1:148" ht="14.7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68</v>
      </c>
      <c r="EP42" s="20">
        <v>11884.05</v>
      </c>
      <c r="EQ42" s="20">
        <v>11920.427299999999</v>
      </c>
      <c r="ER42" s="20">
        <v>11920.427299999999</v>
      </c>
    </row>
    <row r="43" spans="1:148" ht="14.75" customHeight="1" x14ac:dyDescent="0.35">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R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row>
    <row r="44" spans="1:148" ht="14.7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row>
    <row r="45" spans="1:148" ht="14.7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row>
    <row r="46" spans="1:148" ht="14.7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row>
    <row r="47" spans="1:148" ht="14.7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row>
    <row r="48" spans="1:148" ht="14.7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row>
    <row r="49" spans="1:148" ht="14.75" customHeight="1" x14ac:dyDescent="0.35">
      <c r="A49" s="213" t="s">
        <v>45</v>
      </c>
      <c r="B49" s="214"/>
      <c r="C49" s="214"/>
      <c r="D49" s="21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row>
    <row r="50" spans="1:148" ht="14.75" customHeight="1" x14ac:dyDescent="0.35">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R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row>
    <row r="51" spans="1:148" ht="14.75" customHeight="1" x14ac:dyDescent="0.35">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R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row>
    <row r="52" spans="1:148" ht="14.75" customHeight="1" x14ac:dyDescent="0.35">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R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row>
    <row r="53" spans="1:148" ht="14.75" customHeight="1" x14ac:dyDescent="0.35">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R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row>
    <row r="54" spans="1:148" ht="14.75" customHeight="1" x14ac:dyDescent="0.35">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R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row>
    <row r="55" spans="1:148" ht="14.75" customHeight="1" x14ac:dyDescent="0.35">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R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row>
    <row r="56" spans="1:148" ht="14.75" customHeight="1" x14ac:dyDescent="0.35">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R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row>
    <row r="57" spans="1:148" ht="14.75" customHeight="1" x14ac:dyDescent="0.35">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ABS(EN54-EN56)</f>
        <v>8.3000000000029104</v>
      </c>
      <c r="EO57" s="31">
        <f>ABS(EO54-EO56)</f>
        <v>42.500000000003638</v>
      </c>
      <c r="EP57" s="31">
        <f>ABS(EP54-EP56)</f>
        <v>21.899999999997817</v>
      </c>
      <c r="EQ57" s="31">
        <f>ABS(EQ54-EQ56)</f>
        <v>16.366666666664969</v>
      </c>
      <c r="ER57" s="31">
        <f>ABS(ER54-ER56)</f>
        <v>23.166666666664241</v>
      </c>
    </row>
    <row r="58" spans="1:148" ht="14.7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8" ht="14.7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8" ht="14.7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8" ht="14.7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8" ht="14.7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8" ht="14.7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8" ht="14.7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2019-07-03T18:40:13Z</dcterms:modified>
</cp:coreProperties>
</file>