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B33" i="8" l="1"/>
  <c r="DY57" i="6" l="1"/>
  <c r="DY56" i="6"/>
  <c r="DW56" i="6"/>
  <c r="DV56" i="6"/>
  <c r="DU56" i="6"/>
  <c r="DY55" i="6"/>
  <c r="DX55" i="6"/>
  <c r="DW55" i="6"/>
  <c r="DV55" i="6"/>
  <c r="DV54" i="6" s="1"/>
  <c r="DV57" i="6" s="1"/>
  <c r="DU55" i="6"/>
  <c r="DU54" i="6" s="1"/>
  <c r="DU57" i="6" s="1"/>
  <c r="DU15" i="6" s="1"/>
  <c r="DY54" i="6"/>
  <c r="DW54" i="6"/>
  <c r="DW57" i="6" s="1"/>
  <c r="DY53" i="6"/>
  <c r="DX53" i="6"/>
  <c r="DX56" i="6" s="1"/>
  <c r="DX54" i="6" s="1"/>
  <c r="DX57" i="6" s="1"/>
  <c r="DW53" i="6"/>
  <c r="DV53" i="6"/>
  <c r="DU53" i="6"/>
  <c r="DY52" i="6"/>
  <c r="DX52" i="6"/>
  <c r="DW52" i="6"/>
  <c r="DV52" i="6"/>
  <c r="DU52" i="6"/>
  <c r="DY51" i="6"/>
  <c r="DY27" i="6" s="1"/>
  <c r="DX51" i="6"/>
  <c r="DX32" i="6" s="1"/>
  <c r="DW51" i="6"/>
  <c r="DW29" i="6" s="1"/>
  <c r="DV51" i="6"/>
  <c r="DV34" i="6" s="1"/>
  <c r="DY50" i="6"/>
  <c r="DX50" i="6"/>
  <c r="DX8" i="6" s="1"/>
  <c r="DX9" i="6" s="1"/>
  <c r="DW50" i="6"/>
  <c r="DW8" i="6" s="1"/>
  <c r="DV50" i="6"/>
  <c r="DU50" i="6"/>
  <c r="DU51" i="6" s="1"/>
  <c r="DY43" i="6"/>
  <c r="DX43" i="6"/>
  <c r="DW43" i="6"/>
  <c r="DV43" i="6"/>
  <c r="DU43" i="6"/>
  <c r="DX36" i="6"/>
  <c r="DW36" i="6"/>
  <c r="DV36" i="6"/>
  <c r="DU36" i="6"/>
  <c r="DY34" i="6"/>
  <c r="DY35" i="6" s="1"/>
  <c r="DX34" i="6"/>
  <c r="DW34" i="6"/>
  <c r="DY33" i="6"/>
  <c r="DY32" i="6"/>
  <c r="DY31" i="6"/>
  <c r="DX31" i="6"/>
  <c r="DW31" i="6"/>
  <c r="DV31" i="6"/>
  <c r="DY30" i="6"/>
  <c r="DX30" i="6"/>
  <c r="DW30" i="6"/>
  <c r="DV30" i="6"/>
  <c r="DU30" i="6"/>
  <c r="DY29" i="6"/>
  <c r="DX29" i="6"/>
  <c r="DY28" i="6"/>
  <c r="DY26" i="6"/>
  <c r="DX26" i="6"/>
  <c r="DW26" i="6"/>
  <c r="DY24" i="6"/>
  <c r="DY36" i="6" s="1"/>
  <c r="DX24" i="6"/>
  <c r="DW24" i="6"/>
  <c r="DV24" i="6"/>
  <c r="DU24" i="6"/>
  <c r="DW22" i="6"/>
  <c r="DV22" i="6"/>
  <c r="DX20" i="6"/>
  <c r="DW18" i="6"/>
  <c r="DV18" i="6"/>
  <c r="DW17" i="6"/>
  <c r="DY14" i="6"/>
  <c r="DY18" i="6" s="1"/>
  <c r="DX14" i="6"/>
  <c r="DX18" i="6" s="1"/>
  <c r="DW14" i="6"/>
  <c r="DW20" i="6" s="1"/>
  <c r="DV14" i="6"/>
  <c r="DV17" i="6" s="1"/>
  <c r="DU14" i="6"/>
  <c r="DU13" i="6" s="1"/>
  <c r="DW11" i="6"/>
  <c r="DX10" i="6"/>
  <c r="DX11" i="6" s="1"/>
  <c r="DW10" i="6"/>
  <c r="DV8" i="6"/>
  <c r="DW6" i="6"/>
  <c r="G55" i="2"/>
  <c r="G53" i="2"/>
  <c r="G56" i="2" s="1"/>
  <c r="G52" i="2"/>
  <c r="G50" i="2"/>
  <c r="G51" i="2" s="1"/>
  <c r="G43" i="2"/>
  <c r="G30" i="2"/>
  <c r="G24" i="2"/>
  <c r="G36" i="2" s="1"/>
  <c r="G14" i="2"/>
  <c r="G20" i="2" s="1"/>
  <c r="H55" i="2"/>
  <c r="H53" i="2"/>
  <c r="H56" i="2" s="1"/>
  <c r="H52" i="2"/>
  <c r="H50" i="2"/>
  <c r="H51" i="2" s="1"/>
  <c r="H43" i="2"/>
  <c r="H30" i="2"/>
  <c r="H24" i="2"/>
  <c r="H36" i="2" s="1"/>
  <c r="H14" i="2"/>
  <c r="H20" i="2" s="1"/>
  <c r="DU31" i="6" l="1"/>
  <c r="DU28" i="6"/>
  <c r="DU34" i="6"/>
  <c r="DU26" i="6"/>
  <c r="DU29" i="6"/>
  <c r="DU32" i="6"/>
  <c r="DU27" i="6"/>
  <c r="DU33" i="6"/>
  <c r="DY22" i="6"/>
  <c r="DX15" i="6"/>
  <c r="DX13" i="6"/>
  <c r="DW9" i="6"/>
  <c r="DW7" i="6"/>
  <c r="DW13" i="6"/>
  <c r="DW15" i="6"/>
  <c r="DY25" i="6"/>
  <c r="DV35" i="6"/>
  <c r="DX21" i="6"/>
  <c r="DW21" i="6"/>
  <c r="DW19" i="6"/>
  <c r="DX22" i="6"/>
  <c r="DX19" i="6"/>
  <c r="DX17" i="6"/>
  <c r="DV15" i="6"/>
  <c r="DV13" i="6"/>
  <c r="DY10" i="6"/>
  <c r="DV28" i="6"/>
  <c r="DU8" i="6"/>
  <c r="DY13" i="6"/>
  <c r="DU18" i="6"/>
  <c r="DX28" i="6"/>
  <c r="DW33" i="6"/>
  <c r="DW35" i="6" s="1"/>
  <c r="DY17" i="6"/>
  <c r="DW28" i="6"/>
  <c r="DU10" i="6"/>
  <c r="DY15" i="6"/>
  <c r="DV32" i="6"/>
  <c r="DV33" i="6"/>
  <c r="DX6" i="6"/>
  <c r="DX7" i="6" s="1"/>
  <c r="DV27" i="6"/>
  <c r="DX33" i="6"/>
  <c r="DX35" i="6" s="1"/>
  <c r="DV10" i="6"/>
  <c r="DU17" i="6"/>
  <c r="DV20" i="6"/>
  <c r="DX27" i="6"/>
  <c r="DX25" i="6" s="1"/>
  <c r="DV29" i="6"/>
  <c r="DW32" i="6"/>
  <c r="DY20" i="6"/>
  <c r="DY21" i="6" s="1"/>
  <c r="DU20" i="6"/>
  <c r="DW27" i="6"/>
  <c r="DW25" i="6" s="1"/>
  <c r="DY8" i="6"/>
  <c r="DY9" i="6" s="1"/>
  <c r="DV26" i="6"/>
  <c r="G54" i="2"/>
  <c r="G57" i="2" s="1"/>
  <c r="G13" i="2" s="1"/>
  <c r="G29" i="2"/>
  <c r="G28" i="2"/>
  <c r="G26" i="2"/>
  <c r="G27" i="2"/>
  <c r="G33" i="2"/>
  <c r="G32" i="2"/>
  <c r="G34" i="2"/>
  <c r="G31" i="2"/>
  <c r="G15" i="2"/>
  <c r="G18" i="2"/>
  <c r="G17" i="2" s="1"/>
  <c r="G8" i="2"/>
  <c r="G10" i="2"/>
  <c r="H29" i="2"/>
  <c r="H26" i="2"/>
  <c r="H28" i="2"/>
  <c r="H31" i="2"/>
  <c r="H27" i="2"/>
  <c r="H34" i="2"/>
  <c r="H33" i="2"/>
  <c r="H32" i="2"/>
  <c r="H54" i="2"/>
  <c r="H57" i="2" s="1"/>
  <c r="H13" i="2" s="1"/>
  <c r="H8" i="2"/>
  <c r="H18" i="2"/>
  <c r="H17" i="2" s="1"/>
  <c r="H10" i="2"/>
  <c r="G35" i="2" l="1"/>
  <c r="DY11" i="6"/>
  <c r="DY6" i="6"/>
  <c r="DY7" i="6" s="1"/>
  <c r="DU25" i="6"/>
  <c r="DU6" i="6"/>
  <c r="DU7" i="6" s="1"/>
  <c r="DU11" i="6"/>
  <c r="DU35" i="6"/>
  <c r="DV6" i="6"/>
  <c r="DV7" i="6" s="1"/>
  <c r="DV9" i="6"/>
  <c r="DV11" i="6"/>
  <c r="DU22" i="6"/>
  <c r="DU21" i="6" s="1"/>
  <c r="DU19" i="6"/>
  <c r="DV25" i="6"/>
  <c r="DV19" i="6"/>
  <c r="DV21" i="6"/>
  <c r="DU9" i="6"/>
  <c r="DY19" i="6"/>
  <c r="G9" i="2"/>
  <c r="G25" i="2"/>
  <c r="G6" i="2"/>
  <c r="G7" i="2" s="1"/>
  <c r="G11" i="2"/>
  <c r="G19" i="2"/>
  <c r="G22" i="2"/>
  <c r="G21" i="2" s="1"/>
  <c r="H35" i="2"/>
  <c r="H9" i="2"/>
  <c r="H6" i="2"/>
  <c r="H7" i="2" s="1"/>
  <c r="H11" i="2"/>
  <c r="H15" i="2"/>
  <c r="H25" i="2"/>
  <c r="H19" i="2"/>
  <c r="H22" i="2"/>
  <c r="H21" i="2" s="1"/>
  <c r="DS56" i="6" l="1"/>
  <c r="DR56" i="6"/>
  <c r="DT55" i="6"/>
  <c r="DS55" i="6"/>
  <c r="DS54" i="6" s="1"/>
  <c r="DS57" i="6" s="1"/>
  <c r="DR55" i="6"/>
  <c r="DR54" i="6" s="1"/>
  <c r="DR57" i="6" s="1"/>
  <c r="DR15" i="6" s="1"/>
  <c r="DQ55" i="6"/>
  <c r="DQ54" i="6" s="1"/>
  <c r="DQ57" i="6" s="1"/>
  <c r="DQ15" i="6" s="1"/>
  <c r="DP55" i="6"/>
  <c r="DP54" i="6" s="1"/>
  <c r="DP57" i="6" s="1"/>
  <c r="DT53" i="6"/>
  <c r="DT56" i="6" s="1"/>
  <c r="DT54" i="6" s="1"/>
  <c r="DT57" i="6" s="1"/>
  <c r="DS53" i="6"/>
  <c r="DR53" i="6"/>
  <c r="DQ53" i="6"/>
  <c r="DQ56" i="6" s="1"/>
  <c r="DP53" i="6"/>
  <c r="DP56" i="6" s="1"/>
  <c r="DT52" i="6"/>
  <c r="DS52" i="6"/>
  <c r="DR52" i="6"/>
  <c r="DQ52" i="6"/>
  <c r="DP52" i="6"/>
  <c r="DT51" i="6"/>
  <c r="DT29" i="6" s="1"/>
  <c r="DS51" i="6"/>
  <c r="DS34" i="6" s="1"/>
  <c r="DT50" i="6"/>
  <c r="DS50" i="6"/>
  <c r="DR50" i="6"/>
  <c r="DR51" i="6" s="1"/>
  <c r="DQ50" i="6"/>
  <c r="DQ51" i="6" s="1"/>
  <c r="DP50" i="6"/>
  <c r="DP8" i="6" s="1"/>
  <c r="DP9" i="6" s="1"/>
  <c r="DT43" i="6"/>
  <c r="DS43" i="6"/>
  <c r="DR43" i="6"/>
  <c r="DQ43" i="6"/>
  <c r="DP43" i="6"/>
  <c r="DT36" i="6"/>
  <c r="DS36" i="6"/>
  <c r="DR36" i="6"/>
  <c r="DT34" i="6"/>
  <c r="DT31" i="6"/>
  <c r="DS31" i="6"/>
  <c r="DT30" i="6"/>
  <c r="DS30" i="6"/>
  <c r="DR30" i="6"/>
  <c r="DQ30" i="6"/>
  <c r="DP30" i="6"/>
  <c r="DT26" i="6"/>
  <c r="DT24" i="6"/>
  <c r="DS24" i="6"/>
  <c r="DR24" i="6"/>
  <c r="DQ24" i="6"/>
  <c r="DQ36" i="6" s="1"/>
  <c r="DP24" i="6"/>
  <c r="DP36" i="6" s="1"/>
  <c r="DR18" i="6"/>
  <c r="DR22" i="6" s="1"/>
  <c r="DP18" i="6"/>
  <c r="DT14" i="6"/>
  <c r="DT20" i="6" s="1"/>
  <c r="DS14" i="6"/>
  <c r="DR14" i="6"/>
  <c r="DQ14" i="6"/>
  <c r="DP14" i="6"/>
  <c r="DS11" i="6"/>
  <c r="DR11" i="6"/>
  <c r="DP11" i="6"/>
  <c r="DT10" i="6"/>
  <c r="DT11" i="6" s="1"/>
  <c r="DS10" i="6"/>
  <c r="DR10" i="6"/>
  <c r="DP10" i="6"/>
  <c r="DP6" i="6" s="1"/>
  <c r="DT9" i="6"/>
  <c r="DS9" i="6"/>
  <c r="DR9" i="6"/>
  <c r="DT8" i="6"/>
  <c r="DS8" i="6"/>
  <c r="DR8" i="6"/>
  <c r="DT7" i="6"/>
  <c r="DT6" i="6"/>
  <c r="DS6" i="6"/>
  <c r="DS7" i="6" s="1"/>
  <c r="DR6" i="6"/>
  <c r="DR7" i="6" s="1"/>
  <c r="DT15" i="6" l="1"/>
  <c r="DT13" i="6"/>
  <c r="DQ28" i="6"/>
  <c r="DQ31" i="6"/>
  <c r="DQ34" i="6"/>
  <c r="DQ26" i="6"/>
  <c r="DQ25" i="6" s="1"/>
  <c r="DQ33" i="6"/>
  <c r="DQ29" i="6"/>
  <c r="DQ32" i="6"/>
  <c r="DQ27" i="6"/>
  <c r="DR31" i="6"/>
  <c r="DR28" i="6"/>
  <c r="DR34" i="6"/>
  <c r="DR35" i="6" s="1"/>
  <c r="DR26" i="6"/>
  <c r="DR25" i="6" s="1"/>
  <c r="DR29" i="6"/>
  <c r="DR32" i="6"/>
  <c r="DR33" i="6"/>
  <c r="DR27" i="6"/>
  <c r="DP15" i="6"/>
  <c r="DP7" i="6"/>
  <c r="DQ13" i="6"/>
  <c r="DS13" i="6"/>
  <c r="DS15" i="6"/>
  <c r="DR13" i="6"/>
  <c r="DT35" i="6"/>
  <c r="DQ8" i="6"/>
  <c r="DQ9" i="6" s="1"/>
  <c r="DQ18" i="6"/>
  <c r="DT28" i="6"/>
  <c r="DS33" i="6"/>
  <c r="DS35" i="6" s="1"/>
  <c r="DP20" i="6"/>
  <c r="DT33" i="6"/>
  <c r="DQ10" i="6"/>
  <c r="DP17" i="6"/>
  <c r="DS18" i="6"/>
  <c r="DQ20" i="6"/>
  <c r="DS27" i="6"/>
  <c r="DP13" i="6"/>
  <c r="DT18" i="6"/>
  <c r="DR20" i="6"/>
  <c r="DP22" i="6"/>
  <c r="DT27" i="6"/>
  <c r="DT25" i="6" s="1"/>
  <c r="DS32" i="6"/>
  <c r="DP51" i="6"/>
  <c r="DS28" i="6"/>
  <c r="DR17" i="6"/>
  <c r="DS20" i="6"/>
  <c r="DS29" i="6"/>
  <c r="DT32" i="6"/>
  <c r="DS26" i="6"/>
  <c r="DS25" i="6" s="1"/>
  <c r="DQ19" i="6" l="1"/>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6" i="6"/>
  <c r="DM56" i="6"/>
  <c r="DM54" i="6" s="1"/>
  <c r="DM57" i="6" s="1"/>
  <c r="DM15" i="6" s="1"/>
  <c r="DK56" i="6"/>
  <c r="DO55" i="6"/>
  <c r="DO54" i="6" s="1"/>
  <c r="DO57" i="6" s="1"/>
  <c r="DN55" i="6"/>
  <c r="DN54" i="6" s="1"/>
  <c r="DN57" i="6" s="1"/>
  <c r="DN15" i="6" s="1"/>
  <c r="DM55" i="6"/>
  <c r="DL55" i="6"/>
  <c r="DL54" i="6" s="1"/>
  <c r="DL57" i="6" s="1"/>
  <c r="DL15" i="6" s="1"/>
  <c r="DK55" i="6"/>
  <c r="DK54" i="6" s="1"/>
  <c r="DK57" i="6" s="1"/>
  <c r="DO53" i="6"/>
  <c r="DN53" i="6"/>
  <c r="DN56" i="6" s="1"/>
  <c r="DM53" i="6"/>
  <c r="DL53" i="6"/>
  <c r="DL56" i="6" s="1"/>
  <c r="DK53" i="6"/>
  <c r="DO52" i="6"/>
  <c r="DN52" i="6"/>
  <c r="DM52" i="6"/>
  <c r="DL52" i="6"/>
  <c r="DK52" i="6"/>
  <c r="DO51" i="6"/>
  <c r="DO29" i="6" s="1"/>
  <c r="DN51" i="6"/>
  <c r="DN34" i="6" s="1"/>
  <c r="DN35" i="6" s="1"/>
  <c r="DL51" i="6"/>
  <c r="DL28" i="6" s="1"/>
  <c r="DK51" i="6"/>
  <c r="DK33" i="6" s="1"/>
  <c r="DO50" i="6"/>
  <c r="DN50" i="6"/>
  <c r="DM50" i="6"/>
  <c r="DM51" i="6" s="1"/>
  <c r="DL50" i="6"/>
  <c r="DK50" i="6"/>
  <c r="DO43" i="6"/>
  <c r="DN43" i="6"/>
  <c r="DM43" i="6"/>
  <c r="DL43" i="6"/>
  <c r="DK43" i="6"/>
  <c r="DO36" i="6"/>
  <c r="DM36" i="6"/>
  <c r="DO35" i="6"/>
  <c r="DL35" i="6"/>
  <c r="DO34" i="6"/>
  <c r="DL34" i="6"/>
  <c r="DO33" i="6"/>
  <c r="DN33" i="6"/>
  <c r="DL33" i="6"/>
  <c r="DO32" i="6"/>
  <c r="DN32" i="6"/>
  <c r="DL32" i="6"/>
  <c r="DK32" i="6"/>
  <c r="DO31" i="6"/>
  <c r="DN31" i="6"/>
  <c r="DL31" i="6"/>
  <c r="DK31" i="6"/>
  <c r="DO30" i="6"/>
  <c r="DN30" i="6"/>
  <c r="DM30" i="6"/>
  <c r="DL30" i="6"/>
  <c r="DK30" i="6"/>
  <c r="DO28" i="6"/>
  <c r="DO27" i="6"/>
  <c r="DL27" i="6"/>
  <c r="DO26" i="6"/>
  <c r="DO25" i="6" s="1"/>
  <c r="DL26" i="6"/>
  <c r="DL25" i="6" s="1"/>
  <c r="DO24" i="6"/>
  <c r="DN24" i="6"/>
  <c r="DN36" i="6" s="1"/>
  <c r="DM24" i="6"/>
  <c r="DL24" i="6"/>
  <c r="DL36" i="6" s="1"/>
  <c r="DK24" i="6"/>
  <c r="DK36" i="6" s="1"/>
  <c r="DM20" i="6"/>
  <c r="DM19" i="6" s="1"/>
  <c r="DO18" i="6"/>
  <c r="DO22" i="6" s="1"/>
  <c r="DM18" i="6"/>
  <c r="DM22" i="6" s="1"/>
  <c r="DM21" i="6" s="1"/>
  <c r="DL18" i="6"/>
  <c r="DO14" i="6"/>
  <c r="DO20" i="6" s="1"/>
  <c r="DN14" i="6"/>
  <c r="DM14" i="6"/>
  <c r="DM13" i="6" s="1"/>
  <c r="DL14" i="6"/>
  <c r="DL13" i="6" s="1"/>
  <c r="DK14" i="6"/>
  <c r="DM11" i="6"/>
  <c r="DM10" i="6"/>
  <c r="DM6" i="6" s="1"/>
  <c r="DO8" i="6"/>
  <c r="DL8" i="6"/>
  <c r="DO21" i="6" l="1"/>
  <c r="DO19" i="6"/>
  <c r="DM7" i="6"/>
  <c r="DL19" i="6"/>
  <c r="DK15" i="6"/>
  <c r="DM31" i="6"/>
  <c r="DM34" i="6"/>
  <c r="DM26" i="6"/>
  <c r="DM32" i="6"/>
  <c r="DM27" i="6"/>
  <c r="DM33" i="6"/>
  <c r="DM28" i="6"/>
  <c r="DM29" i="6"/>
  <c r="DK13" i="6"/>
  <c r="DL17" i="6"/>
  <c r="DN13" i="6"/>
  <c r="DO17" i="6"/>
  <c r="DK8" i="6"/>
  <c r="DK9" i="6" s="1"/>
  <c r="DO13" i="6"/>
  <c r="DK18" i="6"/>
  <c r="DK27" i="6"/>
  <c r="DN28" i="6"/>
  <c r="DM8" i="6"/>
  <c r="DM9" i="6" s="1"/>
  <c r="DK10" i="6"/>
  <c r="DO15" i="6"/>
  <c r="DK20" i="6"/>
  <c r="DK29" i="6"/>
  <c r="DN8" i="6"/>
  <c r="DL10" i="6"/>
  <c r="DK17" i="6"/>
  <c r="DN18" i="6"/>
  <c r="DN17" i="6" s="1"/>
  <c r="DL20" i="6"/>
  <c r="DK26" i="6"/>
  <c r="DN27" i="6"/>
  <c r="DL29" i="6"/>
  <c r="DK34" i="6"/>
  <c r="DK35" i="6" s="1"/>
  <c r="DN10" i="6"/>
  <c r="DM17" i="6"/>
  <c r="DN20" i="6"/>
  <c r="DL22" i="6"/>
  <c r="DK28" i="6"/>
  <c r="DN29" i="6"/>
  <c r="DO10" i="6"/>
  <c r="DN26" i="6"/>
  <c r="DN25" i="6" s="1"/>
  <c r="DL11" i="6" l="1"/>
  <c r="DL6" i="6"/>
  <c r="DL7" i="6" s="1"/>
  <c r="DO11" i="6"/>
  <c r="DO6" i="6"/>
  <c r="DO7" i="6" s="1"/>
  <c r="DO9" i="6"/>
  <c r="DN6" i="6"/>
  <c r="DN7" i="6" s="1"/>
  <c r="DN11" i="6"/>
  <c r="DN9" i="6"/>
  <c r="DK25" i="6"/>
  <c r="DL21" i="6"/>
  <c r="DK6" i="6"/>
  <c r="DK7" i="6" s="1"/>
  <c r="DK11" i="6"/>
  <c r="DM25" i="6"/>
  <c r="DK19" i="6"/>
  <c r="DK22" i="6"/>
  <c r="DK21" i="6" s="1"/>
  <c r="DN19" i="6"/>
  <c r="DN22" i="6"/>
  <c r="DN21" i="6" s="1"/>
  <c r="DM35" i="6"/>
  <c r="DL9" i="6"/>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DI32" i="6" l="1"/>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DH19" i="6" l="1"/>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<sst xmlns="http://schemas.openxmlformats.org/spreadsheetml/2006/main" count="157" uniqueCount="74">
  <si>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</si>
  <si>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</si>
  <si>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</si>
  <si>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</si>
  <si>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</si>
  <si>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</si>
  <si>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</si>
  <si>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</si>
  <si>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</si>
  <si>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</si>
  <si>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</si>
  <si>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</si>
  <si>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</si>
  <si>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</si>
  <si>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</si>
  <si>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</si>
  <si>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</si>
  <si>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</si>
  <si>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</si>
  <si>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</si>
  <si>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</si>
  <si>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</si>
  <si>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</si>
  <si>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</si>
  <si>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</si>
  <si>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</si>
  <si>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</si>
  <si>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</si>
  <si>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</si>
  <si>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</si>
  <si>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</si>
  <si>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</si>
  <si>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</si>
  <si>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</si>
  <si>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</si>
  <si>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</si>
  <si>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</si>
  <si>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</si>
  <si>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</si>
  <si>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</si>
  <si>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</si>
  <si>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</si>
  <si>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</si>
  <si>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</si>
  <si>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</si>
  <si>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</si>
  <si>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</si>
  <si>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</si>
  <si>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</si>
  <si>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</si>
  <si>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</si>
  <si>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</si>
  <si>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</si>
  <si>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</si>
  <si>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</si>
  <si>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</si>
  <si>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</si>
  <si>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</si>
  <si>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</si>
  <si>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</si>
  <si>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</si>
  <si>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</si>
  <si>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</si>
  <si>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</si>
  <si>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</si>
  <si>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</si>
  <si>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Click Here to view Nifty Future and Option Analysis and Click here For NIFTY STRENGTH</t>
  </si>
  <si>
    <t>11450~60</t>
  </si>
  <si>
    <t>11500~30</t>
  </si>
  <si>
    <t>Positional Support for NIFTY 11622 11584 11556 11550 11504 11398 11192 11040 and positional Immediate resistance for NIFTY is 12065.</t>
  </si>
  <si>
    <t>Intraday Resistance of NIFTY are 11980.2 : 12022.9 : 12093.1 : 12116</t>
  </si>
  <si>
    <t>Intraday Support of NIFTY are 11877.3 : 11834.6 : 11765.5 : 11742.9</t>
  </si>
  <si>
    <t>Oscillator Analysis The oscillator is showing BUY signal Short Term Oscillator Analysis- The signal is BUY </t>
  </si>
  <si>
    <r>
      <t>Updated for-May/29/2019 Nifty closed on a strong bull note at 11928 level .So today on upside first intra resistance is at</t>
    </r>
    <r>
      <rPr>
        <b/>
        <sz val="11"/>
        <color rgb="FFFF0000"/>
        <rFont val="Calibri"/>
        <family val="2"/>
      </rPr>
      <t xml:space="preserve"> 11954-59</t>
    </r>
    <r>
      <rPr>
        <sz val="11"/>
        <color indexed="8"/>
        <rFont val="Calibri"/>
        <family val="2"/>
      </rPr>
      <t xml:space="preserve"> .Next resistance are </t>
    </r>
    <r>
      <rPr>
        <b/>
        <sz val="11"/>
        <color rgb="FFFF0000"/>
        <rFont val="Calibri"/>
        <family val="2"/>
      </rPr>
      <t>11980-85,12022-27,12047-52,</t>
    </r>
    <r>
      <rPr>
        <sz val="11"/>
        <color indexed="8"/>
        <rFont val="Calibri"/>
        <family val="2"/>
      </rPr>
      <t xml:space="preserve">12070-75,12107-12,12143-48 level.On downside first support is at </t>
    </r>
    <r>
      <rPr>
        <b/>
        <sz val="11"/>
        <color rgb="FFFF0000"/>
        <rFont val="Calibri"/>
        <family val="2"/>
      </rPr>
      <t>11902-97</t>
    </r>
    <r>
      <rPr>
        <b/>
        <sz val="11"/>
        <color indexed="8"/>
        <rFont val="Calibri"/>
        <family val="2"/>
      </rPr>
      <t xml:space="preserve"> </t>
    </r>
    <r>
      <rPr>
        <sz val="11"/>
        <color indexed="8"/>
        <rFont val="Calibri"/>
        <family val="2"/>
      </rPr>
      <t xml:space="preserve">next support are at </t>
    </r>
    <r>
      <rPr>
        <b/>
        <sz val="11"/>
        <color rgb="FFFF0000"/>
        <rFont val="Calibri"/>
        <family val="2"/>
      </rPr>
      <t>11876-71</t>
    </r>
    <r>
      <rPr>
        <sz val="11"/>
        <color indexed="8"/>
        <rFont val="Calibri"/>
        <family val="2"/>
      </rPr>
      <t>, 11834-29,11811-06,11787-82,11716-11,11638-33,11587-82,11535-30,11500-95,11447-42,11423-18,11374-70,11312-07,11272-67,11235-30,11180-75,11152-47,11117-12,11082-78,11047-42,11010-05,10970-65,10930-25,10885-80,10830-25,10783-78,10734-29,10705-00,10656-51 level. Market is in bull zone .So today for intraday on upside intra resistance are at 11959 and 11985 level and On downside be alert below 11897 and avoid all longs below 11871 level as selling may intensify below that level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</si>
</sst>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0"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0"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9" fillId="8" borderId="5" xfId="0" applyNumberFormat="1" applyFont="1" applyFill="1" applyBorder="1" applyAlignment="1">
      <alignment horizontal="right"/>
    </xf>
    <xf numFmtId="4" fontId="19" fillId="9" borderId="5" xfId="0" applyNumberFormat="1" applyFont="1" applyFill="1" applyBorder="1" applyAlignment="1">
      <alignment horizontal="right"/>
    </xf>
    <xf numFmtId="4" fontId="19"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9" fillId="6" borderId="5" xfId="0" applyNumberFormat="1" applyFont="1" applyFill="1" applyBorder="1" applyAlignment="1">
      <alignment horizontal="right"/>
    </xf>
    <xf numFmtId="4" fontId="19"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9"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1"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2" fillId="2" borderId="5" xfId="0" applyNumberFormat="1" applyFont="1" applyFill="1" applyBorder="1" applyAlignment="1">
      <alignment horizontal="right"/>
    </xf>
    <xf numFmtId="0" fontId="17" fillId="3" borderId="5" xfId="0" applyFont="1" applyFill="1" applyBorder="1" applyAlignment="1"/>
    <xf numFmtId="49" fontId="23" fillId="15" borderId="5" xfId="0" applyNumberFormat="1" applyFont="1" applyFill="1" applyBorder="1" applyAlignment="1">
      <alignment horizontal="left"/>
    </xf>
    <xf numFmtId="2" fontId="23" fillId="15"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3" borderId="5" xfId="0" applyNumberFormat="1" applyFont="1" applyFill="1" applyBorder="1" applyAlignment="1">
      <alignment horizontal="center"/>
    </xf>
    <xf numFmtId="49" fontId="26"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7" fillId="0" borderId="5" xfId="0" applyNumberFormat="1" applyFont="1" applyBorder="1" applyAlignment="1">
      <alignment horizontal="center"/>
    </xf>
    <xf numFmtId="4" fontId="19" fillId="7" borderId="5" xfId="0" applyNumberFormat="1" applyFont="1" applyFill="1" applyBorder="1" applyAlignment="1">
      <alignment horizontal="right"/>
    </xf>
    <xf numFmtId="4" fontId="19" fillId="10" borderId="5" xfId="0" applyNumberFormat="1" applyFont="1" applyFill="1" applyBorder="1" applyAlignment="1">
      <alignment horizontal="right"/>
    </xf>
    <xf numFmtId="4" fontId="19"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18" fillId="9" borderId="5" xfId="0" applyNumberFormat="1" applyFont="1" applyFill="1" applyBorder="1" applyAlignment="1"/>
    <xf numFmtId="164" fontId="18" fillId="19" borderId="5" xfId="0" applyNumberFormat="1" applyFont="1" applyFill="1" applyBorder="1" applyAlignment="1"/>
    <xf numFmtId="164" fontId="18" fillId="13" borderId="5" xfId="0" applyNumberFormat="1" applyFont="1" applyFill="1" applyBorder="1" applyAlignment="1"/>
    <xf numFmtId="164" fontId="18" fillId="17" borderId="5" xfId="0" applyNumberFormat="1" applyFont="1" applyFill="1" applyBorder="1" applyAlignment="1"/>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3" fillId="15" borderId="5" xfId="1" applyNumberFormat="1" applyFont="1" applyFill="1" applyBorder="1" applyAlignment="1">
      <alignment horizontal="left"/>
    </xf>
    <xf numFmtId="2" fontId="23"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3" borderId="5" xfId="1" applyNumberFormat="1" applyFont="1" applyFill="1" applyBorder="1" applyAlignment="1">
      <alignment horizontal="center"/>
    </xf>
    <xf numFmtId="49" fontId="26"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7"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1"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8" fillId="3" borderId="10" xfId="0" applyNumberFormat="1" applyFont="1" applyFill="1" applyBorder="1" applyAlignment="1"/>
    <xf numFmtId="164" fontId="18" fillId="9" borderId="5" xfId="1"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164" fontId="18" fillId="18" borderId="5" xfId="1" applyNumberFormat="1" applyFont="1" applyFill="1" applyBorder="1" applyAlignment="1"/>
    <xf numFmtId="0" fontId="0" fillId="20" borderId="0" xfId="0" applyFont="1" applyFill="1" applyAlignment="1"/>
    <xf numFmtId="4" fontId="3" fillId="20" borderId="5" xfId="0" applyNumberFormat="1" applyFont="1" applyFill="1" applyBorder="1" applyAlignment="1">
      <alignment horizontal="right"/>
    </xf>
    <xf numFmtId="164" fontId="18" fillId="13" borderId="5" xfId="1" applyNumberFormat="1" applyFont="1" applyFill="1" applyBorder="1" applyAlignment="1"/>
    <xf numFmtId="164" fontId="18" fillId="17" borderId="5" xfId="1" applyNumberFormat="1" applyFont="1" applyFill="1" applyBorder="1" applyAlignment="1"/>
    <xf numFmtId="15" fontId="1" fillId="2" borderId="5" xfId="0" applyNumberFormat="1" applyFont="1" applyFill="1" applyBorder="1" applyAlignment="1">
      <alignment horizontal="center" vertical="center"/>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opLeftCell="A33" zoomScale="110" zoomScaleNormal="110" workbookViewId="0">
      <selection activeCell="K44" sqref="K44"/>
    </sheetView>
  </sheetViews>
  <sheetFormatPr defaultColWidth="8.81640625" defaultRowHeight="14.5" customHeight="1" x14ac:dyDescent="0.35"/>
  <cols>
    <col min="1" max="4" width="8.81640625" style="1" customWidth="1"/>
    <col min="5" max="6" width="10.81640625" style="1" customWidth="1"/>
    <col min="7" max="9" width="10.81640625" style="91" customWidth="1"/>
    <col min="10" max="10" width="11" style="213" bestFit="1" customWidth="1"/>
    <col min="12" max="12" width="9.1796875" style="1" bestFit="1" customWidth="1"/>
    <col min="13" max="253" width="8.81640625" style="1" customWidth="1"/>
  </cols>
  <sheetData>
    <row r="1" spans="1:9" ht="14.5" customHeight="1" x14ac:dyDescent="0.35">
      <c r="A1" s="222"/>
      <c r="B1" s="223"/>
      <c r="C1" s="223"/>
      <c r="D1" s="223"/>
      <c r="E1" s="2" t="s">
        <v>65</v>
      </c>
      <c r="F1" s="2" t="s">
        <v>1</v>
      </c>
      <c r="G1" s="3">
        <v>43615</v>
      </c>
      <c r="H1" s="3">
        <v>43616</v>
      </c>
      <c r="I1" s="217"/>
    </row>
    <row r="2" spans="1:9" ht="14.5" customHeight="1" x14ac:dyDescent="0.35">
      <c r="A2" s="4"/>
      <c r="B2" s="5"/>
      <c r="C2" s="5"/>
      <c r="D2" s="6" t="s">
        <v>2</v>
      </c>
      <c r="E2" s="7">
        <v>12041.15</v>
      </c>
      <c r="F2" s="7">
        <v>12039.25</v>
      </c>
      <c r="G2" s="7">
        <v>11968.55</v>
      </c>
      <c r="H2" s="7">
        <v>12039.25</v>
      </c>
      <c r="I2" s="7"/>
    </row>
    <row r="3" spans="1:9" ht="14.5" customHeight="1" x14ac:dyDescent="0.35">
      <c r="A3" s="4"/>
      <c r="B3" s="8"/>
      <c r="C3" s="9"/>
      <c r="D3" s="6" t="s">
        <v>3</v>
      </c>
      <c r="E3" s="10">
        <v>11108.3</v>
      </c>
      <c r="F3" s="10">
        <v>11812.4</v>
      </c>
      <c r="G3" s="10">
        <v>11859.4</v>
      </c>
      <c r="H3" s="10">
        <v>11829.45</v>
      </c>
      <c r="I3" s="10"/>
    </row>
    <row r="4" spans="1:9" ht="14.5" customHeight="1" x14ac:dyDescent="0.35">
      <c r="A4" s="4"/>
      <c r="B4" s="8"/>
      <c r="C4" s="9"/>
      <c r="D4" s="6" t="s">
        <v>4</v>
      </c>
      <c r="E4" s="11">
        <v>11922.8</v>
      </c>
      <c r="F4" s="11">
        <v>11922.8</v>
      </c>
      <c r="G4" s="11">
        <v>11945.9</v>
      </c>
      <c r="H4" s="11">
        <v>11922.8</v>
      </c>
      <c r="I4" s="11"/>
    </row>
    <row r="5" spans="1:9" ht="14.5" customHeight="1" x14ac:dyDescent="0.35">
      <c r="A5" s="220" t="s">
        <v>5</v>
      </c>
      <c r="B5" s="221"/>
      <c r="C5" s="221"/>
      <c r="D5" s="221"/>
      <c r="E5" s="5"/>
      <c r="F5" s="5"/>
      <c r="G5" s="5"/>
      <c r="H5" s="5"/>
      <c r="I5" s="5"/>
    </row>
    <row r="6" spans="1:9" ht="14.5" customHeight="1" x14ac:dyDescent="0.35">
      <c r="A6" s="12"/>
      <c r="B6" s="13"/>
      <c r="C6" s="13"/>
      <c r="D6" s="14" t="s">
        <v>6</v>
      </c>
      <c r="E6" s="15">
        <f>E10+E50</f>
        <v>13206.050000000001</v>
      </c>
      <c r="F6" s="15">
        <f>F10+F50</f>
        <v>12264.083333333332</v>
      </c>
      <c r="G6" s="15">
        <f t="shared" ref="G6" si="0">G10+G50</f>
        <v>12098.983333333334</v>
      </c>
      <c r="H6" s="15">
        <f t="shared" ref="H6" si="1">H10+H50</f>
        <v>12241.349999999999</v>
      </c>
      <c r="I6" s="15"/>
    </row>
    <row r="7" spans="1:9" ht="14.5" hidden="1" customHeight="1" x14ac:dyDescent="0.35">
      <c r="A7" s="12"/>
      <c r="B7" s="13"/>
      <c r="C7" s="13"/>
      <c r="D7" s="14" t="s">
        <v>7</v>
      </c>
      <c r="E7" s="16">
        <f>(E6+E8)/2</f>
        <v>12914.825000000001</v>
      </c>
      <c r="F7" s="16">
        <f>(F6+F8)/2</f>
        <v>12207.875</v>
      </c>
      <c r="G7" s="16">
        <f t="shared" ref="G7" si="2">(G6+G8)/2</f>
        <v>12066.375</v>
      </c>
      <c r="H7" s="16">
        <f t="shared" ref="H7" si="3">(H6+H8)/2</f>
        <v>12190.824999999999</v>
      </c>
      <c r="I7" s="16"/>
    </row>
    <row r="8" spans="1:9" ht="14.5" customHeight="1" x14ac:dyDescent="0.35">
      <c r="A8" s="12"/>
      <c r="B8" s="13"/>
      <c r="C8" s="13"/>
      <c r="D8" s="14" t="s">
        <v>8</v>
      </c>
      <c r="E8" s="17">
        <f>E14+E50</f>
        <v>12623.6</v>
      </c>
      <c r="F8" s="17">
        <f>F14+F50</f>
        <v>12151.666666666666</v>
      </c>
      <c r="G8" s="17">
        <f t="shared" ref="G8" si="4">G14+G50</f>
        <v>12033.766666666666</v>
      </c>
      <c r="H8" s="17">
        <f t="shared" ref="H8" si="5">H14+H50</f>
        <v>12140.3</v>
      </c>
      <c r="I8" s="17"/>
    </row>
    <row r="9" spans="1:9" ht="14.5" hidden="1" customHeight="1" x14ac:dyDescent="0.35">
      <c r="A9" s="12"/>
      <c r="B9" s="13"/>
      <c r="C9" s="13"/>
      <c r="D9" s="14" t="s">
        <v>9</v>
      </c>
      <c r="E9" s="16">
        <f>(E8+E10)/2</f>
        <v>12448.400000000001</v>
      </c>
      <c r="F9" s="16">
        <f>(F8+F10)/2</f>
        <v>12094.449999999999</v>
      </c>
      <c r="G9" s="16">
        <f t="shared" ref="G9" si="6">(G8+G10)/2</f>
        <v>12011.8</v>
      </c>
      <c r="H9" s="16">
        <f t="shared" ref="H9" si="7">(H8+H10)/2</f>
        <v>12085.924999999999</v>
      </c>
      <c r="I9" s="16"/>
    </row>
    <row r="10" spans="1:9" ht="14.5" customHeight="1" x14ac:dyDescent="0.35">
      <c r="A10" s="12"/>
      <c r="B10" s="13"/>
      <c r="C10" s="13"/>
      <c r="D10" s="14" t="s">
        <v>10</v>
      </c>
      <c r="E10" s="18">
        <f>(2*E14)-E3</f>
        <v>12273.2</v>
      </c>
      <c r="F10" s="18">
        <f>(2*F14)-F3</f>
        <v>12037.233333333332</v>
      </c>
      <c r="G10" s="18">
        <f t="shared" ref="G10" si="8">(2*G14)-G3</f>
        <v>11989.833333333334</v>
      </c>
      <c r="H10" s="18">
        <f t="shared" ref="H10" si="9">(2*H14)-H3</f>
        <v>12031.55</v>
      </c>
      <c r="I10" s="18"/>
    </row>
    <row r="11" spans="1:9" ht="14.5" hidden="1" customHeight="1" x14ac:dyDescent="0.35">
      <c r="A11" s="12"/>
      <c r="B11" s="13"/>
      <c r="C11" s="13"/>
      <c r="D11" s="14" t="s">
        <v>11</v>
      </c>
      <c r="E11" s="16">
        <f>(E10+E14)/2</f>
        <v>11981.975</v>
      </c>
      <c r="F11" s="16">
        <f>(F10+F14)/2</f>
        <v>11981.024999999998</v>
      </c>
      <c r="G11" s="16">
        <f t="shared" ref="G11" si="10">(G10+G14)/2</f>
        <v>11957.225</v>
      </c>
      <c r="H11" s="16">
        <f t="shared" ref="H11" si="11">(H10+H14)/2</f>
        <v>11981.025</v>
      </c>
      <c r="I11" s="16"/>
    </row>
    <row r="12" spans="1:9" ht="8.15" customHeight="1" x14ac:dyDescent="0.35">
      <c r="A12" s="12"/>
      <c r="B12" s="13"/>
      <c r="C12" s="13"/>
      <c r="D12" s="19"/>
      <c r="E12" s="11"/>
      <c r="F12" s="11"/>
      <c r="G12" s="11"/>
      <c r="H12" s="11"/>
      <c r="I12" s="11"/>
    </row>
    <row r="13" spans="1:9" ht="14.5" customHeight="1" x14ac:dyDescent="0.35">
      <c r="A13" s="12"/>
      <c r="B13" s="13"/>
      <c r="C13" s="13"/>
      <c r="D13" s="14" t="s">
        <v>12</v>
      </c>
      <c r="E13" s="20">
        <f>E14+E57/2</f>
        <v>11806.775000000001</v>
      </c>
      <c r="F13" s="20">
        <f>F14+F57/2</f>
        <v>11925.825000000001</v>
      </c>
      <c r="G13" s="20">
        <f t="shared" ref="G13" si="12">G14+G57/2</f>
        <v>11935.258333333335</v>
      </c>
      <c r="H13" s="20">
        <f t="shared" ref="H13" si="13">H14+H57/2</f>
        <v>11934.35</v>
      </c>
      <c r="I13" s="20"/>
    </row>
    <row r="14" spans="1:9" ht="14.5" customHeight="1" x14ac:dyDescent="0.35">
      <c r="A14" s="12"/>
      <c r="B14" s="13"/>
      <c r="C14" s="13"/>
      <c r="D14" s="14" t="s">
        <v>13</v>
      </c>
      <c r="E14" s="11">
        <f>(E2+E3+E4)/3</f>
        <v>11690.75</v>
      </c>
      <c r="F14" s="11">
        <f>(F2+F3+F4)/3</f>
        <v>11924.816666666666</v>
      </c>
      <c r="G14" s="11">
        <f t="shared" ref="G14" si="14">(G2+G3+G4)/3</f>
        <v>11924.616666666667</v>
      </c>
      <c r="H14" s="11">
        <f t="shared" ref="H14" si="15">(H2+H3+H4)/3</f>
        <v>11930.5</v>
      </c>
      <c r="I14" s="11"/>
    </row>
    <row r="15" spans="1:9" ht="14.5" customHeight="1" x14ac:dyDescent="0.35">
      <c r="A15" s="12"/>
      <c r="B15" s="13"/>
      <c r="C15" s="13"/>
      <c r="D15" s="14" t="s">
        <v>14</v>
      </c>
      <c r="E15" s="21">
        <f>E14-E57/2</f>
        <v>11574.724999999999</v>
      </c>
      <c r="F15" s="21">
        <f>F14-F57/2</f>
        <v>11923.808333333331</v>
      </c>
      <c r="G15" s="21">
        <f t="shared" ref="G15" si="16">G14-G57/2</f>
        <v>11913.974999999999</v>
      </c>
      <c r="H15" s="21">
        <f t="shared" ref="H15" si="17">H14-H57/2</f>
        <v>11926.65</v>
      </c>
      <c r="I15" s="21"/>
    </row>
    <row r="16" spans="1:9" ht="8.15" customHeight="1" x14ac:dyDescent="0.35">
      <c r="A16" s="12"/>
      <c r="B16" s="13"/>
      <c r="C16" s="13"/>
      <c r="D16" s="19"/>
      <c r="E16" s="11"/>
      <c r="F16" s="11"/>
      <c r="G16" s="11"/>
      <c r="H16" s="11"/>
      <c r="I16" s="11"/>
    </row>
    <row r="17" spans="1:9" ht="14.5" hidden="1" customHeight="1" x14ac:dyDescent="0.35">
      <c r="A17" s="12"/>
      <c r="B17" s="13"/>
      <c r="C17" s="13"/>
      <c r="D17" s="14" t="s">
        <v>15</v>
      </c>
      <c r="E17" s="16">
        <f>(E14+E18)/2</f>
        <v>11515.55</v>
      </c>
      <c r="F17" s="16">
        <f>(F14+F18)/2</f>
        <v>11867.599999999999</v>
      </c>
      <c r="G17" s="16">
        <f t="shared" ref="G17" si="18">(G14+G18)/2</f>
        <v>11902.650000000001</v>
      </c>
      <c r="H17" s="16">
        <f t="shared" ref="H17" si="19">(H14+H18)/2</f>
        <v>11876.125</v>
      </c>
      <c r="I17" s="16"/>
    </row>
    <row r="18" spans="1:9" ht="14.5" customHeight="1" x14ac:dyDescent="0.35">
      <c r="A18" s="12"/>
      <c r="B18" s="13"/>
      <c r="C18" s="13"/>
      <c r="D18" s="14" t="s">
        <v>16</v>
      </c>
      <c r="E18" s="22">
        <f>2*E14-E2</f>
        <v>11340.35</v>
      </c>
      <c r="F18" s="22">
        <f>2*F14-F2</f>
        <v>11810.383333333331</v>
      </c>
      <c r="G18" s="22">
        <f t="shared" ref="G18" si="20">2*G14-G2</f>
        <v>11880.683333333334</v>
      </c>
      <c r="H18" s="22">
        <f t="shared" ref="H18" si="21">2*H14-H2</f>
        <v>11821.75</v>
      </c>
      <c r="I18" s="22"/>
    </row>
    <row r="19" spans="1:9" ht="14.5" hidden="1" customHeight="1" x14ac:dyDescent="0.35">
      <c r="A19" s="12"/>
      <c r="B19" s="13"/>
      <c r="C19" s="13"/>
      <c r="D19" s="14" t="s">
        <v>17</v>
      </c>
      <c r="E19" s="16">
        <f>(E18+E20)/2</f>
        <v>11049.125</v>
      </c>
      <c r="F19" s="16">
        <f>(F18+F20)/2</f>
        <v>11754.174999999999</v>
      </c>
      <c r="G19" s="16">
        <f t="shared" ref="G19" si="22">(G18+G20)/2</f>
        <v>11848.075000000001</v>
      </c>
      <c r="H19" s="16">
        <f t="shared" ref="H19" si="23">(H18+H20)/2</f>
        <v>11771.225</v>
      </c>
      <c r="I19" s="16"/>
    </row>
    <row r="20" spans="1:9" ht="14.5" customHeight="1" x14ac:dyDescent="0.35">
      <c r="A20" s="12"/>
      <c r="B20" s="13"/>
      <c r="C20" s="13"/>
      <c r="D20" s="14" t="s">
        <v>18</v>
      </c>
      <c r="E20" s="23">
        <f>E14-E50</f>
        <v>10757.9</v>
      </c>
      <c r="F20" s="23">
        <f>F14-F50</f>
        <v>11697.966666666665</v>
      </c>
      <c r="G20" s="23">
        <f t="shared" ref="G20" si="24">G14-G50</f>
        <v>11815.466666666667</v>
      </c>
      <c r="H20" s="23">
        <f t="shared" ref="H20" si="25">H14-H50</f>
        <v>11720.7</v>
      </c>
      <c r="I20" s="23"/>
    </row>
    <row r="21" spans="1:9" ht="14.5" hidden="1" customHeight="1" x14ac:dyDescent="0.35">
      <c r="A21" s="12"/>
      <c r="B21" s="13"/>
      <c r="C21" s="13"/>
      <c r="D21" s="14" t="s">
        <v>19</v>
      </c>
      <c r="E21" s="16">
        <f>(E20+E22)/2</f>
        <v>10582.7</v>
      </c>
      <c r="F21" s="16">
        <f>(F20+F22)/2</f>
        <v>11640.749999999998</v>
      </c>
      <c r="G21" s="16">
        <f t="shared" ref="G21" si="26">(G20+G22)/2</f>
        <v>11793.5</v>
      </c>
      <c r="H21" s="16">
        <f t="shared" ref="H21" si="27">(H20+H22)/2</f>
        <v>11666.325000000001</v>
      </c>
      <c r="I21" s="16"/>
    </row>
    <row r="22" spans="1:9" ht="14.5" customHeight="1" x14ac:dyDescent="0.35">
      <c r="A22" s="12"/>
      <c r="B22" s="13"/>
      <c r="C22" s="13"/>
      <c r="D22" s="14" t="s">
        <v>20</v>
      </c>
      <c r="E22" s="24">
        <f>E18-E50</f>
        <v>10407.5</v>
      </c>
      <c r="F22" s="24">
        <f>F18-F50</f>
        <v>11583.533333333331</v>
      </c>
      <c r="G22" s="24">
        <f t="shared" ref="G22" si="28">G18-G50</f>
        <v>11771.533333333335</v>
      </c>
      <c r="H22" s="24">
        <f t="shared" ref="H22" si="29">H18-H50</f>
        <v>11611.95</v>
      </c>
      <c r="I22" s="24"/>
    </row>
    <row r="23" spans="1:9" ht="14.5" customHeight="1" x14ac:dyDescent="0.35">
      <c r="A23" s="220" t="s">
        <v>21</v>
      </c>
      <c r="B23" s="221"/>
      <c r="C23" s="221"/>
      <c r="D23" s="221"/>
      <c r="E23" s="25"/>
      <c r="F23" s="25"/>
      <c r="G23" s="25"/>
      <c r="H23" s="25"/>
      <c r="I23" s="25"/>
    </row>
    <row r="24" spans="1:9" ht="14.5" customHeight="1" x14ac:dyDescent="0.35">
      <c r="A24" s="12"/>
      <c r="B24" s="13"/>
      <c r="C24" s="13"/>
      <c r="D24" s="14" t="s">
        <v>22</v>
      </c>
      <c r="E24" s="17">
        <f>(E2/E3)*E4</f>
        <v>12924.049874418228</v>
      </c>
      <c r="F24" s="17">
        <f>(F2/F3)*F4</f>
        <v>12151.770165250076</v>
      </c>
      <c r="G24" s="17">
        <f t="shared" ref="G24" si="30">(G2/G3)*G4</f>
        <v>12055.846117425839</v>
      </c>
      <c r="H24" s="17">
        <f t="shared" ref="H24" si="31">(H2/H3)*H4</f>
        <v>12134.255599372749</v>
      </c>
      <c r="I24" s="17"/>
    </row>
    <row r="25" spans="1:9" ht="14.5" hidden="1" customHeight="1" x14ac:dyDescent="0.35">
      <c r="A25" s="12"/>
      <c r="B25" s="13"/>
      <c r="C25" s="13"/>
      <c r="D25" s="14" t="s">
        <v>23</v>
      </c>
      <c r="E25" s="16">
        <f>E26+1.168*(E26-E27)</f>
        <v>12735.49892</v>
      </c>
      <c r="F25" s="16">
        <f>F26+1.168*(F26-F27)</f>
        <v>12120.431719999999</v>
      </c>
      <c r="G25" s="16">
        <f t="shared" ref="G25" si="32">G26+1.168*(G26-G27)</f>
        <v>12040.991479999997</v>
      </c>
      <c r="H25" s="16">
        <f t="shared" ref="H25" si="33">H26+1.168*(H26-H27)</f>
        <v>12105.577759999998</v>
      </c>
      <c r="I25" s="16"/>
    </row>
    <row r="26" spans="1:9" ht="14.5" customHeight="1" x14ac:dyDescent="0.35">
      <c r="A26" s="12"/>
      <c r="B26" s="13"/>
      <c r="C26" s="13"/>
      <c r="D26" s="14" t="s">
        <v>24</v>
      </c>
      <c r="E26" s="18">
        <f>E4+E51/2</f>
        <v>12435.8675</v>
      </c>
      <c r="F26" s="18">
        <f>F4+F51/2</f>
        <v>12047.567499999999</v>
      </c>
      <c r="G26" s="18">
        <f t="shared" ref="G26" si="34">G4+G51/2</f>
        <v>12005.932499999999</v>
      </c>
      <c r="H26" s="18">
        <f t="shared" ref="H26" si="35">H4+H51/2</f>
        <v>12038.189999999999</v>
      </c>
      <c r="I26" s="18"/>
    </row>
    <row r="27" spans="1:9" ht="14.5" customHeight="1" x14ac:dyDescent="0.35">
      <c r="A27" s="12"/>
      <c r="B27" s="13"/>
      <c r="C27" s="13"/>
      <c r="D27" s="14" t="s">
        <v>25</v>
      </c>
      <c r="E27" s="7">
        <f>E4+E51/4</f>
        <v>12179.33375</v>
      </c>
      <c r="F27" s="7">
        <f>F4+F51/4</f>
        <v>11985.18375</v>
      </c>
      <c r="G27" s="7">
        <f t="shared" ref="G27" si="36">G4+G51/4</f>
        <v>11975.91625</v>
      </c>
      <c r="H27" s="7">
        <f t="shared" ref="H27" si="37">H4+H51/4</f>
        <v>11980.494999999999</v>
      </c>
      <c r="I27" s="7"/>
    </row>
    <row r="28" spans="1:9" ht="14.5" hidden="1" customHeight="1" x14ac:dyDescent="0.35">
      <c r="A28" s="12"/>
      <c r="B28" s="13"/>
      <c r="C28" s="13"/>
      <c r="D28" s="14" t="s">
        <v>26</v>
      </c>
      <c r="E28" s="16">
        <f>E4+E51/6</f>
        <v>12093.8225</v>
      </c>
      <c r="F28" s="16">
        <f>F4+F51/6</f>
        <v>11964.389166666666</v>
      </c>
      <c r="G28" s="16">
        <f t="shared" ref="G28" si="38">G4+G51/6</f>
        <v>11965.910833333333</v>
      </c>
      <c r="H28" s="16">
        <f t="shared" ref="H28" si="39">H4+H51/6</f>
        <v>11961.263333333332</v>
      </c>
      <c r="I28" s="16"/>
    </row>
    <row r="29" spans="1:9" ht="14.5" hidden="1" customHeight="1" x14ac:dyDescent="0.35">
      <c r="A29" s="12"/>
      <c r="B29" s="13"/>
      <c r="C29" s="13"/>
      <c r="D29" s="14" t="s">
        <v>27</v>
      </c>
      <c r="E29" s="16">
        <f>E4+E51/12</f>
        <v>12008.311249999999</v>
      </c>
      <c r="F29" s="16">
        <f>F4+F51/12</f>
        <v>11943.594583333334</v>
      </c>
      <c r="G29" s="16">
        <f t="shared" ref="G29" si="40">G4+G51/12</f>
        <v>11955.905416666666</v>
      </c>
      <c r="H29" s="16">
        <f t="shared" ref="H29" si="41">H4+H51/12</f>
        <v>11942.031666666666</v>
      </c>
      <c r="I29" s="16"/>
    </row>
    <row r="30" spans="1:9" ht="14.5" customHeight="1" x14ac:dyDescent="0.35">
      <c r="A30" s="12"/>
      <c r="B30" s="13"/>
      <c r="C30" s="13"/>
      <c r="D30" s="14" t="s">
        <v>4</v>
      </c>
      <c r="E30" s="11">
        <f>E4</f>
        <v>11922.8</v>
      </c>
      <c r="F30" s="11">
        <f>F4</f>
        <v>11922.8</v>
      </c>
      <c r="G30" s="11">
        <f t="shared" ref="G30" si="42">G4</f>
        <v>11945.9</v>
      </c>
      <c r="H30" s="11">
        <f t="shared" ref="H30" si="43">H4</f>
        <v>11922.8</v>
      </c>
      <c r="I30" s="11"/>
    </row>
    <row r="31" spans="1:9" ht="14.5" hidden="1" customHeight="1" x14ac:dyDescent="0.35">
      <c r="A31" s="12"/>
      <c r="B31" s="13"/>
      <c r="C31" s="13"/>
      <c r="D31" s="14" t="s">
        <v>28</v>
      </c>
      <c r="E31" s="16">
        <f>E4-E51/12</f>
        <v>11837.28875</v>
      </c>
      <c r="F31" s="16">
        <f>F4-F51/12</f>
        <v>11902.005416666665</v>
      </c>
      <c r="G31" s="16">
        <f t="shared" ref="G31" si="44">G4-G51/12</f>
        <v>11935.894583333333</v>
      </c>
      <c r="H31" s="16">
        <f t="shared" ref="H31" si="45">H4-H51/12</f>
        <v>11903.568333333333</v>
      </c>
      <c r="I31" s="16"/>
    </row>
    <row r="32" spans="1:9" ht="14.5" hidden="1" customHeight="1" x14ac:dyDescent="0.35">
      <c r="A32" s="12"/>
      <c r="B32" s="13"/>
      <c r="C32" s="13"/>
      <c r="D32" s="14" t="s">
        <v>29</v>
      </c>
      <c r="E32" s="16">
        <f>E4-E51/6</f>
        <v>11751.777499999998</v>
      </c>
      <c r="F32" s="16">
        <f>F4-F51/6</f>
        <v>11881.210833333333</v>
      </c>
      <c r="G32" s="16">
        <f t="shared" ref="G32" si="46">G4-G51/6</f>
        <v>11925.889166666666</v>
      </c>
      <c r="H32" s="16">
        <f t="shared" ref="H32" si="47">H4-H51/6</f>
        <v>11884.336666666666</v>
      </c>
      <c r="I32" s="16"/>
    </row>
    <row r="33" spans="1:12" ht="14.5" customHeight="1" x14ac:dyDescent="0.35">
      <c r="A33" s="12"/>
      <c r="B33" s="13"/>
      <c r="C33" s="13"/>
      <c r="D33" s="14" t="s">
        <v>30</v>
      </c>
      <c r="E33" s="10">
        <f>E4-E51/4</f>
        <v>11666.266249999999</v>
      </c>
      <c r="F33" s="10">
        <f>F4-F51/4</f>
        <v>11860.416249999998</v>
      </c>
      <c r="G33" s="10">
        <f t="shared" ref="G33" si="48">G4-G51/4</f>
        <v>11915.883749999999</v>
      </c>
      <c r="H33" s="10">
        <f t="shared" ref="H33" si="49">H4-H51/4</f>
        <v>11865.105</v>
      </c>
      <c r="I33" s="10"/>
    </row>
    <row r="34" spans="1:12" ht="14.5" customHeight="1" x14ac:dyDescent="0.35">
      <c r="A34" s="12"/>
      <c r="B34" s="13"/>
      <c r="C34" s="13"/>
      <c r="D34" s="14" t="s">
        <v>31</v>
      </c>
      <c r="E34" s="22">
        <f>E4-E51/2</f>
        <v>11409.732499999998</v>
      </c>
      <c r="F34" s="22">
        <f>F4-F51/2</f>
        <v>11798.032499999999</v>
      </c>
      <c r="G34" s="22">
        <f t="shared" ref="G34" si="50">G4-G51/2</f>
        <v>11885.8675</v>
      </c>
      <c r="H34" s="22">
        <f t="shared" ref="H34" si="51">H4-H51/2</f>
        <v>11807.41</v>
      </c>
      <c r="I34" s="22"/>
      <c r="L34" s="96"/>
    </row>
    <row r="35" spans="1:12" ht="14.5" hidden="1" customHeight="1" x14ac:dyDescent="0.35">
      <c r="A35" s="12"/>
      <c r="B35" s="13"/>
      <c r="C35" s="13"/>
      <c r="D35" s="14" t="s">
        <v>32</v>
      </c>
      <c r="E35" s="16">
        <f>E34-1.168*(E33-E34)</f>
        <v>11110.101079999999</v>
      </c>
      <c r="F35" s="16">
        <f>F34-1.168*(F33-F34)</f>
        <v>11725.16828</v>
      </c>
      <c r="G35" s="16">
        <f t="shared" ref="G35" si="52">G34-1.168*(G33-G34)</f>
        <v>11850.808520000002</v>
      </c>
      <c r="H35" s="16">
        <f t="shared" ref="H35" si="53">H34-1.168*(H33-H34)</f>
        <v>11740.02224</v>
      </c>
      <c r="I35" s="16"/>
    </row>
    <row r="36" spans="1:12" ht="14.5" customHeight="1" x14ac:dyDescent="0.35">
      <c r="A36" s="12"/>
      <c r="B36" s="13"/>
      <c r="C36" s="13"/>
      <c r="D36" s="14" t="s">
        <v>33</v>
      </c>
      <c r="E36" s="23">
        <f>E4-(E24-E4)</f>
        <v>10921.550125581771</v>
      </c>
      <c r="F36" s="23">
        <f>F4-(F24-F4)</f>
        <v>11693.829834749922</v>
      </c>
      <c r="G36" s="23">
        <f t="shared" ref="G36" si="54">G4-(G24-G4)</f>
        <v>11835.95388257416</v>
      </c>
      <c r="H36" s="23">
        <f t="shared" ref="H36" si="55">H4-(H24-H4)</f>
        <v>11711.344400627249</v>
      </c>
      <c r="I36" s="23"/>
      <c r="L36" s="96"/>
    </row>
    <row r="37" spans="1:12" ht="14.5" customHeight="1" x14ac:dyDescent="0.35">
      <c r="A37" s="220" t="s">
        <v>34</v>
      </c>
      <c r="B37" s="221"/>
      <c r="C37" s="221"/>
      <c r="D37" s="221"/>
      <c r="E37" s="26" t="s">
        <v>35</v>
      </c>
      <c r="F37" s="9"/>
      <c r="G37" s="9"/>
      <c r="H37" s="9"/>
      <c r="I37" s="9"/>
    </row>
    <row r="38" spans="1:12" ht="14.5" customHeight="1" x14ac:dyDescent="0.35">
      <c r="A38" s="30"/>
      <c r="B38" s="19"/>
      <c r="C38" s="19"/>
      <c r="D38" s="14" t="s">
        <v>36</v>
      </c>
      <c r="E38" s="15"/>
      <c r="F38" s="15"/>
      <c r="G38" s="15"/>
      <c r="H38" s="15"/>
      <c r="I38" s="15"/>
    </row>
    <row r="39" spans="1:12" ht="14.5" customHeight="1" x14ac:dyDescent="0.35">
      <c r="A39" s="30"/>
      <c r="B39" s="19"/>
      <c r="C39" s="19"/>
      <c r="D39" s="14" t="s">
        <v>37</v>
      </c>
      <c r="E39" s="17"/>
      <c r="F39" s="17"/>
      <c r="G39" s="77"/>
      <c r="H39" s="77"/>
      <c r="I39" s="77"/>
      <c r="J39" s="214"/>
      <c r="K39" s="210"/>
      <c r="L39" s="173"/>
    </row>
    <row r="40" spans="1:12" ht="14.5" customHeight="1" x14ac:dyDescent="0.35">
      <c r="A40" s="12"/>
      <c r="B40" s="19"/>
      <c r="C40" s="13"/>
      <c r="D40" s="14" t="s">
        <v>38</v>
      </c>
      <c r="E40" s="18"/>
      <c r="F40" s="18"/>
      <c r="G40" s="78"/>
      <c r="H40" s="18">
        <v>12041.15</v>
      </c>
      <c r="I40" s="78"/>
      <c r="J40" s="214"/>
      <c r="K40" s="210"/>
    </row>
    <row r="41" spans="1:12" ht="14.5" customHeight="1" x14ac:dyDescent="0.35">
      <c r="A41" s="12"/>
      <c r="B41" s="13"/>
      <c r="C41" s="13"/>
      <c r="D41" s="14" t="s">
        <v>39</v>
      </c>
      <c r="E41" s="7"/>
      <c r="F41" s="7"/>
      <c r="G41" s="80"/>
      <c r="H41" s="7">
        <v>12029.415799999999</v>
      </c>
      <c r="I41" s="80"/>
      <c r="J41" s="214"/>
      <c r="K41" s="210"/>
    </row>
    <row r="42" spans="1:12" ht="14.5" customHeight="1" x14ac:dyDescent="0.35">
      <c r="A42" s="12"/>
      <c r="B42" s="13"/>
      <c r="C42" s="13"/>
      <c r="D42" s="138" t="s">
        <v>64</v>
      </c>
      <c r="E42" s="20"/>
      <c r="F42" s="20"/>
      <c r="G42" s="20"/>
      <c r="H42" s="20">
        <v>11999.55</v>
      </c>
      <c r="I42" s="20"/>
      <c r="L42" s="91"/>
    </row>
    <row r="43" spans="1:12" ht="14.5" customHeight="1" x14ac:dyDescent="0.35">
      <c r="A43" s="12"/>
      <c r="B43" s="13"/>
      <c r="C43" s="13"/>
      <c r="D43" s="14" t="s">
        <v>4</v>
      </c>
      <c r="E43" s="11">
        <f>E4</f>
        <v>11922.8</v>
      </c>
      <c r="F43" s="11">
        <f>F4</f>
        <v>11922.8</v>
      </c>
      <c r="G43" s="11">
        <f t="shared" ref="G43" si="56">G4</f>
        <v>11945.9</v>
      </c>
      <c r="H43" s="11">
        <f t="shared" ref="H43" si="57">H4</f>
        <v>11922.8</v>
      </c>
      <c r="I43" s="11"/>
    </row>
    <row r="44" spans="1:12" ht="14.5" customHeight="1" x14ac:dyDescent="0.35">
      <c r="A44" s="12"/>
      <c r="B44" s="13"/>
      <c r="C44" s="13"/>
      <c r="D44" s="14" t="s">
        <v>40</v>
      </c>
      <c r="E44" s="21"/>
      <c r="F44" s="21"/>
      <c r="G44" s="21"/>
      <c r="H44" s="21">
        <v>11909.5936</v>
      </c>
      <c r="I44" s="21"/>
      <c r="J44" s="218"/>
    </row>
    <row r="45" spans="1:12" ht="14.5" customHeight="1" x14ac:dyDescent="0.35">
      <c r="A45" s="12"/>
      <c r="B45" s="13"/>
      <c r="C45" s="13"/>
      <c r="D45" s="14" t="s">
        <v>41</v>
      </c>
      <c r="E45" s="10"/>
      <c r="F45" s="10"/>
      <c r="G45" s="10"/>
      <c r="H45" s="10">
        <v>11873</v>
      </c>
      <c r="I45" s="10"/>
      <c r="J45" s="219"/>
      <c r="L45" s="91"/>
    </row>
    <row r="46" spans="1:12" ht="14.5" customHeight="1" x14ac:dyDescent="0.35">
      <c r="A46" s="12"/>
      <c r="B46" s="13"/>
      <c r="C46" s="13"/>
      <c r="D46" s="14" t="s">
        <v>42</v>
      </c>
      <c r="E46" s="22"/>
      <c r="F46" s="22"/>
      <c r="G46" s="87"/>
      <c r="H46" s="87">
        <v>11612.6</v>
      </c>
      <c r="I46" s="87"/>
      <c r="J46" s="214"/>
      <c r="K46" s="174"/>
      <c r="L46" s="91"/>
    </row>
    <row r="47" spans="1:12" ht="14.5" customHeight="1" x14ac:dyDescent="0.35">
      <c r="A47" s="12"/>
      <c r="B47" s="13"/>
      <c r="C47" s="13"/>
      <c r="D47" s="14" t="s">
        <v>43</v>
      </c>
      <c r="E47" s="23"/>
      <c r="F47" s="23"/>
      <c r="G47" s="211"/>
      <c r="H47" s="211">
        <v>11511.910600000001</v>
      </c>
      <c r="I47" s="211"/>
      <c r="J47" s="214"/>
      <c r="K47" s="174"/>
    </row>
    <row r="48" spans="1:12" ht="14.5" customHeight="1" x14ac:dyDescent="0.35">
      <c r="A48" s="12"/>
      <c r="B48" s="13"/>
      <c r="C48" s="13"/>
      <c r="D48" s="14" t="s">
        <v>44</v>
      </c>
      <c r="E48" s="24"/>
      <c r="F48" s="24"/>
      <c r="G48" s="24"/>
      <c r="H48" s="24">
        <v>11348.9303</v>
      </c>
      <c r="I48" s="24"/>
    </row>
    <row r="49" spans="1:9" ht="14.5" customHeight="1" x14ac:dyDescent="0.35">
      <c r="A49" s="220" t="s">
        <v>45</v>
      </c>
      <c r="B49" s="221"/>
      <c r="C49" s="221"/>
      <c r="D49" s="221"/>
      <c r="E49" s="25"/>
      <c r="F49" s="25"/>
      <c r="G49" s="25"/>
      <c r="H49" s="25"/>
      <c r="I49" s="25"/>
    </row>
    <row r="50" spans="1:9" ht="14.5" customHeight="1" x14ac:dyDescent="0.35">
      <c r="A50" s="12"/>
      <c r="B50" s="13"/>
      <c r="C50" s="13"/>
      <c r="D50" s="14" t="s">
        <v>46</v>
      </c>
      <c r="E50" s="16">
        <f>ABS(E2-E3)</f>
        <v>932.85000000000036</v>
      </c>
      <c r="F50" s="16">
        <f>ABS(F2-F3)</f>
        <v>226.85000000000036</v>
      </c>
      <c r="G50" s="16">
        <f t="shared" ref="G50" si="58">ABS(G2-G3)</f>
        <v>109.14999999999964</v>
      </c>
      <c r="H50" s="16">
        <f t="shared" ref="H50" si="59">ABS(H2-H3)</f>
        <v>209.79999999999927</v>
      </c>
      <c r="I50" s="16"/>
    </row>
    <row r="51" spans="1:9" ht="14.5" customHeight="1" x14ac:dyDescent="0.35">
      <c r="A51" s="12"/>
      <c r="B51" s="13"/>
      <c r="C51" s="13"/>
      <c r="D51" s="14" t="s">
        <v>47</v>
      </c>
      <c r="E51" s="16">
        <f>E50*1.1</f>
        <v>1026.1350000000004</v>
      </c>
      <c r="F51" s="16">
        <f>F50*1.1</f>
        <v>249.53500000000042</v>
      </c>
      <c r="G51" s="16">
        <f t="shared" ref="G51" si="60">G50*1.1</f>
        <v>120.06499999999961</v>
      </c>
      <c r="H51" s="16">
        <f t="shared" ref="H51" si="61">H50*1.1</f>
        <v>230.77999999999921</v>
      </c>
      <c r="I51" s="16"/>
    </row>
    <row r="52" spans="1:9" ht="14.5" customHeight="1" x14ac:dyDescent="0.35">
      <c r="A52" s="12"/>
      <c r="B52" s="13"/>
      <c r="C52" s="13"/>
      <c r="D52" s="14" t="s">
        <v>48</v>
      </c>
      <c r="E52" s="16">
        <f>(E2+E3)</f>
        <v>23149.449999999997</v>
      </c>
      <c r="F52" s="16">
        <f>(F2+F3)</f>
        <v>23851.65</v>
      </c>
      <c r="G52" s="16">
        <f t="shared" ref="G52" si="62">(G2+G3)</f>
        <v>23827.949999999997</v>
      </c>
      <c r="H52" s="16">
        <f t="shared" ref="H52" si="63">(H2+H3)</f>
        <v>23868.7</v>
      </c>
      <c r="I52" s="16"/>
    </row>
    <row r="53" spans="1:9" ht="14.5" customHeight="1" x14ac:dyDescent="0.35">
      <c r="A53" s="12"/>
      <c r="B53" s="13"/>
      <c r="C53" s="13"/>
      <c r="D53" s="14" t="s">
        <v>49</v>
      </c>
      <c r="E53" s="16">
        <f>(E2+E3)/2</f>
        <v>11574.724999999999</v>
      </c>
      <c r="F53" s="16">
        <f>(F2+F3)/2</f>
        <v>11925.825000000001</v>
      </c>
      <c r="G53" s="16">
        <f t="shared" ref="G53" si="64">(G2+G3)/2</f>
        <v>11913.974999999999</v>
      </c>
      <c r="H53" s="16">
        <f t="shared" ref="H53" si="65">(H2+H3)/2</f>
        <v>11934.35</v>
      </c>
      <c r="I53" s="16"/>
    </row>
    <row r="54" spans="1:9" ht="14.5" customHeight="1" x14ac:dyDescent="0.35">
      <c r="A54" s="12"/>
      <c r="B54" s="13"/>
      <c r="C54" s="13"/>
      <c r="D54" s="14" t="s">
        <v>12</v>
      </c>
      <c r="E54" s="16">
        <f>E55-E56+E55</f>
        <v>11806.775000000001</v>
      </c>
      <c r="F54" s="16">
        <f>F55-F56+F55</f>
        <v>11923.808333333331</v>
      </c>
      <c r="G54" s="16">
        <f t="shared" ref="G54" si="66">G55-G56+G55</f>
        <v>11935.258333333335</v>
      </c>
      <c r="H54" s="16">
        <f t="shared" ref="H54" si="67">H55-H56+H55</f>
        <v>11926.65</v>
      </c>
      <c r="I54" s="16"/>
    </row>
    <row r="55" spans="1:9" ht="14.5" customHeight="1" x14ac:dyDescent="0.35">
      <c r="A55" s="12"/>
      <c r="B55" s="13"/>
      <c r="C55" s="13"/>
      <c r="D55" s="14" t="s">
        <v>50</v>
      </c>
      <c r="E55" s="16">
        <f>(E2+E3+E4)/3</f>
        <v>11690.75</v>
      </c>
      <c r="F55" s="16">
        <f>(F2+F3+F4)/3</f>
        <v>11924.816666666666</v>
      </c>
      <c r="G55" s="16">
        <f t="shared" ref="G55" si="68">(G2+G3+G4)/3</f>
        <v>11924.616666666667</v>
      </c>
      <c r="H55" s="16">
        <f t="shared" ref="H55" si="69">(H2+H3+H4)/3</f>
        <v>11930.5</v>
      </c>
      <c r="I55" s="16"/>
    </row>
    <row r="56" spans="1:9" ht="14.5" customHeight="1" x14ac:dyDescent="0.35">
      <c r="A56" s="12"/>
      <c r="B56" s="13"/>
      <c r="C56" s="13"/>
      <c r="D56" s="14" t="s">
        <v>14</v>
      </c>
      <c r="E56" s="16">
        <f>E53</f>
        <v>11574.724999999999</v>
      </c>
      <c r="F56" s="16">
        <f>F53</f>
        <v>11925.825000000001</v>
      </c>
      <c r="G56" s="16">
        <f t="shared" ref="G56" si="70">G53</f>
        <v>11913.974999999999</v>
      </c>
      <c r="H56" s="16">
        <f t="shared" ref="H56" si="71">H53</f>
        <v>11934.35</v>
      </c>
      <c r="I56" s="16"/>
    </row>
    <row r="57" spans="1:9" ht="14.5" customHeight="1" x14ac:dyDescent="0.35">
      <c r="A57" s="12"/>
      <c r="B57" s="13"/>
      <c r="C57" s="13"/>
      <c r="D57" s="14" t="s">
        <v>51</v>
      </c>
      <c r="E57" s="31">
        <f>(E54-E56)</f>
        <v>232.05000000000291</v>
      </c>
      <c r="F57" s="31">
        <f>ABS(F54-F56)</f>
        <v>2.0166666666700621</v>
      </c>
      <c r="G57" s="31">
        <f t="shared" ref="G57" si="72">ABS(G54-G56)</f>
        <v>21.283333333336486</v>
      </c>
      <c r="H57" s="31">
        <f t="shared" ref="H57" si="73">ABS(H54-H56)</f>
        <v>7.7000000000007276</v>
      </c>
      <c r="I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D18" sqref="D18"/>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28"/>
      <c r="B1" s="139"/>
      <c r="C1" s="128"/>
      <c r="D1" s="139"/>
      <c r="E1" s="128"/>
      <c r="F1" s="139"/>
      <c r="G1" s="139"/>
      <c r="H1" s="139"/>
      <c r="I1" s="128"/>
      <c r="J1" s="139"/>
      <c r="K1" s="128"/>
      <c r="L1" s="139"/>
      <c r="M1" s="139"/>
      <c r="N1" s="139"/>
      <c r="O1" s="128"/>
      <c r="P1" s="139"/>
      <c r="Q1" s="128"/>
      <c r="R1" s="139"/>
      <c r="S1" s="139"/>
    </row>
    <row r="2" spans="1:20" ht="23.5" customHeight="1" x14ac:dyDescent="0.5">
      <c r="A2" s="140" t="s">
        <v>63</v>
      </c>
      <c r="B2" s="141"/>
      <c r="C2" s="141"/>
      <c r="D2" s="141"/>
      <c r="E2" s="141"/>
      <c r="F2" s="141"/>
      <c r="G2" s="141"/>
      <c r="H2" s="141"/>
      <c r="I2" s="141"/>
      <c r="J2" s="141"/>
      <c r="K2" s="141"/>
      <c r="L2" s="141"/>
      <c r="M2" s="141"/>
      <c r="N2" s="141"/>
      <c r="O2" s="141"/>
      <c r="P2" s="141"/>
      <c r="Q2" s="141"/>
      <c r="R2" s="141"/>
      <c r="S2" s="141"/>
    </row>
    <row r="3" spans="1:20" ht="14.5" customHeight="1" x14ac:dyDescent="0.35">
      <c r="A3" s="128"/>
      <c r="B3" s="139"/>
      <c r="C3" s="128"/>
      <c r="D3" s="139"/>
      <c r="E3" s="128"/>
      <c r="F3" s="139"/>
      <c r="G3" s="139"/>
      <c r="H3" s="139"/>
      <c r="I3" s="128"/>
      <c r="J3" s="139"/>
      <c r="K3" s="128"/>
      <c r="L3" s="139"/>
      <c r="M3" s="139"/>
      <c r="N3" s="139"/>
      <c r="O3" s="128"/>
      <c r="P3" s="139"/>
      <c r="Q3" s="128"/>
      <c r="R3" s="139"/>
      <c r="S3" s="139"/>
    </row>
    <row r="4" spans="1:20" ht="14.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6825.8</v>
      </c>
      <c r="E6" s="97"/>
      <c r="F6" s="147">
        <v>6825.8</v>
      </c>
      <c r="G6" s="98"/>
      <c r="H6" s="145">
        <v>10004.549999999999</v>
      </c>
      <c r="I6" s="99"/>
      <c r="J6" s="146">
        <v>11108.6</v>
      </c>
      <c r="K6" s="97"/>
      <c r="L6" s="146"/>
      <c r="M6" s="98"/>
      <c r="N6" s="145"/>
      <c r="O6" s="99"/>
      <c r="P6" s="146"/>
      <c r="Q6" s="97"/>
      <c r="R6" s="147"/>
      <c r="S6" s="98"/>
    </row>
    <row r="7" spans="1:20" ht="14.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12041.15</v>
      </c>
      <c r="E9" s="97"/>
      <c r="F9" s="147">
        <v>11760.2</v>
      </c>
      <c r="G9" s="98"/>
      <c r="H9" s="145">
        <v>11856</v>
      </c>
      <c r="I9" s="99"/>
      <c r="J9" s="146">
        <v>11883.15</v>
      </c>
      <c r="K9" s="97"/>
      <c r="L9" s="147"/>
      <c r="M9" s="98"/>
      <c r="N9" s="145"/>
      <c r="O9" s="99"/>
      <c r="P9" s="146"/>
      <c r="Q9" s="97"/>
      <c r="R9" s="146"/>
      <c r="S9" s="98"/>
    </row>
    <row r="10" spans="1:20" ht="14.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11108.6</v>
      </c>
      <c r="I12" s="99"/>
      <c r="J12" s="146">
        <v>11682.95</v>
      </c>
      <c r="K12" s="97"/>
      <c r="L12" s="208"/>
      <c r="M12" s="98"/>
      <c r="N12" s="208"/>
      <c r="O12" s="99"/>
      <c r="P12" s="146"/>
      <c r="Q12" s="97"/>
      <c r="R12" s="147"/>
      <c r="S12" s="98"/>
      <c r="T12" s="101" t="s">
        <v>58</v>
      </c>
    </row>
    <row r="13" spans="1:20" ht="14.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5" customHeight="1" x14ac:dyDescent="0.35">
      <c r="A16" s="162">
        <v>0.23599999999999999</v>
      </c>
      <c r="B16" s="123">
        <f>VALUE(23.6/100*(B6-B9)+B9)</f>
        <v>6966.9159999999993</v>
      </c>
      <c r="C16" s="124"/>
      <c r="D16" s="171">
        <f>VALUE(23.6/100*(D6-D9)+D9)</f>
        <v>10810.3274</v>
      </c>
      <c r="E16" s="123"/>
      <c r="F16" s="171">
        <f>VALUE(23.6/100*(F6-F9)+F9)</f>
        <v>10595.6816</v>
      </c>
      <c r="G16" s="123"/>
      <c r="H16" s="123">
        <f>VALUE(23.6/100*(H6-H9)+H9)</f>
        <v>11419.0578</v>
      </c>
      <c r="I16" s="124"/>
      <c r="J16" s="123">
        <f>VALUE(23.6/100*(J6-J9)+J9)</f>
        <v>11700.3562</v>
      </c>
      <c r="K16" s="123"/>
      <c r="L16" s="123">
        <f>VALUE(23.6/100*(L6-L9)+L9)</f>
        <v>0</v>
      </c>
      <c r="M16" s="123"/>
      <c r="N16" s="123">
        <f>VALUE(23.6/100*(N6-N9)+N9)</f>
        <v>0</v>
      </c>
      <c r="O16" s="124"/>
      <c r="P16" s="123">
        <f>VALUE(23.6/100*(P6-P9)+P9)</f>
        <v>0</v>
      </c>
      <c r="Q16" s="123"/>
      <c r="R16" s="123">
        <f>VALUE(23.6/100*(R6-R9)+R9)</f>
        <v>0</v>
      </c>
      <c r="S16" s="123"/>
    </row>
    <row r="17" spans="1:19" ht="14.5" customHeight="1" x14ac:dyDescent="0.35">
      <c r="A17" s="163">
        <v>0.38200000000000001</v>
      </c>
      <c r="B17" s="125">
        <f>38.2/100*(B6-B9)+B9</f>
        <v>5635.5419999999995</v>
      </c>
      <c r="C17" s="126"/>
      <c r="D17" s="172">
        <f>VALUE(38.2/100*(D6-D9)+D9)</f>
        <v>10048.8863</v>
      </c>
      <c r="E17" s="125"/>
      <c r="F17" s="172">
        <f>VALUE(38.2/100*(F6-F9)+F9)</f>
        <v>9875.2592000000004</v>
      </c>
      <c r="G17" s="125"/>
      <c r="H17" s="125">
        <f>38.2/100*(H6-H9)+H9</f>
        <v>11148.7461</v>
      </c>
      <c r="I17" s="126"/>
      <c r="J17" s="125">
        <f>VALUE(38.2/100*(J6-J9)+J9)</f>
        <v>11587.2719</v>
      </c>
      <c r="K17" s="125"/>
      <c r="L17" s="172">
        <f>VALUE(38.2/100*(L6-L9)+L9)</f>
        <v>0</v>
      </c>
      <c r="M17" s="125"/>
      <c r="N17" s="125">
        <f>38.2/100*(N6-N9)+N9</f>
        <v>0</v>
      </c>
      <c r="O17" s="126"/>
      <c r="P17" s="125">
        <f>VALUE(38.2/100*(P6-P9)+P9)</f>
        <v>0</v>
      </c>
      <c r="Q17" s="125"/>
      <c r="R17" s="125">
        <f>VALUE(38.2/100*(R6-R9)+R9)</f>
        <v>0</v>
      </c>
      <c r="S17" s="125"/>
    </row>
    <row r="18" spans="1:19" ht="14.5" customHeight="1" x14ac:dyDescent="0.35">
      <c r="A18" s="162">
        <v>0.5</v>
      </c>
      <c r="B18" s="123">
        <f>VALUE(50/100*(B6-B9)+B9)</f>
        <v>4559.5</v>
      </c>
      <c r="C18" s="124"/>
      <c r="D18" s="123">
        <f>VALUE(50/100*(D6-D9)+D9)</f>
        <v>9433.4750000000004</v>
      </c>
      <c r="E18" s="123"/>
      <c r="F18" s="171">
        <f>VALUE(50/100*(F6-F9)+F9)</f>
        <v>9293</v>
      </c>
      <c r="G18" s="123"/>
      <c r="H18" s="123">
        <f>VALUE(50/100*(H6-H9)+H9)</f>
        <v>10930.275</v>
      </c>
      <c r="I18" s="124"/>
      <c r="J18" s="123">
        <f>VALUE(50/100*(J6-J9)+J9)</f>
        <v>11495.875</v>
      </c>
      <c r="K18" s="123"/>
      <c r="L18" s="171">
        <f>VALUE(50/100*(L6-L9)+L9)</f>
        <v>0</v>
      </c>
      <c r="M18" s="123"/>
      <c r="N18" s="123">
        <f>VALUE(50/100*(N6-N9)+N9)</f>
        <v>0</v>
      </c>
      <c r="O18" s="124"/>
      <c r="P18" s="123">
        <f>VALUE(50/100*(P6-P9)+P9)</f>
        <v>0</v>
      </c>
      <c r="Q18" s="123"/>
      <c r="R18" s="123">
        <f>VALUE(50/100*(R6-R9)+R9)</f>
        <v>0</v>
      </c>
      <c r="S18" s="123"/>
    </row>
    <row r="19" spans="1:19" ht="14.5" customHeight="1" x14ac:dyDescent="0.35">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0</v>
      </c>
      <c r="M19" s="123"/>
      <c r="N19" s="123">
        <f>VALUE(61.8/100*(N6-N9)+N9)</f>
        <v>0</v>
      </c>
      <c r="O19" s="124"/>
      <c r="P19" s="123">
        <f>VALUE(61.8/100*(P6-P9)+P9)</f>
        <v>0</v>
      </c>
      <c r="Q19" s="123"/>
      <c r="R19" s="123">
        <f>VALUE(61.8/100*(R6-R9)+R9)</f>
        <v>0</v>
      </c>
      <c r="S19" s="123"/>
    </row>
    <row r="20" spans="1:19" ht="14.5" customHeight="1" x14ac:dyDescent="0.35">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0</v>
      </c>
      <c r="M20" s="127"/>
      <c r="N20" s="127">
        <f>VALUE(70.7/100*(N6-N9)+N9)</f>
        <v>0</v>
      </c>
      <c r="O20" s="128"/>
      <c r="P20" s="127">
        <f>VALUE(70.7/100*(P6-P9)+P9)</f>
        <v>0</v>
      </c>
      <c r="Q20" s="129"/>
      <c r="R20" s="127">
        <f>VALUE(70.7/100*(R6-R9)+R9)</f>
        <v>0</v>
      </c>
      <c r="S20" s="127"/>
    </row>
    <row r="21" spans="1:19" ht="14.5" customHeight="1" x14ac:dyDescent="0.35">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0</v>
      </c>
      <c r="M21" s="123"/>
      <c r="N21" s="123">
        <f>VALUE(78.6/100*(N6-N9)+N9)</f>
        <v>0</v>
      </c>
      <c r="O21" s="124"/>
      <c r="P21" s="123">
        <f>VALUE(78.6/100*(P6-P9)+P9)</f>
        <v>0</v>
      </c>
      <c r="Q21" s="123"/>
      <c r="R21" s="123">
        <f>VALUE(78.6/100*(R6-R9)+R9)</f>
        <v>0</v>
      </c>
      <c r="S21" s="123"/>
    </row>
    <row r="22" spans="1:19" ht="14.5" customHeight="1" x14ac:dyDescent="0.35">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0</v>
      </c>
      <c r="M22" s="127"/>
      <c r="N22" s="127">
        <f>VALUE(100/100*(N6-N9)+N9)</f>
        <v>0</v>
      </c>
      <c r="O22" s="128"/>
      <c r="P22" s="127">
        <f>VALUE(100/100*(P6-P9)+P9)</f>
        <v>0</v>
      </c>
      <c r="Q22" s="129"/>
      <c r="R22" s="127">
        <f>VALUE(100/100*(R6-R9)+R9)</f>
        <v>0</v>
      </c>
      <c r="S22" s="127"/>
    </row>
    <row r="23" spans="1:19" ht="14.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5" customHeight="1" x14ac:dyDescent="0.35">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0</v>
      </c>
      <c r="M25" s="131"/>
      <c r="N25" s="131">
        <f>VALUE(N12-38.2/100*(N6-N9))</f>
        <v>0</v>
      </c>
      <c r="O25" s="132"/>
      <c r="P25" s="131">
        <f>VALUE(P12-38.2/100*(P6-P9))</f>
        <v>0</v>
      </c>
      <c r="Q25" s="131"/>
      <c r="R25" s="131">
        <f>VALUE(R12-38.2/100*(R6-R9))</f>
        <v>0</v>
      </c>
      <c r="S25" s="131"/>
    </row>
    <row r="26" spans="1:19" ht="14.5" customHeight="1" x14ac:dyDescent="0.35">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0</v>
      </c>
      <c r="M26" s="131"/>
      <c r="N26" s="131">
        <f>VALUE(N12-50/100*(N6-N9))</f>
        <v>0</v>
      </c>
      <c r="O26" s="132"/>
      <c r="P26" s="131">
        <f>VALUE(P12-50/100*(P6-P9))</f>
        <v>0</v>
      </c>
      <c r="Q26" s="131"/>
      <c r="R26" s="131">
        <f>VALUE(R12-50/100*(R6-R9))</f>
        <v>0</v>
      </c>
      <c r="S26" s="131"/>
    </row>
    <row r="27" spans="1:19" ht="14.5" customHeight="1" x14ac:dyDescent="0.35">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0</v>
      </c>
      <c r="M27" s="134"/>
      <c r="N27" s="134">
        <f>VALUE(N12-61.8/100*(N6-N9))</f>
        <v>0</v>
      </c>
      <c r="O27" s="135"/>
      <c r="P27" s="134">
        <f>VALUE(P12-61.8/100*(P6-P9))</f>
        <v>0</v>
      </c>
      <c r="Q27" s="134"/>
      <c r="R27" s="134">
        <f>VALUE(R12-61.8/100*(R6-R9))</f>
        <v>0</v>
      </c>
      <c r="S27" s="134"/>
    </row>
    <row r="28" spans="1:19" ht="14.5" customHeight="1" x14ac:dyDescent="0.35">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0</v>
      </c>
      <c r="M28" s="127"/>
      <c r="N28" s="127">
        <f>VALUE(N12-70.07/100*(N6-N9))</f>
        <v>0</v>
      </c>
      <c r="O28" s="128"/>
      <c r="P28" s="127">
        <f>VALUE(P12-70.07/100*(P6-P9))</f>
        <v>0</v>
      </c>
      <c r="Q28" s="129"/>
      <c r="R28" s="127">
        <f>VALUE(R12-70.07/100*(R6-R9))</f>
        <v>0</v>
      </c>
      <c r="S28" s="127"/>
    </row>
    <row r="29" spans="1:19" ht="14.5" customHeight="1" x14ac:dyDescent="0.35">
      <c r="A29" s="165">
        <v>1</v>
      </c>
      <c r="B29" s="131">
        <f>VALUE(B12-100/100*(B6-B9))</f>
        <v>15944.8</v>
      </c>
      <c r="C29" s="132"/>
      <c r="D29" s="131">
        <f>VALUE(D12-100/100*(D6-D9))</f>
        <v>5215.3499999999995</v>
      </c>
      <c r="E29" s="131"/>
      <c r="F29" s="131">
        <f>VALUE(F12-100/100*(F6-F9))</f>
        <v>14938.95</v>
      </c>
      <c r="G29" s="131"/>
      <c r="H29" s="169">
        <f>VALUE(H12-100/100*(H6-H9))</f>
        <v>12960.050000000001</v>
      </c>
      <c r="I29" s="132"/>
      <c r="J29" s="131">
        <f>VALUE(J12-100/100*(J6-J9))</f>
        <v>12457.5</v>
      </c>
      <c r="K29" s="131"/>
      <c r="L29" s="131">
        <f>VALUE(L12-100/100*(L6-L9))</f>
        <v>0</v>
      </c>
      <c r="M29" s="131"/>
      <c r="N29" s="131">
        <f>VALUE(N12-100/100*(N6-N9))</f>
        <v>0</v>
      </c>
      <c r="O29" s="132"/>
      <c r="P29" s="131">
        <f>VALUE(P12-100/100*(P6-P9))</f>
        <v>0</v>
      </c>
      <c r="Q29" s="131"/>
      <c r="R29" s="131">
        <f>VALUE(R12-100/100*(R6-R9))</f>
        <v>0</v>
      </c>
      <c r="S29" s="131"/>
    </row>
    <row r="30" spans="1:19" ht="14.5" customHeight="1" x14ac:dyDescent="0.35">
      <c r="A30" s="167">
        <v>1.236</v>
      </c>
      <c r="B30" s="136">
        <f>VALUE(B12-123.6/100*(B6-B9))</f>
        <v>18096.884000000002</v>
      </c>
      <c r="C30" s="137"/>
      <c r="D30" s="136">
        <f>VALUE(D12-123.6/100*(D6-D9))</f>
        <v>6446.172599999999</v>
      </c>
      <c r="E30" s="136"/>
      <c r="F30" s="136">
        <f>VALUE(F12-123.6/100*(F6-F9))</f>
        <v>16103.4684</v>
      </c>
      <c r="G30" s="136"/>
      <c r="H30" s="170">
        <f>VALUE(H12-123.6/100*(H6-H9))</f>
        <v>13396.992200000001</v>
      </c>
      <c r="I30" s="137"/>
      <c r="J30" s="136">
        <f>VALUE(J12-123.6/100*(J6-J9))</f>
        <v>12640.293799999999</v>
      </c>
      <c r="K30" s="136"/>
      <c r="L30" s="136">
        <f>VALUE(L12-123.6/100*(L6-L9))</f>
        <v>0</v>
      </c>
      <c r="M30" s="136"/>
      <c r="N30" s="136">
        <f>VALUE(N12-123.6/100*(N6-N9))</f>
        <v>0</v>
      </c>
      <c r="O30" s="137"/>
      <c r="P30" s="136">
        <f>VALUE(P12-123.6/100*(P6-P9))</f>
        <v>0</v>
      </c>
      <c r="Q30" s="136"/>
      <c r="R30" s="136">
        <f>VALUE(R12-123.6/100*(R6-R9))</f>
        <v>0</v>
      </c>
      <c r="S30" s="136"/>
    </row>
    <row r="31" spans="1:19" ht="14.5" customHeight="1" x14ac:dyDescent="0.35">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0</v>
      </c>
      <c r="M31" s="127"/>
      <c r="N31" s="127">
        <f>VALUE(N12-138.2/100*(N6-N9))</f>
        <v>0</v>
      </c>
      <c r="O31" s="128"/>
      <c r="P31" s="127">
        <f>VALUE(P12-138.2/100*(P6-P9))</f>
        <v>0</v>
      </c>
      <c r="Q31" s="129"/>
      <c r="R31" s="127">
        <f>VALUE(R12-138.2/100*(R6-R9))</f>
        <v>0</v>
      </c>
      <c r="S31" s="127"/>
    </row>
    <row r="32" spans="1:19" ht="14.5" customHeight="1" x14ac:dyDescent="0.35">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0</v>
      </c>
      <c r="M32" s="127"/>
      <c r="N32" s="127">
        <f>VALUE(N12-150/100*(N6-N9))</f>
        <v>0</v>
      </c>
      <c r="O32" s="128"/>
      <c r="P32" s="127">
        <f>VALUE(P12-150/100*(P6-P9))</f>
        <v>0</v>
      </c>
      <c r="Q32" s="129"/>
      <c r="R32" s="127">
        <f>VALUE(R12-150/100*(R6-R9))</f>
        <v>0</v>
      </c>
      <c r="S32" s="127"/>
    </row>
    <row r="33" spans="1:19" ht="14.5" customHeight="1" x14ac:dyDescent="0.35">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0</v>
      </c>
      <c r="M33" s="134"/>
      <c r="N33" s="134">
        <f>VALUE(N12-161.8/100*(N6-N9))</f>
        <v>0</v>
      </c>
      <c r="O33" s="135"/>
      <c r="P33" s="134">
        <f>VALUE(P12-161.8/100*(P6-P9))</f>
        <v>0</v>
      </c>
      <c r="Q33" s="134"/>
      <c r="R33" s="134">
        <f>VALUE(R12-161.8/100*(R6-R9))</f>
        <v>0</v>
      </c>
      <c r="S33" s="134"/>
    </row>
    <row r="34" spans="1:19" ht="14.5" customHeight="1" x14ac:dyDescent="0.35">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0</v>
      </c>
      <c r="M34" s="127"/>
      <c r="N34" s="127">
        <f>VALUE(N12-170.07/100*(N6-N9))</f>
        <v>0</v>
      </c>
      <c r="O34" s="128"/>
      <c r="P34" s="127">
        <f>VALUE(P12-170.07/100*(P6-P9))</f>
        <v>0</v>
      </c>
      <c r="Q34" s="129"/>
      <c r="R34" s="127">
        <f>VALUE(R12-170.07/100*(R6-R9))</f>
        <v>0</v>
      </c>
      <c r="S34" s="127"/>
    </row>
    <row r="35" spans="1:19" ht="14.5" customHeight="1" x14ac:dyDescent="0.35">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0</v>
      </c>
      <c r="M35" s="131"/>
      <c r="N35" s="131">
        <f>VALUE(N12-200/100*(N6-N9))</f>
        <v>0</v>
      </c>
      <c r="O35" s="132"/>
      <c r="P35" s="131">
        <f>VALUE(P12-200/100*(P6-P9))</f>
        <v>0</v>
      </c>
      <c r="Q35" s="131"/>
      <c r="R35" s="131">
        <f>VALUE(R12-200/100*(R6-R9))</f>
        <v>0</v>
      </c>
      <c r="S35" s="131"/>
    </row>
    <row r="36" spans="1:19" ht="14.5" customHeight="1" x14ac:dyDescent="0.35">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0</v>
      </c>
      <c r="M36" s="127"/>
      <c r="N36" s="127">
        <f>VALUE(N12-223.6/100*(N6-N9))</f>
        <v>0</v>
      </c>
      <c r="O36" s="128"/>
      <c r="P36" s="127">
        <f>VALUE(P12-223.6/100*(P6-P9))</f>
        <v>0</v>
      </c>
      <c r="Q36" s="129"/>
      <c r="R36" s="127">
        <f>VALUE(R12-223.6/100*(R6-R9))</f>
        <v>0</v>
      </c>
      <c r="S36" s="127"/>
    </row>
    <row r="37" spans="1:19" ht="14.5" customHeight="1" x14ac:dyDescent="0.35">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69">
        <f>VALUE(J12-238.2/100*(J6-J9))</f>
        <v>13527.928099999999</v>
      </c>
      <c r="K37" s="131"/>
      <c r="L37" s="131">
        <f>VALUE(L12-238.2/100*(L6-L9))</f>
        <v>0</v>
      </c>
      <c r="M37" s="131"/>
      <c r="N37" s="131">
        <f>VALUE(N12-238.2/100*(N6-N9))</f>
        <v>0</v>
      </c>
      <c r="O37" s="132"/>
      <c r="P37" s="131">
        <f>VALUE(P12-238.2/100*(P6-P9))</f>
        <v>0</v>
      </c>
      <c r="Q37" s="131"/>
      <c r="R37" s="131">
        <f>VALUE(R12-238.2/100*(R6-R9))</f>
        <v>0</v>
      </c>
      <c r="S37" s="131"/>
    </row>
    <row r="38" spans="1:19" ht="14.5" customHeight="1" x14ac:dyDescent="0.35">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0</v>
      </c>
      <c r="M38" s="131"/>
      <c r="N38" s="131">
        <f>VALUE(N12-261.8/100*(N6-N9))</f>
        <v>0</v>
      </c>
      <c r="O38" s="132"/>
      <c r="P38" s="131">
        <f>VALUE(P12-261.8/100*(P6-P9))</f>
        <v>0</v>
      </c>
      <c r="Q38" s="131"/>
      <c r="R38" s="131">
        <f>VALUE(R12-261.8/100*(R6-R9))</f>
        <v>0</v>
      </c>
      <c r="S38" s="131"/>
    </row>
    <row r="39" spans="1:19" ht="14.5" customHeight="1" x14ac:dyDescent="0.35">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0</v>
      </c>
      <c r="M39" s="131"/>
      <c r="N39" s="131">
        <f>VALUE(N12-300/100*(N6-N9))</f>
        <v>0</v>
      </c>
      <c r="O39" s="132"/>
      <c r="P39" s="131">
        <f>VALUE(P12-300/100*(P6-P9))</f>
        <v>0</v>
      </c>
      <c r="Q39" s="131"/>
      <c r="R39" s="131">
        <f>VALUE(R12-300/100*(R6-R9))</f>
        <v>0</v>
      </c>
      <c r="S39" s="131"/>
    </row>
    <row r="40" spans="1:19" ht="14.5" customHeight="1" x14ac:dyDescent="0.35">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0</v>
      </c>
      <c r="M40" s="127"/>
      <c r="N40" s="127">
        <f>VALUE(N12-323.6/100*(N6-N9))</f>
        <v>0</v>
      </c>
      <c r="O40" s="128"/>
      <c r="P40" s="127">
        <f>VALUE(P12-323.6/100*(P6-P9))</f>
        <v>0</v>
      </c>
      <c r="Q40" s="129"/>
      <c r="R40" s="127">
        <f>VALUE(R12-323.6/100*(R6-R9))</f>
        <v>0</v>
      </c>
      <c r="S40" s="127"/>
    </row>
    <row r="41" spans="1:19" ht="14.5" customHeight="1" x14ac:dyDescent="0.35">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0</v>
      </c>
      <c r="M41" s="131"/>
      <c r="N41" s="131">
        <f>VALUE(N12-338.2/100*(N6-N9))</f>
        <v>0</v>
      </c>
      <c r="O41" s="132"/>
      <c r="P41" s="131">
        <f>VALUE(P12-338.2/100*(P6-P9))</f>
        <v>0</v>
      </c>
      <c r="Q41" s="131"/>
      <c r="R41" s="131">
        <f>VALUE(R12-338.2/100*(R6-R9))</f>
        <v>0</v>
      </c>
      <c r="S41" s="131"/>
    </row>
    <row r="42" spans="1:19" ht="14.5" customHeight="1" x14ac:dyDescent="0.35">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0</v>
      </c>
      <c r="M42" s="131"/>
      <c r="N42" s="131">
        <f>VALUE(N12-361.8/100*(N6-N9))</f>
        <v>0</v>
      </c>
      <c r="O42" s="132"/>
      <c r="P42" s="131">
        <f>VALUE(P12-361.8/100*(P6-P9))</f>
        <v>0</v>
      </c>
      <c r="Q42" s="131"/>
      <c r="R42" s="131">
        <f>VALUE(R12-361.8/100*(R6-R9))</f>
        <v>0</v>
      </c>
      <c r="S42" s="131"/>
    </row>
    <row r="43" spans="1:19" ht="14.5" customHeight="1" x14ac:dyDescent="0.35">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0</v>
      </c>
      <c r="M43" s="131"/>
      <c r="N43" s="131">
        <f>VALUE(N12-400/100*(N6-N9))</f>
        <v>0</v>
      </c>
      <c r="O43" s="132"/>
      <c r="P43" s="131">
        <f>VALUE(P12-400/100*(P6-P9))</f>
        <v>0</v>
      </c>
      <c r="Q43" s="131"/>
      <c r="R43" s="131">
        <f>VALUE(R12-400/100*(R6-R9))</f>
        <v>0</v>
      </c>
      <c r="S43" s="131"/>
    </row>
    <row r="44" spans="1:19" ht="14.5" customHeight="1" x14ac:dyDescent="0.35">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0</v>
      </c>
      <c r="M44" s="127"/>
      <c r="N44" s="127">
        <f>VALUE(N12-423.6/100*(N6-N9))</f>
        <v>0</v>
      </c>
      <c r="O44" s="128"/>
      <c r="P44" s="127">
        <f>VALUE(P12-423.6/100*(P6-P9))</f>
        <v>0</v>
      </c>
      <c r="Q44" s="129"/>
      <c r="R44" s="127">
        <f>VALUE(R12-423.6/100*(R6-R9))</f>
        <v>0</v>
      </c>
      <c r="S44" s="127"/>
    </row>
    <row r="45" spans="1:19" ht="14.5" customHeight="1" x14ac:dyDescent="0.35">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0</v>
      </c>
      <c r="M45" s="127"/>
      <c r="N45" s="127">
        <f>VALUE(N12-438.2/100*(N6-N9))</f>
        <v>0</v>
      </c>
      <c r="O45" s="128"/>
      <c r="P45" s="127">
        <f>VALUE(P12-438.2/100*(P6-P9))</f>
        <v>0</v>
      </c>
      <c r="Q45" s="129"/>
      <c r="R45" s="127">
        <f>VALUE(R12-438.2/100*(R6-R9))</f>
        <v>0</v>
      </c>
      <c r="S45" s="127"/>
    </row>
    <row r="46" spans="1:19" ht="14.5" customHeight="1" x14ac:dyDescent="0.35">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0</v>
      </c>
      <c r="M46" s="127"/>
      <c r="N46" s="127">
        <f>VALUE(N12-461.8/100*(N6-N9))</f>
        <v>0</v>
      </c>
      <c r="O46" s="128"/>
      <c r="P46" s="127">
        <f>VALUE(P12-461.8/100*(P6-P9))</f>
        <v>0</v>
      </c>
      <c r="Q46" s="129"/>
      <c r="R46" s="127">
        <f>VALUE(R12-461.8/100*(R6-R9))</f>
        <v>0</v>
      </c>
      <c r="S46" s="127"/>
    </row>
    <row r="47" spans="1:19" ht="14.5" customHeight="1" x14ac:dyDescent="0.35">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0</v>
      </c>
      <c r="M47" s="127"/>
      <c r="N47" s="127">
        <f>VALUE(N12-500/100*(N6-N9))</f>
        <v>0</v>
      </c>
      <c r="O47" s="128"/>
      <c r="P47" s="127">
        <f>VALUE(P12-500/100*(P6-P9))</f>
        <v>0</v>
      </c>
      <c r="Q47" s="129"/>
      <c r="R47" s="127">
        <f>VALUE(R12-500/100*(R6-R9))</f>
        <v>0</v>
      </c>
      <c r="S47" s="127"/>
    </row>
    <row r="48" spans="1:19" ht="14.5" customHeight="1" x14ac:dyDescent="0.35">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0</v>
      </c>
      <c r="M48" s="127"/>
      <c r="N48" s="127">
        <f>VALUE(N12-523.6/100*(N6-N9))</f>
        <v>0</v>
      </c>
      <c r="O48" s="128"/>
      <c r="P48" s="127">
        <f>VALUE(P12-523.6/100*(P6-P9))</f>
        <v>0</v>
      </c>
      <c r="Q48" s="129"/>
      <c r="R48" s="127">
        <f>VALUE(R12-523.6/100*(R6-R9))</f>
        <v>0</v>
      </c>
      <c r="S48" s="127"/>
    </row>
    <row r="49" spans="1:19" ht="14.5" customHeight="1" x14ac:dyDescent="0.35">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0</v>
      </c>
      <c r="M49" s="127"/>
      <c r="N49" s="127">
        <f>VALUE(N12-538.2/100*(N6-N9))</f>
        <v>0</v>
      </c>
      <c r="O49" s="128"/>
      <c r="P49" s="127">
        <f>VALUE(P12-538.2/100*(P6-P9))</f>
        <v>0</v>
      </c>
      <c r="Q49" s="129"/>
      <c r="R49" s="127">
        <f>VALUE(R12-538.2/100*(R6-R9))</f>
        <v>0</v>
      </c>
      <c r="S49" s="127"/>
    </row>
    <row r="50" spans="1:19" ht="14.5" customHeight="1" x14ac:dyDescent="0.35">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0</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sqref="A1:XFD1048576"/>
    </sheetView>
  </sheetViews>
  <sheetFormatPr defaultColWidth="8.81640625" defaultRowHeight="14.5" customHeight="1" x14ac:dyDescent="0.35"/>
  <cols>
    <col min="1" max="1" width="22" style="114" customWidth="1"/>
    <col min="2" max="2" width="12.81640625" style="114" customWidth="1"/>
    <col min="3" max="3" width="5.81640625" style="114" customWidth="1"/>
    <col min="4" max="4" width="12.81640625" style="114" customWidth="1"/>
    <col min="5" max="5" width="5.81640625" style="114" customWidth="1"/>
    <col min="6" max="6" width="12.81640625" style="114" customWidth="1"/>
    <col min="7" max="7" width="5.81640625" style="114" customWidth="1"/>
    <col min="8" max="8" width="12.81640625" style="114" customWidth="1"/>
    <col min="9" max="9" width="5.81640625" style="114" customWidth="1"/>
    <col min="10" max="10" width="12.81640625" style="114" customWidth="1"/>
    <col min="11" max="11" width="5.81640625" style="114" customWidth="1"/>
    <col min="12" max="12" width="12.81640625" style="114" customWidth="1"/>
    <col min="13" max="13" width="5.81640625" style="114" customWidth="1"/>
    <col min="14" max="14" width="12.81640625" style="114" customWidth="1"/>
    <col min="15" max="15" width="5.81640625" style="114" customWidth="1"/>
    <col min="16" max="16" width="12.81640625" style="114" customWidth="1"/>
    <col min="17" max="17" width="5.81640625" style="114" customWidth="1"/>
    <col min="18" max="18" width="12.81640625" style="114" customWidth="1"/>
    <col min="19" max="254" width="8.81640625" style="114" customWidth="1"/>
    <col min="255" max="16384" width="8.81640625" style="177"/>
  </cols>
  <sheetData>
    <row r="1" spans="1:18" ht="14.5" customHeight="1" x14ac:dyDescent="0.35">
      <c r="A1" s="175"/>
      <c r="B1" s="176"/>
      <c r="C1" s="175"/>
      <c r="D1" s="176"/>
      <c r="E1" s="175"/>
      <c r="F1" s="176"/>
      <c r="G1" s="176"/>
      <c r="H1" s="176"/>
      <c r="I1" s="175"/>
      <c r="J1" s="176"/>
      <c r="K1" s="175"/>
      <c r="L1" s="176"/>
      <c r="M1" s="176"/>
      <c r="N1" s="176"/>
      <c r="O1" s="175"/>
      <c r="P1" s="176"/>
      <c r="Q1" s="175"/>
      <c r="R1" s="176"/>
    </row>
    <row r="2" spans="1:18" ht="23.5" customHeight="1" x14ac:dyDescent="0.5">
      <c r="A2" s="178" t="s">
        <v>63</v>
      </c>
      <c r="B2" s="179"/>
      <c r="C2" s="179"/>
      <c r="D2" s="179"/>
      <c r="E2" s="179"/>
      <c r="F2" s="179"/>
      <c r="G2" s="179"/>
      <c r="H2" s="179"/>
      <c r="I2" s="179"/>
      <c r="J2" s="179"/>
      <c r="K2" s="179"/>
      <c r="L2" s="179"/>
      <c r="M2" s="179"/>
      <c r="N2" s="179"/>
      <c r="O2" s="179"/>
      <c r="P2" s="179"/>
      <c r="Q2" s="179"/>
      <c r="R2" s="179"/>
    </row>
    <row r="3" spans="1:18" ht="14.5" customHeight="1" x14ac:dyDescent="0.35">
      <c r="A3" s="175"/>
      <c r="B3" s="176"/>
      <c r="C3" s="175"/>
      <c r="D3" s="176"/>
      <c r="E3" s="175"/>
      <c r="F3" s="176"/>
      <c r="G3" s="176"/>
      <c r="H3" s="176"/>
      <c r="I3" s="175"/>
      <c r="J3" s="176"/>
      <c r="K3" s="175"/>
      <c r="L3" s="176"/>
      <c r="M3" s="176"/>
      <c r="N3" s="176"/>
      <c r="O3" s="175"/>
      <c r="P3" s="176"/>
      <c r="Q3" s="175"/>
      <c r="R3" s="176"/>
    </row>
    <row r="4" spans="1:18" ht="14.5" customHeight="1" x14ac:dyDescent="0.35">
      <c r="A4" s="175"/>
      <c r="B4" s="180" t="s">
        <v>52</v>
      </c>
      <c r="C4" s="110"/>
      <c r="D4" s="181" t="s">
        <v>53</v>
      </c>
      <c r="E4" s="110"/>
      <c r="F4" s="182" t="s">
        <v>54</v>
      </c>
      <c r="G4" s="182"/>
      <c r="H4" s="180" t="s">
        <v>52</v>
      </c>
      <c r="I4" s="110"/>
      <c r="J4" s="181" t="s">
        <v>53</v>
      </c>
      <c r="K4" s="110"/>
      <c r="L4" s="182" t="s">
        <v>54</v>
      </c>
      <c r="M4" s="182"/>
      <c r="N4" s="180" t="s">
        <v>52</v>
      </c>
      <c r="O4" s="110"/>
      <c r="P4" s="181" t="s">
        <v>53</v>
      </c>
      <c r="Q4" s="110"/>
      <c r="R4" s="182" t="s">
        <v>54</v>
      </c>
    </row>
    <row r="5" spans="1:18" ht="15" customHeight="1" thickBot="1" x14ac:dyDescent="0.4">
      <c r="A5" s="175"/>
      <c r="B5" s="176"/>
      <c r="C5" s="175"/>
      <c r="D5" s="176"/>
      <c r="E5" s="175"/>
      <c r="F5" s="176"/>
      <c r="G5" s="176"/>
      <c r="H5" s="176"/>
      <c r="I5" s="175"/>
      <c r="J5" s="176"/>
      <c r="K5" s="175"/>
      <c r="L5" s="176"/>
      <c r="M5" s="176"/>
      <c r="N5" s="176"/>
      <c r="O5" s="175"/>
      <c r="P5" s="176"/>
      <c r="Q5" s="175"/>
      <c r="R5" s="176"/>
    </row>
    <row r="6" spans="1:18" ht="15" customHeight="1" thickBot="1" x14ac:dyDescent="0.4">
      <c r="A6" s="183" t="s">
        <v>55</v>
      </c>
      <c r="B6" s="184">
        <v>12041.15</v>
      </c>
      <c r="C6" s="112"/>
      <c r="D6" s="185">
        <v>11829.45</v>
      </c>
      <c r="E6" s="113"/>
      <c r="F6" s="186">
        <v>12039.25</v>
      </c>
      <c r="G6" s="111"/>
      <c r="H6" s="184"/>
      <c r="I6" s="112"/>
      <c r="J6" s="185"/>
      <c r="K6" s="113"/>
      <c r="L6" s="186"/>
      <c r="M6" s="111"/>
      <c r="N6" s="184"/>
      <c r="O6" s="112"/>
      <c r="P6" s="185"/>
      <c r="Q6" s="113"/>
      <c r="R6" s="186"/>
    </row>
    <row r="7" spans="1:18" ht="14.5" customHeight="1" x14ac:dyDescent="0.35">
      <c r="A7" s="175"/>
      <c r="B7" s="187"/>
      <c r="C7" s="175"/>
      <c r="D7" s="188"/>
      <c r="E7" s="175"/>
      <c r="F7" s="189"/>
      <c r="G7" s="176"/>
      <c r="H7" s="187"/>
      <c r="I7" s="175"/>
      <c r="J7" s="188"/>
      <c r="K7" s="175"/>
      <c r="L7" s="189"/>
      <c r="M7" s="176"/>
      <c r="N7" s="187"/>
      <c r="O7" s="175"/>
      <c r="P7" s="188"/>
      <c r="Q7" s="175"/>
      <c r="R7" s="189"/>
    </row>
    <row r="8" spans="1:18" ht="15" customHeight="1" thickBot="1" x14ac:dyDescent="0.4">
      <c r="A8" s="175"/>
      <c r="B8" s="190"/>
      <c r="C8" s="175"/>
      <c r="D8" s="191"/>
      <c r="E8" s="175"/>
      <c r="F8" s="192"/>
      <c r="G8" s="176"/>
      <c r="H8" s="190"/>
      <c r="I8" s="175"/>
      <c r="J8" s="191"/>
      <c r="K8" s="175"/>
      <c r="L8" s="192"/>
      <c r="M8" s="176"/>
      <c r="N8" s="190"/>
      <c r="O8" s="175"/>
      <c r="P8" s="191"/>
      <c r="Q8" s="175"/>
      <c r="R8" s="192"/>
    </row>
    <row r="9" spans="1:18" ht="15" customHeight="1" thickBot="1" x14ac:dyDescent="0.4">
      <c r="A9" s="183" t="s">
        <v>56</v>
      </c>
      <c r="B9" s="184">
        <v>11614.5</v>
      </c>
      <c r="C9" s="112"/>
      <c r="D9" s="185">
        <v>11956</v>
      </c>
      <c r="E9" s="113"/>
      <c r="F9" s="186">
        <v>11829.45</v>
      </c>
      <c r="G9" s="111"/>
      <c r="H9" s="184"/>
      <c r="I9" s="112"/>
      <c r="J9" s="185"/>
      <c r="K9" s="113"/>
      <c r="L9" s="186"/>
      <c r="M9" s="111"/>
      <c r="N9" s="184"/>
      <c r="O9" s="112"/>
      <c r="P9" s="185"/>
      <c r="Q9" s="113"/>
      <c r="R9" s="185"/>
    </row>
    <row r="10" spans="1:18" ht="14.5" customHeight="1" x14ac:dyDescent="0.35">
      <c r="A10" s="175"/>
      <c r="B10" s="187"/>
      <c r="C10" s="175"/>
      <c r="D10" s="188"/>
      <c r="E10" s="175"/>
      <c r="F10" s="189"/>
      <c r="G10" s="176"/>
      <c r="H10" s="187"/>
      <c r="I10" s="175"/>
      <c r="J10" s="188"/>
      <c r="K10" s="175"/>
      <c r="L10" s="189"/>
      <c r="M10" s="176"/>
      <c r="N10" s="187"/>
      <c r="O10" s="175"/>
      <c r="P10" s="188"/>
      <c r="Q10" s="175"/>
      <c r="R10" s="189"/>
    </row>
    <row r="11" spans="1:18" ht="15" customHeight="1" thickBot="1" x14ac:dyDescent="0.4">
      <c r="A11" s="175"/>
      <c r="B11" s="190"/>
      <c r="C11" s="175"/>
      <c r="D11" s="191"/>
      <c r="E11" s="175"/>
      <c r="F11" s="192"/>
      <c r="G11" s="176"/>
      <c r="H11" s="190"/>
      <c r="I11" s="175"/>
      <c r="J11" s="191"/>
      <c r="K11" s="175"/>
      <c r="L11" s="192"/>
      <c r="M11" s="176"/>
      <c r="N11" s="190"/>
      <c r="O11" s="175"/>
      <c r="P11" s="191"/>
      <c r="Q11" s="175"/>
      <c r="R11" s="192"/>
    </row>
    <row r="12" spans="1:18" ht="15" customHeight="1" thickBot="1" x14ac:dyDescent="0.4">
      <c r="A12" s="183" t="s">
        <v>57</v>
      </c>
      <c r="B12" s="184">
        <v>12039.25</v>
      </c>
      <c r="C12" s="112"/>
      <c r="D12" s="185">
        <v>11873</v>
      </c>
      <c r="E12" s="113"/>
      <c r="F12" s="186"/>
      <c r="G12" s="111"/>
      <c r="H12" s="184"/>
      <c r="I12" s="112"/>
      <c r="J12" s="185"/>
      <c r="K12" s="113"/>
      <c r="L12" s="186"/>
      <c r="M12" s="111"/>
      <c r="N12" s="184"/>
      <c r="O12" s="112"/>
      <c r="P12" s="185"/>
      <c r="Q12" s="113"/>
      <c r="R12" s="186"/>
    </row>
    <row r="13" spans="1:18" ht="14.5" customHeight="1" x14ac:dyDescent="0.35">
      <c r="A13" s="175"/>
      <c r="B13" s="176"/>
      <c r="C13" s="175"/>
      <c r="D13" s="176"/>
      <c r="E13" s="175"/>
      <c r="F13" s="176"/>
      <c r="G13" s="176"/>
      <c r="H13" s="176"/>
      <c r="I13" s="175"/>
      <c r="J13" s="176"/>
      <c r="K13" s="175"/>
      <c r="L13" s="176"/>
      <c r="M13" s="176"/>
      <c r="N13" s="176"/>
      <c r="O13" s="175"/>
      <c r="P13" s="176"/>
      <c r="Q13" s="175"/>
      <c r="R13" s="176"/>
    </row>
    <row r="14" spans="1:18" ht="14.5" customHeight="1" x14ac:dyDescent="0.35">
      <c r="A14" s="175"/>
      <c r="B14" s="176"/>
      <c r="C14" s="175"/>
      <c r="D14" s="176"/>
      <c r="E14" s="175"/>
      <c r="F14" s="176"/>
      <c r="G14" s="176"/>
      <c r="H14" s="176"/>
      <c r="I14" s="175"/>
      <c r="J14" s="176"/>
      <c r="K14" s="175"/>
      <c r="L14" s="176"/>
      <c r="M14" s="176"/>
      <c r="N14" s="176"/>
      <c r="O14" s="175"/>
      <c r="P14" s="176"/>
      <c r="Q14" s="175"/>
      <c r="R14" s="176"/>
    </row>
    <row r="15" spans="1:18" ht="14.5" customHeight="1" x14ac:dyDescent="0.35">
      <c r="A15" s="193" t="s">
        <v>59</v>
      </c>
      <c r="B15" s="115"/>
      <c r="C15" s="175"/>
      <c r="D15" s="176"/>
      <c r="E15" s="175"/>
      <c r="F15" s="176"/>
      <c r="G15" s="176"/>
      <c r="H15" s="115"/>
      <c r="I15" s="175"/>
      <c r="J15" s="176"/>
      <c r="K15" s="175"/>
      <c r="L15" s="176"/>
      <c r="M15" s="176"/>
      <c r="N15" s="115"/>
      <c r="O15" s="175"/>
      <c r="P15" s="176"/>
      <c r="Q15" s="175"/>
      <c r="R15" s="176"/>
    </row>
    <row r="16" spans="1:18" ht="14.5" customHeight="1" x14ac:dyDescent="0.35">
      <c r="A16" s="116">
        <v>0.23599999999999999</v>
      </c>
      <c r="B16" s="194">
        <f>VALUE(23.6/100*(B6-B9)+B9)</f>
        <v>11715.189399999999</v>
      </c>
      <c r="C16" s="195"/>
      <c r="D16" s="194">
        <f>VALUE(23.6/100*(D6-D9)+D9)</f>
        <v>11926.1342</v>
      </c>
      <c r="E16" s="194"/>
      <c r="F16" s="194">
        <f>VALUE(23.6/100*(F6-F9)+F9)</f>
        <v>11878.962800000001</v>
      </c>
      <c r="G16" s="194"/>
      <c r="H16" s="215">
        <f>VALUE(23.6/100*(H6-H9)+H9)</f>
        <v>0</v>
      </c>
      <c r="I16" s="195"/>
      <c r="J16" s="194">
        <f>VALUE(23.6/100*(J6-J9)+J9)</f>
        <v>0</v>
      </c>
      <c r="K16" s="194"/>
      <c r="L16" s="194">
        <f>VALUE(23.6/100*(L6-L9)+L9)</f>
        <v>0</v>
      </c>
      <c r="M16" s="194"/>
      <c r="N16" s="194">
        <f>VALUE(23.6/100*(N6-N9)+N9)</f>
        <v>0</v>
      </c>
      <c r="O16" s="195"/>
      <c r="P16" s="194">
        <f>VALUE(23.6/100*(P6-P9)+P9)</f>
        <v>0</v>
      </c>
      <c r="Q16" s="194"/>
      <c r="R16" s="194">
        <f>VALUE(23.6/100*(R6-R9)+R9)</f>
        <v>0</v>
      </c>
    </row>
    <row r="17" spans="1:18" ht="14.5" customHeight="1" x14ac:dyDescent="0.35">
      <c r="A17" s="117">
        <v>0.38200000000000001</v>
      </c>
      <c r="B17" s="196">
        <f>38.2/100*(B6-B9)+B9</f>
        <v>11777.480299999999</v>
      </c>
      <c r="C17" s="197"/>
      <c r="D17" s="196">
        <f>VALUE(38.2/100*(D6-D9)+D9)</f>
        <v>11907.6579</v>
      </c>
      <c r="E17" s="196"/>
      <c r="F17" s="196">
        <f>VALUE(38.2/100*(F6-F9)+F9)</f>
        <v>11909.5936</v>
      </c>
      <c r="G17" s="196"/>
      <c r="H17" s="216">
        <f>38.2/100*(H6-H9)+H9</f>
        <v>0</v>
      </c>
      <c r="I17" s="197"/>
      <c r="J17" s="196">
        <f>VALUE(38.2/100*(J6-J9)+J9)</f>
        <v>0</v>
      </c>
      <c r="K17" s="196"/>
      <c r="L17" s="196">
        <f>VALUE(38.2/100*(L6-L9)+L9)</f>
        <v>0</v>
      </c>
      <c r="M17" s="196"/>
      <c r="N17" s="196">
        <f>38.2/100*(N6-N9)+N9</f>
        <v>0</v>
      </c>
      <c r="O17" s="197"/>
      <c r="P17" s="196">
        <f>VALUE(38.2/100*(P6-P9)+P9)</f>
        <v>0</v>
      </c>
      <c r="Q17" s="196"/>
      <c r="R17" s="196">
        <f>VALUE(38.2/100*(R6-R9)+R9)</f>
        <v>0</v>
      </c>
    </row>
    <row r="18" spans="1:18" ht="14.5" customHeight="1" x14ac:dyDescent="0.35">
      <c r="A18" s="116">
        <v>0.5</v>
      </c>
      <c r="B18" s="194">
        <f>VALUE(50/100*(B6-B9)+B9)</f>
        <v>11827.825000000001</v>
      </c>
      <c r="C18" s="195"/>
      <c r="D18" s="194">
        <f>VALUE(50/100*(D6-D9)+D9)</f>
        <v>11892.725</v>
      </c>
      <c r="E18" s="194"/>
      <c r="F18" s="194">
        <f>VALUE(50/100*(F6-F9)+F9)</f>
        <v>11934.35</v>
      </c>
      <c r="G18" s="194"/>
      <c r="H18" s="194">
        <f>VALUE(50/100*(H6-H9)+H9)</f>
        <v>0</v>
      </c>
      <c r="I18" s="195"/>
      <c r="J18" s="194">
        <f>VALUE(50/100*(J6-J9)+J9)</f>
        <v>0</v>
      </c>
      <c r="K18" s="194"/>
      <c r="L18" s="194">
        <f>VALUE(50/100*(L6-L9)+L9)</f>
        <v>0</v>
      </c>
      <c r="M18" s="194"/>
      <c r="N18" s="194">
        <f>VALUE(50/100*(N6-N9)+N9)</f>
        <v>0</v>
      </c>
      <c r="O18" s="195"/>
      <c r="P18" s="194">
        <f>VALUE(50/100*(P6-P9)+P9)</f>
        <v>0</v>
      </c>
      <c r="Q18" s="194"/>
      <c r="R18" s="194">
        <f>VALUE(50/100*(R6-R9)+R9)</f>
        <v>0</v>
      </c>
    </row>
    <row r="19" spans="1:18" ht="14.5" customHeight="1" x14ac:dyDescent="0.35">
      <c r="A19" s="116">
        <v>0.61799999999999999</v>
      </c>
      <c r="B19" s="194">
        <f>VALUE(61.8/100*(B6-B9)+B9)</f>
        <v>11878.1697</v>
      </c>
      <c r="C19" s="195"/>
      <c r="D19" s="194">
        <f>VALUE(61.8/100*(D6-D9)+D9)</f>
        <v>11877.792100000001</v>
      </c>
      <c r="E19" s="194"/>
      <c r="F19" s="194">
        <f>VALUE(61.8/100*(F6-F9)+F9)</f>
        <v>11959.106400000001</v>
      </c>
      <c r="G19" s="194"/>
      <c r="H19" s="194">
        <f>VALUE(61.8/100*(H6-H9)+H9)</f>
        <v>0</v>
      </c>
      <c r="I19" s="195"/>
      <c r="J19" s="194">
        <f>VALUE(61.8/100*(J6-J9)+J9)</f>
        <v>0</v>
      </c>
      <c r="K19" s="194"/>
      <c r="L19" s="194">
        <f>VALUE(61.8/100*(L6-L9)+L9)</f>
        <v>0</v>
      </c>
      <c r="M19" s="194"/>
      <c r="N19" s="194">
        <f>VALUE(61.8/100*(N6-N9)+N9)</f>
        <v>0</v>
      </c>
      <c r="O19" s="195"/>
      <c r="P19" s="194">
        <f>VALUE(61.8/100*(P6-P9)+P9)</f>
        <v>0</v>
      </c>
      <c r="Q19" s="194"/>
      <c r="R19" s="194">
        <f>VALUE(61.8/100*(R6-R9)+R9)</f>
        <v>0</v>
      </c>
    </row>
    <row r="20" spans="1:18" ht="14.5" customHeight="1" x14ac:dyDescent="0.35">
      <c r="A20" s="118">
        <v>0.70699999999999996</v>
      </c>
      <c r="B20" s="198">
        <f>VALUE(70.7/100*(B6-B9)+B9)</f>
        <v>11916.14155</v>
      </c>
      <c r="C20" s="175"/>
      <c r="D20" s="198">
        <f>VALUE(70.7/100*(D6-D9)+D9)</f>
        <v>11866.52915</v>
      </c>
      <c r="E20" s="199"/>
      <c r="F20" s="198">
        <f>VALUE(70.7/100*(F6-F9)+F9)</f>
        <v>11977.7786</v>
      </c>
      <c r="G20" s="198"/>
      <c r="H20" s="198">
        <f>VALUE(70.7/100*(H6-H9)+H9)</f>
        <v>0</v>
      </c>
      <c r="I20" s="175"/>
      <c r="J20" s="198">
        <f>VALUE(70.7/100*(J6-J9)+J9)</f>
        <v>0</v>
      </c>
      <c r="K20" s="199"/>
      <c r="L20" s="198">
        <f>VALUE(70.7/100*(L6-L9)+L9)</f>
        <v>0</v>
      </c>
      <c r="M20" s="198"/>
      <c r="N20" s="198">
        <f>VALUE(70.7/100*(N6-N9)+N9)</f>
        <v>0</v>
      </c>
      <c r="O20" s="175"/>
      <c r="P20" s="198">
        <f>VALUE(70.7/100*(P6-P9)+P9)</f>
        <v>0</v>
      </c>
      <c r="Q20" s="199"/>
      <c r="R20" s="198">
        <f>VALUE(70.7/100*(R6-R9)+R9)</f>
        <v>0</v>
      </c>
    </row>
    <row r="21" spans="1:18" ht="14.5" customHeight="1" x14ac:dyDescent="0.35">
      <c r="A21" s="116">
        <v>0.78600000000000003</v>
      </c>
      <c r="B21" s="194">
        <f>VALUE(78.6/100*(B6-B9)+B9)</f>
        <v>11949.8469</v>
      </c>
      <c r="C21" s="195"/>
      <c r="D21" s="194">
        <f>VALUE(78.6/100*(D6-D9)+D9)</f>
        <v>11856.531700000001</v>
      </c>
      <c r="E21" s="194"/>
      <c r="F21" s="194">
        <f>VALUE(78.6/100*(F6-F9)+F9)</f>
        <v>11994.352800000001</v>
      </c>
      <c r="G21" s="194"/>
      <c r="H21" s="194">
        <f>VALUE(78.6/100*(H6-H9)+H9)</f>
        <v>0</v>
      </c>
      <c r="I21" s="195"/>
      <c r="J21" s="194">
        <f>VALUE(78.6/100*(J6-J9)+J9)</f>
        <v>0</v>
      </c>
      <c r="K21" s="194"/>
      <c r="L21" s="194">
        <f>VALUE(78.6/100*(L6-L9)+L9)</f>
        <v>0</v>
      </c>
      <c r="M21" s="194"/>
      <c r="N21" s="194">
        <f>VALUE(78.6/100*(N6-N9)+N9)</f>
        <v>0</v>
      </c>
      <c r="O21" s="195"/>
      <c r="P21" s="194">
        <f>VALUE(78.6/100*(P6-P9)+P9)</f>
        <v>0</v>
      </c>
      <c r="Q21" s="194"/>
      <c r="R21" s="194">
        <f>VALUE(78.6/100*(R6-R9)+R9)</f>
        <v>0</v>
      </c>
    </row>
    <row r="22" spans="1:18" ht="14.5" customHeight="1" x14ac:dyDescent="0.35">
      <c r="A22" s="118">
        <v>1</v>
      </c>
      <c r="B22" s="198">
        <f>VALUE(100/100*(B6-B9)+B9)</f>
        <v>12041.15</v>
      </c>
      <c r="C22" s="175"/>
      <c r="D22" s="198">
        <f>VALUE(100/100*(D6-D9)+D9)</f>
        <v>11829.45</v>
      </c>
      <c r="E22" s="199"/>
      <c r="F22" s="198">
        <f>VALUE(100/100*(F6-F9)+F9)</f>
        <v>12039.25</v>
      </c>
      <c r="G22" s="198"/>
      <c r="H22" s="198">
        <f>VALUE(100/100*(H6-H9)+H9)</f>
        <v>0</v>
      </c>
      <c r="I22" s="175"/>
      <c r="J22" s="198">
        <f>VALUE(100/100*(J6-J9)+J9)</f>
        <v>0</v>
      </c>
      <c r="K22" s="199"/>
      <c r="L22" s="198">
        <f>VALUE(100/100*(L6-L9)+L9)</f>
        <v>0</v>
      </c>
      <c r="M22" s="198"/>
      <c r="N22" s="198">
        <f>VALUE(100/100*(N6-N9)+N9)</f>
        <v>0</v>
      </c>
      <c r="O22" s="175"/>
      <c r="P22" s="198">
        <f>VALUE(100/100*(P6-P9)+P9)</f>
        <v>0</v>
      </c>
      <c r="Q22" s="199"/>
      <c r="R22" s="198">
        <f>VALUE(100/100*(R6-R9)+R9)</f>
        <v>0</v>
      </c>
    </row>
    <row r="23" spans="1:18" ht="14.5" customHeight="1" x14ac:dyDescent="0.35">
      <c r="A23" s="175"/>
      <c r="B23" s="198"/>
      <c r="C23" s="175"/>
      <c r="D23" s="198"/>
      <c r="E23" s="199"/>
      <c r="F23" s="198"/>
      <c r="G23" s="198"/>
      <c r="H23" s="198"/>
      <c r="I23" s="175"/>
      <c r="J23" s="198"/>
      <c r="K23" s="199"/>
      <c r="L23" s="198"/>
      <c r="M23" s="198"/>
      <c r="N23" s="198"/>
      <c r="O23" s="175"/>
      <c r="P23" s="198"/>
      <c r="Q23" s="199"/>
      <c r="R23" s="198"/>
    </row>
    <row r="24" spans="1:18" ht="14.5" customHeight="1" x14ac:dyDescent="0.35">
      <c r="A24" s="200" t="s">
        <v>60</v>
      </c>
      <c r="B24" s="198"/>
      <c r="C24" s="175"/>
      <c r="D24" s="198"/>
      <c r="E24" s="199"/>
      <c r="F24" s="198"/>
      <c r="G24" s="198"/>
      <c r="H24" s="198"/>
      <c r="I24" s="175"/>
      <c r="J24" s="198"/>
      <c r="K24" s="199"/>
      <c r="L24" s="198"/>
      <c r="M24" s="198"/>
      <c r="N24" s="198"/>
      <c r="O24" s="175"/>
      <c r="P24" s="198"/>
      <c r="Q24" s="199"/>
      <c r="R24" s="198"/>
    </row>
    <row r="25" spans="1:18" ht="14.5" customHeight="1" x14ac:dyDescent="0.35">
      <c r="A25" s="119">
        <v>0.38200000000000001</v>
      </c>
      <c r="B25" s="201">
        <f>VALUE(B12-38.2/100*(B6-B9))</f>
        <v>11876.269700000001</v>
      </c>
      <c r="C25" s="202"/>
      <c r="D25" s="201">
        <f>VALUE(D12-38.2/100*(D6-D9))</f>
        <v>11921.3421</v>
      </c>
      <c r="E25" s="201"/>
      <c r="F25" s="201">
        <f>VALUE(F12-38.2/100*(F6-F9))</f>
        <v>-80.143599999999722</v>
      </c>
      <c r="G25" s="201"/>
      <c r="H25" s="201">
        <f>VALUE(H12-38.2/100*(H6-H9))</f>
        <v>0</v>
      </c>
      <c r="I25" s="202"/>
      <c r="J25" s="201">
        <f>VALUE(J12-38.2/100*(J6-J9))</f>
        <v>0</v>
      </c>
      <c r="K25" s="201"/>
      <c r="L25" s="203">
        <f>VALUE(L12-38.2/100*(L6-L9))</f>
        <v>0</v>
      </c>
      <c r="M25" s="201"/>
      <c r="N25" s="201">
        <f>VALUE(N12-38.2/100*(N6-N9))</f>
        <v>0</v>
      </c>
      <c r="O25" s="202"/>
      <c r="P25" s="201">
        <f>VALUE(P12-38.2/100*(P6-P9))</f>
        <v>0</v>
      </c>
      <c r="Q25" s="201"/>
      <c r="R25" s="201">
        <f>VALUE(R12-38.2/100*(R6-R9))</f>
        <v>0</v>
      </c>
    </row>
    <row r="26" spans="1:18" ht="14.5" customHeight="1" x14ac:dyDescent="0.35">
      <c r="A26" s="119">
        <v>0.5</v>
      </c>
      <c r="B26" s="201">
        <f>VALUE(B12-50/100*(B6-B9))</f>
        <v>11825.924999999999</v>
      </c>
      <c r="C26" s="202"/>
      <c r="D26" s="201">
        <f>VALUE(D12-50/100*(D6-D9))</f>
        <v>11936.275</v>
      </c>
      <c r="E26" s="201"/>
      <c r="F26" s="201">
        <f>VALUE(F12-50/100*(F6-F9))</f>
        <v>-104.89999999999964</v>
      </c>
      <c r="G26" s="201"/>
      <c r="H26" s="201">
        <f>VALUE(H12-50/100*(H6-H9))</f>
        <v>0</v>
      </c>
      <c r="I26" s="202"/>
      <c r="J26" s="201">
        <f>VALUE(J12-50/100*(J6-J9))</f>
        <v>0</v>
      </c>
      <c r="K26" s="201"/>
      <c r="L26" s="201">
        <f>VALUE(L12-50/100*(L6-L9))</f>
        <v>0</v>
      </c>
      <c r="M26" s="201"/>
      <c r="N26" s="201">
        <f>VALUE(N12-50/100*(N6-N9))</f>
        <v>0</v>
      </c>
      <c r="O26" s="202"/>
      <c r="P26" s="201">
        <f>VALUE(P12-50/100*(P6-P9))</f>
        <v>0</v>
      </c>
      <c r="Q26" s="201"/>
      <c r="R26" s="201">
        <f>VALUE(R12-50/100*(R6-R9))</f>
        <v>0</v>
      </c>
    </row>
    <row r="27" spans="1:18" ht="14.5" customHeight="1" x14ac:dyDescent="0.35">
      <c r="A27" s="120">
        <v>0.61799999999999999</v>
      </c>
      <c r="B27" s="204">
        <f>VALUE(B12-61.8/100*(B6-B9))</f>
        <v>11775.5803</v>
      </c>
      <c r="C27" s="205"/>
      <c r="D27" s="204">
        <f>VALUE(D12-61.8/100*(D6-D9))</f>
        <v>11951.207899999999</v>
      </c>
      <c r="E27" s="204"/>
      <c r="F27" s="204">
        <f>VALUE(F12-61.8/100*(F6-F9))</f>
        <v>-129.65639999999954</v>
      </c>
      <c r="G27" s="204"/>
      <c r="H27" s="204">
        <f>VALUE(H12-61.8/100*(H6-H9))</f>
        <v>0</v>
      </c>
      <c r="I27" s="205"/>
      <c r="J27" s="212">
        <f>VALUE(J12-61.8/100*(J6-J9))</f>
        <v>0</v>
      </c>
      <c r="K27" s="204"/>
      <c r="L27" s="204">
        <f>VALUE(L12-61.8/100*(L6-L9))</f>
        <v>0</v>
      </c>
      <c r="M27" s="204"/>
      <c r="N27" s="204">
        <f>VALUE(N12-61.8/100*(N6-N9))</f>
        <v>0</v>
      </c>
      <c r="O27" s="205"/>
      <c r="P27" s="204">
        <f>VALUE(P12-61.8/100*(P6-P9))</f>
        <v>0</v>
      </c>
      <c r="Q27" s="204"/>
      <c r="R27" s="204">
        <f>VALUE(R12-61.8/100*(R6-R9))</f>
        <v>0</v>
      </c>
    </row>
    <row r="28" spans="1:18" ht="14.5" customHeight="1" x14ac:dyDescent="0.35">
      <c r="A28" s="118">
        <v>0.70699999999999996</v>
      </c>
      <c r="B28" s="198">
        <f>VALUE(B12-70.07/100*(B6-B9))</f>
        <v>11740.296345000001</v>
      </c>
      <c r="C28" s="175"/>
      <c r="D28" s="198">
        <f>VALUE(D12-70.07/100*(D6-D9))</f>
        <v>11961.673584999999</v>
      </c>
      <c r="E28" s="199"/>
      <c r="F28" s="198">
        <f>VALUE(F12-70.07/100*(F6-F9))</f>
        <v>-147.00685999999948</v>
      </c>
      <c r="G28" s="198"/>
      <c r="H28" s="198">
        <f>VALUE(H12-70.07/100*(H6-H9))</f>
        <v>0</v>
      </c>
      <c r="I28" s="175"/>
      <c r="J28" s="198">
        <f>VALUE(J12-70.07/100*(J6-J9))</f>
        <v>0</v>
      </c>
      <c r="K28" s="199"/>
      <c r="L28" s="198">
        <f>VALUE(L12-70.07/100*(L6-L9))</f>
        <v>0</v>
      </c>
      <c r="M28" s="198"/>
      <c r="N28" s="198">
        <f>VALUE(N12-70.07/100*(N6-N9))</f>
        <v>0</v>
      </c>
      <c r="O28" s="175"/>
      <c r="P28" s="198">
        <f>VALUE(P12-70.07/100*(P6-P9))</f>
        <v>0</v>
      </c>
      <c r="Q28" s="199"/>
      <c r="R28" s="198">
        <f>VALUE(R12-70.07/100*(R6-R9))</f>
        <v>0</v>
      </c>
    </row>
    <row r="29" spans="1:18" ht="14.5" customHeight="1" x14ac:dyDescent="0.35">
      <c r="A29" s="119">
        <v>1</v>
      </c>
      <c r="B29" s="201">
        <f>VALUE(B12-100/100*(B6-B9))</f>
        <v>11612.6</v>
      </c>
      <c r="C29" s="202"/>
      <c r="D29" s="201">
        <f>VALUE(D12-100/100*(D6-D9))</f>
        <v>11999.55</v>
      </c>
      <c r="E29" s="201"/>
      <c r="F29" s="201">
        <f>VALUE(F12-100/100*(F6-F9))</f>
        <v>-209.79999999999927</v>
      </c>
      <c r="G29" s="201"/>
      <c r="H29" s="201">
        <f>VALUE(H12-100/100*(H6-H9))</f>
        <v>0</v>
      </c>
      <c r="I29" s="202"/>
      <c r="J29" s="209">
        <f>VALUE(J12-100/100*(J6-J9))</f>
        <v>0</v>
      </c>
      <c r="K29" s="201"/>
      <c r="L29" s="201">
        <f>VALUE(L12-100/100*(L6-L9))</f>
        <v>0</v>
      </c>
      <c r="M29" s="201"/>
      <c r="N29" s="201">
        <f>VALUE(N12-100/100*(N6-N9))</f>
        <v>0</v>
      </c>
      <c r="O29" s="202"/>
      <c r="P29" s="201">
        <f>VALUE(P12-100/100*(P6-P9))</f>
        <v>0</v>
      </c>
      <c r="Q29" s="201"/>
      <c r="R29" s="201">
        <f>VALUE(R12-100/100*(R6-R9))</f>
        <v>0</v>
      </c>
    </row>
    <row r="30" spans="1:18" ht="14.5" customHeight="1" x14ac:dyDescent="0.35">
      <c r="A30" s="121">
        <v>1.236</v>
      </c>
      <c r="B30" s="206">
        <f>VALUE(B12-123.6/100*(B6-B9))</f>
        <v>11511.910600000001</v>
      </c>
      <c r="C30" s="207"/>
      <c r="D30" s="206">
        <f>VALUE(D12-123.6/100*(D6-D9))</f>
        <v>12029.415799999999</v>
      </c>
      <c r="E30" s="206"/>
      <c r="F30" s="206">
        <f>VALUE(F12-123.6/100*(F6-F9))</f>
        <v>-259.31279999999907</v>
      </c>
      <c r="G30" s="206"/>
      <c r="H30" s="206">
        <f>VALUE(H12-123.6/100*(H6-H9))</f>
        <v>0</v>
      </c>
      <c r="I30" s="207"/>
      <c r="J30" s="206">
        <f>VALUE(J12-123.6/100*(J6-J9))</f>
        <v>0</v>
      </c>
      <c r="K30" s="206"/>
      <c r="L30" s="206">
        <f>VALUE(L12-123.6/100*(L6-L9))</f>
        <v>0</v>
      </c>
      <c r="M30" s="206"/>
      <c r="N30" s="206">
        <f>VALUE(N12-123.6/100*(N6-N9))</f>
        <v>0</v>
      </c>
      <c r="O30" s="207"/>
      <c r="P30" s="206">
        <f>VALUE(P12-123.6/100*(P6-P9))</f>
        <v>0</v>
      </c>
      <c r="Q30" s="206"/>
      <c r="R30" s="206">
        <f>VALUE(R12-123.6/100*(R6-R9))</f>
        <v>0</v>
      </c>
    </row>
    <row r="31" spans="1:18" ht="14.5" customHeight="1" x14ac:dyDescent="0.35">
      <c r="A31" s="118">
        <v>1.3819999999999999</v>
      </c>
      <c r="B31" s="198">
        <f>VALUE(B12-138.2/100*(B6-B9))</f>
        <v>11449.619700000001</v>
      </c>
      <c r="C31" s="175"/>
      <c r="D31" s="198">
        <f>VALUE(D12-138.2/100*(D6-D9))</f>
        <v>12047.892099999999</v>
      </c>
      <c r="E31" s="199"/>
      <c r="F31" s="198">
        <f>VALUE(F12-138.2/100*(F6-F9))</f>
        <v>-289.94359999999898</v>
      </c>
      <c r="G31" s="198"/>
      <c r="H31" s="198">
        <f>VALUE(H12-138.2/100*(H6-H9))</f>
        <v>0</v>
      </c>
      <c r="I31" s="175"/>
      <c r="J31" s="198">
        <f>VALUE(J12-138.2/100*(J6-J9))</f>
        <v>0</v>
      </c>
      <c r="K31" s="199"/>
      <c r="L31" s="198">
        <f>VALUE(L12-138.2/100*(L6-L9))</f>
        <v>0</v>
      </c>
      <c r="M31" s="198"/>
      <c r="N31" s="198">
        <f>VALUE(N12-138.2/100*(N6-N9))</f>
        <v>0</v>
      </c>
      <c r="O31" s="175"/>
      <c r="P31" s="198">
        <f>VALUE(P12-138.2/100*(P6-P9))</f>
        <v>0</v>
      </c>
      <c r="Q31" s="199"/>
      <c r="R31" s="198">
        <f>VALUE(R12-138.2/100*(R6-R9))</f>
        <v>0</v>
      </c>
    </row>
    <row r="32" spans="1:18" ht="14.5" customHeight="1" x14ac:dyDescent="0.35">
      <c r="A32" s="118">
        <v>1.5</v>
      </c>
      <c r="B32" s="198">
        <f>VALUE(B12-150/100*(B6-B9))</f>
        <v>11399.275000000001</v>
      </c>
      <c r="C32" s="175"/>
      <c r="D32" s="198">
        <f>VALUE(D12-150/100*(D6-D9))</f>
        <v>12062.824999999999</v>
      </c>
      <c r="E32" s="199"/>
      <c r="F32" s="198">
        <f>VALUE(F12-150/100*(F6-F9))</f>
        <v>-314.69999999999891</v>
      </c>
      <c r="G32" s="198"/>
      <c r="H32" s="198">
        <f>VALUE(H12-150/100*(H6-H9))</f>
        <v>0</v>
      </c>
      <c r="I32" s="175"/>
      <c r="J32" s="198">
        <f>VALUE(J12-150/100*(J6-J9))</f>
        <v>0</v>
      </c>
      <c r="K32" s="199"/>
      <c r="L32" s="198">
        <f>VALUE(L12-150/100*(L6-L9))</f>
        <v>0</v>
      </c>
      <c r="M32" s="198"/>
      <c r="N32" s="198">
        <f>VALUE(N12-150/100*(N6-N9))</f>
        <v>0</v>
      </c>
      <c r="O32" s="175"/>
      <c r="P32" s="198">
        <f>VALUE(P12-150/100*(P6-P9))</f>
        <v>0</v>
      </c>
      <c r="Q32" s="199"/>
      <c r="R32" s="198">
        <f>VALUE(R12-150/100*(R6-R9))</f>
        <v>0</v>
      </c>
    </row>
    <row r="33" spans="1:18" ht="14.5" customHeight="1" x14ac:dyDescent="0.35">
      <c r="A33" s="120">
        <v>1.6180000000000001</v>
      </c>
      <c r="B33" s="204">
        <f>VALUE(B12-161.8/100*(B6-B9))</f>
        <v>11348.9303</v>
      </c>
      <c r="C33" s="205"/>
      <c r="D33" s="204">
        <f>VALUE(D12-161.8/100*(D6-D9))</f>
        <v>12077.757899999999</v>
      </c>
      <c r="E33" s="204"/>
      <c r="F33" s="204">
        <f>VALUE(F12-161.8/100*(F6-F9))</f>
        <v>-339.45639999999884</v>
      </c>
      <c r="G33" s="204"/>
      <c r="H33" s="204">
        <f>VALUE(H12-161.8/100*(H6-H9))</f>
        <v>0</v>
      </c>
      <c r="I33" s="205"/>
      <c r="J33" s="204">
        <f>VALUE(J12-161.8/100*(J6-J9))</f>
        <v>0</v>
      </c>
      <c r="K33" s="204"/>
      <c r="L33" s="204">
        <f>VALUE(L12-161.8/100*(L6-L9))</f>
        <v>0</v>
      </c>
      <c r="M33" s="204"/>
      <c r="N33" s="204">
        <f>VALUE(N12-161.8/100*(N6-N9))</f>
        <v>0</v>
      </c>
      <c r="O33" s="205"/>
      <c r="P33" s="204">
        <f>VALUE(P12-161.8/100*(P6-P9))</f>
        <v>0</v>
      </c>
      <c r="Q33" s="204"/>
      <c r="R33" s="204">
        <f>VALUE(R12-161.8/100*(R6-R9))</f>
        <v>0</v>
      </c>
    </row>
    <row r="34" spans="1:18" ht="14.5" customHeight="1" x14ac:dyDescent="0.35">
      <c r="A34" s="118">
        <v>1.7070000000000001</v>
      </c>
      <c r="B34" s="198">
        <f>VALUE(B12-170.07/100*(B6-B9))</f>
        <v>11313.646345000001</v>
      </c>
      <c r="C34" s="175"/>
      <c r="D34" s="198">
        <f>VALUE(D12-170.07/100*(D6-D9))</f>
        <v>12088.223584999998</v>
      </c>
      <c r="E34" s="199"/>
      <c r="F34" s="198">
        <f>VALUE(F12-170.07/100*(F6-F9))</f>
        <v>-356.80685999999872</v>
      </c>
      <c r="G34" s="198"/>
      <c r="H34" s="198">
        <f>VALUE(H12-170.07/100*(H6-H9))</f>
        <v>0</v>
      </c>
      <c r="I34" s="175"/>
      <c r="J34" s="198">
        <f>VALUE(J12-170.07/100*(J6-J9))</f>
        <v>0</v>
      </c>
      <c r="K34" s="199"/>
      <c r="L34" s="198">
        <f>VALUE(L12-170.07/100*(L6-L9))</f>
        <v>0</v>
      </c>
      <c r="M34" s="198"/>
      <c r="N34" s="198">
        <f>VALUE(N12-170.07/100*(N6-N9))</f>
        <v>0</v>
      </c>
      <c r="O34" s="175"/>
      <c r="P34" s="198">
        <f>VALUE(P12-170.07/100*(P6-P9))</f>
        <v>0</v>
      </c>
      <c r="Q34" s="199"/>
      <c r="R34" s="198">
        <f>VALUE(R12-170.07/100*(R6-R9))</f>
        <v>0</v>
      </c>
    </row>
    <row r="35" spans="1:18" ht="14.5" customHeight="1" x14ac:dyDescent="0.35">
      <c r="A35" s="119">
        <v>2</v>
      </c>
      <c r="B35" s="201">
        <f>VALUE(B12-200/100*(B6-B9))</f>
        <v>11185.95</v>
      </c>
      <c r="C35" s="202"/>
      <c r="D35" s="201">
        <f>VALUE(D12-200/100*(D6-D9))</f>
        <v>12126.099999999999</v>
      </c>
      <c r="E35" s="201"/>
      <c r="F35" s="201">
        <f>VALUE(F12-200/100*(F6-F9))</f>
        <v>-419.59999999999854</v>
      </c>
      <c r="G35" s="201"/>
      <c r="H35" s="201">
        <f>VALUE(H12-200/100*(H6-H9))</f>
        <v>0</v>
      </c>
      <c r="I35" s="202"/>
      <c r="J35" s="201">
        <f>VALUE(J12-200/100*(J6-J9))</f>
        <v>0</v>
      </c>
      <c r="K35" s="201"/>
      <c r="L35" s="201">
        <f>VALUE(L12-200/100*(L6-L9))</f>
        <v>0</v>
      </c>
      <c r="M35" s="201"/>
      <c r="N35" s="201">
        <f>VALUE(N12-200/100*(N6-N9))</f>
        <v>0</v>
      </c>
      <c r="O35" s="202"/>
      <c r="P35" s="201">
        <f>VALUE(P12-200/100*(P6-P9))</f>
        <v>0</v>
      </c>
      <c r="Q35" s="201"/>
      <c r="R35" s="201">
        <f>VALUE(R12-200/100*(R6-R9))</f>
        <v>0</v>
      </c>
    </row>
    <row r="36" spans="1:18" ht="14.5" customHeight="1" x14ac:dyDescent="0.35">
      <c r="A36" s="118">
        <v>2.2360000000000002</v>
      </c>
      <c r="B36" s="198">
        <f>VALUE(B12-223.6/100*(B6-B9))</f>
        <v>11085.260600000001</v>
      </c>
      <c r="C36" s="175"/>
      <c r="D36" s="198">
        <f>VALUE(D12-223.6/100*(D6-D9))</f>
        <v>12155.965799999998</v>
      </c>
      <c r="E36" s="199"/>
      <c r="F36" s="198">
        <f>VALUE(F12-223.6/100*(F6-F9))</f>
        <v>-469.11279999999834</v>
      </c>
      <c r="G36" s="198"/>
      <c r="H36" s="198">
        <f>VALUE(H12-223.6/100*(H6-H9))</f>
        <v>0</v>
      </c>
      <c r="I36" s="175"/>
      <c r="J36" s="198">
        <f>VALUE(J12-223.6/100*(J6-J9))</f>
        <v>0</v>
      </c>
      <c r="K36" s="199"/>
      <c r="L36" s="198">
        <f>VALUE(L12-223.6/100*(L6-L9))</f>
        <v>0</v>
      </c>
      <c r="M36" s="198"/>
      <c r="N36" s="198">
        <f>VALUE(N12-223.6/100*(N6-N9))</f>
        <v>0</v>
      </c>
      <c r="O36" s="175"/>
      <c r="P36" s="198">
        <f>VALUE(P12-223.6/100*(P6-P9))</f>
        <v>0</v>
      </c>
      <c r="Q36" s="199"/>
      <c r="R36" s="198">
        <f>VALUE(R12-223.6/100*(R6-R9))</f>
        <v>0</v>
      </c>
    </row>
    <row r="37" spans="1:18" ht="14.5" customHeight="1" x14ac:dyDescent="0.35">
      <c r="A37" s="119">
        <v>2.3820000000000001</v>
      </c>
      <c r="B37" s="201">
        <f>VALUE(B12-238.2/100*(B6-B9))</f>
        <v>11022.969700000001</v>
      </c>
      <c r="C37" s="202"/>
      <c r="D37" s="201">
        <f>VALUE(D12-238.2/100*(D6-D9))</f>
        <v>12174.442099999998</v>
      </c>
      <c r="E37" s="201"/>
      <c r="F37" s="201">
        <f>VALUE(F12-238.2/100*(F6-F9))</f>
        <v>-499.7435999999982</v>
      </c>
      <c r="G37" s="201"/>
      <c r="H37" s="201">
        <f>VALUE(H12-238.2/100*(H6-H9))</f>
        <v>0</v>
      </c>
      <c r="I37" s="202"/>
      <c r="J37" s="201">
        <f>VALUE(J12-238.2/100*(J6-J9))</f>
        <v>0</v>
      </c>
      <c r="K37" s="201"/>
      <c r="L37" s="201">
        <f>VALUE(L12-238.2/100*(L6-L9))</f>
        <v>0</v>
      </c>
      <c r="M37" s="201"/>
      <c r="N37" s="201">
        <f>VALUE(N12-238.2/100*(N6-N9))</f>
        <v>0</v>
      </c>
      <c r="O37" s="202"/>
      <c r="P37" s="201">
        <f>VALUE(P12-238.2/100*(P6-P9))</f>
        <v>0</v>
      </c>
      <c r="Q37" s="201"/>
      <c r="R37" s="201">
        <f>VALUE(R12-238.2/100*(R6-R9))</f>
        <v>0</v>
      </c>
    </row>
    <row r="38" spans="1:18" ht="14.5" customHeight="1" x14ac:dyDescent="0.35">
      <c r="A38" s="119">
        <v>2.6179999999999999</v>
      </c>
      <c r="B38" s="201">
        <f>VALUE(B12-261.8/100*(B6-B9))</f>
        <v>10922.2803</v>
      </c>
      <c r="C38" s="202"/>
      <c r="D38" s="201">
        <f>VALUE(D12-261.8/100*(D6-D9))</f>
        <v>12204.307899999998</v>
      </c>
      <c r="E38" s="201"/>
      <c r="F38" s="201">
        <f>VALUE(F12-261.8/100*(F6-F9))</f>
        <v>-549.25639999999817</v>
      </c>
      <c r="G38" s="201"/>
      <c r="H38" s="201">
        <f>VALUE(H12-261.8/100*(H6-H9))</f>
        <v>0</v>
      </c>
      <c r="I38" s="202"/>
      <c r="J38" s="201">
        <f>VALUE(J12-261.8/100*(J6-J9))</f>
        <v>0</v>
      </c>
      <c r="K38" s="201"/>
      <c r="L38" s="201">
        <f>VALUE(L12-261.8/100*(L6-L9))</f>
        <v>0</v>
      </c>
      <c r="M38" s="201"/>
      <c r="N38" s="201">
        <f>VALUE(N12-261.8/100*(N6-N9))</f>
        <v>0</v>
      </c>
      <c r="O38" s="202"/>
      <c r="P38" s="201">
        <f>VALUE(P12-261.8/100*(P6-P9))</f>
        <v>0</v>
      </c>
      <c r="Q38" s="201"/>
      <c r="R38" s="201">
        <f>VALUE(R12-261.8/100*(R6-R9))</f>
        <v>0</v>
      </c>
    </row>
    <row r="39" spans="1:18" ht="14.5" customHeight="1" x14ac:dyDescent="0.35">
      <c r="A39" s="119">
        <v>3</v>
      </c>
      <c r="B39" s="201">
        <f>VALUE(B12-300/100*(B6-B9))</f>
        <v>10759.300000000001</v>
      </c>
      <c r="C39" s="202"/>
      <c r="D39" s="201">
        <f>VALUE(D12-300/100*(D6-D9))</f>
        <v>12252.649999999998</v>
      </c>
      <c r="E39" s="201"/>
      <c r="F39" s="201">
        <f>VALUE(F12-300/100*(F6-F9))</f>
        <v>-629.39999999999782</v>
      </c>
      <c r="G39" s="201"/>
      <c r="H39" s="201">
        <f>VALUE(H12-300/100*(H6-H9))</f>
        <v>0</v>
      </c>
      <c r="I39" s="202"/>
      <c r="J39" s="201">
        <f>VALUE(J12-300/100*(J6-J9))</f>
        <v>0</v>
      </c>
      <c r="K39" s="201"/>
      <c r="L39" s="201">
        <f>VALUE(L12-300/100*(L6-L9))</f>
        <v>0</v>
      </c>
      <c r="M39" s="201"/>
      <c r="N39" s="201">
        <f>VALUE(N12-300/100*(N6-N9))</f>
        <v>0</v>
      </c>
      <c r="O39" s="202"/>
      <c r="P39" s="201">
        <f>VALUE(P12-300/100*(P6-P9))</f>
        <v>0</v>
      </c>
      <c r="Q39" s="201"/>
      <c r="R39" s="201">
        <f>VALUE(R12-300/100*(R6-R9))</f>
        <v>0</v>
      </c>
    </row>
    <row r="40" spans="1:18" ht="14.5" customHeight="1" x14ac:dyDescent="0.35">
      <c r="A40" s="118">
        <v>3.2360000000000002</v>
      </c>
      <c r="B40" s="198">
        <f>VALUE(B12-323.6/100*(B6-B9))</f>
        <v>10658.610600000002</v>
      </c>
      <c r="C40" s="175"/>
      <c r="D40" s="198">
        <f>VALUE(D12-323.6/100*(D6-D9))</f>
        <v>12282.515799999997</v>
      </c>
      <c r="E40" s="199"/>
      <c r="F40" s="198">
        <f>VALUE(F12-323.6/100*(F6-F9))</f>
        <v>-678.91279999999767</v>
      </c>
      <c r="G40" s="198"/>
      <c r="H40" s="198">
        <f>VALUE(H12-323.6/100*(H6-H9))</f>
        <v>0</v>
      </c>
      <c r="I40" s="175"/>
      <c r="J40" s="198">
        <f>VALUE(J12-323.6/100*(J6-J9))</f>
        <v>0</v>
      </c>
      <c r="K40" s="199"/>
      <c r="L40" s="198">
        <f>VALUE(L12-323.6/100*(L6-L9))</f>
        <v>0</v>
      </c>
      <c r="M40" s="198"/>
      <c r="N40" s="198">
        <f>VALUE(N12-323.6/100*(N6-N9))</f>
        <v>0</v>
      </c>
      <c r="O40" s="175"/>
      <c r="P40" s="198">
        <f>VALUE(P12-323.6/100*(P6-P9))</f>
        <v>0</v>
      </c>
      <c r="Q40" s="199"/>
      <c r="R40" s="198">
        <f>VALUE(R12-323.6/100*(R6-R9))</f>
        <v>0</v>
      </c>
    </row>
    <row r="41" spans="1:18" ht="14.5" customHeight="1" x14ac:dyDescent="0.35">
      <c r="A41" s="119">
        <v>3.3820000000000001</v>
      </c>
      <c r="B41" s="201">
        <f>VALUE(B12-338.2/100*(B6-B9))</f>
        <v>10596.319700000002</v>
      </c>
      <c r="C41" s="202"/>
      <c r="D41" s="201">
        <f>VALUE(D12-338.2/100*(D6-D9))</f>
        <v>12300.992099999998</v>
      </c>
      <c r="E41" s="201"/>
      <c r="F41" s="201">
        <f>VALUE(F12-338.2/100*(F6-F9))</f>
        <v>-709.54359999999747</v>
      </c>
      <c r="G41" s="201"/>
      <c r="H41" s="201">
        <f>VALUE(H12-338.2/100*(H6-H9))</f>
        <v>0</v>
      </c>
      <c r="I41" s="202"/>
      <c r="J41" s="201">
        <f>VALUE(J12-338.2/100*(J6-J9))</f>
        <v>0</v>
      </c>
      <c r="K41" s="201"/>
      <c r="L41" s="201">
        <f>VALUE(L12-338.2/100*(L6-L9))</f>
        <v>0</v>
      </c>
      <c r="M41" s="201"/>
      <c r="N41" s="201">
        <f>VALUE(N12-338.2/100*(N6-N9))</f>
        <v>0</v>
      </c>
      <c r="O41" s="202"/>
      <c r="P41" s="201">
        <f>VALUE(P12-338.2/100*(P6-P9))</f>
        <v>0</v>
      </c>
      <c r="Q41" s="201"/>
      <c r="R41" s="201">
        <f>VALUE(R12-338.2/100*(R6-R9))</f>
        <v>0</v>
      </c>
    </row>
    <row r="42" spans="1:18" ht="14.5" customHeight="1" x14ac:dyDescent="0.35">
      <c r="A42" s="119">
        <v>3.6179999999999999</v>
      </c>
      <c r="B42" s="201">
        <f>VALUE(B12-361.8/100*(B6-B9))</f>
        <v>10495.630300000001</v>
      </c>
      <c r="C42" s="202"/>
      <c r="D42" s="201">
        <f>VALUE(D12-361.8/100*(D6-D9))</f>
        <v>12330.857899999997</v>
      </c>
      <c r="E42" s="201"/>
      <c r="F42" s="201">
        <f>VALUE(F12-361.8/100*(F6-F9))</f>
        <v>-759.05639999999744</v>
      </c>
      <c r="G42" s="201"/>
      <c r="H42" s="201">
        <f>VALUE(H12-361.8/100*(H6-H9))</f>
        <v>0</v>
      </c>
      <c r="I42" s="202"/>
      <c r="J42" s="201">
        <f>VALUE(J12-361.8/100*(J6-J9))</f>
        <v>0</v>
      </c>
      <c r="K42" s="201"/>
      <c r="L42" s="201">
        <f>VALUE(L12-361.8/100*(L6-L9))</f>
        <v>0</v>
      </c>
      <c r="M42" s="201"/>
      <c r="N42" s="201">
        <f>VALUE(N12-361.8/100*(N6-N9))</f>
        <v>0</v>
      </c>
      <c r="O42" s="202"/>
      <c r="P42" s="201">
        <f>VALUE(P12-361.8/100*(P6-P9))</f>
        <v>0</v>
      </c>
      <c r="Q42" s="201"/>
      <c r="R42" s="201">
        <f>VALUE(R12-361.8/100*(R6-R9))</f>
        <v>0</v>
      </c>
    </row>
    <row r="43" spans="1:18" ht="14.5" customHeight="1" x14ac:dyDescent="0.35">
      <c r="A43" s="119">
        <v>4</v>
      </c>
      <c r="B43" s="201">
        <f>VALUE(B12-400/100*(B6-B9))</f>
        <v>10332.650000000001</v>
      </c>
      <c r="C43" s="202"/>
      <c r="D43" s="201">
        <f>VALUE(D12-400/100*(D6-D9))</f>
        <v>12379.199999999997</v>
      </c>
      <c r="E43" s="201"/>
      <c r="F43" s="201">
        <f>VALUE(F12-400/100*(F6-F9))</f>
        <v>-839.19999999999709</v>
      </c>
      <c r="G43" s="201"/>
      <c r="H43" s="201">
        <f>VALUE(H12-400/100*(H6-H9))</f>
        <v>0</v>
      </c>
      <c r="I43" s="202"/>
      <c r="J43" s="201">
        <f>VALUE(J12-400/100*(J6-J9))</f>
        <v>0</v>
      </c>
      <c r="K43" s="201"/>
      <c r="L43" s="201">
        <f>VALUE(L12-400/100*(L6-L9))</f>
        <v>0</v>
      </c>
      <c r="M43" s="201"/>
      <c r="N43" s="201">
        <f>VALUE(N12-400/100*(N6-N9))</f>
        <v>0</v>
      </c>
      <c r="O43" s="202"/>
      <c r="P43" s="201">
        <f>VALUE(P12-400/100*(P6-P9))</f>
        <v>0</v>
      </c>
      <c r="Q43" s="201"/>
      <c r="R43" s="201">
        <f>VALUE(R12-400/100*(R6-R9))</f>
        <v>0</v>
      </c>
    </row>
    <row r="44" spans="1:18" ht="14.5" customHeight="1" x14ac:dyDescent="0.35">
      <c r="A44" s="118">
        <v>4.2359999999999998</v>
      </c>
      <c r="B44" s="198">
        <f>VALUE(B12-423.6/100*(B6-B9))</f>
        <v>10231.960600000002</v>
      </c>
      <c r="C44" s="175"/>
      <c r="D44" s="198">
        <f>VALUE(D12-423.6/100*(D6-D9))</f>
        <v>12409.065799999997</v>
      </c>
      <c r="E44" s="199"/>
      <c r="F44" s="198">
        <f>VALUE(F12-423.6/100*(F6-F9))</f>
        <v>-888.71279999999706</v>
      </c>
      <c r="G44" s="198"/>
      <c r="H44" s="198">
        <f>VALUE(H12-423.6/100*(H6-H9))</f>
        <v>0</v>
      </c>
      <c r="I44" s="175"/>
      <c r="J44" s="198">
        <f>VALUE(J12-423.6/100*(J6-J9))</f>
        <v>0</v>
      </c>
      <c r="K44" s="199"/>
      <c r="L44" s="198">
        <f>VALUE(L12-423.6/100*(L6-L9))</f>
        <v>0</v>
      </c>
      <c r="M44" s="198"/>
      <c r="N44" s="198">
        <f>VALUE(N12-423.6/100*(N6-N9))</f>
        <v>0</v>
      </c>
      <c r="O44" s="175"/>
      <c r="P44" s="198">
        <f>VALUE(P12-423.6/100*(P6-P9))</f>
        <v>0</v>
      </c>
      <c r="Q44" s="199"/>
      <c r="R44" s="198">
        <f>VALUE(R12-423.6/100*(R6-R9))</f>
        <v>0</v>
      </c>
    </row>
    <row r="45" spans="1:18" ht="14.5" customHeight="1" x14ac:dyDescent="0.35">
      <c r="A45" s="118">
        <v>4.3819999999999997</v>
      </c>
      <c r="B45" s="198">
        <f>VALUE(B12-438.2/100*(B6-B9))</f>
        <v>10169.669700000002</v>
      </c>
      <c r="C45" s="175"/>
      <c r="D45" s="198">
        <f>VALUE(D12-438.2/100*(D6-D9))</f>
        <v>12427.542099999997</v>
      </c>
      <c r="E45" s="199"/>
      <c r="F45" s="198">
        <f>VALUE(F12-438.2/100*(F6-F9))</f>
        <v>-919.34359999999674</v>
      </c>
      <c r="G45" s="198"/>
      <c r="H45" s="198">
        <f>VALUE(H12-438.2/100*(H6-H9))</f>
        <v>0</v>
      </c>
      <c r="I45" s="175"/>
      <c r="J45" s="198">
        <f>VALUE(J12-438.2/100*(J6-J9))</f>
        <v>0</v>
      </c>
      <c r="K45" s="199"/>
      <c r="L45" s="198">
        <f>VALUE(L12-438.2/100*(L6-L9))</f>
        <v>0</v>
      </c>
      <c r="M45" s="198"/>
      <c r="N45" s="198">
        <f>VALUE(N12-438.2/100*(N6-N9))</f>
        <v>0</v>
      </c>
      <c r="O45" s="175"/>
      <c r="P45" s="198">
        <f>VALUE(P12-438.2/100*(P6-P9))</f>
        <v>0</v>
      </c>
      <c r="Q45" s="199"/>
      <c r="R45" s="198">
        <f>VALUE(R12-438.2/100*(R6-R9))</f>
        <v>0</v>
      </c>
    </row>
    <row r="46" spans="1:18" ht="14.5" customHeight="1" x14ac:dyDescent="0.35">
      <c r="A46" s="118">
        <v>4.6180000000000003</v>
      </c>
      <c r="B46" s="198">
        <f>VALUE(B12-461.8/100*(B6-B9))</f>
        <v>10068.980300000001</v>
      </c>
      <c r="C46" s="175"/>
      <c r="D46" s="198">
        <f>VALUE(D12-461.8/100*(D6-D9))</f>
        <v>12457.407899999997</v>
      </c>
      <c r="E46" s="199"/>
      <c r="F46" s="198">
        <f>VALUE(F12-461.8/100*(F6-F9))</f>
        <v>-968.85639999999671</v>
      </c>
      <c r="G46" s="198"/>
      <c r="H46" s="198">
        <f>VALUE(H12-461.8/100*(H6-H9))</f>
        <v>0</v>
      </c>
      <c r="I46" s="175"/>
      <c r="J46" s="198">
        <f>VALUE(J12-461.8/100*(J6-J9))</f>
        <v>0</v>
      </c>
      <c r="K46" s="199"/>
      <c r="L46" s="198">
        <f>VALUE(L12-461.8/100*(L6-L9))</f>
        <v>0</v>
      </c>
      <c r="M46" s="198"/>
      <c r="N46" s="198">
        <f>VALUE(N12-461.8/100*(N6-N9))</f>
        <v>0</v>
      </c>
      <c r="O46" s="175"/>
      <c r="P46" s="198">
        <f>VALUE(P12-461.8/100*(P6-P9))</f>
        <v>0</v>
      </c>
      <c r="Q46" s="199"/>
      <c r="R46" s="198">
        <f>VALUE(R12-461.8/100*(R6-R9))</f>
        <v>0</v>
      </c>
    </row>
    <row r="47" spans="1:18" ht="14.5" customHeight="1" x14ac:dyDescent="0.35">
      <c r="A47" s="118">
        <v>5</v>
      </c>
      <c r="B47" s="198">
        <f>VALUE(B12-500/100*(B6-B9))</f>
        <v>9906.0000000000018</v>
      </c>
      <c r="C47" s="175"/>
      <c r="D47" s="198">
        <f>VALUE(D12-500/100*(D6-D9))</f>
        <v>12505.749999999996</v>
      </c>
      <c r="E47" s="199"/>
      <c r="F47" s="198">
        <f>VALUE(F12-500/100*(F6-F9))</f>
        <v>-1048.9999999999964</v>
      </c>
      <c r="G47" s="198"/>
      <c r="H47" s="198">
        <f>VALUE(H12-500/100*(H6-H9))</f>
        <v>0</v>
      </c>
      <c r="I47" s="175"/>
      <c r="J47" s="198">
        <f>VALUE(J12-500/100*(J6-J9))</f>
        <v>0</v>
      </c>
      <c r="K47" s="199"/>
      <c r="L47" s="198">
        <f>VALUE(L12-500/100*(L6-L9))</f>
        <v>0</v>
      </c>
      <c r="M47" s="198"/>
      <c r="N47" s="198">
        <f>VALUE(N12-500/100*(N6-N9))</f>
        <v>0</v>
      </c>
      <c r="O47" s="175"/>
      <c r="P47" s="198">
        <f>VALUE(P12-500/100*(P6-P9))</f>
        <v>0</v>
      </c>
      <c r="Q47" s="199"/>
      <c r="R47" s="198">
        <f>VALUE(R12-500/100*(R6-R9))</f>
        <v>0</v>
      </c>
    </row>
    <row r="48" spans="1:18" ht="14.5" customHeight="1" x14ac:dyDescent="0.35">
      <c r="A48" s="118">
        <v>5.2359999999999998</v>
      </c>
      <c r="B48" s="198">
        <f>VALUE(B12-523.6/100*(B6-B9))</f>
        <v>9805.3106000000007</v>
      </c>
      <c r="C48" s="175"/>
      <c r="D48" s="198">
        <f>VALUE(D12-523.6/100*(D6-D9))</f>
        <v>12535.615799999996</v>
      </c>
      <c r="E48" s="199"/>
      <c r="F48" s="198">
        <f>VALUE(F12-523.6/100*(F6-F9))</f>
        <v>-1098.5127999999963</v>
      </c>
      <c r="G48" s="198"/>
      <c r="H48" s="198">
        <f>VALUE(H12-523.6/100*(H6-H9))</f>
        <v>0</v>
      </c>
      <c r="I48" s="175"/>
      <c r="J48" s="198">
        <f>VALUE(J12-523.6/100*(J6-J9))</f>
        <v>0</v>
      </c>
      <c r="K48" s="199"/>
      <c r="L48" s="198">
        <f>VALUE(L12-523.6/100*(L6-L9))</f>
        <v>0</v>
      </c>
      <c r="M48" s="198"/>
      <c r="N48" s="198">
        <f>VALUE(N12-523.6/100*(N6-N9))</f>
        <v>0</v>
      </c>
      <c r="O48" s="175"/>
      <c r="P48" s="198">
        <f>VALUE(P12-523.6/100*(P6-P9))</f>
        <v>0</v>
      </c>
      <c r="Q48" s="199"/>
      <c r="R48" s="198">
        <f>VALUE(R12-523.6/100*(R6-R9))</f>
        <v>0</v>
      </c>
    </row>
    <row r="49" spans="1:18" ht="14.5" customHeight="1" x14ac:dyDescent="0.35">
      <c r="A49" s="118">
        <v>5.3819999999999997</v>
      </c>
      <c r="B49" s="198">
        <f>VALUE(B12-538.2/100*(B6-B9))</f>
        <v>9743.0197000000007</v>
      </c>
      <c r="C49" s="175"/>
      <c r="D49" s="198">
        <f>VALUE(D12-538.2/100*(D6-D9))</f>
        <v>12554.092099999996</v>
      </c>
      <c r="E49" s="199"/>
      <c r="F49" s="198">
        <f>VALUE(F12-538.2/100*(F6-F9))</f>
        <v>-1129.1435999999962</v>
      </c>
      <c r="G49" s="198"/>
      <c r="H49" s="198">
        <f>VALUE(H12-538.2/100*(H6-H9))</f>
        <v>0</v>
      </c>
      <c r="I49" s="175"/>
      <c r="J49" s="198">
        <f>VALUE(J12-538.2/100*(J6-J9))</f>
        <v>0</v>
      </c>
      <c r="K49" s="199"/>
      <c r="L49" s="198">
        <f>VALUE(L12-538.2/100*(L6-L9))</f>
        <v>0</v>
      </c>
      <c r="M49" s="198"/>
      <c r="N49" s="198">
        <f>VALUE(N12-538.2/100*(N6-N9))</f>
        <v>0</v>
      </c>
      <c r="O49" s="175"/>
      <c r="P49" s="198">
        <f>VALUE(P12-538.2/100*(P6-P9))</f>
        <v>0</v>
      </c>
      <c r="Q49" s="199"/>
      <c r="R49" s="198">
        <f>VALUE(R12-538.2/100*(R6-R9))</f>
        <v>0</v>
      </c>
    </row>
    <row r="50" spans="1:18" ht="14.5" customHeight="1" x14ac:dyDescent="0.35">
      <c r="A50" s="118">
        <v>5.6180000000000003</v>
      </c>
      <c r="B50" s="198">
        <f>VALUE(B12-561.8/100*(B6-B9))</f>
        <v>9642.3303000000014</v>
      </c>
      <c r="C50" s="175"/>
      <c r="D50" s="198">
        <f>VALUE(D12-561.8/100*(D6-D9))</f>
        <v>12583.957899999996</v>
      </c>
      <c r="E50" s="199"/>
      <c r="F50" s="198">
        <f>VALUE(F12-561.8/100*(F6-F9))</f>
        <v>-1178.6563999999958</v>
      </c>
      <c r="G50" s="198"/>
      <c r="H50" s="198">
        <f>VALUE(H12-561.8/100*(H6-H9))</f>
        <v>0</v>
      </c>
      <c r="I50" s="175"/>
      <c r="J50" s="198">
        <f>VALUE(J12-561.8/100*(J6-J9))</f>
        <v>0</v>
      </c>
      <c r="K50" s="199"/>
      <c r="L50" s="198">
        <f>VALUE(L12-561.8/100*(L6-L9))</f>
        <v>0</v>
      </c>
      <c r="M50" s="198"/>
      <c r="N50" s="198">
        <f>VALUE(N12-561.8/100*(N6-N9))</f>
        <v>0</v>
      </c>
      <c r="O50" s="175"/>
      <c r="P50" s="198">
        <f>VALUE(P12-561.8/100*(P6-P9))</f>
        <v>0</v>
      </c>
      <c r="Q50" s="199"/>
      <c r="R50" s="19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heetViews>
  <sheetFormatPr defaultColWidth="8.81640625" defaultRowHeight="14.5" customHeight="1" x14ac:dyDescent="0.35"/>
  <cols>
    <col min="1" max="1" width="112.81640625" style="91" customWidth="1"/>
    <col min="2" max="252" width="8.81640625" style="91" customWidth="1"/>
  </cols>
  <sheetData>
    <row r="1" spans="1:1" ht="101.5" x14ac:dyDescent="0.35">
      <c r="A1" s="100" t="s">
        <v>73</v>
      </c>
    </row>
    <row r="2" spans="1:1" ht="14.5" customHeight="1" x14ac:dyDescent="0.35">
      <c r="A2" s="91" t="s">
        <v>69</v>
      </c>
    </row>
    <row r="3" spans="1:1" ht="14.5" customHeight="1" x14ac:dyDescent="0.35">
      <c r="A3" s="91" t="s">
        <v>70</v>
      </c>
    </row>
    <row r="4" spans="1:1" ht="14.5" customHeight="1" x14ac:dyDescent="0.35">
      <c r="A4" s="91" t="s">
        <v>71</v>
      </c>
    </row>
    <row r="5" spans="1:1" ht="14.5" customHeight="1" x14ac:dyDescent="0.35">
      <c r="A5" s="91" t="s">
        <v>72</v>
      </c>
    </row>
    <row r="6" spans="1:1" ht="14.5" customHeight="1" x14ac:dyDescent="0.35">
      <c r="A6" s="9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X75"/>
  <sheetViews>
    <sheetView showGridLines="0" topLeftCell="DL1" zoomScaleNormal="100" workbookViewId="0">
      <selection activeCell="DU1" sqref="DU1:DY1048576"/>
    </sheetView>
  </sheetViews>
  <sheetFormatPr defaultColWidth="8.81640625" defaultRowHeight="14.5" customHeight="1" x14ac:dyDescent="0.35"/>
  <cols>
    <col min="1" max="4" width="8.81640625" style="33" customWidth="1"/>
    <col min="5" max="49" width="10.81640625" style="33" customWidth="1"/>
    <col min="50" max="129" width="10.81640625" style="91" customWidth="1"/>
    <col min="130" max="336" width="8.81640625" style="33" customWidth="1"/>
  </cols>
  <sheetData>
    <row r="1" spans="1:129" ht="14.5" customHeight="1" x14ac:dyDescent="0.35">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row>
    <row r="2" spans="1:129"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row>
    <row r="3" spans="1:129"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row>
    <row r="4" spans="1:129"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row>
    <row r="5" spans="1:129" ht="14.5" customHeight="1" x14ac:dyDescent="0.35">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row>
    <row r="6" spans="1:129"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Y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row>
    <row r="7" spans="1:129" ht="14.5" customHeight="1" x14ac:dyDescent="0.35">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Y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c r="DU7" s="16">
        <f t="shared" si="11"/>
        <v>12085.7</v>
      </c>
      <c r="DV7" s="16">
        <f t="shared" si="11"/>
        <v>12037.3</v>
      </c>
      <c r="DW7" s="16">
        <f t="shared" si="11"/>
        <v>11991.599999999999</v>
      </c>
      <c r="DX7" s="16">
        <f t="shared" si="11"/>
        <v>12066.375</v>
      </c>
      <c r="DY7" s="16">
        <f t="shared" si="11"/>
        <v>12190.824999999999</v>
      </c>
    </row>
    <row r="8" spans="1:129" ht="14.5" customHeight="1" x14ac:dyDescent="0.35">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Y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c r="DU8" s="17">
        <f t="shared" si="17"/>
        <v>12042.85</v>
      </c>
      <c r="DV8" s="17">
        <f t="shared" si="17"/>
        <v>12011.05</v>
      </c>
      <c r="DW8" s="17">
        <f t="shared" si="17"/>
        <v>11971.699999999999</v>
      </c>
      <c r="DX8" s="17">
        <f t="shared" si="17"/>
        <v>12033.766666666666</v>
      </c>
      <c r="DY8" s="17">
        <f t="shared" si="17"/>
        <v>12140.3</v>
      </c>
    </row>
    <row r="9" spans="1:129" ht="14.5" customHeight="1" x14ac:dyDescent="0.35">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Y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c r="DU9" s="16">
        <f t="shared" si="23"/>
        <v>12013.325000000001</v>
      </c>
      <c r="DV9" s="16">
        <f t="shared" si="23"/>
        <v>11990.474999999999</v>
      </c>
      <c r="DW9" s="16">
        <f t="shared" si="23"/>
        <v>11944.05</v>
      </c>
      <c r="DX9" s="16">
        <f t="shared" si="23"/>
        <v>12011.8</v>
      </c>
      <c r="DY9" s="16">
        <f t="shared" si="23"/>
        <v>12085.924999999999</v>
      </c>
    </row>
    <row r="10" spans="1:129" ht="14.5" customHeight="1" x14ac:dyDescent="0.35">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Y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c r="DU10" s="18">
        <f t="shared" si="29"/>
        <v>11983.800000000001</v>
      </c>
      <c r="DV10" s="18">
        <f t="shared" si="29"/>
        <v>11969.9</v>
      </c>
      <c r="DW10" s="18">
        <f t="shared" si="29"/>
        <v>11916.399999999998</v>
      </c>
      <c r="DX10" s="18">
        <f t="shared" si="29"/>
        <v>11989.833333333334</v>
      </c>
      <c r="DY10" s="18">
        <f t="shared" si="29"/>
        <v>12031.55</v>
      </c>
    </row>
    <row r="11" spans="1:129" ht="14.5" customHeight="1" x14ac:dyDescent="0.35">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Y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c r="DU11" s="16">
        <f t="shared" si="35"/>
        <v>11940.95</v>
      </c>
      <c r="DV11" s="16">
        <f t="shared" si="35"/>
        <v>11943.65</v>
      </c>
      <c r="DW11" s="16">
        <f t="shared" si="35"/>
        <v>11896.499999999998</v>
      </c>
      <c r="DX11" s="16">
        <f t="shared" si="35"/>
        <v>11957.225</v>
      </c>
      <c r="DY11" s="16">
        <f t="shared" si="35"/>
        <v>11981.025</v>
      </c>
    </row>
    <row r="12" spans="1:129"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row>
    <row r="13" spans="1:129" ht="14.5" customHeight="1" x14ac:dyDescent="0.35">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Y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c r="DU13" s="20">
        <f t="shared" si="41"/>
        <v>11911.425000000001</v>
      </c>
      <c r="DV13" s="20">
        <f t="shared" si="41"/>
        <v>11923.075000000001</v>
      </c>
      <c r="DW13" s="20">
        <f t="shared" si="41"/>
        <v>11884.349999999999</v>
      </c>
      <c r="DX13" s="20">
        <f t="shared" si="41"/>
        <v>11935.258333333335</v>
      </c>
      <c r="DY13" s="20">
        <f t="shared" si="41"/>
        <v>11934.35</v>
      </c>
    </row>
    <row r="14" spans="1:129" ht="14.5" customHeight="1" x14ac:dyDescent="0.35">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Y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c r="DU14" s="11">
        <f t="shared" si="47"/>
        <v>11898.1</v>
      </c>
      <c r="DV14" s="11">
        <f t="shared" si="47"/>
        <v>11917.4</v>
      </c>
      <c r="DW14" s="11">
        <f t="shared" si="47"/>
        <v>11876.599999999999</v>
      </c>
      <c r="DX14" s="11">
        <f t="shared" si="47"/>
        <v>11924.616666666667</v>
      </c>
      <c r="DY14" s="11">
        <f t="shared" si="47"/>
        <v>11930.5</v>
      </c>
    </row>
    <row r="15" spans="1:129" ht="14.5" customHeight="1" x14ac:dyDescent="0.35">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Y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c r="DU15" s="21">
        <f t="shared" si="53"/>
        <v>11884.775</v>
      </c>
      <c r="DV15" s="21">
        <f t="shared" si="53"/>
        <v>11911.724999999999</v>
      </c>
      <c r="DW15" s="21">
        <f t="shared" si="53"/>
        <v>11868.849999999999</v>
      </c>
      <c r="DX15" s="21">
        <f t="shared" si="53"/>
        <v>11913.974999999999</v>
      </c>
      <c r="DY15" s="21">
        <f t="shared" si="53"/>
        <v>11926.65</v>
      </c>
    </row>
    <row r="16" spans="1:129"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row>
    <row r="17" spans="1:129" ht="14.5" customHeight="1" x14ac:dyDescent="0.35">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Y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c r="DU17" s="16">
        <f t="shared" si="59"/>
        <v>11868.575000000001</v>
      </c>
      <c r="DV17" s="16">
        <f t="shared" si="59"/>
        <v>11896.825000000001</v>
      </c>
      <c r="DW17" s="16">
        <f t="shared" si="59"/>
        <v>11848.949999999997</v>
      </c>
      <c r="DX17" s="16">
        <f t="shared" si="59"/>
        <v>11902.650000000001</v>
      </c>
      <c r="DY17" s="16">
        <f t="shared" si="59"/>
        <v>11876.125</v>
      </c>
    </row>
    <row r="18" spans="1:129" ht="14.5" customHeight="1" x14ac:dyDescent="0.35">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Y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c r="DU18" s="22">
        <f t="shared" si="65"/>
        <v>11839.050000000001</v>
      </c>
      <c r="DV18" s="22">
        <f t="shared" si="65"/>
        <v>11876.25</v>
      </c>
      <c r="DW18" s="22">
        <f t="shared" si="65"/>
        <v>11821.299999999997</v>
      </c>
      <c r="DX18" s="22">
        <f t="shared" si="65"/>
        <v>11880.683333333334</v>
      </c>
      <c r="DY18" s="22">
        <f t="shared" si="65"/>
        <v>11821.75</v>
      </c>
    </row>
    <row r="19" spans="1:129" ht="14.5" customHeight="1" x14ac:dyDescent="0.35">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Y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c r="DU19" s="16">
        <f t="shared" si="71"/>
        <v>11796.2</v>
      </c>
      <c r="DV19" s="16">
        <f t="shared" si="71"/>
        <v>11850</v>
      </c>
      <c r="DW19" s="16">
        <f t="shared" si="71"/>
        <v>11801.399999999998</v>
      </c>
      <c r="DX19" s="16">
        <f t="shared" si="71"/>
        <v>11848.075000000001</v>
      </c>
      <c r="DY19" s="16">
        <f t="shared" si="71"/>
        <v>11771.225</v>
      </c>
    </row>
    <row r="20" spans="1:129" ht="14.5" customHeight="1" x14ac:dyDescent="0.35">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Y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c r="DU20" s="23">
        <f t="shared" si="77"/>
        <v>11753.35</v>
      </c>
      <c r="DV20" s="23">
        <f t="shared" si="77"/>
        <v>11823.75</v>
      </c>
      <c r="DW20" s="23">
        <f t="shared" si="77"/>
        <v>11781.499999999998</v>
      </c>
      <c r="DX20" s="23">
        <f t="shared" si="77"/>
        <v>11815.466666666667</v>
      </c>
      <c r="DY20" s="23">
        <f t="shared" si="77"/>
        <v>11720.7</v>
      </c>
    </row>
    <row r="21" spans="1:129" ht="14.5" customHeight="1" x14ac:dyDescent="0.35">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Y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c r="DU21" s="16">
        <f t="shared" si="83"/>
        <v>11723.825000000001</v>
      </c>
      <c r="DV21" s="16">
        <f t="shared" si="83"/>
        <v>11803.174999999999</v>
      </c>
      <c r="DW21" s="16">
        <f t="shared" si="83"/>
        <v>11753.849999999999</v>
      </c>
      <c r="DX21" s="16">
        <f t="shared" si="83"/>
        <v>11793.5</v>
      </c>
      <c r="DY21" s="16">
        <f t="shared" si="83"/>
        <v>11666.325000000001</v>
      </c>
    </row>
    <row r="22" spans="1:129" ht="14.5" customHeight="1" x14ac:dyDescent="0.35">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Y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c r="DU22" s="24">
        <f t="shared" si="89"/>
        <v>11694.300000000001</v>
      </c>
      <c r="DV22" s="24">
        <f t="shared" si="89"/>
        <v>11782.6</v>
      </c>
      <c r="DW22" s="24">
        <f t="shared" si="89"/>
        <v>11726.199999999997</v>
      </c>
      <c r="DX22" s="24">
        <f t="shared" si="89"/>
        <v>11771.533333333335</v>
      </c>
      <c r="DY22" s="24">
        <f t="shared" si="89"/>
        <v>11611.95</v>
      </c>
    </row>
    <row r="23" spans="1:129" ht="14.5" customHeight="1" x14ac:dyDescent="0.35">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row>
    <row r="24" spans="1:129" ht="14.5" customHeight="1" x14ac:dyDescent="0.35">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Y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c r="DU24" s="17">
        <f t="shared" si="95"/>
        <v>12070.876744988316</v>
      </c>
      <c r="DV24" s="17">
        <f t="shared" si="95"/>
        <v>12022.903969902822</v>
      </c>
      <c r="DW24" s="17">
        <f t="shared" si="95"/>
        <v>11956.395232664236</v>
      </c>
      <c r="DX24" s="17">
        <f t="shared" si="95"/>
        <v>12055.846117425839</v>
      </c>
      <c r="DY24" s="17">
        <f t="shared" si="95"/>
        <v>12134.255599372749</v>
      </c>
    </row>
    <row r="25" spans="1:129" ht="14.5" customHeight="1" x14ac:dyDescent="0.35">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Y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c r="DU25" s="16">
        <f t="shared" si="101"/>
        <v>12050.856199999998</v>
      </c>
      <c r="DV25" s="16">
        <f t="shared" si="101"/>
        <v>12010.337879999999</v>
      </c>
      <c r="DW25" s="16">
        <f t="shared" si="101"/>
        <v>11943.951120000002</v>
      </c>
      <c r="DX25" s="16">
        <f t="shared" si="101"/>
        <v>12040.991479999997</v>
      </c>
      <c r="DY25" s="16">
        <f t="shared" si="101"/>
        <v>12105.577759999998</v>
      </c>
    </row>
    <row r="26" spans="1:129" ht="14.5" customHeight="1" x14ac:dyDescent="0.35">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Y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c r="DU26" s="18">
        <f t="shared" si="107"/>
        <v>12004.362499999999</v>
      </c>
      <c r="DV26" s="18">
        <f t="shared" si="107"/>
        <v>11980.2575</v>
      </c>
      <c r="DW26" s="18">
        <f t="shared" si="107"/>
        <v>11913.405000000001</v>
      </c>
      <c r="DX26" s="18">
        <f t="shared" si="107"/>
        <v>12005.932499999999</v>
      </c>
      <c r="DY26" s="18">
        <f t="shared" si="107"/>
        <v>12038.189999999999</v>
      </c>
    </row>
    <row r="27" spans="1:129" ht="14.5" customHeight="1" x14ac:dyDescent="0.35">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Y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c r="DU27" s="7">
        <f t="shared" si="113"/>
        <v>11964.55625</v>
      </c>
      <c r="DV27" s="7">
        <f t="shared" si="113"/>
        <v>11954.50375</v>
      </c>
      <c r="DW27" s="7">
        <f t="shared" si="113"/>
        <v>11887.252500000001</v>
      </c>
      <c r="DX27" s="7">
        <f t="shared" si="113"/>
        <v>11975.91625</v>
      </c>
      <c r="DY27" s="7">
        <f t="shared" si="113"/>
        <v>11980.494999999999</v>
      </c>
    </row>
    <row r="28" spans="1:129" ht="14.5" customHeight="1" x14ac:dyDescent="0.35">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Y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c r="DU28" s="16">
        <f t="shared" si="119"/>
        <v>11951.2875</v>
      </c>
      <c r="DV28" s="16">
        <f t="shared" si="119"/>
        <v>11945.919166666667</v>
      </c>
      <c r="DW28" s="16">
        <f t="shared" si="119"/>
        <v>11878.535</v>
      </c>
      <c r="DX28" s="16">
        <f t="shared" si="119"/>
        <v>11965.910833333333</v>
      </c>
      <c r="DY28" s="16">
        <f t="shared" si="119"/>
        <v>11961.263333333332</v>
      </c>
    </row>
    <row r="29" spans="1:129" ht="14.5" customHeight="1" x14ac:dyDescent="0.35">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Y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c r="DU29" s="16">
        <f t="shared" si="125"/>
        <v>11938.018749999999</v>
      </c>
      <c r="DV29" s="16">
        <f t="shared" si="125"/>
        <v>11937.334583333333</v>
      </c>
      <c r="DW29" s="16">
        <f t="shared" si="125"/>
        <v>11869.817500000001</v>
      </c>
      <c r="DX29" s="16">
        <f t="shared" si="125"/>
        <v>11955.905416666666</v>
      </c>
      <c r="DY29" s="16">
        <f t="shared" si="125"/>
        <v>11942.031666666666</v>
      </c>
    </row>
    <row r="30" spans="1:129" ht="14.5" customHeight="1" x14ac:dyDescent="0.35">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Y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c r="DU30" s="11">
        <f t="shared" si="131"/>
        <v>11924.75</v>
      </c>
      <c r="DV30" s="11">
        <f t="shared" si="131"/>
        <v>11928.75</v>
      </c>
      <c r="DW30" s="11">
        <f t="shared" si="131"/>
        <v>11861.1</v>
      </c>
      <c r="DX30" s="11">
        <f t="shared" si="131"/>
        <v>11945.9</v>
      </c>
      <c r="DY30" s="11">
        <f t="shared" si="131"/>
        <v>11922.8</v>
      </c>
    </row>
    <row r="31" spans="1:129" ht="14.5" customHeight="1" x14ac:dyDescent="0.35">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Y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c r="DU31" s="16">
        <f t="shared" si="137"/>
        <v>11911.481250000001</v>
      </c>
      <c r="DV31" s="16">
        <f t="shared" si="137"/>
        <v>11920.165416666667</v>
      </c>
      <c r="DW31" s="16">
        <f t="shared" si="137"/>
        <v>11852.3825</v>
      </c>
      <c r="DX31" s="16">
        <f t="shared" si="137"/>
        <v>11935.894583333333</v>
      </c>
      <c r="DY31" s="16">
        <f t="shared" si="137"/>
        <v>11903.568333333333</v>
      </c>
    </row>
    <row r="32" spans="1:129" ht="14.5" customHeight="1" x14ac:dyDescent="0.35">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Y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c r="DU32" s="16">
        <f t="shared" si="143"/>
        <v>11898.2125</v>
      </c>
      <c r="DV32" s="16">
        <f t="shared" si="143"/>
        <v>11911.580833333333</v>
      </c>
      <c r="DW32" s="16">
        <f t="shared" si="143"/>
        <v>11843.665000000001</v>
      </c>
      <c r="DX32" s="16">
        <f t="shared" si="143"/>
        <v>11925.889166666666</v>
      </c>
      <c r="DY32" s="16">
        <f t="shared" si="143"/>
        <v>11884.336666666666</v>
      </c>
    </row>
    <row r="33" spans="1:129" ht="14.5" customHeight="1" x14ac:dyDescent="0.35">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Y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c r="DU33" s="10">
        <f t="shared" si="149"/>
        <v>11884.94375</v>
      </c>
      <c r="DV33" s="10">
        <f t="shared" si="149"/>
        <v>11902.99625</v>
      </c>
      <c r="DW33" s="10">
        <f t="shared" si="149"/>
        <v>11834.9475</v>
      </c>
      <c r="DX33" s="10">
        <f t="shared" si="149"/>
        <v>11915.883749999999</v>
      </c>
      <c r="DY33" s="10">
        <f t="shared" si="149"/>
        <v>11865.105</v>
      </c>
    </row>
    <row r="34" spans="1:129" ht="14.5" customHeight="1" x14ac:dyDescent="0.35">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Y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c r="DU34" s="22">
        <f t="shared" si="155"/>
        <v>11845.137500000001</v>
      </c>
      <c r="DV34" s="22">
        <f t="shared" si="155"/>
        <v>11877.2425</v>
      </c>
      <c r="DW34" s="22">
        <f t="shared" si="155"/>
        <v>11808.795</v>
      </c>
      <c r="DX34" s="22">
        <f t="shared" si="155"/>
        <v>11885.8675</v>
      </c>
      <c r="DY34" s="22">
        <f t="shared" si="155"/>
        <v>11807.41</v>
      </c>
    </row>
    <row r="35" spans="1:129" ht="14.5" customHeight="1" x14ac:dyDescent="0.35">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Y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c r="DU35" s="16">
        <f t="shared" si="161"/>
        <v>11798.643800000002</v>
      </c>
      <c r="DV35" s="16">
        <f t="shared" si="161"/>
        <v>11847.162120000001</v>
      </c>
      <c r="DW35" s="16">
        <f t="shared" si="161"/>
        <v>11778.248879999999</v>
      </c>
      <c r="DX35" s="16">
        <f t="shared" si="161"/>
        <v>11850.808520000002</v>
      </c>
      <c r="DY35" s="16">
        <f t="shared" si="161"/>
        <v>11740.02224</v>
      </c>
    </row>
    <row r="36" spans="1:129" ht="14.5" customHeight="1" x14ac:dyDescent="0.35">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Y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c r="DU36" s="23">
        <f t="shared" si="167"/>
        <v>11778.623255011684</v>
      </c>
      <c r="DV36" s="23">
        <f t="shared" si="167"/>
        <v>11834.596030097178</v>
      </c>
      <c r="DW36" s="23">
        <f t="shared" si="167"/>
        <v>11765.804767335765</v>
      </c>
      <c r="DX36" s="23">
        <f t="shared" si="167"/>
        <v>11835.95388257416</v>
      </c>
      <c r="DY36" s="23">
        <f t="shared" si="167"/>
        <v>11711.344400627249</v>
      </c>
    </row>
    <row r="37" spans="1:129" ht="14.5" customHeight="1" x14ac:dyDescent="0.35">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row>
    <row r="38" spans="1:129"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row>
    <row r="39" spans="1:129"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row>
    <row r="40" spans="1:129"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row>
    <row r="41" spans="1:129"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68</v>
      </c>
      <c r="DR41" s="7" t="s">
        <v>68</v>
      </c>
      <c r="DS41" s="7">
        <v>11708.281000000001</v>
      </c>
      <c r="DT41" s="80">
        <v>11897.775100000001</v>
      </c>
      <c r="DU41" s="80"/>
      <c r="DV41" s="80">
        <v>11995.792299999999</v>
      </c>
      <c r="DW41" s="80">
        <v>11967.692299999999</v>
      </c>
      <c r="DX41" s="80">
        <v>11967.692299999999</v>
      </c>
      <c r="DY41" s="80">
        <v>11967.692299999999</v>
      </c>
    </row>
    <row r="42" spans="1:129"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67</v>
      </c>
      <c r="DR42" s="20" t="s">
        <v>67</v>
      </c>
      <c r="DS42" s="20">
        <v>11672.438</v>
      </c>
      <c r="DT42" s="20">
        <v>11860</v>
      </c>
      <c r="DU42" s="20"/>
      <c r="DV42" s="20">
        <v>11949.8469</v>
      </c>
      <c r="DW42" s="20">
        <v>11880.0424</v>
      </c>
      <c r="DX42" s="20">
        <v>11880.0424</v>
      </c>
      <c r="DY42" s="20">
        <v>11880.0424</v>
      </c>
    </row>
    <row r="43" spans="1:129" ht="14.5" customHeight="1" x14ac:dyDescent="0.35">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Y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c r="DU43" s="11">
        <f t="shared" si="174"/>
        <v>11924.75</v>
      </c>
      <c r="DV43" s="11">
        <f t="shared" si="174"/>
        <v>11928.75</v>
      </c>
      <c r="DW43" s="11">
        <f t="shared" si="174"/>
        <v>11861.1</v>
      </c>
      <c r="DX43" s="11">
        <f t="shared" si="174"/>
        <v>11945.9</v>
      </c>
      <c r="DY43" s="11">
        <f t="shared" si="174"/>
        <v>11922.8</v>
      </c>
    </row>
    <row r="44" spans="1:129"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row>
    <row r="45" spans="1:129"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row>
    <row r="46" spans="1:129"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row>
    <row r="47" spans="1:129"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11">
        <v>11484.9007</v>
      </c>
      <c r="DT47" s="211"/>
      <c r="DU47" s="211"/>
      <c r="DV47" s="211"/>
      <c r="DW47" s="211"/>
      <c r="DX47" s="211"/>
      <c r="DY47" s="211"/>
    </row>
    <row r="48" spans="1:129"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row>
    <row r="49" spans="1:129" ht="14.5" customHeight="1" x14ac:dyDescent="0.35">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row>
    <row r="50" spans="1:129" ht="14.5" customHeight="1" x14ac:dyDescent="0.35">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Y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c r="DU50" s="16">
        <f t="shared" si="180"/>
        <v>144.75</v>
      </c>
      <c r="DV50" s="16">
        <f t="shared" si="180"/>
        <v>93.649999999999636</v>
      </c>
      <c r="DW50" s="16">
        <f t="shared" si="180"/>
        <v>95.100000000000364</v>
      </c>
      <c r="DX50" s="16">
        <f t="shared" si="180"/>
        <v>109.14999999999964</v>
      </c>
      <c r="DY50" s="16">
        <f t="shared" si="180"/>
        <v>209.79999999999927</v>
      </c>
    </row>
    <row r="51" spans="1:129" ht="14.5" customHeight="1" x14ac:dyDescent="0.35">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Y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c r="DU51" s="16">
        <f t="shared" si="186"/>
        <v>159.22500000000002</v>
      </c>
      <c r="DV51" s="16">
        <f t="shared" si="186"/>
        <v>103.0149999999996</v>
      </c>
      <c r="DW51" s="16">
        <f t="shared" si="186"/>
        <v>104.61000000000041</v>
      </c>
      <c r="DX51" s="16">
        <f t="shared" si="186"/>
        <v>120.06499999999961</v>
      </c>
      <c r="DY51" s="16">
        <f t="shared" si="186"/>
        <v>230.77999999999921</v>
      </c>
    </row>
    <row r="52" spans="1:129" ht="14.5" customHeight="1" x14ac:dyDescent="0.35">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Y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c r="DU52" s="16">
        <f t="shared" si="192"/>
        <v>23769.55</v>
      </c>
      <c r="DV52" s="16">
        <f t="shared" si="192"/>
        <v>23823.449999999997</v>
      </c>
      <c r="DW52" s="16">
        <f t="shared" si="192"/>
        <v>23768.699999999997</v>
      </c>
      <c r="DX52" s="16">
        <f t="shared" si="192"/>
        <v>23827.949999999997</v>
      </c>
      <c r="DY52" s="16">
        <f t="shared" si="192"/>
        <v>23868.7</v>
      </c>
    </row>
    <row r="53" spans="1:129" ht="14.5" customHeight="1" x14ac:dyDescent="0.35">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Y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c r="DU53" s="16">
        <f t="shared" si="198"/>
        <v>11884.775</v>
      </c>
      <c r="DV53" s="16">
        <f t="shared" si="198"/>
        <v>11911.724999999999</v>
      </c>
      <c r="DW53" s="16">
        <f t="shared" si="198"/>
        <v>11884.349999999999</v>
      </c>
      <c r="DX53" s="16">
        <f t="shared" si="198"/>
        <v>11913.974999999999</v>
      </c>
      <c r="DY53" s="16">
        <f t="shared" si="198"/>
        <v>11934.35</v>
      </c>
    </row>
    <row r="54" spans="1:129" ht="14.5" customHeight="1" x14ac:dyDescent="0.35">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Y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c r="DU54" s="16">
        <f t="shared" si="204"/>
        <v>11911.425000000001</v>
      </c>
      <c r="DV54" s="16">
        <f t="shared" si="204"/>
        <v>11923.075000000001</v>
      </c>
      <c r="DW54" s="16">
        <f t="shared" si="204"/>
        <v>11868.849999999999</v>
      </c>
      <c r="DX54" s="16">
        <f t="shared" si="204"/>
        <v>11935.258333333335</v>
      </c>
      <c r="DY54" s="16">
        <f t="shared" si="204"/>
        <v>11926.65</v>
      </c>
    </row>
    <row r="55" spans="1:129" ht="14.5" customHeight="1" x14ac:dyDescent="0.35">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Y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c r="DU55" s="16">
        <f t="shared" si="210"/>
        <v>11898.1</v>
      </c>
      <c r="DV55" s="16">
        <f t="shared" si="210"/>
        <v>11917.4</v>
      </c>
      <c r="DW55" s="16">
        <f t="shared" si="210"/>
        <v>11876.599999999999</v>
      </c>
      <c r="DX55" s="16">
        <f t="shared" si="210"/>
        <v>11924.616666666667</v>
      </c>
      <c r="DY55" s="16">
        <f t="shared" si="210"/>
        <v>11930.5</v>
      </c>
    </row>
    <row r="56" spans="1:129" ht="14.5" customHeight="1" x14ac:dyDescent="0.35">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Y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c r="DU56" s="16">
        <f t="shared" si="216"/>
        <v>11884.775</v>
      </c>
      <c r="DV56" s="16">
        <f t="shared" si="216"/>
        <v>11911.724999999999</v>
      </c>
      <c r="DW56" s="16">
        <f t="shared" si="216"/>
        <v>11884.349999999999</v>
      </c>
      <c r="DX56" s="16">
        <f t="shared" si="216"/>
        <v>11913.974999999999</v>
      </c>
      <c r="DY56" s="16">
        <f t="shared" si="216"/>
        <v>11934.35</v>
      </c>
    </row>
    <row r="57" spans="1:129" ht="14.5" customHeight="1" x14ac:dyDescent="0.35">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Y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c r="DU57" s="31">
        <f t="shared" si="223"/>
        <v>26.650000000001455</v>
      </c>
      <c r="DV57" s="31">
        <f t="shared" si="223"/>
        <v>11.350000000002183</v>
      </c>
      <c r="DW57" s="31">
        <f t="shared" si="223"/>
        <v>15.5</v>
      </c>
      <c r="DX57" s="31">
        <f t="shared" si="223"/>
        <v>21.283333333336486</v>
      </c>
      <c r="DY57" s="31">
        <f t="shared" si="223"/>
        <v>7.7000000000007276</v>
      </c>
    </row>
    <row r="58" spans="1:129"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29"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29"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29"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29"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29"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29"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2019-06-02T20:01:15Z</dcterms:modified>
</cp:coreProperties>
</file>