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3"/>
  </bookViews>
  <sheets>
    <sheet name="Nifty" sheetId="2" r:id="rId1"/>
    <sheet name="Emeter" sheetId="7" r:id="rId2"/>
    <sheet name="Elliot-Lar" sheetId="3" r:id="rId3"/>
    <sheet name="Elliot" sheetId="8" r:id="rId4"/>
    <sheet name="Elliot-Ret" sheetId="9" r:id="rId5"/>
    <sheet name="Archives" sheetId="6" r:id="rId6"/>
    <sheet name="Elliot (2)" sheetId="10" r:id="rId7"/>
  </sheets>
  <calcPr calcId="162913"/>
</workbook>
</file>

<file path=xl/calcChain.xml><?xml version="1.0" encoding="utf-8"?>
<calcChain xmlns="http://schemas.openxmlformats.org/spreadsheetml/2006/main">
  <c r="J61" i="2" l="1"/>
  <c r="J59" i="2"/>
  <c r="J62" i="2" s="1"/>
  <c r="J60" i="2" s="1"/>
  <c r="J63" i="2" s="1"/>
  <c r="J13" i="2" s="1"/>
  <c r="J58" i="2"/>
  <c r="J56" i="2"/>
  <c r="J57" i="2" s="1"/>
  <c r="J46" i="2"/>
  <c r="J30" i="2"/>
  <c r="J24" i="2"/>
  <c r="J36" i="2" s="1"/>
  <c r="J14" i="2"/>
  <c r="J20" i="2" s="1"/>
  <c r="I61" i="2"/>
  <c r="I59" i="2"/>
  <c r="I62" i="2" s="1"/>
  <c r="I60" i="2" s="1"/>
  <c r="I63" i="2" s="1"/>
  <c r="I58" i="2"/>
  <c r="I56" i="2"/>
  <c r="I57" i="2" s="1"/>
  <c r="I46" i="2"/>
  <c r="I30" i="2"/>
  <c r="I24" i="2"/>
  <c r="I36" i="2" s="1"/>
  <c r="I14" i="2"/>
  <c r="I20" i="2"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J18" i="2" l="1"/>
  <c r="J17" i="2" s="1"/>
  <c r="J19" i="2"/>
  <c r="J33" i="2"/>
  <c r="J29" i="2"/>
  <c r="J32" i="2"/>
  <c r="J28" i="2"/>
  <c r="J31" i="2"/>
  <c r="J27" i="2"/>
  <c r="J34" i="2"/>
  <c r="J26" i="2"/>
  <c r="J8" i="2"/>
  <c r="J9" i="2" s="1"/>
  <c r="J10" i="2"/>
  <c r="J15" i="2"/>
  <c r="I33" i="2"/>
  <c r="I29" i="2"/>
  <c r="I34" i="2"/>
  <c r="I26" i="2"/>
  <c r="I32" i="2"/>
  <c r="I28" i="2"/>
  <c r="I31" i="2"/>
  <c r="I27" i="2"/>
  <c r="I8" i="2"/>
  <c r="I9" i="2" s="1"/>
  <c r="I13" i="2"/>
  <c r="I18" i="2"/>
  <c r="I10" i="2"/>
  <c r="I15" i="2"/>
  <c r="H61" i="2"/>
  <c r="H59" i="2"/>
  <c r="H62" i="2" s="1"/>
  <c r="H60" i="2" s="1"/>
  <c r="H63" i="2" s="1"/>
  <c r="H58" i="2"/>
  <c r="H56" i="2"/>
  <c r="H57" i="2" s="1"/>
  <c r="H46" i="2"/>
  <c r="H30" i="2"/>
  <c r="H24" i="2"/>
  <c r="H36" i="2" s="1"/>
  <c r="H14" i="2"/>
  <c r="H20" i="2" s="1"/>
  <c r="I35" i="2" l="1"/>
  <c r="J35" i="2"/>
  <c r="J22" i="2"/>
  <c r="J21" i="2" s="1"/>
  <c r="J6" i="2"/>
  <c r="J7" i="2" s="1"/>
  <c r="J11" i="2"/>
  <c r="J25" i="2"/>
  <c r="I17" i="2"/>
  <c r="I19" i="2"/>
  <c r="I22" i="2"/>
  <c r="I21" i="2" s="1"/>
  <c r="I6" i="2"/>
  <c r="I7" i="2" s="1"/>
  <c r="I11" i="2"/>
  <c r="I25" i="2"/>
  <c r="H33" i="2"/>
  <c r="H29" i="2"/>
  <c r="H32" i="2"/>
  <c r="H28" i="2"/>
  <c r="H34" i="2"/>
  <c r="H35" i="2" s="1"/>
  <c r="H26" i="2"/>
  <c r="H31" i="2"/>
  <c r="H27" i="2"/>
  <c r="H8" i="2"/>
  <c r="H13" i="2"/>
  <c r="H18" i="2"/>
  <c r="H10" i="2"/>
  <c r="H15" i="2"/>
  <c r="GQ61" i="6"/>
  <c r="GP61" i="6"/>
  <c r="GO61" i="6"/>
  <c r="GN61" i="6"/>
  <c r="GQ59" i="6"/>
  <c r="GQ62" i="6" s="1"/>
  <c r="GQ60" i="6" s="1"/>
  <c r="GQ63" i="6" s="1"/>
  <c r="GQ13" i="6" s="1"/>
  <c r="GP59" i="6"/>
  <c r="GP62" i="6" s="1"/>
  <c r="GP60" i="6" s="1"/>
  <c r="GP63" i="6" s="1"/>
  <c r="GP13" i="6" s="1"/>
  <c r="GO59" i="6"/>
  <c r="GO62" i="6" s="1"/>
  <c r="GO60" i="6" s="1"/>
  <c r="GO63" i="6" s="1"/>
  <c r="GO1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N6" i="6"/>
  <c r="GN7" i="6" s="1"/>
  <c r="G61" i="2"/>
  <c r="G59" i="2"/>
  <c r="G62" i="2" s="1"/>
  <c r="G58" i="2"/>
  <c r="G56" i="2"/>
  <c r="G46" i="2"/>
  <c r="G30" i="2"/>
  <c r="G24" i="2"/>
  <c r="G36" i="2" s="1"/>
  <c r="G14" i="2"/>
  <c r="H25" i="2" l="1"/>
  <c r="H9" i="2"/>
  <c r="H19" i="2"/>
  <c r="H17" i="2"/>
  <c r="H22" i="2"/>
  <c r="H21" i="2" s="1"/>
  <c r="H6" i="2"/>
  <c r="H7" i="2" s="1"/>
  <c r="H11" i="2"/>
  <c r="G10" i="2"/>
  <c r="G11" i="2" s="1"/>
  <c r="G18" i="2"/>
  <c r="G20" i="2"/>
  <c r="G60" i="2"/>
  <c r="G63" i="2" s="1"/>
  <c r="G13" i="2" s="1"/>
  <c r="GP34" i="6"/>
  <c r="GP33" i="6"/>
  <c r="GP32" i="6"/>
  <c r="GP31" i="6"/>
  <c r="GP29" i="6"/>
  <c r="GP28" i="6"/>
  <c r="GP27" i="6"/>
  <c r="GP26" i="6"/>
  <c r="GP25" i="6" s="1"/>
  <c r="GN34" i="6"/>
  <c r="GN32" i="6"/>
  <c r="GN29" i="6"/>
  <c r="GN27" i="6"/>
  <c r="GN33" i="6"/>
  <c r="GN31" i="6"/>
  <c r="GN28" i="6"/>
  <c r="GN26" i="6"/>
  <c r="GN25" i="6" s="1"/>
  <c r="GO34" i="6"/>
  <c r="GO35" i="6" s="1"/>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7" i="6"/>
  <c r="GQ18" i="6"/>
  <c r="G8" i="2"/>
  <c r="G57" i="2"/>
  <c r="GM61" i="6"/>
  <c r="GL61" i="6"/>
  <c r="GK61" i="6"/>
  <c r="GJ61" i="6"/>
  <c r="GM59" i="6"/>
  <c r="GM62" i="6" s="1"/>
  <c r="GM60" i="6" s="1"/>
  <c r="GM63" i="6" s="1"/>
  <c r="GL59" i="6"/>
  <c r="GL62" i="6" s="1"/>
  <c r="GL60" i="6" s="1"/>
  <c r="GL63" i="6" s="1"/>
  <c r="GL13" i="6" s="1"/>
  <c r="GK59" i="6"/>
  <c r="GK62" i="6" s="1"/>
  <c r="GK60" i="6" s="1"/>
  <c r="GK63" i="6" s="1"/>
  <c r="GK13" i="6" s="1"/>
  <c r="GJ59" i="6"/>
  <c r="GJ62" i="6" s="1"/>
  <c r="GJ60" i="6" s="1"/>
  <c r="GJ63" i="6" s="1"/>
  <c r="GJ13" i="6" s="1"/>
  <c r="GM58" i="6"/>
  <c r="GL58" i="6"/>
  <c r="GK58" i="6"/>
  <c r="GJ58" i="6"/>
  <c r="GM56" i="6"/>
  <c r="GM57" i="6" s="1"/>
  <c r="GL56" i="6"/>
  <c r="GL57" i="6" s="1"/>
  <c r="GK56" i="6"/>
  <c r="GK8" i="6" s="1"/>
  <c r="GK9" i="6" s="1"/>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7" i="6"/>
  <c r="GM6" i="6"/>
  <c r="GL6" i="6"/>
  <c r="GL7" i="6" s="1"/>
  <c r="GJ6" i="6"/>
  <c r="GJ7" i="6" s="1"/>
  <c r="G6" i="2" l="1"/>
  <c r="G9" i="2"/>
  <c r="G15" i="2"/>
  <c r="G19" i="2"/>
  <c r="G22" i="2"/>
  <c r="G21" i="2" s="1"/>
  <c r="G17" i="2"/>
  <c r="GP22" i="6"/>
  <c r="GP21" i="6" s="1"/>
  <c r="GP19" i="6"/>
  <c r="GO25" i="6"/>
  <c r="GN35" i="6"/>
  <c r="GP35" i="6"/>
  <c r="GN22" i="6"/>
  <c r="GN21" i="6" s="1"/>
  <c r="GN19" i="6"/>
  <c r="GO22" i="6"/>
  <c r="GO21" i="6" s="1"/>
  <c r="GO19" i="6"/>
  <c r="GQ22" i="6"/>
  <c r="GQ21" i="6" s="1"/>
  <c r="GQ19" i="6"/>
  <c r="GN17" i="6"/>
  <c r="GQ35" i="6"/>
  <c r="G7" i="2"/>
  <c r="G33" i="2"/>
  <c r="G29" i="2"/>
  <c r="G34" i="2"/>
  <c r="G26" i="2"/>
  <c r="G32" i="2"/>
  <c r="G28" i="2"/>
  <c r="G31" i="2"/>
  <c r="G27" i="2"/>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35" i="2" l="1"/>
  <c r="G25" i="2"/>
  <c r="GL22" i="6"/>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GE15" i="6" l="1"/>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H6" i="6" l="1"/>
  <c r="GH7" i="6" s="1"/>
  <c r="GH11" i="6"/>
  <c r="GE25" i="6"/>
  <c r="GG35" i="6"/>
  <c r="GF25" i="6"/>
  <c r="GF9" i="6"/>
  <c r="GF21" i="6"/>
  <c r="GH25" i="6"/>
  <c r="GE35" i="6"/>
  <c r="GF35" i="6"/>
  <c r="GH19" i="6"/>
  <c r="GH22" i="6"/>
  <c r="GH21" i="6" s="1"/>
  <c r="GH17" i="6"/>
  <c r="GF11" i="6"/>
  <c r="GF6" i="6"/>
  <c r="GF7" i="6" s="1"/>
  <c r="GB62" i="6" l="1"/>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<sst xmlns="http://schemas.openxmlformats.org/spreadsheetml/2006/main" count="231" uniqueCount="81">
  <si>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</si>
  <si>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</si>
  <si>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</si>
  <si>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</si>
  <si>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</si>
  <si>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</si>
  <si>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</si>
  <si>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</si>
  <si>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</si>
  <si>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</si>
  <si>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</si>
  <si>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</si>
  <si>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</si>
  <si>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</si>
  <si>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</si>
  <si>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</si>
  <si>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</si>
  <si>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</si>
  <si>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</si>
  <si>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</si>
  <si>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</si>
  <si>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</si>
  <si>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</si>
  <si>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</si>
  <si>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</si>
  <si>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</si>
  <si>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</si>
  <si>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</si>
  <si>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</si>
  <si>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</si>
  <si>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</si>
  <si>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</si>
  <si>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</si>
  <si>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</si>
  <si>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</si>
  <si>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</si>
  <si>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</si>
  <si>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</si>
  <si>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</si>
  <si>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</si>
  <si>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</si>
  <si>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</si>
  <si>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</si>
  <si>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</si>
  <si>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</si>
  <si>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</si>
  <si>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</si>
  <si>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</si>
  <si>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</si>
  <si>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</si>
  <si>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</si>
  <si>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</si>
  <si>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</si>
  <si>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</si>
  <si>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</si>
  <si>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</si>
  <si>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</si>
  <si>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</si>
  <si>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</si>
  <si>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</si>
  <si>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</si>
  <si>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</si>
  <si>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</si>
  <si>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</si>
  <si>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</si>
  <si>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</si>
  <si>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</si>
  <si>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</si>
  <si>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</si>
  <si>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</si>
  <si>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Aug 2019</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</si>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</sst>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63"/>
  <sheetViews>
    <sheetView showGridLines="0" zoomScale="110" zoomScaleNormal="110" workbookViewId="0">
      <selection activeCell="I2" sqref="I2"/>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1" bestFit="1" customWidth="1"/>
    <col min="12" max="12" width="11" style="202" bestFit="1" customWidth="1"/>
    <col min="13" max="251" width="8.77734375" style="1" customWidth="1"/>
  </cols>
  <sheetData>
    <row r="1" spans="1:11" ht="14.7" customHeight="1" x14ac:dyDescent="0.3">
      <c r="A1" s="235"/>
      <c r="B1" s="236"/>
      <c r="C1" s="236"/>
      <c r="D1" s="236"/>
      <c r="E1" s="2" t="s">
        <v>70</v>
      </c>
      <c r="F1" s="2" t="s">
        <v>1</v>
      </c>
      <c r="G1" s="3">
        <v>43724</v>
      </c>
      <c r="H1" s="3">
        <v>43725</v>
      </c>
      <c r="I1" s="3">
        <v>43726</v>
      </c>
      <c r="J1" s="3">
        <v>43727</v>
      </c>
      <c r="K1" s="3"/>
    </row>
    <row r="2" spans="1:11" ht="14.7" customHeight="1" x14ac:dyDescent="0.3">
      <c r="A2" s="4"/>
      <c r="B2" s="5"/>
      <c r="C2" s="5"/>
      <c r="D2" s="6" t="s">
        <v>2</v>
      </c>
      <c r="E2" s="7">
        <v>11181.45</v>
      </c>
      <c r="F2" s="7">
        <v>11084.45</v>
      </c>
      <c r="G2" s="7">
        <v>11052.7</v>
      </c>
      <c r="H2" s="7">
        <v>11000.1</v>
      </c>
      <c r="I2" s="7">
        <v>10885.15</v>
      </c>
      <c r="J2" s="7">
        <v>10845.2</v>
      </c>
      <c r="K2" s="7"/>
    </row>
    <row r="3" spans="1:11" ht="14.7" customHeight="1" x14ac:dyDescent="0.3">
      <c r="A3" s="4"/>
      <c r="B3" s="8"/>
      <c r="C3" s="9"/>
      <c r="D3" s="6" t="s">
        <v>3</v>
      </c>
      <c r="E3" s="10">
        <v>10637.15</v>
      </c>
      <c r="F3" s="10">
        <v>10889.8</v>
      </c>
      <c r="G3" s="10">
        <v>10968.2</v>
      </c>
      <c r="H3" s="10">
        <v>10796.5</v>
      </c>
      <c r="I3" s="10">
        <v>10804.85</v>
      </c>
      <c r="J3" s="10">
        <v>10670.25</v>
      </c>
      <c r="K3" s="10"/>
    </row>
    <row r="4" spans="1:11" ht="14.7" customHeight="1" x14ac:dyDescent="0.3">
      <c r="A4" s="4"/>
      <c r="B4" s="8"/>
      <c r="C4" s="9"/>
      <c r="D4" s="6" t="s">
        <v>4</v>
      </c>
      <c r="E4" s="11">
        <v>11023.25</v>
      </c>
      <c r="F4" s="11">
        <v>11075.9</v>
      </c>
      <c r="G4" s="11">
        <v>11003.5</v>
      </c>
      <c r="H4" s="11">
        <v>10817.6</v>
      </c>
      <c r="I4" s="11">
        <v>10840.65</v>
      </c>
      <c r="J4" s="11">
        <v>10704.8</v>
      </c>
      <c r="K4" s="11"/>
    </row>
    <row r="5" spans="1:11" ht="14.7" customHeight="1" x14ac:dyDescent="0.3">
      <c r="A5" s="233" t="s">
        <v>5</v>
      </c>
      <c r="B5" s="234"/>
      <c r="C5" s="234"/>
      <c r="D5" s="234"/>
      <c r="E5" s="5"/>
      <c r="F5" s="5"/>
      <c r="G5" s="5"/>
      <c r="H5" s="5"/>
      <c r="I5" s="5"/>
      <c r="J5" s="5"/>
      <c r="K5" s="5"/>
    </row>
    <row r="6" spans="1:11" ht="14.7" customHeight="1" x14ac:dyDescent="0.3">
      <c r="A6" s="12"/>
      <c r="B6" s="13"/>
      <c r="C6" s="13"/>
      <c r="D6" s="14" t="s">
        <v>6</v>
      </c>
      <c r="E6" s="15">
        <f t="shared" ref="E6:F6" si="0">E10+E56</f>
        <v>11801.716666666667</v>
      </c>
      <c r="F6" s="15">
        <f t="shared" si="0"/>
        <v>11338.283333333336</v>
      </c>
      <c r="G6" s="15">
        <f t="shared" ref="G6:H6" si="1">G10+G56</f>
        <v>11132.566666666666</v>
      </c>
      <c r="H6" s="15">
        <f t="shared" si="1"/>
        <v>11149.9</v>
      </c>
      <c r="I6" s="15">
        <f t="shared" ref="I6:J6" si="2">I10+I56</f>
        <v>10962.550000000001</v>
      </c>
      <c r="J6" s="15">
        <f t="shared" si="2"/>
        <v>10984.866666666669</v>
      </c>
      <c r="K6" s="15"/>
    </row>
    <row r="7" spans="1:11" ht="14.7" hidden="1" customHeight="1" x14ac:dyDescent="0.3">
      <c r="A7" s="12"/>
      <c r="B7" s="13"/>
      <c r="C7" s="13"/>
      <c r="D7" s="14" t="s">
        <v>7</v>
      </c>
      <c r="E7" s="16">
        <f t="shared" ref="E7:F7" si="3">(E6+E8)/2</f>
        <v>11646.650000000001</v>
      </c>
      <c r="F7" s="16">
        <f t="shared" si="3"/>
        <v>11274.825000000003</v>
      </c>
      <c r="G7" s="16">
        <f t="shared" ref="G7:H7" si="4">(G6+G8)/2</f>
        <v>11112.599999999999</v>
      </c>
      <c r="H7" s="16">
        <f t="shared" si="4"/>
        <v>11112.45</v>
      </c>
      <c r="I7" s="16">
        <f t="shared" ref="I7:J7" si="5">(I6+I8)/2</f>
        <v>10943.2</v>
      </c>
      <c r="J7" s="16">
        <f t="shared" si="5"/>
        <v>10949.95</v>
      </c>
      <c r="K7" s="16"/>
    </row>
    <row r="8" spans="1:11" ht="14.7" customHeight="1" x14ac:dyDescent="0.3">
      <c r="A8" s="12"/>
      <c r="B8" s="13"/>
      <c r="C8" s="13"/>
      <c r="D8" s="14" t="s">
        <v>8</v>
      </c>
      <c r="E8" s="17">
        <f t="shared" ref="E8:F8" si="6">E14+E56</f>
        <v>11491.583333333334</v>
      </c>
      <c r="F8" s="17">
        <f t="shared" si="6"/>
        <v>11211.366666666669</v>
      </c>
      <c r="G8" s="17">
        <f t="shared" ref="G8:H8" si="7">G14+G56</f>
        <v>11092.633333333333</v>
      </c>
      <c r="H8" s="17">
        <f t="shared" si="7"/>
        <v>11075</v>
      </c>
      <c r="I8" s="17">
        <f t="shared" ref="I8:J8" si="8">I14+I56</f>
        <v>10923.85</v>
      </c>
      <c r="J8" s="17">
        <f t="shared" si="8"/>
        <v>10915.033333333335</v>
      </c>
      <c r="K8" s="17"/>
    </row>
    <row r="9" spans="1:11" ht="14.7" hidden="1" customHeight="1" x14ac:dyDescent="0.3">
      <c r="A9" s="12"/>
      <c r="B9" s="13"/>
      <c r="C9" s="13"/>
      <c r="D9" s="14" t="s">
        <v>9</v>
      </c>
      <c r="E9" s="16">
        <f t="shared" ref="E9:F9" si="9">(E8+E10)/2</f>
        <v>11374.5</v>
      </c>
      <c r="F9" s="16">
        <f t="shared" si="9"/>
        <v>11177.500000000002</v>
      </c>
      <c r="G9" s="16">
        <f t="shared" ref="G9:H9" si="10">(G8+G10)/2</f>
        <v>11070.349999999999</v>
      </c>
      <c r="H9" s="16">
        <f t="shared" si="10"/>
        <v>11010.65</v>
      </c>
      <c r="I9" s="16">
        <f t="shared" ref="I9:J9" si="11">(I8+I10)/2</f>
        <v>10903.050000000001</v>
      </c>
      <c r="J9" s="16">
        <f t="shared" si="11"/>
        <v>10862.475000000002</v>
      </c>
      <c r="K9" s="16"/>
    </row>
    <row r="10" spans="1:11" ht="14.7" customHeight="1" x14ac:dyDescent="0.3">
      <c r="A10" s="12"/>
      <c r="B10" s="13"/>
      <c r="C10" s="13"/>
      <c r="D10" s="14" t="s">
        <v>10</v>
      </c>
      <c r="E10" s="18">
        <f t="shared" ref="E10:F10" si="12">(2*E14)-E3</f>
        <v>11257.416666666666</v>
      </c>
      <c r="F10" s="18">
        <f t="shared" si="12"/>
        <v>11143.633333333335</v>
      </c>
      <c r="G10" s="18">
        <f t="shared" ref="G10:H10" si="13">(2*G14)-G3</f>
        <v>11048.066666666666</v>
      </c>
      <c r="H10" s="18">
        <f t="shared" si="13"/>
        <v>10946.3</v>
      </c>
      <c r="I10" s="18">
        <f t="shared" ref="I10:J10" si="14">(2*I14)-I3</f>
        <v>10882.250000000002</v>
      </c>
      <c r="J10" s="18">
        <f t="shared" si="14"/>
        <v>10809.916666666668</v>
      </c>
      <c r="K10" s="18"/>
    </row>
    <row r="11" spans="1:11" ht="14.7" hidden="1" customHeight="1" x14ac:dyDescent="0.3">
      <c r="A11" s="12"/>
      <c r="B11" s="13"/>
      <c r="C11" s="13"/>
      <c r="D11" s="14" t="s">
        <v>11</v>
      </c>
      <c r="E11" s="16">
        <f t="shared" ref="E11:F11" si="15">(E10+E14)/2</f>
        <v>11102.349999999999</v>
      </c>
      <c r="F11" s="16">
        <f t="shared" si="15"/>
        <v>11080.175000000001</v>
      </c>
      <c r="G11" s="16">
        <f t="shared" ref="G11:H11" si="16">(G10+G14)/2</f>
        <v>11028.099999999999</v>
      </c>
      <c r="H11" s="16">
        <f t="shared" si="16"/>
        <v>10908.849999999999</v>
      </c>
      <c r="I11" s="16">
        <f t="shared" ref="I11:J11" si="17">(I10+I14)/2</f>
        <v>10862.900000000001</v>
      </c>
      <c r="J11" s="16">
        <f t="shared" si="17"/>
        <v>10775</v>
      </c>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 t="shared" ref="E13:F13" si="18">E14+E63/2</f>
        <v>10985.266666666666</v>
      </c>
      <c r="F13" s="20">
        <f t="shared" si="18"/>
        <v>11046.308333333334</v>
      </c>
      <c r="G13" s="20">
        <f t="shared" ref="G13:H13" si="19">G14+G63/2</f>
        <v>11010.45</v>
      </c>
      <c r="H13" s="20">
        <f t="shared" si="19"/>
        <v>10898.3</v>
      </c>
      <c r="I13" s="20">
        <f t="shared" ref="I13:J13" si="20">I14+I63/2</f>
        <v>10845</v>
      </c>
      <c r="J13" s="20">
        <f t="shared" si="20"/>
        <v>10757.725</v>
      </c>
      <c r="K13" s="20"/>
    </row>
    <row r="14" spans="1:11" ht="14.7" customHeight="1" x14ac:dyDescent="0.3">
      <c r="A14" s="12"/>
      <c r="B14" s="13"/>
      <c r="C14" s="13"/>
      <c r="D14" s="14" t="s">
        <v>13</v>
      </c>
      <c r="E14" s="11">
        <f t="shared" ref="E14:F14" si="21">(E2+E3+E4)/3</f>
        <v>10947.283333333333</v>
      </c>
      <c r="F14" s="11">
        <f t="shared" si="21"/>
        <v>11016.716666666667</v>
      </c>
      <c r="G14" s="11">
        <f t="shared" ref="G14:H14" si="22">(G2+G3+G4)/3</f>
        <v>11008.133333333333</v>
      </c>
      <c r="H14" s="11">
        <f t="shared" si="22"/>
        <v>10871.4</v>
      </c>
      <c r="I14" s="11">
        <f t="shared" ref="I14:J14" si="23">(I2+I3+I4)/3</f>
        <v>10843.550000000001</v>
      </c>
      <c r="J14" s="11">
        <f t="shared" si="23"/>
        <v>10740.083333333334</v>
      </c>
      <c r="K14" s="11"/>
    </row>
    <row r="15" spans="1:11" ht="14.7" customHeight="1" x14ac:dyDescent="0.3">
      <c r="A15" s="12"/>
      <c r="B15" s="13"/>
      <c r="C15" s="13"/>
      <c r="D15" s="14" t="s">
        <v>14</v>
      </c>
      <c r="E15" s="21">
        <f t="shared" ref="E15:F15" si="24">E14-E63/2</f>
        <v>10909.3</v>
      </c>
      <c r="F15" s="21">
        <f t="shared" si="24"/>
        <v>10987.125</v>
      </c>
      <c r="G15" s="21">
        <f t="shared" ref="G15:H15" si="25">G14-G63/2</f>
        <v>11005.816666666666</v>
      </c>
      <c r="H15" s="21">
        <f t="shared" si="25"/>
        <v>10844.5</v>
      </c>
      <c r="I15" s="21">
        <f t="shared" ref="I15:J15" si="26">I14-I63/2</f>
        <v>10842.100000000002</v>
      </c>
      <c r="J15" s="21">
        <f t="shared" si="26"/>
        <v>10722.441666666668</v>
      </c>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 t="shared" ref="E17:F17" si="27">(E14+E18)/2</f>
        <v>10830.199999999999</v>
      </c>
      <c r="F17" s="16">
        <f t="shared" si="27"/>
        <v>10982.85</v>
      </c>
      <c r="G17" s="16">
        <f t="shared" ref="G17:H17" si="28">(G14+G18)/2</f>
        <v>10985.849999999999</v>
      </c>
      <c r="H17" s="16">
        <f t="shared" si="28"/>
        <v>10807.05</v>
      </c>
      <c r="I17" s="16">
        <f t="shared" ref="I17:J17" si="29">(I14+I18)/2</f>
        <v>10822.750000000002</v>
      </c>
      <c r="J17" s="16">
        <f t="shared" si="29"/>
        <v>10687.525000000001</v>
      </c>
      <c r="K17" s="16"/>
    </row>
    <row r="18" spans="1:11" ht="14.7" customHeight="1" x14ac:dyDescent="0.3">
      <c r="A18" s="12"/>
      <c r="B18" s="13"/>
      <c r="C18" s="13"/>
      <c r="D18" s="14" t="s">
        <v>16</v>
      </c>
      <c r="E18" s="22">
        <f t="shared" ref="E18:F18" si="30">2*E14-E2</f>
        <v>10713.116666666665</v>
      </c>
      <c r="F18" s="22">
        <f t="shared" si="30"/>
        <v>10948.983333333334</v>
      </c>
      <c r="G18" s="22">
        <f t="shared" ref="G18:H18" si="31">2*G14-G2</f>
        <v>10963.566666666666</v>
      </c>
      <c r="H18" s="22">
        <f t="shared" si="31"/>
        <v>10742.699999999999</v>
      </c>
      <c r="I18" s="22">
        <f t="shared" ref="I18:J18" si="32">2*I14-I2</f>
        <v>10801.950000000003</v>
      </c>
      <c r="J18" s="22">
        <f t="shared" si="32"/>
        <v>10634.966666666667</v>
      </c>
      <c r="K18" s="22"/>
    </row>
    <row r="19" spans="1:11" ht="14.7" hidden="1" customHeight="1" x14ac:dyDescent="0.3">
      <c r="A19" s="12"/>
      <c r="B19" s="13"/>
      <c r="C19" s="13"/>
      <c r="D19" s="14" t="s">
        <v>17</v>
      </c>
      <c r="E19" s="16">
        <f t="shared" ref="E19:F19" si="33">(E18+E20)/2</f>
        <v>10558.05</v>
      </c>
      <c r="F19" s="16">
        <f t="shared" si="33"/>
        <v>10885.525</v>
      </c>
      <c r="G19" s="16">
        <f t="shared" ref="G19:H19" si="34">(G18+G20)/2</f>
        <v>10943.599999999999</v>
      </c>
      <c r="H19" s="16">
        <f t="shared" si="34"/>
        <v>10705.25</v>
      </c>
      <c r="I19" s="16">
        <f t="shared" ref="I19:J19" si="35">(I18+I20)/2</f>
        <v>10782.600000000002</v>
      </c>
      <c r="J19" s="16">
        <f t="shared" si="35"/>
        <v>10600.05</v>
      </c>
      <c r="K19" s="16"/>
    </row>
    <row r="20" spans="1:11" ht="14.7" customHeight="1" x14ac:dyDescent="0.3">
      <c r="A20" s="12"/>
      <c r="B20" s="13"/>
      <c r="C20" s="13"/>
      <c r="D20" s="14" t="s">
        <v>18</v>
      </c>
      <c r="E20" s="23">
        <f t="shared" ref="E20:F20" si="36">E14-E56</f>
        <v>10402.983333333332</v>
      </c>
      <c r="F20" s="23">
        <f t="shared" si="36"/>
        <v>10822.066666666666</v>
      </c>
      <c r="G20" s="23">
        <f t="shared" ref="G20:H20" si="37">G14-G56</f>
        <v>10923.633333333333</v>
      </c>
      <c r="H20" s="23">
        <f t="shared" si="37"/>
        <v>10667.8</v>
      </c>
      <c r="I20" s="23">
        <f t="shared" ref="I20:J20" si="38">I14-I56</f>
        <v>10763.250000000002</v>
      </c>
      <c r="J20" s="23">
        <f t="shared" si="38"/>
        <v>10565.133333333333</v>
      </c>
      <c r="K20" s="23"/>
    </row>
    <row r="21" spans="1:11" ht="14.7" hidden="1" customHeight="1" x14ac:dyDescent="0.3">
      <c r="A21" s="12"/>
      <c r="B21" s="13"/>
      <c r="C21" s="13"/>
      <c r="D21" s="14" t="s">
        <v>19</v>
      </c>
      <c r="E21" s="16">
        <f t="shared" ref="E21:F21" si="39">(E20+E22)/2</f>
        <v>10285.899999999998</v>
      </c>
      <c r="F21" s="16">
        <f t="shared" si="39"/>
        <v>10788.199999999999</v>
      </c>
      <c r="G21" s="16">
        <f t="shared" ref="G21:H21" si="40">(G20+G22)/2</f>
        <v>10901.349999999999</v>
      </c>
      <c r="H21" s="16">
        <f t="shared" si="40"/>
        <v>10603.449999999999</v>
      </c>
      <c r="I21" s="16">
        <f t="shared" ref="I21:J21" si="41">(I20+I22)/2</f>
        <v>10742.450000000003</v>
      </c>
      <c r="J21" s="16">
        <f t="shared" si="41"/>
        <v>10512.575000000001</v>
      </c>
      <c r="K21" s="16"/>
    </row>
    <row r="22" spans="1:11" ht="14.7" customHeight="1" x14ac:dyDescent="0.3">
      <c r="A22" s="12"/>
      <c r="B22" s="13"/>
      <c r="C22" s="13"/>
      <c r="D22" s="14" t="s">
        <v>20</v>
      </c>
      <c r="E22" s="24">
        <f t="shared" ref="E22:F22" si="42">E18-E56</f>
        <v>10168.816666666664</v>
      </c>
      <c r="F22" s="24">
        <f t="shared" si="42"/>
        <v>10754.333333333332</v>
      </c>
      <c r="G22" s="24">
        <f t="shared" ref="G22:H22" si="43">G18-G56</f>
        <v>10879.066666666666</v>
      </c>
      <c r="H22" s="24">
        <f t="shared" si="43"/>
        <v>10539.099999999999</v>
      </c>
      <c r="I22" s="24">
        <f t="shared" ref="I22:J22" si="44">I18-I56</f>
        <v>10721.650000000003</v>
      </c>
      <c r="J22" s="24">
        <f t="shared" si="44"/>
        <v>10460.016666666666</v>
      </c>
      <c r="K22" s="24"/>
    </row>
    <row r="23" spans="1:11" ht="14.7" customHeight="1" x14ac:dyDescent="0.3">
      <c r="A23" s="233" t="s">
        <v>21</v>
      </c>
      <c r="B23" s="234"/>
      <c r="C23" s="234"/>
      <c r="D23" s="234"/>
      <c r="E23" s="25"/>
      <c r="F23" s="25"/>
      <c r="G23" s="25"/>
      <c r="H23" s="25"/>
      <c r="I23" s="25"/>
      <c r="J23" s="25"/>
      <c r="K23" s="25"/>
    </row>
    <row r="24" spans="1:11" ht="14.7" customHeight="1" x14ac:dyDescent="0.3">
      <c r="A24" s="12"/>
      <c r="B24" s="13"/>
      <c r="C24" s="13"/>
      <c r="D24" s="14" t="s">
        <v>22</v>
      </c>
      <c r="E24" s="17">
        <f t="shared" ref="E24:F24" si="45">(E2/E3)*E4</f>
        <v>11587.30662936031</v>
      </c>
      <c r="F24" s="17">
        <f t="shared" si="45"/>
        <v>11273.876449062427</v>
      </c>
      <c r="G24" s="17">
        <f t="shared" ref="G24:H24" si="46">(G2/G3)*G4</f>
        <v>11088.271954377198</v>
      </c>
      <c r="H24" s="17">
        <f t="shared" si="46"/>
        <v>11021.597903024129</v>
      </c>
      <c r="I24" s="17">
        <f t="shared" ref="I24:J24" si="47">(I2/I3)*I4</f>
        <v>10921.216060148912</v>
      </c>
      <c r="J24" s="17">
        <f t="shared" si="47"/>
        <v>10880.316483681265</v>
      </c>
      <c r="K24" s="17"/>
    </row>
    <row r="25" spans="1:11" ht="14.7" hidden="1" customHeight="1" x14ac:dyDescent="0.3">
      <c r="A25" s="12"/>
      <c r="B25" s="13"/>
      <c r="C25" s="13"/>
      <c r="D25" s="14" t="s">
        <v>23</v>
      </c>
      <c r="E25" s="16">
        <f t="shared" ref="E25:F25" si="48">E26+1.168*(E26-E27)</f>
        <v>11497.444159999999</v>
      </c>
      <c r="F25" s="16">
        <f t="shared" si="48"/>
        <v>11245.479079999999</v>
      </c>
      <c r="G25" s="16">
        <f t="shared" ref="G25:H25" si="49">G26+1.168*(G26-G27)</f>
        <v>11077.116400000001</v>
      </c>
      <c r="H25" s="16">
        <f t="shared" si="49"/>
        <v>10994.97632</v>
      </c>
      <c r="I25" s="16">
        <f t="shared" ref="I25:J25" si="50">I26+1.168*(I26-I27)</f>
        <v>10910.607359999996</v>
      </c>
      <c r="J25" s="16">
        <f t="shared" si="50"/>
        <v>10857.216439999998</v>
      </c>
      <c r="K25" s="16"/>
    </row>
    <row r="26" spans="1:11" ht="14.7" customHeight="1" x14ac:dyDescent="0.3">
      <c r="A26" s="12"/>
      <c r="B26" s="13"/>
      <c r="C26" s="13"/>
      <c r="D26" s="14" t="s">
        <v>24</v>
      </c>
      <c r="E26" s="18">
        <f t="shared" ref="E26:F26" si="51">E4+E57/2</f>
        <v>11322.615</v>
      </c>
      <c r="F26" s="18">
        <f t="shared" si="51"/>
        <v>11182.9575</v>
      </c>
      <c r="G26" s="18">
        <f t="shared" ref="G26:H26" si="52">G4+G57/2</f>
        <v>11049.975</v>
      </c>
      <c r="H26" s="18">
        <f t="shared" si="52"/>
        <v>10929.58</v>
      </c>
      <c r="I26" s="18">
        <f t="shared" ref="I26:J26" si="53">I4+I57/2</f>
        <v>10884.814999999999</v>
      </c>
      <c r="J26" s="18">
        <f t="shared" si="53"/>
        <v>10801.022499999999</v>
      </c>
      <c r="K26" s="18"/>
    </row>
    <row r="27" spans="1:11" ht="14.7" customHeight="1" x14ac:dyDescent="0.3">
      <c r="A27" s="12"/>
      <c r="B27" s="13"/>
      <c r="C27" s="13"/>
      <c r="D27" s="14" t="s">
        <v>25</v>
      </c>
      <c r="E27" s="7">
        <f t="shared" ref="E27:F27" si="54">E4+E57/4</f>
        <v>11172.932500000001</v>
      </c>
      <c r="F27" s="7">
        <f t="shared" si="54"/>
        <v>11129.428750000001</v>
      </c>
      <c r="G27" s="7">
        <f t="shared" ref="G27:H27" si="55">G4+G57/4</f>
        <v>11026.737499999999</v>
      </c>
      <c r="H27" s="7">
        <f t="shared" si="55"/>
        <v>10873.59</v>
      </c>
      <c r="I27" s="7">
        <f t="shared" ref="I27:J27" si="56">I4+I57/4</f>
        <v>10862.7325</v>
      </c>
      <c r="J27" s="7">
        <f t="shared" si="56"/>
        <v>10752.911249999999</v>
      </c>
      <c r="K27" s="7"/>
    </row>
    <row r="28" spans="1:11" ht="14.7" hidden="1" customHeight="1" x14ac:dyDescent="0.3">
      <c r="A28" s="12"/>
      <c r="B28" s="13"/>
      <c r="C28" s="13"/>
      <c r="D28" s="14" t="s">
        <v>26</v>
      </c>
      <c r="E28" s="16">
        <f t="shared" ref="E28:F28" si="57">E4+E57/6</f>
        <v>11123.038333333334</v>
      </c>
      <c r="F28" s="16">
        <f t="shared" si="57"/>
        <v>11111.585833333333</v>
      </c>
      <c r="G28" s="16">
        <f t="shared" ref="G28:H28" si="58">G4+G57/6</f>
        <v>11018.991666666667</v>
      </c>
      <c r="H28" s="16">
        <f t="shared" si="58"/>
        <v>10854.926666666666</v>
      </c>
      <c r="I28" s="16">
        <f t="shared" ref="I28:J28" si="59">I4+I57/6</f>
        <v>10855.371666666666</v>
      </c>
      <c r="J28" s="16">
        <f t="shared" si="59"/>
        <v>10736.874166666666</v>
      </c>
      <c r="K28" s="16"/>
    </row>
    <row r="29" spans="1:11" ht="14.7" hidden="1" customHeight="1" x14ac:dyDescent="0.3">
      <c r="A29" s="12"/>
      <c r="B29" s="13"/>
      <c r="C29" s="13"/>
      <c r="D29" s="14" t="s">
        <v>27</v>
      </c>
      <c r="E29" s="16">
        <f t="shared" ref="E29:F29" si="60">E4+E57/12</f>
        <v>11073.144166666667</v>
      </c>
      <c r="F29" s="16">
        <f t="shared" si="60"/>
        <v>11093.742916666666</v>
      </c>
      <c r="G29" s="16">
        <f t="shared" ref="G29:H29" si="61">G4+G57/12</f>
        <v>11011.245833333332</v>
      </c>
      <c r="H29" s="16">
        <f t="shared" si="61"/>
        <v>10836.263333333334</v>
      </c>
      <c r="I29" s="16">
        <f t="shared" ref="I29:J29" si="62">I4+I57/12</f>
        <v>10848.010833333334</v>
      </c>
      <c r="J29" s="16">
        <f t="shared" si="62"/>
        <v>10720.837083333332</v>
      </c>
      <c r="K29" s="16"/>
    </row>
    <row r="30" spans="1:11" ht="14.7" customHeight="1" x14ac:dyDescent="0.3">
      <c r="A30" s="12"/>
      <c r="B30" s="13"/>
      <c r="C30" s="13"/>
      <c r="D30" s="14" t="s">
        <v>4</v>
      </c>
      <c r="E30" s="11">
        <f t="shared" ref="E30:F30" si="63">E4</f>
        <v>11023.25</v>
      </c>
      <c r="F30" s="11">
        <f t="shared" si="63"/>
        <v>11075.9</v>
      </c>
      <c r="G30" s="11">
        <f t="shared" ref="G30:H30" si="64">G4</f>
        <v>11003.5</v>
      </c>
      <c r="H30" s="11">
        <f t="shared" si="64"/>
        <v>10817.6</v>
      </c>
      <c r="I30" s="11">
        <f t="shared" ref="I30:J30" si="65">I4</f>
        <v>10840.65</v>
      </c>
      <c r="J30" s="11">
        <f t="shared" si="65"/>
        <v>10704.8</v>
      </c>
      <c r="K30" s="11"/>
    </row>
    <row r="31" spans="1:11" ht="14.7" hidden="1" customHeight="1" x14ac:dyDescent="0.3">
      <c r="A31" s="12"/>
      <c r="B31" s="13"/>
      <c r="C31" s="13"/>
      <c r="D31" s="14" t="s">
        <v>28</v>
      </c>
      <c r="E31" s="16">
        <f t="shared" ref="E31:F31" si="66">E4-E57/12</f>
        <v>10973.355833333333</v>
      </c>
      <c r="F31" s="16">
        <f t="shared" si="66"/>
        <v>11058.057083333333</v>
      </c>
      <c r="G31" s="16">
        <f t="shared" ref="G31:H31" si="67">G4-G57/12</f>
        <v>10995.754166666668</v>
      </c>
      <c r="H31" s="16">
        <f t="shared" si="67"/>
        <v>10798.936666666666</v>
      </c>
      <c r="I31" s="16">
        <f t="shared" ref="I31:J31" si="68">I4-I57/12</f>
        <v>10833.289166666666</v>
      </c>
      <c r="J31" s="16">
        <f t="shared" si="68"/>
        <v>10688.762916666667</v>
      </c>
      <c r="K31" s="16"/>
    </row>
    <row r="32" spans="1:11" ht="14.7" hidden="1" customHeight="1" x14ac:dyDescent="0.3">
      <c r="A32" s="12"/>
      <c r="B32" s="13"/>
      <c r="C32" s="13"/>
      <c r="D32" s="14" t="s">
        <v>29</v>
      </c>
      <c r="E32" s="16">
        <f t="shared" ref="E32:F32" si="69">E4-E57/6</f>
        <v>10923.461666666666</v>
      </c>
      <c r="F32" s="16">
        <f t="shared" si="69"/>
        <v>11040.214166666667</v>
      </c>
      <c r="G32" s="16">
        <f t="shared" ref="G32:H32" si="70">G4-G57/6</f>
        <v>10988.008333333333</v>
      </c>
      <c r="H32" s="16">
        <f t="shared" si="70"/>
        <v>10780.273333333334</v>
      </c>
      <c r="I32" s="16">
        <f t="shared" ref="I32:J32" si="71">I4-I57/6</f>
        <v>10825.928333333333</v>
      </c>
      <c r="J32" s="16">
        <f t="shared" si="71"/>
        <v>10672.725833333332</v>
      </c>
      <c r="K32" s="16"/>
    </row>
    <row r="33" spans="1:251" ht="14.7" customHeight="1" x14ac:dyDescent="0.3">
      <c r="A33" s="12"/>
      <c r="B33" s="13"/>
      <c r="C33" s="13"/>
      <c r="D33" s="14" t="s">
        <v>30</v>
      </c>
      <c r="E33" s="10">
        <f t="shared" ref="E33:F33" si="72">E4-E57/4</f>
        <v>10873.567499999999</v>
      </c>
      <c r="F33" s="10">
        <f t="shared" si="72"/>
        <v>11022.371249999998</v>
      </c>
      <c r="G33" s="10">
        <f t="shared" ref="G33:H33" si="73">G4-G57/4</f>
        <v>10980.262500000001</v>
      </c>
      <c r="H33" s="10">
        <f t="shared" si="73"/>
        <v>10761.61</v>
      </c>
      <c r="I33" s="10">
        <f t="shared" ref="I33:J33" si="74">I4-I57/4</f>
        <v>10818.567499999999</v>
      </c>
      <c r="J33" s="10">
        <f t="shared" si="74"/>
        <v>10656.688749999999</v>
      </c>
      <c r="K33" s="10"/>
    </row>
    <row r="34" spans="1:251" ht="14.7" customHeight="1" x14ac:dyDescent="0.3">
      <c r="A34" s="12"/>
      <c r="B34" s="13"/>
      <c r="C34" s="13"/>
      <c r="D34" s="14" t="s">
        <v>31</v>
      </c>
      <c r="E34" s="22">
        <f t="shared" ref="E34:F34" si="75">E4-E57/2</f>
        <v>10723.885</v>
      </c>
      <c r="F34" s="22">
        <f t="shared" si="75"/>
        <v>10968.842499999999</v>
      </c>
      <c r="G34" s="22">
        <f t="shared" ref="G34:H34" si="76">G4-G57/2</f>
        <v>10957.025</v>
      </c>
      <c r="H34" s="22">
        <f t="shared" si="76"/>
        <v>10705.62</v>
      </c>
      <c r="I34" s="22">
        <f t="shared" ref="I34:J34" si="77">I4-I57/2</f>
        <v>10796.485000000001</v>
      </c>
      <c r="J34" s="22">
        <f t="shared" si="77"/>
        <v>10608.577499999999</v>
      </c>
      <c r="K34" s="22"/>
    </row>
    <row r="35" spans="1:251" ht="14.7" hidden="1" customHeight="1" x14ac:dyDescent="0.3">
      <c r="A35" s="12"/>
      <c r="B35" s="13"/>
      <c r="C35" s="13"/>
      <c r="D35" s="14" t="s">
        <v>32</v>
      </c>
      <c r="E35" s="16">
        <f t="shared" ref="E35:F35" si="78">E34-1.168*(E33-E34)</f>
        <v>10549.055840000001</v>
      </c>
      <c r="F35" s="16">
        <f t="shared" si="78"/>
        <v>10906.32092</v>
      </c>
      <c r="G35" s="16">
        <f t="shared" ref="G35:H35" si="79">G34-1.168*(G33-G34)</f>
        <v>10929.883599999999</v>
      </c>
      <c r="H35" s="16">
        <f t="shared" si="79"/>
        <v>10640.223680000001</v>
      </c>
      <c r="I35" s="16">
        <f t="shared" ref="I35:J35" si="80">I34-1.168*(I33-I34)</f>
        <v>10770.692640000003</v>
      </c>
      <c r="J35" s="16">
        <f t="shared" si="80"/>
        <v>10552.38356</v>
      </c>
      <c r="K35" s="16"/>
    </row>
    <row r="36" spans="1:251" ht="14.7" customHeight="1" x14ac:dyDescent="0.3">
      <c r="A36" s="12"/>
      <c r="B36" s="13"/>
      <c r="C36" s="13"/>
      <c r="D36" s="14" t="s">
        <v>33</v>
      </c>
      <c r="E36" s="23">
        <f t="shared" ref="E36:F36" si="81">E4-(E24-E4)</f>
        <v>10459.19337063969</v>
      </c>
      <c r="F36" s="23">
        <f t="shared" si="81"/>
        <v>10877.923550937572</v>
      </c>
      <c r="G36" s="23">
        <f t="shared" ref="G36:H36" si="82">G4-(G24-G4)</f>
        <v>10918.728045622802</v>
      </c>
      <c r="H36" s="23">
        <f t="shared" si="82"/>
        <v>10613.602096975872</v>
      </c>
      <c r="I36" s="23">
        <f t="shared" ref="I36:J36" si="83">I4-(I24-I4)</f>
        <v>10760.083939851087</v>
      </c>
      <c r="J36" s="23">
        <f t="shared" si="83"/>
        <v>10529.283516318734</v>
      </c>
      <c r="K36" s="23"/>
    </row>
    <row r="37" spans="1:251" ht="14.7" customHeight="1" x14ac:dyDescent="0.3">
      <c r="A37" s="233" t="s">
        <v>34</v>
      </c>
      <c r="B37" s="234"/>
      <c r="C37" s="234"/>
      <c r="D37" s="234"/>
      <c r="E37" s="26" t="s">
        <v>35</v>
      </c>
      <c r="F37" s="9"/>
      <c r="G37" s="9"/>
      <c r="H37" s="9"/>
      <c r="I37" s="9"/>
      <c r="J37" s="9"/>
      <c r="K37" s="9"/>
    </row>
    <row r="38" spans="1:251" ht="14.7" customHeight="1" x14ac:dyDescent="0.3">
      <c r="A38" s="91"/>
      <c r="B38" s="91"/>
      <c r="C38" s="91"/>
      <c r="D38" s="91"/>
      <c r="E38" s="15"/>
      <c r="F38" s="15"/>
      <c r="G38" s="15"/>
      <c r="H38" s="15"/>
      <c r="I38" s="15"/>
      <c r="J38" s="15"/>
      <c r="K38" s="15"/>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row>
    <row r="39" spans="1:251" ht="14.7" customHeight="1" x14ac:dyDescent="0.3">
      <c r="A39" s="91"/>
      <c r="B39" s="91"/>
      <c r="C39" s="91"/>
      <c r="D39" s="91"/>
      <c r="E39" s="15"/>
      <c r="F39" s="15"/>
      <c r="G39" s="15"/>
      <c r="H39" s="15"/>
      <c r="I39" s="15"/>
      <c r="J39" s="15"/>
      <c r="K39" s="15"/>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row>
    <row r="40" spans="1:251" ht="14.7" customHeight="1" x14ac:dyDescent="0.3">
      <c r="A40" s="91"/>
      <c r="B40" s="91"/>
      <c r="C40" s="91"/>
      <c r="D40" s="91"/>
      <c r="E40" s="15"/>
      <c r="F40" s="15"/>
      <c r="G40" s="15"/>
      <c r="H40" s="15"/>
      <c r="I40" s="15"/>
      <c r="J40" s="15"/>
      <c r="K40" s="15"/>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row>
    <row r="41" spans="1:251" ht="14.7" customHeight="1" x14ac:dyDescent="0.3">
      <c r="A41" s="30"/>
      <c r="B41" s="19"/>
      <c r="C41" s="19"/>
      <c r="D41" s="14" t="s">
        <v>36</v>
      </c>
      <c r="E41" s="15"/>
      <c r="F41" s="15"/>
      <c r="G41" s="15"/>
      <c r="H41" s="15"/>
      <c r="I41" s="15"/>
      <c r="J41" s="15"/>
      <c r="K41" s="15"/>
    </row>
    <row r="42" spans="1:251" ht="14.7" customHeight="1" x14ac:dyDescent="0.3">
      <c r="A42" s="30"/>
      <c r="B42" s="19"/>
      <c r="C42" s="19"/>
      <c r="D42" s="14" t="s">
        <v>37</v>
      </c>
      <c r="E42" s="17"/>
      <c r="F42" s="17"/>
      <c r="G42" s="17"/>
      <c r="H42" s="17"/>
      <c r="I42" s="17"/>
      <c r="J42" s="17"/>
      <c r="K42" s="77"/>
      <c r="L42" s="203"/>
    </row>
    <row r="43" spans="1:251" ht="14.7" customHeight="1" x14ac:dyDescent="0.3">
      <c r="A43" s="12"/>
      <c r="B43" s="19"/>
      <c r="C43" s="13"/>
      <c r="D43" s="14" t="s">
        <v>38</v>
      </c>
      <c r="E43" s="18"/>
      <c r="F43" s="18"/>
      <c r="G43" s="18"/>
      <c r="H43" s="18"/>
      <c r="I43" s="18"/>
      <c r="J43" s="18"/>
      <c r="K43" s="18"/>
      <c r="L43" s="203"/>
    </row>
    <row r="44" spans="1:251" ht="14.7" customHeight="1" x14ac:dyDescent="0.3">
      <c r="A44" s="12"/>
      <c r="B44" s="13"/>
      <c r="C44" s="13"/>
      <c r="D44" s="14" t="s">
        <v>39</v>
      </c>
      <c r="E44" s="7"/>
      <c r="F44" s="7"/>
      <c r="G44" s="7">
        <v>11181</v>
      </c>
      <c r="H44" s="7">
        <v>11181</v>
      </c>
      <c r="I44" s="7">
        <v>11181</v>
      </c>
      <c r="J44" s="7">
        <v>11181</v>
      </c>
      <c r="K44" s="7"/>
      <c r="L44" s="203"/>
    </row>
    <row r="45" spans="1:251" ht="14.7" customHeight="1" x14ac:dyDescent="0.3">
      <c r="A45" s="12"/>
      <c r="B45" s="13"/>
      <c r="C45" s="13"/>
      <c r="D45" s="136" t="s">
        <v>64</v>
      </c>
      <c r="E45" s="20"/>
      <c r="F45" s="20"/>
      <c r="G45" s="20" t="s">
        <v>76</v>
      </c>
      <c r="H45" s="20" t="s">
        <v>76</v>
      </c>
      <c r="I45" s="20" t="s">
        <v>76</v>
      </c>
      <c r="J45" s="20" t="s">
        <v>76</v>
      </c>
      <c r="K45" s="20">
        <v>11153</v>
      </c>
    </row>
    <row r="46" spans="1:251" ht="14.7" customHeight="1" x14ac:dyDescent="0.3">
      <c r="A46" s="12"/>
      <c r="B46" s="13"/>
      <c r="C46" s="13"/>
      <c r="D46" s="14" t="s">
        <v>4</v>
      </c>
      <c r="E46" s="11">
        <f t="shared" ref="E46:F46" si="84">E4</f>
        <v>11023.25</v>
      </c>
      <c r="F46" s="11">
        <f t="shared" si="84"/>
        <v>11075.9</v>
      </c>
      <c r="G46" s="11">
        <f t="shared" ref="G46:H46" si="85">G4</f>
        <v>11003.5</v>
      </c>
      <c r="H46" s="11">
        <f t="shared" si="85"/>
        <v>10817.6</v>
      </c>
      <c r="I46" s="11">
        <f t="shared" ref="I46:J46" si="86">I4</f>
        <v>10840.65</v>
      </c>
      <c r="J46" s="11">
        <f t="shared" si="86"/>
        <v>10704.8</v>
      </c>
      <c r="K46" s="11"/>
    </row>
    <row r="47" spans="1:251" ht="14.7" customHeight="1" x14ac:dyDescent="0.3">
      <c r="A47" s="12"/>
      <c r="B47" s="13"/>
      <c r="C47" s="13"/>
      <c r="D47" s="14" t="s">
        <v>40</v>
      </c>
      <c r="E47" s="21"/>
      <c r="F47" s="21"/>
      <c r="G47" s="21">
        <v>11000</v>
      </c>
      <c r="H47" s="21">
        <v>11000</v>
      </c>
      <c r="I47" s="21">
        <v>11000</v>
      </c>
      <c r="J47" s="21">
        <v>11000</v>
      </c>
      <c r="K47" s="21"/>
      <c r="L47" s="204"/>
    </row>
    <row r="48" spans="1:251" ht="14.7" customHeight="1" x14ac:dyDescent="0.3">
      <c r="A48" s="12"/>
      <c r="B48" s="13"/>
      <c r="C48" s="13"/>
      <c r="D48" s="14" t="s">
        <v>41</v>
      </c>
      <c r="E48" s="10"/>
      <c r="F48" s="10"/>
      <c r="G48" s="10">
        <v>10946</v>
      </c>
      <c r="H48" s="10">
        <v>10946</v>
      </c>
      <c r="I48" s="10">
        <v>10946</v>
      </c>
      <c r="J48" s="10">
        <v>10946</v>
      </c>
      <c r="K48" s="10"/>
      <c r="L48" s="205"/>
    </row>
    <row r="49" spans="1:251" ht="14.7" customHeight="1" x14ac:dyDescent="0.3">
      <c r="A49" s="12"/>
      <c r="B49" s="13"/>
      <c r="C49" s="13"/>
      <c r="D49" s="14" t="s">
        <v>42</v>
      </c>
      <c r="E49" s="22"/>
      <c r="F49" s="22"/>
      <c r="G49" s="22">
        <v>10920.1</v>
      </c>
      <c r="H49" s="22">
        <v>10920.1</v>
      </c>
      <c r="I49" s="22">
        <v>10920.1</v>
      </c>
      <c r="J49" s="22">
        <v>10920.1</v>
      </c>
      <c r="K49" s="22"/>
      <c r="L49" s="203"/>
    </row>
    <row r="50" spans="1:251" ht="14.7" customHeight="1" x14ac:dyDescent="0.3">
      <c r="A50" s="12"/>
      <c r="B50" s="13"/>
      <c r="C50" s="13"/>
      <c r="D50" s="14" t="s">
        <v>43</v>
      </c>
      <c r="E50" s="23"/>
      <c r="F50" s="23"/>
      <c r="G50" s="23">
        <v>10816</v>
      </c>
      <c r="H50" s="23">
        <v>10816</v>
      </c>
      <c r="I50" s="23">
        <v>10816</v>
      </c>
      <c r="J50" s="23">
        <v>10816</v>
      </c>
      <c r="K50" s="23"/>
      <c r="L50" s="203"/>
    </row>
    <row r="51" spans="1:251" ht="14.7" customHeight="1" x14ac:dyDescent="0.3">
      <c r="A51" s="12"/>
      <c r="B51" s="13"/>
      <c r="C51" s="13"/>
      <c r="D51" s="14" t="s">
        <v>44</v>
      </c>
      <c r="E51" s="24"/>
      <c r="F51" s="24"/>
      <c r="G51" s="24" t="s">
        <v>75</v>
      </c>
      <c r="H51" s="24" t="s">
        <v>75</v>
      </c>
      <c r="I51" s="24" t="s">
        <v>75</v>
      </c>
      <c r="J51" s="24" t="s">
        <v>75</v>
      </c>
      <c r="K51" s="24"/>
    </row>
    <row r="52" spans="1:251" ht="14.7" customHeight="1" x14ac:dyDescent="0.3">
      <c r="A52" s="91"/>
      <c r="B52" s="91"/>
      <c r="C52" s="91"/>
      <c r="D52" s="91"/>
      <c r="E52" s="24"/>
      <c r="F52" s="24"/>
      <c r="G52" s="24">
        <v>10637</v>
      </c>
      <c r="H52" s="24">
        <v>10637</v>
      </c>
      <c r="I52" s="24">
        <v>10637</v>
      </c>
      <c r="J52" s="24">
        <v>10637</v>
      </c>
      <c r="K52" s="24"/>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row>
    <row r="53" spans="1:251" ht="14.7" customHeight="1" x14ac:dyDescent="0.3">
      <c r="A53" s="91"/>
      <c r="B53" s="91"/>
      <c r="C53" s="91"/>
      <c r="D53" s="91"/>
      <c r="E53" s="24"/>
      <c r="F53" s="24"/>
      <c r="G53" s="24"/>
      <c r="H53" s="24"/>
      <c r="I53" s="24"/>
      <c r="J53" s="24"/>
      <c r="K53" s="24"/>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row>
    <row r="54" spans="1:251" ht="14.7" customHeight="1" x14ac:dyDescent="0.3">
      <c r="A54" s="91"/>
      <c r="B54" s="91"/>
      <c r="C54" s="91"/>
      <c r="D54" s="91"/>
      <c r="E54" s="24"/>
      <c r="F54" s="24"/>
      <c r="G54" s="24"/>
      <c r="H54" s="24"/>
      <c r="I54" s="24"/>
      <c r="J54" s="24"/>
      <c r="K54" s="24"/>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row>
    <row r="55" spans="1:251" ht="14.7" customHeight="1" x14ac:dyDescent="0.3">
      <c r="A55" s="233" t="s">
        <v>45</v>
      </c>
      <c r="B55" s="234"/>
      <c r="C55" s="234"/>
      <c r="D55" s="234"/>
      <c r="E55" s="25"/>
      <c r="F55" s="25"/>
      <c r="G55" s="25"/>
      <c r="H55" s="25"/>
      <c r="I55" s="25"/>
      <c r="J55" s="25"/>
      <c r="K55" s="25"/>
    </row>
    <row r="56" spans="1:251" ht="14.7" customHeight="1" x14ac:dyDescent="0.3">
      <c r="A56" s="12"/>
      <c r="B56" s="13"/>
      <c r="C56" s="13"/>
      <c r="D56" s="14" t="s">
        <v>46</v>
      </c>
      <c r="E56" s="16">
        <f t="shared" ref="E56:F56" si="87">ABS(E2-E3)</f>
        <v>544.30000000000109</v>
      </c>
      <c r="F56" s="16">
        <f t="shared" si="87"/>
        <v>194.65000000000146</v>
      </c>
      <c r="G56" s="16">
        <f t="shared" ref="G56:H56" si="88">ABS(G2-G3)</f>
        <v>84.5</v>
      </c>
      <c r="H56" s="16">
        <f t="shared" si="88"/>
        <v>203.60000000000036</v>
      </c>
      <c r="I56" s="16">
        <f t="shared" ref="I56:J56" si="89">ABS(I2-I3)</f>
        <v>80.299999999999272</v>
      </c>
      <c r="J56" s="16">
        <f t="shared" si="89"/>
        <v>174.95000000000073</v>
      </c>
      <c r="K56" s="16"/>
    </row>
    <row r="57" spans="1:251" ht="14.7" customHeight="1" x14ac:dyDescent="0.3">
      <c r="A57" s="12"/>
      <c r="B57" s="13"/>
      <c r="C57" s="13"/>
      <c r="D57" s="14" t="s">
        <v>47</v>
      </c>
      <c r="E57" s="16">
        <f t="shared" ref="E57:F57" si="90">E56*1.1</f>
        <v>598.73000000000127</v>
      </c>
      <c r="F57" s="16">
        <f t="shared" si="90"/>
        <v>214.11500000000163</v>
      </c>
      <c r="G57" s="16">
        <f t="shared" ref="G57:H57" si="91">G56*1.1</f>
        <v>92.95</v>
      </c>
      <c r="H57" s="16">
        <f t="shared" si="91"/>
        <v>223.96000000000041</v>
      </c>
      <c r="I57" s="16">
        <f t="shared" ref="I57:J57" si="92">I56*1.1</f>
        <v>88.329999999999202</v>
      </c>
      <c r="J57" s="16">
        <f t="shared" si="92"/>
        <v>192.44500000000082</v>
      </c>
      <c r="K57" s="16"/>
    </row>
    <row r="58" spans="1:251" ht="14.7" customHeight="1" x14ac:dyDescent="0.3">
      <c r="A58" s="12"/>
      <c r="B58" s="13"/>
      <c r="C58" s="13"/>
      <c r="D58" s="14" t="s">
        <v>48</v>
      </c>
      <c r="E58" s="16">
        <f t="shared" ref="E58:F58" si="93">(E2+E3)</f>
        <v>21818.6</v>
      </c>
      <c r="F58" s="16">
        <f t="shared" si="93"/>
        <v>21974.25</v>
      </c>
      <c r="G58" s="16">
        <f t="shared" ref="G58:H58" si="94">(G2+G3)</f>
        <v>22020.9</v>
      </c>
      <c r="H58" s="16">
        <f t="shared" si="94"/>
        <v>21796.6</v>
      </c>
      <c r="I58" s="16">
        <f t="shared" ref="I58:J58" si="95">(I2+I3)</f>
        <v>21690</v>
      </c>
      <c r="J58" s="16">
        <f t="shared" si="95"/>
        <v>21515.45</v>
      </c>
      <c r="K58" s="16"/>
    </row>
    <row r="59" spans="1:251" ht="14.7" customHeight="1" x14ac:dyDescent="0.3">
      <c r="A59" s="12"/>
      <c r="B59" s="13"/>
      <c r="C59" s="13"/>
      <c r="D59" s="14" t="s">
        <v>49</v>
      </c>
      <c r="E59" s="16">
        <f t="shared" ref="E59:F59" si="96">(E2+E3)/2</f>
        <v>10909.3</v>
      </c>
      <c r="F59" s="16">
        <f t="shared" si="96"/>
        <v>10987.125</v>
      </c>
      <c r="G59" s="16">
        <f t="shared" ref="G59:H59" si="97">(G2+G3)/2</f>
        <v>11010.45</v>
      </c>
      <c r="H59" s="16">
        <f t="shared" si="97"/>
        <v>10898.3</v>
      </c>
      <c r="I59" s="16">
        <f t="shared" ref="I59:J59" si="98">(I2+I3)/2</f>
        <v>10845</v>
      </c>
      <c r="J59" s="16">
        <f t="shared" si="98"/>
        <v>10757.725</v>
      </c>
      <c r="K59" s="16"/>
    </row>
    <row r="60" spans="1:251" ht="14.7" customHeight="1" x14ac:dyDescent="0.3">
      <c r="A60" s="12"/>
      <c r="B60" s="13"/>
      <c r="C60" s="13"/>
      <c r="D60" s="14" t="s">
        <v>12</v>
      </c>
      <c r="E60" s="16">
        <f t="shared" ref="E60:F60" si="99">E61-E62+E61</f>
        <v>10985.266666666666</v>
      </c>
      <c r="F60" s="16">
        <f t="shared" si="99"/>
        <v>11046.308333333334</v>
      </c>
      <c r="G60" s="16">
        <f t="shared" ref="G60:H60" si="100">G61-G62+G61</f>
        <v>11005.816666666666</v>
      </c>
      <c r="H60" s="16">
        <f t="shared" si="100"/>
        <v>10844.5</v>
      </c>
      <c r="I60" s="16">
        <f t="shared" ref="I60:J60" si="101">I61-I62+I61</f>
        <v>10842.100000000002</v>
      </c>
      <c r="J60" s="16">
        <f t="shared" si="101"/>
        <v>10722.441666666668</v>
      </c>
      <c r="K60" s="16"/>
    </row>
    <row r="61" spans="1:251" ht="14.7" customHeight="1" x14ac:dyDescent="0.3">
      <c r="A61" s="12"/>
      <c r="B61" s="13"/>
      <c r="C61" s="13"/>
      <c r="D61" s="14" t="s">
        <v>50</v>
      </c>
      <c r="E61" s="16">
        <f t="shared" ref="E61:F61" si="102">(E2+E3+E4)/3</f>
        <v>10947.283333333333</v>
      </c>
      <c r="F61" s="16">
        <f t="shared" si="102"/>
        <v>11016.716666666667</v>
      </c>
      <c r="G61" s="16">
        <f t="shared" ref="G61:H61" si="103">(G2+G3+G4)/3</f>
        <v>11008.133333333333</v>
      </c>
      <c r="H61" s="16">
        <f t="shared" si="103"/>
        <v>10871.4</v>
      </c>
      <c r="I61" s="16">
        <f t="shared" ref="I61:J61" si="104">(I2+I3+I4)/3</f>
        <v>10843.550000000001</v>
      </c>
      <c r="J61" s="16">
        <f t="shared" si="104"/>
        <v>10740.083333333334</v>
      </c>
      <c r="K61" s="16"/>
    </row>
    <row r="62" spans="1:251" ht="14.7" customHeight="1" x14ac:dyDescent="0.3">
      <c r="A62" s="12"/>
      <c r="B62" s="13"/>
      <c r="C62" s="13"/>
      <c r="D62" s="14" t="s">
        <v>14</v>
      </c>
      <c r="E62" s="16">
        <f t="shared" ref="E62:F62" si="105">E59</f>
        <v>10909.3</v>
      </c>
      <c r="F62" s="16">
        <f t="shared" si="105"/>
        <v>10987.125</v>
      </c>
      <c r="G62" s="16">
        <f t="shared" ref="G62:H62" si="106">G59</f>
        <v>11010.45</v>
      </c>
      <c r="H62" s="16">
        <f t="shared" si="106"/>
        <v>10898.3</v>
      </c>
      <c r="I62" s="16">
        <f t="shared" ref="I62:J62" si="107">I59</f>
        <v>10845</v>
      </c>
      <c r="J62" s="16">
        <f t="shared" si="107"/>
        <v>10757.725</v>
      </c>
      <c r="K62" s="16"/>
    </row>
    <row r="63" spans="1:251" ht="14.7" customHeight="1" x14ac:dyDescent="0.3">
      <c r="A63" s="12"/>
      <c r="B63" s="13"/>
      <c r="C63" s="13"/>
      <c r="D63" s="14" t="s">
        <v>51</v>
      </c>
      <c r="E63" s="31">
        <f>(E60-E62)</f>
        <v>75.966666666667152</v>
      </c>
      <c r="F63" s="31">
        <f t="shared" ref="F63" si="108">ABS(F60-F62)</f>
        <v>59.183333333334303</v>
      </c>
      <c r="G63" s="31">
        <f t="shared" ref="G63:H63" si="109">ABS(G60-G62)</f>
        <v>4.6333333333350311</v>
      </c>
      <c r="H63" s="31">
        <f t="shared" si="109"/>
        <v>53.799999999999272</v>
      </c>
      <c r="I63" s="31">
        <f t="shared" ref="I63:J63" si="110">ABS(I60-I62)</f>
        <v>2.8999999999978172</v>
      </c>
      <c r="J63" s="31">
        <f t="shared" si="110"/>
        <v>35.283333333332848</v>
      </c>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77</v>
      </c>
    </row>
    <row r="2" spans="1:1" ht="14.7" customHeight="1" x14ac:dyDescent="0.3">
      <c r="A2" t="s">
        <v>78</v>
      </c>
    </row>
    <row r="3" spans="1:1" ht="14.7" customHeight="1" x14ac:dyDescent="0.3">
      <c r="A3" t="s">
        <v>79</v>
      </c>
    </row>
    <row r="4" spans="1:1" ht="14.7" customHeight="1" x14ac:dyDescent="0.3">
      <c r="A4" t="s">
        <v>80</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N18" sqref="N1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c r="H6" s="176">
        <v>11084.45</v>
      </c>
      <c r="I6" s="110"/>
      <c r="J6" s="177"/>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10782.6</v>
      </c>
      <c r="G9" s="109"/>
      <c r="H9" s="176">
        <v>10796.5</v>
      </c>
      <c r="I9" s="110"/>
      <c r="J9" s="177"/>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11181.45</v>
      </c>
      <c r="G12" s="109"/>
      <c r="H12" s="176">
        <v>10885.15</v>
      </c>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11065.599400000001</v>
      </c>
      <c r="G16" s="186"/>
      <c r="H16" s="186">
        <f>VALUE(23.6/100*(H6-H9)+H9)</f>
        <v>10864.456200000001</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11240.675300000001</v>
      </c>
      <c r="G17" s="188"/>
      <c r="H17" s="188">
        <f>38.2/100*(H6-H9)+H9</f>
        <v>10906.4969</v>
      </c>
      <c r="I17" s="189"/>
      <c r="J17" s="188">
        <f>VALUE(38.2/100*(J6-J9)+J9)</f>
        <v>0</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11382.174999999999</v>
      </c>
      <c r="G18" s="186"/>
      <c r="H18" s="186">
        <f>VALUE(50/100*(H6-H9)+H9)</f>
        <v>10940.475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11523.6747</v>
      </c>
      <c r="G19" s="186"/>
      <c r="H19" s="186">
        <f>VALUE(61.8/100*(H6-H9)+H9)</f>
        <v>10974.453100000001</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11630.39905</v>
      </c>
      <c r="G20" s="190"/>
      <c r="H20" s="190">
        <f>VALUE(70.7/100*(H6-H9)+H9)</f>
        <v>11000.08065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11725.1319</v>
      </c>
      <c r="G21" s="186"/>
      <c r="H21" s="186">
        <f>VALUE(78.6/100*(H6-H9)+H9)</f>
        <v>11022.8287</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11084.45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12264.749400000001</v>
      </c>
      <c r="G23" s="198"/>
      <c r="H23" s="198">
        <f t="shared" si="0"/>
        <v>11152.406200000001</v>
      </c>
      <c r="I23" s="198"/>
      <c r="J23" s="198">
        <f t="shared" si="0"/>
        <v>0</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10723.3747</v>
      </c>
      <c r="G26" s="193"/>
      <c r="H26" s="193">
        <f>VALUE(H12-38.2/100*(H6-H9))</f>
        <v>10775.1531</v>
      </c>
      <c r="I26" s="194"/>
      <c r="J26" s="193">
        <f>VALUE(J12-38.2/100*(J6-J9))</f>
        <v>0</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10581.875</v>
      </c>
      <c r="G27" s="193"/>
      <c r="H27" s="193">
        <f>VALUE(H12-50/100*(H6-H9))</f>
        <v>10741.174999999999</v>
      </c>
      <c r="I27" s="194"/>
      <c r="J27" s="193">
        <f>VALUE(J12-50/100*(J6-J9))</f>
        <v>0</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10440.375300000002</v>
      </c>
      <c r="G28" s="196"/>
      <c r="H28" s="196">
        <f>VALUE(H12-61.8/100*(H6-H9))</f>
        <v>10707.196899999999</v>
      </c>
      <c r="I28" s="197"/>
      <c r="J28" s="196">
        <f>VALUE(J12-61.8/100*(J6-J9))</f>
        <v>0</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10341.205595000001</v>
      </c>
      <c r="G29" s="190"/>
      <c r="H29" s="190">
        <f>VALUE(H12-70.07/100*(H6-H9))</f>
        <v>10683.383435</v>
      </c>
      <c r="I29" s="167"/>
      <c r="J29" s="190">
        <f>VALUE(J12-70.07/100*(J6-J9))</f>
        <v>0</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9982.3000000000011</v>
      </c>
      <c r="G30" s="193"/>
      <c r="H30" s="193">
        <f>VALUE(H12-100/100*(H6-H9))</f>
        <v>10597.199999999999</v>
      </c>
      <c r="I30" s="194"/>
      <c r="J30" s="193">
        <f>VALUE(J12-100/100*(J6-J9))</f>
        <v>0</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9699.3006000000005</v>
      </c>
      <c r="G31" s="198"/>
      <c r="H31" s="198">
        <f>VALUE(H12-123.6/100*(H6-H9))</f>
        <v>10529.243799999998</v>
      </c>
      <c r="I31" s="199"/>
      <c r="J31" s="198">
        <f>VALUE(J12-123.6/100*(J6-J9))</f>
        <v>0</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9524.2247000000007</v>
      </c>
      <c r="G32" s="190"/>
      <c r="H32" s="190">
        <f>VALUE(H12-138.2/100*(H6-H9))</f>
        <v>10487.203099999999</v>
      </c>
      <c r="I32" s="167"/>
      <c r="J32" s="190">
        <f>VALUE(J12-138.2/100*(J6-J9))</f>
        <v>0</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9382.7250000000022</v>
      </c>
      <c r="G33" s="190"/>
      <c r="H33" s="190">
        <f>VALUE(H12-150/100*(H6-H9))</f>
        <v>10453.224999999999</v>
      </c>
      <c r="I33" s="167"/>
      <c r="J33" s="190">
        <f>VALUE(J12-150/100*(J6-J9))</f>
        <v>0</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9241.2253000000019</v>
      </c>
      <c r="G34" s="225"/>
      <c r="H34" s="225">
        <f>VALUE(H12-161.8/100*(H6-H9))</f>
        <v>10419.246899999998</v>
      </c>
      <c r="I34" s="226"/>
      <c r="J34" s="225">
        <f>VALUE(J12-161.8/100*(J6-J9))</f>
        <v>0</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9142.0555950000016</v>
      </c>
      <c r="G35" s="190"/>
      <c r="H35" s="190">
        <f>VALUE(H12-170.07/100*(H6-H9))</f>
        <v>10395.433434999999</v>
      </c>
      <c r="I35" s="167"/>
      <c r="J35" s="190">
        <f>VALUE(J12-170.07/100*(J6-J9))</f>
        <v>0</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8783.1500000000015</v>
      </c>
      <c r="G36" s="193"/>
      <c r="H36" s="193">
        <f>VALUE(H12-200/100*(H6-H9))</f>
        <v>10309.249999999998</v>
      </c>
      <c r="I36" s="194"/>
      <c r="J36" s="193">
        <f>VALUE(J12-200/100*(J6-J9))</f>
        <v>0</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8500.1506000000008</v>
      </c>
      <c r="G37" s="190"/>
      <c r="H37" s="190">
        <f>VALUE(H12-223.6/100*(H6-H9))</f>
        <v>10241.293799999998</v>
      </c>
      <c r="I37" s="167"/>
      <c r="J37" s="190">
        <f>VALUE(J12-223.6/100*(J6-J9))</f>
        <v>0</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8325.074700000001</v>
      </c>
      <c r="G38" s="193"/>
      <c r="H38" s="193">
        <f>VALUE(H12-238.2/100*(H6-H9))</f>
        <v>10199.253099999998</v>
      </c>
      <c r="I38" s="194"/>
      <c r="J38" s="193">
        <f>VALUE(J12-238.2/100*(J6-J9))</f>
        <v>0</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8042.0753000000013</v>
      </c>
      <c r="G39" s="193"/>
      <c r="H39" s="193">
        <f>VALUE(H12-261.8/100*(H6-H9))</f>
        <v>10131.296899999998</v>
      </c>
      <c r="I39" s="194"/>
      <c r="J39" s="193">
        <f>VALUE(J12-261.8/100*(J6-J9))</f>
        <v>0</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7584.0000000000018</v>
      </c>
      <c r="G40" s="193"/>
      <c r="H40" s="193">
        <f>VALUE(H12-300/100*(H6-H9))</f>
        <v>10021.299999999997</v>
      </c>
      <c r="I40" s="194"/>
      <c r="J40" s="193">
        <f>VALUE(J12-300/100*(J6-J9))</f>
        <v>0</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7301.0006000000012</v>
      </c>
      <c r="G41" s="190"/>
      <c r="H41" s="190">
        <f>VALUE(H12-323.6/100*(H6-H9))</f>
        <v>9953.3437999999969</v>
      </c>
      <c r="I41" s="167"/>
      <c r="J41" s="190">
        <f>VALUE(J12-323.6/100*(J6-J9))</f>
        <v>0</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7125.9247000000023</v>
      </c>
      <c r="G42" s="193"/>
      <c r="H42" s="193">
        <f>VALUE(H12-338.2/100*(H6-H9))</f>
        <v>9911.3030999999974</v>
      </c>
      <c r="I42" s="194"/>
      <c r="J42" s="193">
        <f>VALUE(J12-338.2/100*(J6-J9))</f>
        <v>0</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6842.9253000000017</v>
      </c>
      <c r="G43" s="193"/>
      <c r="H43" s="193">
        <f>VALUE(H12-361.8/100*(H6-H9))</f>
        <v>9843.3468999999968</v>
      </c>
      <c r="I43" s="194"/>
      <c r="J43" s="193">
        <f>VALUE(J12-361.8/100*(J6-J9))</f>
        <v>0</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6384.8500000000022</v>
      </c>
      <c r="G44" s="193"/>
      <c r="H44" s="193">
        <f>VALUE(H12-400/100*(H6-H9))</f>
        <v>9733.3499999999967</v>
      </c>
      <c r="I44" s="194"/>
      <c r="J44" s="193">
        <f>VALUE(J12-400/100*(J6-J9))</f>
        <v>0</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6101.8506000000016</v>
      </c>
      <c r="G45" s="190"/>
      <c r="H45" s="190">
        <f>VALUE(H12-423.6/100*(H6-H9))</f>
        <v>9665.3937999999962</v>
      </c>
      <c r="I45" s="167"/>
      <c r="J45" s="190">
        <f>VALUE(J12-423.6/100*(J6-J9))</f>
        <v>0</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5926.7747000000027</v>
      </c>
      <c r="G46" s="190"/>
      <c r="H46" s="190">
        <f>VALUE(H12-438.2/100*(H6-H9))</f>
        <v>9623.3530999999966</v>
      </c>
      <c r="I46" s="167"/>
      <c r="J46" s="190">
        <f>VALUE(J12-438.2/100*(J6-J9))</f>
        <v>0</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5643.7753000000021</v>
      </c>
      <c r="G47" s="190"/>
      <c r="H47" s="190">
        <f>VALUE(H12-461.8/100*(H6-H9))</f>
        <v>9555.3968999999961</v>
      </c>
      <c r="I47" s="167"/>
      <c r="J47" s="190">
        <f>VALUE(J12-461.8/100*(J6-J9))</f>
        <v>0</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5185.7000000000025</v>
      </c>
      <c r="G48" s="190"/>
      <c r="H48" s="190">
        <f>VALUE(H12-500/100*(H6-H9))</f>
        <v>9445.399999999996</v>
      </c>
      <c r="I48" s="167"/>
      <c r="J48" s="190">
        <f>VALUE(J12-500/100*(J6-J9))</f>
        <v>0</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4902.7006000000019</v>
      </c>
      <c r="G49" s="190"/>
      <c r="H49" s="190">
        <f>VALUE(H12-523.6/100*(H6-H9))</f>
        <v>9377.4437999999955</v>
      </c>
      <c r="I49" s="167"/>
      <c r="J49" s="190">
        <f>VALUE(J12-523.6/100*(J6-J9))</f>
        <v>0</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4727.6247000000021</v>
      </c>
      <c r="G50" s="190"/>
      <c r="H50" s="190">
        <f>VALUE(H12-538.2/100*(H6-H9))</f>
        <v>9335.4030999999959</v>
      </c>
      <c r="I50" s="167"/>
      <c r="J50" s="190">
        <f>VALUE(J12-538.2/100*(J6-J9))</f>
        <v>0</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4444.6253000000033</v>
      </c>
      <c r="G51" s="190"/>
      <c r="H51" s="190">
        <f>VALUE(H12-561.8/100*(H6-H9))</f>
        <v>9267.4468999999954</v>
      </c>
      <c r="I51" s="167"/>
      <c r="J51" s="190">
        <f>VALUE(J12-561.8/100*(J6-J9))</f>
        <v>0</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P75"/>
  <sheetViews>
    <sheetView showGridLines="0" topLeftCell="GD1" zoomScaleNormal="100" workbookViewId="0">
      <selection activeCell="GM24" sqref="GM24"/>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199" width="10.77734375" style="91" customWidth="1"/>
    <col min="200" max="406" width="8.77734375" style="33" customWidth="1"/>
  </cols>
  <sheetData>
    <row r="1" spans="1:199"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row>
    <row r="2" spans="1:199"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row>
    <row r="3" spans="1:199"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row>
    <row r="4" spans="1:199"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row>
    <row r="5" spans="1:199"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row>
    <row r="6" spans="1:199"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Q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row>
    <row r="7" spans="1:199"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Q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row>
    <row r="8" spans="1:199"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Q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row>
    <row r="9" spans="1:199"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Q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row>
    <row r="10" spans="1:199"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Q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row>
    <row r="11" spans="1:199"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Q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row>
    <row r="12" spans="1:19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row>
    <row r="13" spans="1:199"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Q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row>
    <row r="14" spans="1:199"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Q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row>
    <row r="15" spans="1:199"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Q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row>
    <row r="16" spans="1:19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row>
    <row r="17" spans="1:199"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Q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row>
    <row r="18" spans="1:199"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Q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row>
    <row r="19" spans="1:199"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Q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row>
    <row r="20" spans="1:199"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Q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row>
    <row r="21" spans="1:199"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Q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row>
    <row r="22" spans="1:199"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Q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row>
    <row r="23" spans="1:199"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row>
    <row r="24" spans="1:199"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Q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row>
    <row r="25" spans="1:199"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Q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row>
    <row r="26" spans="1:199"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Q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row>
    <row r="27" spans="1:199"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Q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row>
    <row r="28" spans="1:199"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Q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row>
    <row r="29" spans="1:199"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Q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row>
    <row r="30" spans="1:199"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Q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row>
    <row r="31" spans="1:199"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Q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row>
    <row r="32" spans="1:199"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Q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row>
    <row r="33" spans="1:199"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Q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row>
    <row r="34" spans="1:199"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Q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row>
    <row r="35" spans="1:199"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Q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row>
    <row r="36" spans="1:199"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Q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row>
    <row r="37" spans="1:199"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row>
    <row r="38" spans="1:199"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row>
    <row r="39" spans="1:199"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row>
    <row r="40" spans="1:199"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row>
    <row r="41" spans="1:199"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row>
    <row r="42" spans="1:199"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row>
    <row r="43" spans="1:199"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row>
    <row r="44" spans="1:199"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row>
    <row r="45" spans="1:199"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76</v>
      </c>
    </row>
    <row r="46" spans="1:199"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GQ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row>
    <row r="47" spans="1:199"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row>
    <row r="48" spans="1:199"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row>
    <row r="49" spans="1:199"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row>
    <row r="50" spans="1:199"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row>
    <row r="51" spans="1:199"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75</v>
      </c>
    </row>
    <row r="52" spans="1:199"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row>
    <row r="53" spans="1:199"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row>
    <row r="54" spans="1:199"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row>
    <row r="55" spans="1:199"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row>
    <row r="56" spans="1:199"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GQ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row>
    <row r="57" spans="1:199"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GQ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row>
    <row r="58" spans="1:199"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GQ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row>
    <row r="59" spans="1:199"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GQ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row>
    <row r="60" spans="1:199"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GQ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row>
    <row r="61" spans="1:199"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GQ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row>
    <row r="62" spans="1:199"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GQ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row>
    <row r="63" spans="1:199"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GQ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row>
    <row r="64" spans="1:199"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73</v>
      </c>
      <c r="H6" s="176">
        <v>10782.6</v>
      </c>
      <c r="I6" s="110" t="s">
        <v>73</v>
      </c>
      <c r="J6" s="177">
        <v>11981.75</v>
      </c>
      <c r="K6" s="111" t="s">
        <v>71</v>
      </c>
      <c r="L6" s="178">
        <v>11981.75</v>
      </c>
      <c r="M6" s="109" t="s">
        <v>71</v>
      </c>
      <c r="N6" s="176">
        <v>11141.75</v>
      </c>
      <c r="O6" s="110" t="s">
        <v>72</v>
      </c>
      <c r="P6" s="177">
        <v>11042.6</v>
      </c>
      <c r="Q6" s="111" t="s">
        <v>74</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Emeter</vt:lpstr>
      <vt:lpstr>Elliot-Lar</vt:lpstr>
      <vt:lpstr>Elliot</vt:lpstr>
      <vt:lpstr>Elliot-Ret</vt:lpstr>
      <vt:lpstr>Archives</vt:lpstr>
      <vt:lpstr>Elliot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2019-09-19T20:05:39Z</dcterms:modified>
</cp:coreProperties>
</file>