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14.xml" ContentType="application/vnd.openxmlformats-officedocument.drawingml.chart+xml"/>
  <Override PartName="/xl/charts/style3.xml" ContentType="application/vnd.ms-office.chartstyle+xml"/>
  <Override PartName="/xl/charts/colors3.xml" ContentType="application/vnd.ms-office.chartcolorstyle+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조근하\Downloads\"/>
    </mc:Choice>
  </mc:AlternateContent>
  <xr:revisionPtr revIDLastSave="0" documentId="13_ncr:1_{F7CF7AD0-676F-4BE1-A759-1434E9699885}" xr6:coauthVersionLast="47" xr6:coauthVersionMax="47" xr10:uidLastSave="{00000000-0000-0000-0000-000000000000}"/>
  <bookViews>
    <workbookView xWindow="-108" yWindow="-108" windowWidth="23256" windowHeight="12456" firstSheet="11" activeTab="15" xr2:uid="{00000000-000D-0000-FFFF-FFFF00000000}"/>
  </bookViews>
  <sheets>
    <sheet name="crash course" sheetId="1" r:id="rId1"/>
    <sheet name="covarianc_correlation" sheetId="2" r:id="rId2"/>
    <sheet name="linear regression" sheetId="3" r:id="rId3"/>
    <sheet name="__Solver__" sheetId="4" state="hidden" r:id="rId4"/>
    <sheet name="__Solver___conflict482289707" sheetId="5" state="hidden" r:id="rId5"/>
    <sheet name="simple linear regression" sheetId="6" r:id="rId6"/>
    <sheet name="bias_variance" sheetId="10" state="hidden" r:id="rId7"/>
    <sheet name="logistic function" sheetId="11" r:id="rId8"/>
    <sheet name="logistic regression" sheetId="12" r:id="rId9"/>
    <sheet name="KNN_classification" sheetId="15" r:id="rId10"/>
    <sheet name="gini" sheetId="18" r:id="rId11"/>
    <sheet name="confusion matrix" sheetId="19" r:id="rId12"/>
    <sheet name="loss function_logloss" sheetId="21" r:id="rId13"/>
    <sheet name="log loss plot" sheetId="28" r:id="rId14"/>
    <sheet name="PCA" sheetId="25" r:id="rId15"/>
    <sheet name="Hierachy Clustering" sheetId="31" r:id="rId16"/>
    <sheet name="KNN_clustering" sheetId="30" r:id="rId17"/>
    <sheet name="Lift curve" sheetId="20" r:id="rId18"/>
    <sheet name="Association Rule_01" sheetId="26" r:id="rId19"/>
    <sheet name="Association Rule_02" sheetId="27" r:id="rId20"/>
    <sheet name="log" sheetId="29" r:id="rId21"/>
    <sheet name="__OpenSolverCache__" sheetId="22" state="hidden" r:id="rId22"/>
    <sheet name="__OpenSolver__" sheetId="23" state="hidden" r:id="rId23"/>
  </sheets>
  <externalReferences>
    <externalReference r:id="rId24"/>
    <externalReference r:id="rId25"/>
  </externalReferences>
  <definedNames>
    <definedName name="_xlnm._FilterDatabase" localSheetId="13" hidden="1">'log loss plot'!$I$4:$L$4</definedName>
  </definedNames>
  <calcPr calcId="191029"/>
</workbook>
</file>

<file path=xl/calcChain.xml><?xml version="1.0" encoding="utf-8"?>
<calcChain xmlns="http://schemas.openxmlformats.org/spreadsheetml/2006/main">
  <c r="I15" i="31" l="1"/>
  <c r="G14" i="31"/>
  <c r="F14" i="31"/>
  <c r="I12" i="31"/>
  <c r="H12" i="31"/>
  <c r="F11" i="31"/>
  <c r="E11" i="31"/>
  <c r="I8" i="31"/>
  <c r="H8" i="31"/>
  <c r="H15" i="31" s="1"/>
  <c r="G8" i="31"/>
  <c r="G15" i="31" s="1"/>
  <c r="F8" i="31"/>
  <c r="F15" i="31" s="1"/>
  <c r="E8" i="31"/>
  <c r="E15" i="31" s="1"/>
  <c r="I7" i="31"/>
  <c r="I14" i="31" s="1"/>
  <c r="H7" i="31"/>
  <c r="H14" i="31" s="1"/>
  <c r="G7" i="31"/>
  <c r="F7" i="31"/>
  <c r="E7" i="31"/>
  <c r="E14" i="31" s="1"/>
  <c r="I6" i="31"/>
  <c r="I13" i="31" s="1"/>
  <c r="H6" i="31"/>
  <c r="H13" i="31" s="1"/>
  <c r="G6" i="31"/>
  <c r="G13" i="31" s="1"/>
  <c r="F6" i="31"/>
  <c r="F13" i="31" s="1"/>
  <c r="E6" i="31"/>
  <c r="E13" i="31" s="1"/>
  <c r="I5" i="31"/>
  <c r="H5" i="31"/>
  <c r="G5" i="31"/>
  <c r="G12" i="31" s="1"/>
  <c r="F5" i="31"/>
  <c r="F12" i="31" s="1"/>
  <c r="E5" i="31"/>
  <c r="E12" i="31" s="1"/>
  <c r="I4" i="31"/>
  <c r="I11" i="31" s="1"/>
  <c r="H4" i="31"/>
  <c r="H11" i="31" s="1"/>
  <c r="G4" i="31"/>
  <c r="G11" i="31" s="1"/>
  <c r="F4" i="31"/>
  <c r="E4" i="31"/>
  <c r="A20" i="30"/>
  <c r="A21" i="30" s="1"/>
  <c r="A22" i="30" s="1"/>
  <c r="A23" i="30" s="1"/>
  <c r="A24" i="30" s="1"/>
  <c r="A25" i="30" s="1"/>
  <c r="A26" i="30" s="1"/>
  <c r="A27" i="30" s="1"/>
  <c r="A28" i="30" s="1"/>
  <c r="D18" i="30"/>
  <c r="E18" i="30" s="1"/>
  <c r="F18" i="30" s="1"/>
  <c r="G18" i="30" s="1"/>
  <c r="H18" i="30" s="1"/>
  <c r="I18" i="30" s="1"/>
  <c r="J18" i="30" s="1"/>
  <c r="K18" i="30" s="1"/>
  <c r="C18" i="30"/>
  <c r="A9" i="30"/>
  <c r="A10" i="30" s="1"/>
  <c r="A11" i="30" s="1"/>
  <c r="A12" i="30" s="1"/>
  <c r="A13" i="30" s="1"/>
  <c r="A14" i="30" s="1"/>
  <c r="A15" i="30" s="1"/>
  <c r="A8" i="30"/>
  <c r="A7" i="30"/>
  <c r="F11" i="29" l="1"/>
  <c r="E11" i="29"/>
  <c r="C13" i="29"/>
  <c r="C14" i="29" s="1"/>
  <c r="C15" i="29" s="1"/>
  <c r="C16" i="29" s="1"/>
  <c r="C17" i="29" s="1"/>
  <c r="C18" i="29" s="1"/>
  <c r="C19" i="29" s="1"/>
  <c r="C20" i="29" s="1"/>
  <c r="C12" i="29"/>
  <c r="D12" i="29"/>
  <c r="E12" i="29" s="1"/>
  <c r="F9" i="29"/>
  <c r="H9" i="29"/>
  <c r="K9" i="29"/>
  <c r="C9" i="29"/>
  <c r="C7" i="29"/>
  <c r="C8" i="29" s="1"/>
  <c r="C6" i="29"/>
  <c r="D5" i="29"/>
  <c r="D7" i="29" s="1"/>
  <c r="D8" i="29" s="1"/>
  <c r="D4" i="29"/>
  <c r="F4" i="29"/>
  <c r="I4" i="29"/>
  <c r="J4" i="29"/>
  <c r="K4" i="29"/>
  <c r="N4" i="29"/>
  <c r="C4" i="29"/>
  <c r="E3" i="29"/>
  <c r="F3" i="29" s="1"/>
  <c r="G3" i="29" s="1"/>
  <c r="H3" i="29" s="1"/>
  <c r="I3" i="29" s="1"/>
  <c r="J3" i="29" s="1"/>
  <c r="K3" i="29" s="1"/>
  <c r="L3" i="29" s="1"/>
  <c r="M3" i="29" s="1"/>
  <c r="N3" i="29" s="1"/>
  <c r="O3" i="29" s="1"/>
  <c r="P3" i="29" s="1"/>
  <c r="Q3" i="29" s="1"/>
  <c r="D3" i="29"/>
  <c r="D9" i="29" s="1"/>
  <c r="E6" i="28"/>
  <c r="E10" i="28"/>
  <c r="E17" i="28"/>
  <c r="E11" i="28"/>
  <c r="E14" i="28"/>
  <c r="E12" i="28"/>
  <c r="E23" i="28"/>
  <c r="E21" i="28"/>
  <c r="E19" i="28"/>
  <c r="E5" i="28"/>
  <c r="E16" i="28"/>
  <c r="E15" i="28"/>
  <c r="E20" i="28"/>
  <c r="E24" i="28"/>
  <c r="E22" i="28"/>
  <c r="E18" i="28"/>
  <c r="E9" i="28"/>
  <c r="E8" i="28"/>
  <c r="E7" i="28"/>
  <c r="E13" i="28"/>
  <c r="D6" i="28"/>
  <c r="D10" i="28"/>
  <c r="D17" i="28"/>
  <c r="D11" i="28"/>
  <c r="D14" i="28"/>
  <c r="D12" i="28"/>
  <c r="D23" i="28"/>
  <c r="D21" i="28"/>
  <c r="D19" i="28"/>
  <c r="D5" i="28"/>
  <c r="D16" i="28"/>
  <c r="D15" i="28"/>
  <c r="D20" i="28"/>
  <c r="D24" i="28"/>
  <c r="D22" i="28"/>
  <c r="D18" i="28"/>
  <c r="D9" i="28"/>
  <c r="D8" i="28"/>
  <c r="D7" i="28"/>
  <c r="D13" i="28"/>
  <c r="F23" i="27"/>
  <c r="F22" i="27"/>
  <c r="B7" i="26"/>
  <c r="F10" i="21"/>
  <c r="F4" i="21"/>
  <c r="E3" i="21"/>
  <c r="F3" i="21" s="1"/>
  <c r="E4" i="21"/>
  <c r="E14" i="21"/>
  <c r="F14" i="21" s="1"/>
  <c r="E13" i="21"/>
  <c r="F13" i="21" s="1"/>
  <c r="E12" i="21"/>
  <c r="F12" i="21" s="1"/>
  <c r="E11" i="21"/>
  <c r="F11" i="21" s="1"/>
  <c r="E10" i="21"/>
  <c r="E6" i="21"/>
  <c r="F6" i="21" s="1"/>
  <c r="E5" i="21"/>
  <c r="F5" i="21" s="1"/>
  <c r="C9" i="27"/>
  <c r="D8" i="27"/>
  <c r="E8" i="27" s="1"/>
  <c r="E19" i="27" s="1"/>
  <c r="D7" i="27"/>
  <c r="E7" i="27" s="1"/>
  <c r="D6" i="27"/>
  <c r="E6" i="27" s="1"/>
  <c r="D5" i="27"/>
  <c r="D4" i="27"/>
  <c r="D3" i="27"/>
  <c r="D2" i="27"/>
  <c r="E2" i="27" s="1"/>
  <c r="C13" i="27" s="1"/>
  <c r="D11" i="26"/>
  <c r="F7" i="26"/>
  <c r="F9" i="26" s="1"/>
  <c r="E7" i="26"/>
  <c r="D7" i="26"/>
  <c r="D12" i="26" s="1"/>
  <c r="F14" i="26" s="1"/>
  <c r="G5" i="25"/>
  <c r="D5" i="25"/>
  <c r="B5" i="25"/>
  <c r="C5" i="25" s="1"/>
  <c r="G4" i="25"/>
  <c r="D4" i="25"/>
  <c r="C4" i="25"/>
  <c r="A18" i="23"/>
  <c r="A17" i="23"/>
  <c r="A16" i="23"/>
  <c r="A15" i="23"/>
  <c r="A14" i="23"/>
  <c r="A13" i="23"/>
  <c r="B12" i="23"/>
  <c r="A12" i="23"/>
  <c r="B11" i="23"/>
  <c r="B10" i="23"/>
  <c r="A10" i="23"/>
  <c r="B9" i="23"/>
  <c r="A9" i="23"/>
  <c r="B8" i="23"/>
  <c r="B7" i="23"/>
  <c r="B6" i="23"/>
  <c r="A6" i="23"/>
  <c r="B5" i="23"/>
  <c r="A5" i="23"/>
  <c r="B4" i="23"/>
  <c r="A4" i="23"/>
  <c r="B3" i="23"/>
  <c r="A3" i="23"/>
  <c r="B2" i="23"/>
  <c r="A2" i="23"/>
  <c r="B1" i="23"/>
  <c r="A1" i="23"/>
  <c r="B16" i="20"/>
  <c r="C12" i="20" s="1"/>
  <c r="A16" i="20"/>
  <c r="D15" i="20"/>
  <c r="D14" i="20"/>
  <c r="D13" i="20"/>
  <c r="D12" i="20"/>
  <c r="D11" i="20"/>
  <c r="D10" i="20"/>
  <c r="D9" i="20"/>
  <c r="D8" i="20"/>
  <c r="D7" i="20"/>
  <c r="D6" i="20"/>
  <c r="C46" i="19"/>
  <c r="C45" i="19"/>
  <c r="C47" i="19" s="1"/>
  <c r="D42" i="19"/>
  <c r="E42" i="19" s="1"/>
  <c r="F42" i="19" s="1"/>
  <c r="D41" i="19"/>
  <c r="E41" i="19" s="1"/>
  <c r="F41" i="19" s="1"/>
  <c r="D40" i="19"/>
  <c r="E40" i="19" s="1"/>
  <c r="F40" i="19" s="1"/>
  <c r="D39" i="19"/>
  <c r="E39" i="19" s="1"/>
  <c r="F39" i="19" s="1"/>
  <c r="D38" i="19"/>
  <c r="E38" i="19" s="1"/>
  <c r="F38" i="19" s="1"/>
  <c r="D37" i="19"/>
  <c r="E37" i="19" s="1"/>
  <c r="F37" i="19" s="1"/>
  <c r="D36" i="19"/>
  <c r="E36" i="19" s="1"/>
  <c r="F36" i="19" s="1"/>
  <c r="D35" i="19"/>
  <c r="E35" i="19" s="1"/>
  <c r="F35" i="19" s="1"/>
  <c r="D34" i="19"/>
  <c r="E34" i="19" s="1"/>
  <c r="F34" i="19" s="1"/>
  <c r="D33" i="19"/>
  <c r="E33" i="19" s="1"/>
  <c r="F33" i="19" s="1"/>
  <c r="D32" i="19"/>
  <c r="E32" i="19" s="1"/>
  <c r="F32" i="19" s="1"/>
  <c r="D31" i="19"/>
  <c r="E31" i="19" s="1"/>
  <c r="F31" i="19" s="1"/>
  <c r="D30" i="19"/>
  <c r="E30" i="19" s="1"/>
  <c r="F30" i="19" s="1"/>
  <c r="D29" i="19"/>
  <c r="E29" i="19" s="1"/>
  <c r="F29" i="19" s="1"/>
  <c r="D28" i="19"/>
  <c r="E28" i="19" s="1"/>
  <c r="F28" i="19" s="1"/>
  <c r="D27" i="19"/>
  <c r="E27" i="19" s="1"/>
  <c r="F27" i="19" s="1"/>
  <c r="D26" i="19"/>
  <c r="E26" i="19" s="1"/>
  <c r="F26" i="19" s="1"/>
  <c r="D25" i="19"/>
  <c r="E25" i="19" s="1"/>
  <c r="F25" i="19" s="1"/>
  <c r="D24" i="19"/>
  <c r="E24" i="19" s="1"/>
  <c r="F24" i="19" s="1"/>
  <c r="D23" i="19"/>
  <c r="E23" i="19" s="1"/>
  <c r="F23" i="19" s="1"/>
  <c r="D22" i="19"/>
  <c r="E22" i="19" s="1"/>
  <c r="F22" i="19" s="1"/>
  <c r="D21" i="19"/>
  <c r="E21" i="19" s="1"/>
  <c r="F21" i="19" s="1"/>
  <c r="D20" i="19"/>
  <c r="E20" i="19" s="1"/>
  <c r="F20" i="19" s="1"/>
  <c r="D19" i="19"/>
  <c r="E19" i="19" s="1"/>
  <c r="F19" i="19" s="1"/>
  <c r="D18" i="19"/>
  <c r="E18" i="19" s="1"/>
  <c r="F18" i="19" s="1"/>
  <c r="D17" i="19"/>
  <c r="D16" i="19"/>
  <c r="E16" i="19" s="1"/>
  <c r="F16" i="19" s="1"/>
  <c r="D15" i="19"/>
  <c r="D14" i="19"/>
  <c r="E14" i="19" s="1"/>
  <c r="F14" i="19" s="1"/>
  <c r="D13" i="19"/>
  <c r="E13" i="19" s="1"/>
  <c r="F13" i="19" s="1"/>
  <c r="D12" i="19"/>
  <c r="D11" i="19"/>
  <c r="D10" i="19"/>
  <c r="D9" i="19"/>
  <c r="D8" i="19"/>
  <c r="D7" i="19"/>
  <c r="E7" i="19" s="1"/>
  <c r="F7" i="19" s="1"/>
  <c r="D6" i="19"/>
  <c r="D5" i="19"/>
  <c r="E5" i="19" s="1"/>
  <c r="F5" i="19" s="1"/>
  <c r="D4" i="19"/>
  <c r="B4" i="19"/>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B41" i="19" s="1"/>
  <c r="B42" i="19" s="1"/>
  <c r="I3" i="19"/>
  <c r="H3" i="19"/>
  <c r="D3" i="19"/>
  <c r="B31" i="18"/>
  <c r="B30" i="18"/>
  <c r="B10" i="18"/>
  <c r="B9" i="18"/>
  <c r="B7" i="18"/>
  <c r="B8" i="18" s="1"/>
  <c r="C4" i="18"/>
  <c r="D4" i="18" s="1"/>
  <c r="E4" i="18" s="1"/>
  <c r="F4" i="18" s="1"/>
  <c r="G4" i="18" s="1"/>
  <c r="H4" i="18" s="1"/>
  <c r="I4" i="18" s="1"/>
  <c r="J4" i="18" s="1"/>
  <c r="K4" i="18" s="1"/>
  <c r="L4" i="18" s="1"/>
  <c r="C3" i="18"/>
  <c r="D3" i="18" s="1"/>
  <c r="E3" i="18" s="1"/>
  <c r="E5" i="18" s="1"/>
  <c r="F35" i="15"/>
  <c r="E35" i="15"/>
  <c r="F34" i="15"/>
  <c r="E34" i="15"/>
  <c r="G34" i="15" s="1"/>
  <c r="H34" i="15" s="1"/>
  <c r="F33" i="15"/>
  <c r="E33" i="15"/>
  <c r="G33" i="15" s="1"/>
  <c r="H33" i="15" s="1"/>
  <c r="F32" i="15"/>
  <c r="E32" i="15"/>
  <c r="F31" i="15"/>
  <c r="E31" i="15"/>
  <c r="G31" i="15" s="1"/>
  <c r="H31" i="15" s="1"/>
  <c r="F30" i="15"/>
  <c r="E30" i="15"/>
  <c r="G30" i="15" s="1"/>
  <c r="H30" i="15" s="1"/>
  <c r="F29" i="15"/>
  <c r="E29" i="15"/>
  <c r="G29" i="15" s="1"/>
  <c r="H29" i="15" s="1"/>
  <c r="F28" i="15"/>
  <c r="E28" i="15"/>
  <c r="F27" i="15"/>
  <c r="E27" i="15"/>
  <c r="G27" i="15" s="1"/>
  <c r="H27" i="15" s="1"/>
  <c r="L26" i="15"/>
  <c r="J26" i="15"/>
  <c r="F26" i="15"/>
  <c r="E26" i="15"/>
  <c r="G26" i="15" s="1"/>
  <c r="H26" i="15" s="1"/>
  <c r="D17" i="15"/>
  <c r="C17" i="15"/>
  <c r="D6" i="12"/>
  <c r="D7" i="12" s="1"/>
  <c r="F5" i="12"/>
  <c r="F8" i="12" s="1"/>
  <c r="E5" i="12"/>
  <c r="E11" i="12" s="1"/>
  <c r="D14" i="11"/>
  <c r="C14" i="11"/>
  <c r="D13" i="11"/>
  <c r="C13" i="11"/>
  <c r="D12" i="11"/>
  <c r="C12" i="11"/>
  <c r="D11" i="11"/>
  <c r="C11" i="11"/>
  <c r="D10" i="11"/>
  <c r="C10" i="11"/>
  <c r="D9" i="11"/>
  <c r="C9" i="11"/>
  <c r="D8" i="11"/>
  <c r="C8" i="11"/>
  <c r="D7" i="11"/>
  <c r="C7" i="11"/>
  <c r="D6" i="11"/>
  <c r="C6" i="11"/>
  <c r="D5" i="11"/>
  <c r="C5" i="11"/>
  <c r="D4" i="11"/>
  <c r="C4" i="11"/>
  <c r="B3" i="10"/>
  <c r="C3" i="10" s="1"/>
  <c r="C2" i="10"/>
  <c r="A8" i="23"/>
  <c r="A7" i="23"/>
  <c r="A11" i="23"/>
  <c r="C9" i="6"/>
  <c r="F5" i="6" s="1"/>
  <c r="B9" i="6"/>
  <c r="D8" i="6" s="1"/>
  <c r="E8" i="6" s="1"/>
  <c r="B3" i="4"/>
  <c r="B2" i="4"/>
  <c r="D40" i="3"/>
  <c r="E40" i="3" s="1"/>
  <c r="B40" i="3"/>
  <c r="B39" i="3"/>
  <c r="D39" i="3" s="1"/>
  <c r="E39" i="3" s="1"/>
  <c r="B38" i="3"/>
  <c r="D38" i="3" s="1"/>
  <c r="E38" i="3" s="1"/>
  <c r="B37" i="3"/>
  <c r="D37" i="3" s="1"/>
  <c r="E37" i="3" s="1"/>
  <c r="B36" i="3"/>
  <c r="D36" i="3" s="1"/>
  <c r="E36" i="3" s="1"/>
  <c r="B35" i="3"/>
  <c r="D35" i="3" s="1"/>
  <c r="E35" i="3" s="1"/>
  <c r="B34" i="3"/>
  <c r="D34" i="3" s="1"/>
  <c r="E34" i="3" s="1"/>
  <c r="D33" i="3"/>
  <c r="E33" i="3" s="1"/>
  <c r="B33" i="3"/>
  <c r="B32" i="3"/>
  <c r="D32" i="3" s="1"/>
  <c r="E32" i="3" s="1"/>
  <c r="B31" i="3"/>
  <c r="D31" i="3" s="1"/>
  <c r="E31" i="3" s="1"/>
  <c r="B30" i="3"/>
  <c r="D30" i="3" s="1"/>
  <c r="E30" i="3" s="1"/>
  <c r="B29" i="3"/>
  <c r="B28" i="3"/>
  <c r="D28" i="3" s="1"/>
  <c r="E28" i="3" s="1"/>
  <c r="B27" i="3"/>
  <c r="B26" i="3"/>
  <c r="B25" i="3"/>
  <c r="D25" i="3" s="1"/>
  <c r="E25" i="3" s="1"/>
  <c r="B5" i="3"/>
  <c r="B6" i="3" s="1"/>
  <c r="B7" i="3" s="1"/>
  <c r="B8" i="3" s="1"/>
  <c r="A5" i="3"/>
  <c r="C3" i="2"/>
  <c r="C4" i="2" s="1"/>
  <c r="C5" i="2" s="1"/>
  <c r="C6" i="2" s="1"/>
  <c r="B3" i="2"/>
  <c r="A40" i="1"/>
  <c r="A36" i="1"/>
  <c r="A31" i="1"/>
  <c r="A27" i="1"/>
  <c r="A17" i="1"/>
  <c r="C14" i="1"/>
  <c r="B14" i="1"/>
  <c r="A14" i="1"/>
  <c r="A11" i="1"/>
  <c r="A8" i="1"/>
  <c r="R3" i="29" l="1"/>
  <c r="Q4" i="29"/>
  <c r="M4" i="29"/>
  <c r="E4" i="29"/>
  <c r="J9" i="29"/>
  <c r="B6" i="25"/>
  <c r="D6" i="25" s="1"/>
  <c r="L4" i="29"/>
  <c r="I9" i="29"/>
  <c r="F15" i="21"/>
  <c r="E5" i="29"/>
  <c r="D5" i="6"/>
  <c r="F10" i="12"/>
  <c r="D6" i="29"/>
  <c r="G9" i="29"/>
  <c r="D4" i="6"/>
  <c r="D9" i="6" s="1"/>
  <c r="P4" i="29"/>
  <c r="H4" i="29"/>
  <c r="E9" i="29"/>
  <c r="D6" i="6"/>
  <c r="E6" i="6" s="1"/>
  <c r="F11" i="12"/>
  <c r="D7" i="6"/>
  <c r="E7" i="6" s="1"/>
  <c r="F12" i="12"/>
  <c r="F13" i="12"/>
  <c r="O4" i="29"/>
  <c r="G4" i="29"/>
  <c r="F12" i="29"/>
  <c r="D13" i="29"/>
  <c r="G16" i="28"/>
  <c r="G7" i="28"/>
  <c r="G17" i="28"/>
  <c r="G13" i="28"/>
  <c r="G15" i="28"/>
  <c r="G11" i="28"/>
  <c r="G8" i="28"/>
  <c r="G5" i="28"/>
  <c r="G10" i="28"/>
  <c r="G9" i="28"/>
  <c r="G19" i="28"/>
  <c r="G6" i="28"/>
  <c r="F14" i="28"/>
  <c r="F17" i="28"/>
  <c r="F19" i="28"/>
  <c r="F9" i="28"/>
  <c r="G21" i="28"/>
  <c r="G22" i="28"/>
  <c r="G23" i="28"/>
  <c r="G18" i="28"/>
  <c r="F6" i="28"/>
  <c r="F7" i="28"/>
  <c r="G24" i="28"/>
  <c r="G12" i="28"/>
  <c r="G20" i="28"/>
  <c r="G14" i="28"/>
  <c r="F15" i="28"/>
  <c r="F11" i="28"/>
  <c r="F16" i="28"/>
  <c r="F12" i="28"/>
  <c r="F20" i="28"/>
  <c r="F24" i="28"/>
  <c r="F10" i="28"/>
  <c r="F5" i="28"/>
  <c r="F8" i="28"/>
  <c r="F23" i="28"/>
  <c r="F22" i="28"/>
  <c r="F21" i="28"/>
  <c r="F18" i="28"/>
  <c r="F13" i="28"/>
  <c r="D46" i="19"/>
  <c r="C9" i="20"/>
  <c r="C13" i="20"/>
  <c r="C10" i="20"/>
  <c r="C14" i="20"/>
  <c r="F4" i="6"/>
  <c r="B4" i="10"/>
  <c r="B5" i="10" s="1"/>
  <c r="E14" i="12"/>
  <c r="G6" i="25"/>
  <c r="E3" i="27"/>
  <c r="D13" i="27" s="1"/>
  <c r="G5" i="6"/>
  <c r="C7" i="20"/>
  <c r="C11" i="20"/>
  <c r="C15" i="20"/>
  <c r="B7" i="25"/>
  <c r="C7" i="25" s="1"/>
  <c r="E4" i="27"/>
  <c r="D19" i="27" s="1"/>
  <c r="E5" i="6"/>
  <c r="F8" i="6"/>
  <c r="G8" i="6" s="1"/>
  <c r="E6" i="12"/>
  <c r="E17" i="15"/>
  <c r="F17" i="15" s="1"/>
  <c r="G35" i="15"/>
  <c r="H35" i="15" s="1"/>
  <c r="D9" i="26"/>
  <c r="E5" i="27"/>
  <c r="F6" i="6"/>
  <c r="D13" i="26"/>
  <c r="G4" i="6"/>
  <c r="C6" i="20"/>
  <c r="F6" i="20" s="1"/>
  <c r="E4" i="6"/>
  <c r="E9" i="6" s="1"/>
  <c r="F7" i="6"/>
  <c r="G7" i="6" s="1"/>
  <c r="F15" i="12"/>
  <c r="F7" i="12"/>
  <c r="G28" i="15"/>
  <c r="H28" i="15" s="1"/>
  <c r="G32" i="15"/>
  <c r="H32" i="15" s="1"/>
  <c r="C8" i="20"/>
  <c r="B18" i="20"/>
  <c r="E7" i="20" s="1"/>
  <c r="E9" i="26"/>
  <c r="D14" i="26"/>
  <c r="E2" i="21"/>
  <c r="C19" i="27"/>
  <c r="G19" i="27" s="1"/>
  <c r="E13" i="27"/>
  <c r="B8" i="25"/>
  <c r="G7" i="25"/>
  <c r="D7" i="25"/>
  <c r="E5" i="25"/>
  <c r="E4" i="25"/>
  <c r="C6" i="25"/>
  <c r="E3" i="19"/>
  <c r="F3" i="19" s="1"/>
  <c r="E9" i="19"/>
  <c r="F9" i="19" s="1"/>
  <c r="E6" i="19"/>
  <c r="F6" i="19" s="1"/>
  <c r="E17" i="19"/>
  <c r="F17" i="19" s="1"/>
  <c r="E12" i="19"/>
  <c r="F12" i="19" s="1"/>
  <c r="E4" i="19"/>
  <c r="F4" i="19" s="1"/>
  <c r="D26" i="3"/>
  <c r="E26" i="3" s="1"/>
  <c r="E9" i="18"/>
  <c r="E6" i="18"/>
  <c r="E31" i="18" s="1"/>
  <c r="E30" i="18"/>
  <c r="E10" i="18"/>
  <c r="D27" i="3"/>
  <c r="E27" i="3" s="1"/>
  <c r="B4" i="2"/>
  <c r="B5" i="2" s="1"/>
  <c r="B6" i="2" s="1"/>
  <c r="B7" i="2" s="1"/>
  <c r="B8" i="2" s="1"/>
  <c r="B9" i="2" s="1"/>
  <c r="B10" i="2" s="1"/>
  <c r="B11" i="2" s="1"/>
  <c r="B12" i="2" s="1"/>
  <c r="B13" i="2" s="1"/>
  <c r="B14" i="2" s="1"/>
  <c r="B15" i="2" s="1"/>
  <c r="B16" i="2" s="1"/>
  <c r="B17" i="2" s="1"/>
  <c r="D29" i="3"/>
  <c r="E29" i="3" s="1"/>
  <c r="C18" i="2"/>
  <c r="A6" i="3"/>
  <c r="A7" i="3" s="1"/>
  <c r="A8" i="3" s="1"/>
  <c r="A9" i="3" s="1"/>
  <c r="A10" i="3" s="1"/>
  <c r="A11" i="3" s="1"/>
  <c r="A12" i="3" s="1"/>
  <c r="A13" i="3" s="1"/>
  <c r="A14" i="3" s="1"/>
  <c r="A15" i="3" s="1"/>
  <c r="B6" i="10"/>
  <c r="C5" i="10"/>
  <c r="C4" i="10"/>
  <c r="E9" i="12"/>
  <c r="F3" i="18"/>
  <c r="D5" i="18"/>
  <c r="E15" i="12"/>
  <c r="E7" i="12"/>
  <c r="E8" i="12"/>
  <c r="E13" i="12"/>
  <c r="D10" i="6"/>
  <c r="E8" i="19"/>
  <c r="F8" i="19" s="1"/>
  <c r="D8" i="12"/>
  <c r="E10" i="12"/>
  <c r="E12" i="12"/>
  <c r="E10" i="20"/>
  <c r="E8" i="20"/>
  <c r="E6" i="20"/>
  <c r="F6" i="12"/>
  <c r="F14" i="12"/>
  <c r="C5" i="18"/>
  <c r="E10" i="19"/>
  <c r="F10" i="19" s="1"/>
  <c r="E15" i="19"/>
  <c r="F15" i="19" s="1"/>
  <c r="D45" i="19"/>
  <c r="D47" i="19" s="1"/>
  <c r="G5" i="21"/>
  <c r="E11" i="19"/>
  <c r="F11" i="19" s="1"/>
  <c r="F9" i="12"/>
  <c r="G6" i="12" l="1"/>
  <c r="H6" i="12" s="1"/>
  <c r="F15" i="26"/>
  <c r="E13" i="29"/>
  <c r="F13" i="29"/>
  <c r="F10" i="6"/>
  <c r="E7" i="29"/>
  <c r="E8" i="29" s="1"/>
  <c r="E6" i="29"/>
  <c r="F5" i="29"/>
  <c r="E41" i="3"/>
  <c r="S3" i="29"/>
  <c r="R4" i="29"/>
  <c r="D14" i="29"/>
  <c r="C4" i="3"/>
  <c r="E42" i="3"/>
  <c r="A2" i="4" s="1"/>
  <c r="F2" i="21"/>
  <c r="F7" i="21" s="1"/>
  <c r="F9" i="6"/>
  <c r="G6" i="6"/>
  <c r="G10" i="6" s="1"/>
  <c r="H5" i="6" s="1"/>
  <c r="I5" i="6" s="1"/>
  <c r="D15" i="26"/>
  <c r="E7" i="18"/>
  <c r="E8" i="18" s="1"/>
  <c r="E13" i="20"/>
  <c r="E15" i="20"/>
  <c r="E12" i="20"/>
  <c r="E9" i="20"/>
  <c r="E11" i="20"/>
  <c r="E14" i="20"/>
  <c r="G7" i="12"/>
  <c r="I7" i="12" s="1"/>
  <c r="J7" i="12" s="1"/>
  <c r="F7" i="20"/>
  <c r="F8" i="20" s="1"/>
  <c r="F9" i="20" s="1"/>
  <c r="F10" i="20" s="1"/>
  <c r="F11" i="20" s="1"/>
  <c r="F12" i="20" s="1"/>
  <c r="F13" i="20" s="1"/>
  <c r="F14" i="20" s="1"/>
  <c r="F15" i="20" s="1"/>
  <c r="E10" i="6"/>
  <c r="F19" i="27"/>
  <c r="G13" i="27"/>
  <c r="F13" i="27"/>
  <c r="C8" i="25"/>
  <c r="G8" i="25"/>
  <c r="B9" i="25"/>
  <c r="D8" i="25"/>
  <c r="E6" i="25"/>
  <c r="E7" i="25"/>
  <c r="G2" i="21"/>
  <c r="B18" i="2"/>
  <c r="E3" i="2" s="1"/>
  <c r="J7" i="19"/>
  <c r="J8" i="19"/>
  <c r="I7" i="19"/>
  <c r="I8" i="19"/>
  <c r="I6" i="12"/>
  <c r="J6" i="12" s="1"/>
  <c r="G3" i="21"/>
  <c r="G6" i="21"/>
  <c r="D9" i="18"/>
  <c r="D6" i="18"/>
  <c r="D31" i="18" s="1"/>
  <c r="D10" i="18"/>
  <c r="D30" i="18"/>
  <c r="K3" i="19"/>
  <c r="J3" i="19"/>
  <c r="F5" i="18"/>
  <c r="G3" i="18"/>
  <c r="C10" i="18"/>
  <c r="C9" i="18"/>
  <c r="C6" i="18"/>
  <c r="C31" i="18" s="1"/>
  <c r="C30" i="18"/>
  <c r="G8" i="12"/>
  <c r="D9" i="12"/>
  <c r="B7" i="10"/>
  <c r="C6" i="10"/>
  <c r="E2" i="2"/>
  <c r="F7" i="29" l="1"/>
  <c r="F8" i="29" s="1"/>
  <c r="F6" i="29"/>
  <c r="G5" i="29"/>
  <c r="D7" i="18"/>
  <c r="D8" i="18" s="1"/>
  <c r="E14" i="29"/>
  <c r="F14" i="29"/>
  <c r="T3" i="29"/>
  <c r="S4" i="29"/>
  <c r="D15" i="29"/>
  <c r="J7" i="6"/>
  <c r="K7" i="6" s="1"/>
  <c r="L7" i="6" s="1"/>
  <c r="M7" i="6" s="1"/>
  <c r="J6" i="6"/>
  <c r="K6" i="6" s="1"/>
  <c r="L6" i="6" s="1"/>
  <c r="M6" i="6" s="1"/>
  <c r="J4" i="6"/>
  <c r="K4" i="6" s="1"/>
  <c r="L4" i="6" s="1"/>
  <c r="J8" i="6"/>
  <c r="K8" i="6" s="1"/>
  <c r="L8" i="6" s="1"/>
  <c r="M8" i="6" s="1"/>
  <c r="J5" i="6"/>
  <c r="K5" i="6" s="1"/>
  <c r="L5" i="6" s="1"/>
  <c r="M5" i="6" s="1"/>
  <c r="H7" i="12"/>
  <c r="E8" i="25"/>
  <c r="G9" i="25"/>
  <c r="D9" i="25"/>
  <c r="C9" i="25"/>
  <c r="B10" i="25"/>
  <c r="F9" i="18"/>
  <c r="F6" i="18"/>
  <c r="F31" i="18" s="1"/>
  <c r="F30" i="18"/>
  <c r="F10" i="18"/>
  <c r="C7" i="18"/>
  <c r="C8" i="18" s="1"/>
  <c r="M4" i="6"/>
  <c r="J9" i="19"/>
  <c r="J13" i="19" s="1"/>
  <c r="B8" i="10"/>
  <c r="C7" i="10"/>
  <c r="G4" i="21"/>
  <c r="G9" i="12"/>
  <c r="D10" i="12"/>
  <c r="K8" i="19"/>
  <c r="J12" i="19" s="1"/>
  <c r="H8" i="12"/>
  <c r="I8" i="12"/>
  <c r="J8" i="12" s="1"/>
  <c r="G5" i="18"/>
  <c r="H3" i="18"/>
  <c r="K7" i="19"/>
  <c r="P12" i="19" s="1"/>
  <c r="I9" i="19"/>
  <c r="U3" i="29" l="1"/>
  <c r="U4" i="29" s="1"/>
  <c r="T4" i="29"/>
  <c r="G7" i="29"/>
  <c r="G8" i="29" s="1"/>
  <c r="G6" i="29"/>
  <c r="H5" i="29"/>
  <c r="F7" i="18"/>
  <c r="F8" i="18" s="1"/>
  <c r="E15" i="29"/>
  <c r="F15" i="29"/>
  <c r="J14" i="19"/>
  <c r="D16" i="29"/>
  <c r="L10" i="6"/>
  <c r="M9" i="6"/>
  <c r="D10" i="25"/>
  <c r="B11" i="25"/>
  <c r="G10" i="25"/>
  <c r="C10" i="25"/>
  <c r="E9" i="25"/>
  <c r="J15" i="19"/>
  <c r="B9" i="10"/>
  <c r="C8" i="10"/>
  <c r="K9" i="19"/>
  <c r="J11" i="19" s="1"/>
  <c r="G10" i="12"/>
  <c r="D11" i="12"/>
  <c r="H5" i="18"/>
  <c r="I3" i="18"/>
  <c r="I9" i="12"/>
  <c r="J9" i="12" s="1"/>
  <c r="H9" i="12"/>
  <c r="G6" i="18"/>
  <c r="G31" i="18" s="1"/>
  <c r="G30" i="18"/>
  <c r="G9" i="18"/>
  <c r="G7" i="18"/>
  <c r="G8" i="18" s="1"/>
  <c r="G10" i="18"/>
  <c r="I5" i="29" l="1"/>
  <c r="H7" i="29"/>
  <c r="H8" i="29" s="1"/>
  <c r="H6" i="29"/>
  <c r="E16" i="29"/>
  <c r="F16" i="29"/>
  <c r="D17" i="29"/>
  <c r="D11" i="25"/>
  <c r="B12" i="25"/>
  <c r="C11" i="25"/>
  <c r="G11" i="25"/>
  <c r="E10" i="25"/>
  <c r="D12" i="12"/>
  <c r="G11" i="12"/>
  <c r="H30" i="18"/>
  <c r="H10" i="18"/>
  <c r="H9" i="18"/>
  <c r="H6" i="18"/>
  <c r="H31" i="18" s="1"/>
  <c r="B10" i="10"/>
  <c r="C9" i="10"/>
  <c r="H10" i="12"/>
  <c r="I10" i="12"/>
  <c r="J10" i="12" s="1"/>
  <c r="I5" i="18"/>
  <c r="J3" i="18"/>
  <c r="I6" i="29" l="1"/>
  <c r="J5" i="29"/>
  <c r="I7" i="29"/>
  <c r="I8" i="29" s="1"/>
  <c r="E17" i="29"/>
  <c r="F17" i="29"/>
  <c r="D18" i="29"/>
  <c r="E11" i="25"/>
  <c r="B13" i="25"/>
  <c r="G12" i="25"/>
  <c r="D12" i="25"/>
  <c r="C12" i="25"/>
  <c r="K3" i="18"/>
  <c r="J5" i="18"/>
  <c r="B11" i="10"/>
  <c r="C10" i="10"/>
  <c r="I11" i="12"/>
  <c r="J11" i="12" s="1"/>
  <c r="H11" i="12"/>
  <c r="G12" i="12"/>
  <c r="D13" i="12"/>
  <c r="I10" i="18"/>
  <c r="I6" i="18"/>
  <c r="I31" i="18" s="1"/>
  <c r="I9" i="18"/>
  <c r="I30" i="18"/>
  <c r="H7" i="18"/>
  <c r="H8" i="18" s="1"/>
  <c r="J7" i="29" l="1"/>
  <c r="J8" i="29" s="1"/>
  <c r="J6" i="29"/>
  <c r="K5" i="29"/>
  <c r="E18" i="29"/>
  <c r="F18" i="29"/>
  <c r="D19" i="29"/>
  <c r="E12" i="25"/>
  <c r="B14" i="25"/>
  <c r="G13" i="25"/>
  <c r="C13" i="25"/>
  <c r="D13" i="25"/>
  <c r="I7" i="18"/>
  <c r="I8" i="18" s="1"/>
  <c r="L3" i="18"/>
  <c r="L5" i="18" s="1"/>
  <c r="K5" i="18"/>
  <c r="D14" i="12"/>
  <c r="G13" i="12"/>
  <c r="B12" i="10"/>
  <c r="C11" i="10"/>
  <c r="I12" i="12"/>
  <c r="J12" i="12" s="1"/>
  <c r="H12" i="12"/>
  <c r="J10" i="18"/>
  <c r="J30" i="18"/>
  <c r="J6" i="18"/>
  <c r="J31" i="18" s="1"/>
  <c r="J9" i="18"/>
  <c r="E19" i="29" l="1"/>
  <c r="F19" i="29"/>
  <c r="K7" i="29"/>
  <c r="K8" i="29" s="1"/>
  <c r="K6" i="29"/>
  <c r="L5" i="29"/>
  <c r="M5" i="29" s="1"/>
  <c r="N5" i="29" s="1"/>
  <c r="O5" i="29" s="1"/>
  <c r="P5" i="29" s="1"/>
  <c r="D20" i="29"/>
  <c r="D14" i="25"/>
  <c r="C14" i="25"/>
  <c r="G14" i="25"/>
  <c r="I3" i="25"/>
  <c r="B17" i="25"/>
  <c r="B16" i="25"/>
  <c r="B15" i="25"/>
  <c r="E13" i="25"/>
  <c r="I13" i="12"/>
  <c r="J13" i="12" s="1"/>
  <c r="H13" i="12"/>
  <c r="J7" i="18"/>
  <c r="J8" i="18" s="1"/>
  <c r="K10" i="18"/>
  <c r="K9" i="18"/>
  <c r="K30" i="18"/>
  <c r="K6" i="18"/>
  <c r="K31" i="18" s="1"/>
  <c r="D15" i="12"/>
  <c r="G15" i="12" s="1"/>
  <c r="G14" i="12"/>
  <c r="L9" i="18"/>
  <c r="L6" i="18"/>
  <c r="L31" i="18" s="1"/>
  <c r="L10" i="18"/>
  <c r="L30" i="18"/>
  <c r="B13" i="10"/>
  <c r="C12" i="10"/>
  <c r="E20" i="29" l="1"/>
  <c r="F20" i="29"/>
  <c r="E14" i="25"/>
  <c r="H3" i="25"/>
  <c r="C16" i="25"/>
  <c r="C15" i="25"/>
  <c r="B22" i="25"/>
  <c r="B23" i="25"/>
  <c r="B25" i="25"/>
  <c r="B24" i="25"/>
  <c r="B26" i="25"/>
  <c r="B27" i="25"/>
  <c r="B28" i="25"/>
  <c r="B29" i="25"/>
  <c r="B30" i="25"/>
  <c r="B31" i="25"/>
  <c r="B32" i="25"/>
  <c r="D32" i="25"/>
  <c r="D16" i="25"/>
  <c r="D15" i="25"/>
  <c r="L7" i="18"/>
  <c r="L8" i="18" s="1"/>
  <c r="I14" i="12"/>
  <c r="J14" i="12" s="1"/>
  <c r="H14" i="12"/>
  <c r="B14" i="10"/>
  <c r="C13" i="10"/>
  <c r="K7" i="18"/>
  <c r="K8" i="18" s="1"/>
  <c r="I15" i="12"/>
  <c r="J15" i="12" s="1"/>
  <c r="H15" i="12"/>
  <c r="B34" i="25" l="1"/>
  <c r="B47" i="25" s="1"/>
  <c r="B33" i="25"/>
  <c r="C22" i="25"/>
  <c r="C23" i="25"/>
  <c r="C24" i="25"/>
  <c r="C25" i="25"/>
  <c r="C26" i="25"/>
  <c r="C27" i="25"/>
  <c r="C28" i="25"/>
  <c r="C29" i="25"/>
  <c r="C30" i="25"/>
  <c r="C31" i="25"/>
  <c r="D22" i="25"/>
  <c r="D23" i="25"/>
  <c r="D24" i="25"/>
  <c r="D25" i="25"/>
  <c r="D26" i="25"/>
  <c r="D27" i="25"/>
  <c r="D28" i="25"/>
  <c r="D29" i="25"/>
  <c r="D30" i="25"/>
  <c r="D31" i="25"/>
  <c r="B42" i="25"/>
  <c r="C32" i="25"/>
  <c r="J3" i="25"/>
  <c r="E15" i="25"/>
  <c r="E16" i="25"/>
  <c r="B15" i="10"/>
  <c r="C14" i="10"/>
  <c r="H16" i="12"/>
  <c r="B38" i="25" l="1"/>
  <c r="I21" i="25"/>
  <c r="B43" i="25"/>
  <c r="H21" i="25"/>
  <c r="B39" i="25"/>
  <c r="B46" i="25"/>
  <c r="D43" i="25"/>
  <c r="C33" i="25"/>
  <c r="C34" i="25"/>
  <c r="C46" i="25" s="1"/>
  <c r="B45" i="25"/>
  <c r="E22" i="25"/>
  <c r="E23" i="25"/>
  <c r="E24" i="25"/>
  <c r="E25" i="25"/>
  <c r="E26" i="25"/>
  <c r="E27" i="25"/>
  <c r="E28" i="25"/>
  <c r="E29" i="25"/>
  <c r="E30" i="25"/>
  <c r="E31" i="25"/>
  <c r="D47" i="25"/>
  <c r="D39" i="25"/>
  <c r="C42" i="25"/>
  <c r="E32" i="25"/>
  <c r="D34" i="25"/>
  <c r="D48" i="25" s="1"/>
  <c r="D33" i="25"/>
  <c r="B40" i="25"/>
  <c r="D45" i="25"/>
  <c r="B44" i="25"/>
  <c r="D44" i="25"/>
  <c r="B41" i="25"/>
  <c r="B48" i="25"/>
  <c r="C48" i="25"/>
  <c r="B16" i="10"/>
  <c r="C15" i="10"/>
  <c r="D40" i="25" l="1"/>
  <c r="D38" i="25"/>
  <c r="B50" i="25"/>
  <c r="B49" i="25"/>
  <c r="C41" i="25"/>
  <c r="E39" i="25"/>
  <c r="C39" i="25"/>
  <c r="E46" i="25"/>
  <c r="E33" i="25"/>
  <c r="E34" i="25"/>
  <c r="E41" i="25" s="1"/>
  <c r="J21" i="25"/>
  <c r="D41" i="25"/>
  <c r="I37" i="25" s="1"/>
  <c r="C47" i="25"/>
  <c r="C45" i="25"/>
  <c r="C40" i="25"/>
  <c r="D46" i="25"/>
  <c r="C44" i="25"/>
  <c r="D42" i="25"/>
  <c r="E48" i="25"/>
  <c r="E43" i="25"/>
  <c r="C38" i="25"/>
  <c r="C43" i="25"/>
  <c r="B17" i="10"/>
  <c r="C17" i="10" s="1"/>
  <c r="C16" i="10"/>
  <c r="E44" i="25" l="1"/>
  <c r="E40" i="25"/>
  <c r="E38" i="25"/>
  <c r="E45" i="25"/>
  <c r="E47" i="25"/>
  <c r="E50" i="25" s="1"/>
  <c r="E42" i="25"/>
  <c r="E49" i="25" s="1"/>
  <c r="D49" i="25"/>
  <c r="C49" i="25"/>
  <c r="C50" i="25"/>
  <c r="H37" i="25"/>
  <c r="D50" i="25"/>
  <c r="J37" i="25" l="1"/>
</calcChain>
</file>

<file path=xl/sharedStrings.xml><?xml version="1.0" encoding="utf-8"?>
<sst xmlns="http://schemas.openxmlformats.org/spreadsheetml/2006/main" count="592" uniqueCount="378">
  <si>
    <t>Spreadsheet Crash Course</t>
  </si>
  <si>
    <t>Arithmetic</t>
  </si>
  <si>
    <t>Equals</t>
  </si>
  <si>
    <t>Sum</t>
  </si>
  <si>
    <t>Count</t>
  </si>
  <si>
    <t>Square</t>
  </si>
  <si>
    <t>Log base 2</t>
  </si>
  <si>
    <t>Square Root</t>
  </si>
  <si>
    <t>EXP</t>
  </si>
  <si>
    <t>LN</t>
  </si>
  <si>
    <t>PI</t>
  </si>
  <si>
    <t>Statistical Summaries</t>
  </si>
  <si>
    <t>Mean</t>
  </si>
  <si>
    <t>Standard Deviation</t>
  </si>
  <si>
    <t>Correlation</t>
  </si>
  <si>
    <t>Mode</t>
  </si>
  <si>
    <t>Random Numbers</t>
  </si>
  <si>
    <t>Uniform</t>
  </si>
  <si>
    <t>Gaussian</t>
  </si>
  <si>
    <t>Flow Control</t>
  </si>
  <si>
    <t>IF</t>
  </si>
  <si>
    <t>NO</t>
  </si>
  <si>
    <t>Height (cm)</t>
  </si>
  <si>
    <t>Weight (kg)</t>
  </si>
  <si>
    <t>covariance</t>
  </si>
  <si>
    <t>correlation</t>
  </si>
  <si>
    <t>Height vs Weight Example</t>
  </si>
  <si>
    <t>https://www.youtube.com/watch?v=yZXNS5AxmIY</t>
  </si>
  <si>
    <t>Pearson
correlation
coefficient</t>
  </si>
  <si>
    <t>https://en.wikipedia.org/wiki/Linear_regression</t>
  </si>
  <si>
    <t>B0</t>
  </si>
  <si>
    <t>B1</t>
  </si>
  <si>
    <t>Parameters</t>
  </si>
  <si>
    <t>Hyperparameter tuning manually</t>
  </si>
  <si>
    <t>Predicted Weight</t>
  </si>
  <si>
    <t>Error</t>
  </si>
  <si>
    <t>SQRE(Error)</t>
  </si>
  <si>
    <t>Sum of SQRE(Error)</t>
  </si>
  <si>
    <t>Mean Sqare Erroe</t>
  </si>
  <si>
    <t>Opimization</t>
  </si>
  <si>
    <t>2023831693808432834</t>
  </si>
  <si>
    <t>l095YhDku0CHgYD</t>
  </si>
  <si>
    <t>K2J+</t>
  </si>
  <si>
    <t/>
  </si>
  <si>
    <t>2023831693808424968</t>
  </si>
  <si>
    <t>vrHqkqvFv0HrA0v</t>
  </si>
  <si>
    <t>MSAP</t>
  </si>
  <si>
    <t>Simple Linear Regression</t>
  </si>
  <si>
    <t>Dataset</t>
  </si>
  <si>
    <t>mean centering</t>
  </si>
  <si>
    <t>ERROR</t>
  </si>
  <si>
    <t>Root Meansquared error</t>
  </si>
  <si>
    <t>x</t>
  </si>
  <si>
    <t>y</t>
  </si>
  <si>
    <t>x - mean(x)</t>
  </si>
  <si>
    <t>sqare(x - mean(x))</t>
  </si>
  <si>
    <t>y - mean(y)</t>
  </si>
  <si>
    <t>covarianc(x, y)</t>
  </si>
  <si>
    <t>b1</t>
  </si>
  <si>
    <t>b0</t>
  </si>
  <si>
    <t>Predicted Y</t>
  </si>
  <si>
    <t>Predicted Y - y</t>
  </si>
  <si>
    <t>squared error</t>
  </si>
  <si>
    <t>RMSE</t>
  </si>
  <si>
    <t>mean</t>
  </si>
  <si>
    <t>sum</t>
  </si>
  <si>
    <t>X1</t>
  </si>
  <si>
    <t>X2</t>
  </si>
  <si>
    <t>X</t>
  </si>
  <si>
    <t>Y</t>
  </si>
  <si>
    <t>Extensions Tab</t>
  </si>
  <si>
    <t>에서 linear regression구글링</t>
  </si>
  <si>
    <t>단순선형회귀식</t>
  </si>
  <si>
    <t>XLMminer Analysis ToolPak</t>
  </si>
  <si>
    <t>그림그리기</t>
  </si>
  <si>
    <t>Charts, Graphs, &amp; Visualization</t>
  </si>
  <si>
    <t>Logistic Function</t>
  </si>
  <si>
    <t>Input</t>
  </si>
  <si>
    <t>Logistic</t>
  </si>
  <si>
    <t>Derivative</t>
  </si>
  <si>
    <t>Logistic Regression with Stochastic Gradient Descent</t>
  </si>
  <si>
    <t>B2</t>
  </si>
  <si>
    <t>Positive일 확률</t>
  </si>
  <si>
    <t>P(Y=Positive)</t>
  </si>
  <si>
    <t>Log Loss</t>
  </si>
  <si>
    <t>Predcit Y</t>
  </si>
  <si>
    <t>Accuracy</t>
  </si>
  <si>
    <t>Minimize</t>
  </si>
  <si>
    <t>SUMMARY OUTPUT</t>
  </si>
  <si>
    <t>Regression Statistics</t>
  </si>
  <si>
    <t>Chi Square</t>
  </si>
  <si>
    <t>Residual Dev.</t>
  </si>
  <si>
    <t># of iterations</t>
  </si>
  <si>
    <t>Observations</t>
  </si>
  <si>
    <t>Coefficients</t>
  </si>
  <si>
    <t>Standard Error</t>
  </si>
  <si>
    <t>P-value</t>
  </si>
  <si>
    <t>Odd Ratio</t>
  </si>
  <si>
    <t>Lower 95%</t>
  </si>
  <si>
    <t>Upper 95%</t>
  </si>
  <si>
    <t>Intercept</t>
  </si>
  <si>
    <t>infinity</t>
  </si>
  <si>
    <t>X Variable 1</t>
  </si>
  <si>
    <t>X Variable 2</t>
  </si>
  <si>
    <t>K-Nearest Neighbors</t>
  </si>
  <si>
    <t>http://vision.stanford.edu/teaching/cs231n-demos/knn/</t>
  </si>
  <si>
    <t>Euclidean Distance</t>
  </si>
  <si>
    <t>(X1-X1)^2</t>
  </si>
  <si>
    <t>(x2-X2)^2</t>
  </si>
  <si>
    <t>Distance</t>
  </si>
  <si>
    <t>New Instance</t>
  </si>
  <si>
    <t>?</t>
  </si>
  <si>
    <t>Prediction</t>
  </si>
  <si>
    <t>Instance</t>
  </si>
  <si>
    <t>3 Neighbours</t>
  </si>
  <si>
    <t>5 Neighbours</t>
  </si>
  <si>
    <t>YES</t>
  </si>
  <si>
    <t>A</t>
  </si>
  <si>
    <t>B</t>
  </si>
  <si>
    <t>Node</t>
  </si>
  <si>
    <t>Node 1</t>
  </si>
  <si>
    <t>Node 2</t>
  </si>
  <si>
    <t>Node 3</t>
  </si>
  <si>
    <t>Node 4</t>
  </si>
  <si>
    <t>Node 5</t>
  </si>
  <si>
    <t>Node 6</t>
  </si>
  <si>
    <t>Node 7</t>
  </si>
  <si>
    <t>Node 8</t>
  </si>
  <si>
    <t>Node 9</t>
  </si>
  <si>
    <t>Node 10</t>
  </si>
  <si>
    <t>Node 11</t>
  </si>
  <si>
    <t>Positive (비정상) 개수</t>
  </si>
  <si>
    <t>Negative (정상) 개수</t>
  </si>
  <si>
    <t>p = Probability(target=비정상)</t>
  </si>
  <si>
    <t>1-p =Probability(target=정상)</t>
  </si>
  <si>
    <t>p*(1-p)</t>
  </si>
  <si>
    <t>gini = 2*p*(1-p)</t>
  </si>
  <si>
    <t>entropy</t>
  </si>
  <si>
    <t>miss clarification</t>
  </si>
  <si>
    <t>Surprise의 크기</t>
  </si>
  <si>
    <t>target=비정상</t>
  </si>
  <si>
    <t>target=정상</t>
  </si>
  <si>
    <t>기준값</t>
  </si>
  <si>
    <t>환자 ID</t>
  </si>
  <si>
    <t>실제 감염 여부</t>
  </si>
  <si>
    <t>측정지표값</t>
  </si>
  <si>
    <t>감염판단</t>
  </si>
  <si>
    <t>Confusion</t>
  </si>
  <si>
    <t>Actual</t>
  </si>
  <si>
    <t>Predict</t>
  </si>
  <si>
    <t>(Threshold value,
Cut-off value)</t>
  </si>
  <si>
    <t>Instance 
Number</t>
  </si>
  <si>
    <t>Measured, P(Y = 1)
'Positive' 로 예측하는 
확률</t>
  </si>
  <si>
    <t>Predicted</t>
  </si>
  <si>
    <t>Table</t>
  </si>
  <si>
    <t>TRUE (1)
Yes</t>
  </si>
  <si>
    <t>FALSE (0)
No</t>
  </si>
  <si>
    <t>Positive</t>
  </si>
  <si>
    <t>Negative</t>
  </si>
  <si>
    <t>Yes</t>
  </si>
  <si>
    <t>scikit-learn default</t>
  </si>
  <si>
    <t>Confusion Matrix</t>
  </si>
  <si>
    <t>support</t>
  </si>
  <si>
    <t>No</t>
  </si>
  <si>
    <t>TN</t>
  </si>
  <si>
    <t>FP</t>
  </si>
  <si>
    <t>FN</t>
  </si>
  <si>
    <t>TP</t>
  </si>
  <si>
    <t>모형 평가지표</t>
  </si>
  <si>
    <t>정확도</t>
  </si>
  <si>
    <t>Recall</t>
  </si>
  <si>
    <t>재현율</t>
  </si>
  <si>
    <t>진짜 환자를 놓치치 않을 거야(미탐방지, 검사)</t>
  </si>
  <si>
    <t>Precision</t>
  </si>
  <si>
    <t>정밀도</t>
  </si>
  <si>
    <t>판단의 신빙성을 확보(과탐 방지, 판사)</t>
  </si>
  <si>
    <t>Specificity</t>
  </si>
  <si>
    <t>특이도</t>
  </si>
  <si>
    <t>https://89douner.tistory.com/254</t>
  </si>
  <si>
    <t>F1 score</t>
  </si>
  <si>
    <t>조화평균</t>
  </si>
  <si>
    <t>측정지표값 생성 방식</t>
  </si>
  <si>
    <t>Yes는 INT(RAND()*70+30)/100, 50%(min) ~ 100%(max)</t>
  </si>
  <si>
    <t>No는 INT(RAND()*50+20)/100, 20%(min) ~ 70%(max)</t>
  </si>
  <si>
    <t>실습과제</t>
  </si>
  <si>
    <t>Category</t>
  </si>
  <si>
    <t>counts</t>
  </si>
  <si>
    <t>ratio</t>
  </si>
  <si>
    <t>Total</t>
  </si>
  <si>
    <t>무작위로 선택했을 때보다 얼마만큼 더 나은 모델 예측력이 있는 지를 평가(마케팅에서 유료 쿠폰 타켓팅에 사용)</t>
  </si>
  <si>
    <t>C = B/총 응답고객수</t>
  </si>
  <si>
    <t>D = B/A</t>
  </si>
  <si>
    <t>E =  D/Base Lift*100</t>
  </si>
  <si>
    <t>C 를 누적</t>
  </si>
  <si>
    <t>총 고객수</t>
  </si>
  <si>
    <t>응답 고객수</t>
  </si>
  <si>
    <t>% captured response</t>
  </si>
  <si>
    <t>%response</t>
  </si>
  <si>
    <t>Lift</t>
  </si>
  <si>
    <t>누적응답비율</t>
  </si>
  <si>
    <t>Base Lift  =</t>
  </si>
  <si>
    <t>Brier score</t>
  </si>
  <si>
    <t>1(Positive)로 예측하는 확률</t>
  </si>
  <si>
    <t>A, B 알고리즘의 손실함수(log loss, brier score)를 비교 평가하여 비교 우위를 갖는 알고리즘을 선택하라</t>
  </si>
  <si>
    <t>#ERROR!</t>
  </si>
  <si>
    <t>True = Positive(1)
False = Negatove(0)</t>
  </si>
  <si>
    <t>Simple Linear 
Regression</t>
  </si>
  <si>
    <t>X3</t>
  </si>
  <si>
    <t>X4</t>
  </si>
  <si>
    <t>f(x)</t>
  </si>
  <si>
    <t>평균</t>
  </si>
  <si>
    <t>표준편차</t>
  </si>
  <si>
    <t>모집단 std</t>
  </si>
  <si>
    <t>chat GPT</t>
  </si>
  <si>
    <t>Intercept (절편): -69.94442667373931 Coefficients (계수): [0.0205718 0.205718 0.02057212 0.22629076]</t>
  </si>
  <si>
    <t>1. Mean Centering</t>
  </si>
  <si>
    <t>X1(SHOOSE)</t>
  </si>
  <si>
    <t>X2(cAR)</t>
  </si>
  <si>
    <t>X3(hOUSE)</t>
  </si>
  <si>
    <t>Multiple R</t>
  </si>
  <si>
    <t>R Square</t>
  </si>
  <si>
    <t>Adjusted R Square</t>
  </si>
  <si>
    <t>ANOVA</t>
  </si>
  <si>
    <t>df</t>
  </si>
  <si>
    <t>SS</t>
  </si>
  <si>
    <t>MS</t>
  </si>
  <si>
    <t>F</t>
  </si>
  <si>
    <t>Significance F</t>
  </si>
  <si>
    <t>Regression</t>
  </si>
  <si>
    <t>Residual</t>
  </si>
  <si>
    <t>t Stat</t>
  </si>
  <si>
    <t>2. Standard Scaling(평균 0, 분산 1로 모든 데이터 Stnadarsization)</t>
  </si>
  <si>
    <t>X Variable 3</t>
  </si>
  <si>
    <t>X Variable 4</t>
  </si>
  <si>
    <t>Column 1</t>
  </si>
  <si>
    <t>Column 2</t>
  </si>
  <si>
    <t>Column 3</t>
  </si>
  <si>
    <t>Column 4</t>
  </si>
  <si>
    <t>3. 공분산(Covariance)</t>
  </si>
  <si>
    <t>거래 아이템</t>
  </si>
  <si>
    <t>(우유 ∩ 시리얼)</t>
  </si>
  <si>
    <t>우유</t>
  </si>
  <si>
    <t>시리얼</t>
  </si>
  <si>
    <t>우유, 버터, 시리얼</t>
  </si>
  <si>
    <t>우유, 시리얼</t>
  </si>
  <si>
    <t>우유, 빵</t>
  </si>
  <si>
    <t>버터, 맥주, 오징어</t>
  </si>
  <si>
    <t>P(우유 ∩ 시리얼)</t>
  </si>
  <si>
    <t>P(우유)</t>
  </si>
  <si>
    <t>P(시리얼)</t>
  </si>
  <si>
    <t>문1. (우유, 시리얼) 지지도</t>
  </si>
  <si>
    <t>문2. (우유-&gt; 시리얼) 신뢰도</t>
  </si>
  <si>
    <t>P(우유 ∩ 시리얼) /P(우유)</t>
  </si>
  <si>
    <t>P(시리얼/우유)/P(시리얼) = (2/3)/(2/4)</t>
  </si>
  <si>
    <t>항목</t>
  </si>
  <si>
    <t>거래수</t>
  </si>
  <si>
    <t>옥수수차</t>
  </si>
  <si>
    <t>둥글레차</t>
  </si>
  <si>
    <t>율무차</t>
  </si>
  <si>
    <t>(옥수수차, 둥글레차)</t>
  </si>
  <si>
    <t>(옥수수차, 율무차)</t>
  </si>
  <si>
    <t>(둥글레차, 율무차)</t>
  </si>
  <si>
    <t>(옥수수차, 둥글레차, 율무차)</t>
  </si>
  <si>
    <t>지지도(support)</t>
  </si>
  <si>
    <t>신뢰도(confidence)</t>
  </si>
  <si>
    <t>향상도(Lift)</t>
  </si>
  <si>
    <t>P(A)</t>
  </si>
  <si>
    <t>P(B)</t>
  </si>
  <si>
    <t>P(A ∩ B)</t>
  </si>
  <si>
    <t>P(A ∩ B)/P(A)</t>
  </si>
  <si>
    <t>P(A ∩ B)/{P(A)*P(B)}</t>
  </si>
  <si>
    <t>= 신뢰도/P(B)</t>
  </si>
  <si>
    <t>옥수수차 -&gt; 둥글레차</t>
  </si>
  <si>
    <t>옥수수차 -&gt; 율무차</t>
  </si>
  <si>
    <t>둥글레차 -&gt; 옥수수차</t>
  </si>
  <si>
    <t>둥글레차 -&gt; 율무차</t>
  </si>
  <si>
    <t>율무차 -&gt; 둥글레차</t>
  </si>
  <si>
    <t>율무차 -&gt; 옥수수차</t>
  </si>
  <si>
    <t>(옥수수차, 둥글레차) -&gt; 울무차</t>
  </si>
  <si>
    <t>(옥수수차, 율무차) -&gt; 둥구레차</t>
  </si>
  <si>
    <t>(둥글레차, 율무차) -&gt; 옥수수차</t>
  </si>
  <si>
    <t>spam</t>
    <phoneticPr fontId="33" type="noConversion"/>
  </si>
  <si>
    <t>ham</t>
    <phoneticPr fontId="33" type="noConversion"/>
  </si>
  <si>
    <t>P(y=0)</t>
    <phoneticPr fontId="33" type="noConversion"/>
  </si>
  <si>
    <t>Model A</t>
    <phoneticPr fontId="33" type="noConversion"/>
  </si>
  <si>
    <t>Model B</t>
    <phoneticPr fontId="33" type="noConversion"/>
  </si>
  <si>
    <r>
      <rPr>
        <sz val="10"/>
        <color theme="1"/>
        <rFont val="맑은 고딕"/>
        <family val="3"/>
        <charset val="129"/>
      </rPr>
      <t xml:space="preserve">ham </t>
    </r>
    <r>
      <rPr>
        <sz val="10"/>
        <color theme="1"/>
        <rFont val="Arial"/>
        <family val="3"/>
      </rPr>
      <t>or spam</t>
    </r>
    <phoneticPr fontId="33" type="noConversion"/>
  </si>
  <si>
    <t>log loss</t>
    <phoneticPr fontId="33" type="noConversion"/>
  </si>
  <si>
    <t>P(Y = 1)</t>
    <phoneticPr fontId="33" type="noConversion"/>
  </si>
  <si>
    <t>수치형으로 변환</t>
    <phoneticPr fontId="33" type="noConversion"/>
  </si>
  <si>
    <t>total transanctions</t>
    <phoneticPr fontId="33" type="noConversion"/>
  </si>
  <si>
    <t>frequency of items</t>
    <phoneticPr fontId="33" type="noConversion"/>
  </si>
  <si>
    <t>time</t>
    <phoneticPr fontId="33" type="noConversion"/>
  </si>
  <si>
    <t>2023-11-16-10</t>
    <phoneticPr fontId="33" type="noConversion"/>
  </si>
  <si>
    <t>2023-11-16-11</t>
  </si>
  <si>
    <t>2023-11-16-12</t>
  </si>
  <si>
    <t>2023-11-16-13</t>
  </si>
  <si>
    <t>Support</t>
    <phoneticPr fontId="33" type="noConversion"/>
  </si>
  <si>
    <t>Confidence</t>
    <phoneticPr fontId="33" type="noConversion"/>
  </si>
  <si>
    <t>Lift</t>
    <phoneticPr fontId="33" type="noConversion"/>
  </si>
  <si>
    <t>P(우유 ∩ 시리얼) = (우유 ∩ 시리얼)/총 거래건수</t>
  </si>
  <si>
    <t>apriori-algorithm(연관관계분석)</t>
    <phoneticPr fontId="33" type="noConversion"/>
  </si>
  <si>
    <t>거래번호(transaction ID)</t>
    <phoneticPr fontId="33" type="noConversion"/>
  </si>
  <si>
    <t>문4. lift(우유-&gt; 시리얼)</t>
    <phoneticPr fontId="33" type="noConversion"/>
  </si>
  <si>
    <t>P(우유 ∩ 시리얼) /P(시리얼)</t>
    <phoneticPr fontId="33" type="noConversion"/>
  </si>
  <si>
    <t>문3. (시리얼-&gt;우유) 신뢰도</t>
    <phoneticPr fontId="33" type="noConversion"/>
  </si>
  <si>
    <t>문5. lift(시리얼-&gt; 우유)</t>
    <phoneticPr fontId="33" type="noConversion"/>
  </si>
  <si>
    <t>P(우유/시리얼)/P(우유) = (2/2)/(3/4)</t>
    <phoneticPr fontId="33" type="noConversion"/>
  </si>
  <si>
    <r>
      <t>A</t>
    </r>
    <r>
      <rPr>
        <sz val="10"/>
        <color theme="1"/>
        <rFont val="맑은 고딕"/>
        <family val="3"/>
        <charset val="129"/>
      </rPr>
      <t>가</t>
    </r>
    <r>
      <rPr>
        <sz val="10"/>
        <color theme="1"/>
        <rFont val="Arial"/>
        <family val="2"/>
        <scheme val="minor"/>
      </rPr>
      <t xml:space="preserve"> </t>
    </r>
    <r>
      <rPr>
        <sz val="10"/>
        <color theme="1"/>
        <rFont val="맑은 고딕"/>
        <family val="3"/>
        <charset val="129"/>
      </rPr>
      <t>구매되었을</t>
    </r>
    <r>
      <rPr>
        <sz val="10"/>
        <color theme="1"/>
        <rFont val="Arial"/>
        <family val="2"/>
        <scheme val="minor"/>
      </rPr>
      <t xml:space="preserve"> </t>
    </r>
    <r>
      <rPr>
        <sz val="10"/>
        <color theme="1"/>
        <rFont val="맑은 고딕"/>
        <family val="3"/>
        <charset val="129"/>
      </rPr>
      <t>때</t>
    </r>
    <r>
      <rPr>
        <sz val="10"/>
        <color theme="1"/>
        <rFont val="Arial"/>
        <family val="2"/>
        <scheme val="minor"/>
      </rPr>
      <t xml:space="preserve"> B</t>
    </r>
    <r>
      <rPr>
        <sz val="10"/>
        <color theme="1"/>
        <rFont val="맑은 고딕"/>
        <family val="3"/>
        <charset val="129"/>
      </rPr>
      <t>의</t>
    </r>
    <r>
      <rPr>
        <sz val="10"/>
        <color theme="1"/>
        <rFont val="Arial"/>
        <family val="2"/>
        <scheme val="minor"/>
      </rPr>
      <t xml:space="preserve"> </t>
    </r>
    <r>
      <rPr>
        <sz val="10"/>
        <color theme="1"/>
        <rFont val="맑은 고딕"/>
        <family val="3"/>
        <charset val="129"/>
      </rPr>
      <t>구매확률의</t>
    </r>
    <r>
      <rPr>
        <sz val="10"/>
        <color theme="1"/>
        <rFont val="Arial"/>
        <family val="2"/>
        <scheme val="minor"/>
      </rPr>
      <t xml:space="preserve"> </t>
    </r>
    <r>
      <rPr>
        <sz val="10"/>
        <color theme="1"/>
        <rFont val="맑은 고딕"/>
        <family val="3"/>
        <charset val="129"/>
      </rPr>
      <t>증가</t>
    </r>
    <phoneticPr fontId="33" type="noConversion"/>
  </si>
  <si>
    <r>
      <t>coverage:</t>
    </r>
    <r>
      <rPr>
        <sz val="10"/>
        <color rgb="FF000000"/>
        <rFont val="Segoe UI"/>
        <family val="2"/>
      </rPr>
      <t> Coverage is the proportion of transactions that contain the antecedent. It gives an idea of how often the antecedent occurs in the dataset.</t>
    </r>
  </si>
  <si>
    <r>
      <t>count:</t>
    </r>
    <r>
      <rPr>
        <sz val="10"/>
        <color rgb="FF000000"/>
        <rFont val="Segoe UI"/>
        <family val="2"/>
      </rPr>
      <t> The count is the number of transactions that satisfy both the antecedent and the consequent.</t>
    </r>
  </si>
  <si>
    <r>
      <t>support:</t>
    </r>
    <r>
      <rPr>
        <sz val="10"/>
        <color rgb="FF000000"/>
        <rFont val="Segoe UI"/>
        <family val="2"/>
      </rPr>
      <t> The support of a rule is the proportion of transactions in the dataset that contain both the antecedent and the consequent. It indicates how frequently the rule occurs.</t>
    </r>
    <phoneticPr fontId="33" type="noConversion"/>
  </si>
  <si>
    <r>
      <t>confidence:</t>
    </r>
    <r>
      <rPr>
        <sz val="10"/>
        <color rgb="FF000000"/>
        <rFont val="Segoe UI"/>
        <family val="2"/>
      </rPr>
      <t> The confidence of a rule is a measure of the reliability of the rule. It is the ratio of the support of both the antecedent and the consequent to the support of the antecedent. It indicates the likelihood that the rule holds true.</t>
    </r>
    <phoneticPr fontId="33" type="noConversion"/>
  </si>
  <si>
    <r>
      <t>lift:</t>
    </r>
    <r>
      <rPr>
        <sz val="10"/>
        <color rgb="FF000000"/>
        <rFont val="Segoe UI"/>
        <family val="2"/>
      </rPr>
      <t> Lift is a measure of how much more likely the consequent is given the antecedent compared to if they were independent. A lift value greater than 1 indicates that the presence of the antecedent increases the likelihood of the consequent.</t>
    </r>
    <phoneticPr fontId="33" type="noConversion"/>
  </si>
  <si>
    <r>
      <rPr>
        <sz val="10"/>
        <color theme="1"/>
        <rFont val="맑은 고딕"/>
        <family val="3"/>
        <charset val="129"/>
      </rPr>
      <t>빈도(</t>
    </r>
    <r>
      <rPr>
        <sz val="10"/>
        <color theme="1"/>
        <rFont val="Arial"/>
        <family val="3"/>
      </rPr>
      <t>frequency)</t>
    </r>
    <phoneticPr fontId="33" type="noConversion"/>
  </si>
  <si>
    <r>
      <rPr>
        <sz val="10"/>
        <color theme="1"/>
        <rFont val="맑은 고딕"/>
        <family val="3"/>
        <charset val="129"/>
      </rPr>
      <t>확률</t>
    </r>
    <r>
      <rPr>
        <sz val="10"/>
        <color theme="1"/>
        <rFont val="Arial"/>
        <family val="2"/>
        <scheme val="minor"/>
      </rPr>
      <t>(Probability)</t>
    </r>
    <phoneticPr fontId="33" type="noConversion"/>
  </si>
  <si>
    <t>y</t>
    <phoneticPr fontId="58" type="noConversion"/>
  </si>
  <si>
    <t>p</t>
    <phoneticPr fontId="58" type="noConversion"/>
  </si>
  <si>
    <t>01</t>
    <phoneticPr fontId="58" type="noConversion"/>
  </si>
  <si>
    <t>02</t>
  </si>
  <si>
    <t>03</t>
  </si>
  <si>
    <t>04</t>
  </si>
  <si>
    <t>05</t>
  </si>
  <si>
    <t>06</t>
  </si>
  <si>
    <t>07</t>
  </si>
  <si>
    <t>08</t>
  </si>
  <si>
    <t>09</t>
  </si>
  <si>
    <t>10</t>
  </si>
  <si>
    <t>11</t>
  </si>
  <si>
    <t>12</t>
  </si>
  <si>
    <t>13</t>
  </si>
  <si>
    <t>14</t>
  </si>
  <si>
    <t>15</t>
  </si>
  <si>
    <t>16</t>
  </si>
  <si>
    <t>17</t>
  </si>
  <si>
    <t>18</t>
  </si>
  <si>
    <t>19</t>
  </si>
  <si>
    <t>20</t>
  </si>
  <si>
    <t>ID</t>
    <phoneticPr fontId="58" type="noConversion"/>
  </si>
  <si>
    <t>y*log(p)</t>
  </si>
  <si>
    <t>y*log(p)</t>
    <phoneticPr fontId="58" type="noConversion"/>
  </si>
  <si>
    <t>(1-y)*log(1-p)</t>
  </si>
  <si>
    <t>(1-y)*log(1-p)</t>
    <phoneticPr fontId="58" type="noConversion"/>
  </si>
  <si>
    <t>p</t>
  </si>
  <si>
    <t>log(x)</t>
    <phoneticPr fontId="33" type="noConversion"/>
  </si>
  <si>
    <t>x1</t>
    <phoneticPr fontId="33" type="noConversion"/>
  </si>
  <si>
    <t>x2</t>
    <phoneticPr fontId="33" type="noConversion"/>
  </si>
  <si>
    <t>log10(x)</t>
    <phoneticPr fontId="33" type="noConversion"/>
  </si>
  <si>
    <t>1/X2</t>
    <phoneticPr fontId="33" type="noConversion"/>
  </si>
  <si>
    <t>log10(1/x)</t>
    <phoneticPr fontId="33" type="noConversion"/>
  </si>
  <si>
    <t>root</t>
    <phoneticPr fontId="33" type="noConversion"/>
  </si>
  <si>
    <t>y</t>
    <phoneticPr fontId="33" type="noConversion"/>
  </si>
  <si>
    <t>p(y)</t>
    <phoneticPr fontId="33" type="noConversion"/>
  </si>
  <si>
    <t>log(p)</t>
    <phoneticPr fontId="33" type="noConversion"/>
  </si>
  <si>
    <t>1-p(y)</t>
    <phoneticPr fontId="33" type="noConversion"/>
  </si>
  <si>
    <t>FPR</t>
    <phoneticPr fontId="33" type="noConversion"/>
  </si>
  <si>
    <t>=FP/(TN+FP)</t>
    <phoneticPr fontId="33" type="noConversion"/>
  </si>
  <si>
    <t>Height (cm)</t>
    <phoneticPr fontId="33" type="noConversion"/>
  </si>
  <si>
    <r>
      <t xml:space="preserve">ROC </t>
    </r>
    <r>
      <rPr>
        <sz val="12"/>
        <color rgb="FF000000"/>
        <rFont val="Arial Unicode MS"/>
        <charset val="129"/>
      </rPr>
      <t>커브</t>
    </r>
    <phoneticPr fontId="33" type="noConversion"/>
  </si>
  <si>
    <t>Intelligence is the capability of grouping similar objects</t>
  </si>
  <si>
    <t>Clustering groups unlabeled(unsupervised) data into 'cluster' similar inputs</t>
  </si>
  <si>
    <t>ID</t>
  </si>
  <si>
    <t>chat-GPT,  scikit-learn의 K-nearest neighbors API로 ask</t>
  </si>
  <si>
    <t>https://scikit-learn.org/stable/modules/neighbors.html</t>
  </si>
  <si>
    <t>Single Linkage</t>
  </si>
  <si>
    <t>최단 연결법</t>
  </si>
  <si>
    <t>x1</t>
  </si>
  <si>
    <t>x2</t>
  </si>
  <si>
    <t>C</t>
  </si>
  <si>
    <t>D</t>
  </si>
  <si>
    <t>E</t>
  </si>
  <si>
    <t>What is distance?</t>
  </si>
  <si>
    <t>(유클리드 거리)^2</t>
  </si>
  <si>
    <t>유클리디언거리</t>
  </si>
  <si>
    <t>맨하턴거리</t>
  </si>
  <si>
    <t>자카드거리</t>
  </si>
  <si>
    <t>마할라노비스거리</t>
  </si>
  <si>
    <t>코사인유사성거리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</si>
</sst>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76" formatCode="0.0000"/>
    <numFmt numFmtId="177" formatCode="0.000"/>
    <numFmt numFmtId="178" formatCode="0.0000000"/>
    <numFmt numFmtId="179" formatCode="0.00000"/>
    <numFmt numFmtId="180" formatCode="[$-409]yy&quot;-&quot;m&quot;-&quot;d\ h:mm\ AM/PM;@"/>
    <numFmt numFmtId="181" formatCode="_-* #,##0.00_-;\-* #,##0.00_-;_-* &quot;-&quot;_-;_-@_-"/>
    <numFmt numFmtId="182" formatCode="#,##0_ ;[Red]\-#,##0\ "/>
    <numFmt numFmtId="183" formatCode="_-* #,##0.0_-;\-* #,##0.0_-;_-* &quot;-&quot;_-;_-@_-"/>
    <numFmt numFmtId="184" formatCode="0.0"/>
  </numFmts>
  <fonts count="69">
    <font>
      <sz val="10"/>
      <color rgb="FF000000"/>
      <name val="Arial"/>
      <scheme val="minor"/>
    </font>
    <font>
      <b/>
      <sz val="10"/>
      <color theme="1"/>
      <name val="Verdana"/>
      <family val="2"/>
    </font>
    <font>
      <sz val="10"/>
      <color theme="1"/>
      <name val="Verdana"/>
      <family val="2"/>
    </font>
    <font>
      <sz val="10"/>
      <color theme="1"/>
      <name val="Arial"/>
      <family val="2"/>
      <scheme val="minor"/>
    </font>
    <font>
      <u/>
      <sz val="10"/>
      <color rgb="FF0000FF"/>
      <name val="Verdana"/>
      <family val="2"/>
    </font>
    <font>
      <b/>
      <sz val="10"/>
      <color rgb="FF000000"/>
      <name val="Verdana"/>
      <family val="2"/>
    </font>
    <font>
      <sz val="10"/>
      <color rgb="FFFF0000"/>
      <name val="Verdana"/>
      <family val="2"/>
    </font>
    <font>
      <b/>
      <sz val="10"/>
      <color rgb="FFFFFFFF"/>
      <name val="Arial"/>
      <family val="2"/>
      <scheme val="minor"/>
    </font>
    <font>
      <b/>
      <sz val="10"/>
      <color rgb="FF000000"/>
      <name val="Arial"/>
      <family val="2"/>
      <scheme val="minor"/>
    </font>
    <font>
      <sz val="10"/>
      <color rgb="FF000000"/>
      <name val="Arial"/>
      <family val="2"/>
      <scheme val="minor"/>
    </font>
    <font>
      <b/>
      <sz val="9"/>
      <color theme="1"/>
      <name val="Verdana"/>
      <family val="2"/>
    </font>
    <font>
      <b/>
      <sz val="9"/>
      <color rgb="FF000000"/>
      <name val="Verdana"/>
      <family val="2"/>
    </font>
    <font>
      <sz val="9"/>
      <color theme="1"/>
      <name val="Arial"/>
      <family val="2"/>
      <scheme val="minor"/>
    </font>
    <font>
      <b/>
      <sz val="10"/>
      <color rgb="FFFFFFFF"/>
      <name val="Verdana"/>
      <family val="2"/>
    </font>
    <font>
      <b/>
      <sz val="10"/>
      <color theme="1"/>
      <name val="Arial"/>
      <family val="2"/>
      <scheme val="minor"/>
    </font>
    <font>
      <sz val="10"/>
      <color rgb="FF000000"/>
      <name val="Verdana"/>
      <family val="2"/>
    </font>
    <font>
      <sz val="10"/>
      <color theme="1"/>
      <name val="Verdana"/>
      <family val="2"/>
    </font>
    <font>
      <u/>
      <sz val="10"/>
      <color rgb="FF0000FF"/>
      <name val="Arial"/>
      <family val="2"/>
    </font>
    <font>
      <b/>
      <sz val="10"/>
      <color rgb="FFFF0000"/>
      <name val="Verdana"/>
      <family val="2"/>
    </font>
    <font>
      <b/>
      <sz val="10"/>
      <color theme="1"/>
      <name val="Arial"/>
      <family val="2"/>
      <scheme val="minor"/>
    </font>
    <font>
      <sz val="10"/>
      <color rgb="FFFF0000"/>
      <name val="Arial"/>
      <family val="2"/>
      <scheme val="minor"/>
    </font>
    <font>
      <b/>
      <sz val="10"/>
      <color rgb="FFFFFF00"/>
      <name val="Arial"/>
      <family val="2"/>
      <scheme val="minor"/>
    </font>
    <font>
      <b/>
      <sz val="12"/>
      <color rgb="FFFF0000"/>
      <name val="Arial"/>
      <family val="2"/>
      <scheme val="minor"/>
    </font>
    <font>
      <b/>
      <sz val="12"/>
      <color theme="1"/>
      <name val="Arial"/>
      <family val="2"/>
      <scheme val="minor"/>
    </font>
    <font>
      <u/>
      <sz val="9"/>
      <color rgb="FF000000"/>
      <name val="&quot;Google Sans&quot;"/>
    </font>
    <font>
      <sz val="10"/>
      <color theme="1"/>
      <name val="Arial"/>
      <family val="2"/>
    </font>
    <font>
      <b/>
      <sz val="12"/>
      <color theme="1"/>
      <name val="&quot;Arial Narrow&quot;"/>
    </font>
    <font>
      <sz val="12"/>
      <color theme="1"/>
      <name val="&quot;Arial Narrow&quot;"/>
    </font>
    <font>
      <sz val="12"/>
      <color theme="1"/>
      <name val="Arial"/>
      <family val="2"/>
    </font>
    <font>
      <sz val="10"/>
      <color theme="1"/>
      <name val="&quot;Arial Narrow&quot;"/>
    </font>
    <font>
      <b/>
      <sz val="10"/>
      <color rgb="FF0000FF"/>
      <name val="Arial"/>
      <family val="2"/>
      <scheme val="minor"/>
    </font>
    <font>
      <b/>
      <sz val="10"/>
      <color rgb="FFFF0000"/>
      <name val="Arial"/>
      <family val="2"/>
      <scheme val="minor"/>
    </font>
    <font>
      <sz val="10"/>
      <color rgb="FF0000FF"/>
      <name val="Arial"/>
      <family val="2"/>
      <scheme val="minor"/>
    </font>
    <font>
      <sz val="8"/>
      <name val="Arial"/>
      <family val="3"/>
      <charset val="129"/>
      <scheme val="minor"/>
    </font>
    <font>
      <sz val="11"/>
      <color theme="1"/>
      <name val="Arial"/>
      <family val="2"/>
      <scheme val="minor"/>
    </font>
    <font>
      <b/>
      <sz val="11"/>
      <color theme="1"/>
      <name val="Arial"/>
      <family val="2"/>
      <scheme val="minor"/>
    </font>
    <font>
      <b/>
      <sz val="11"/>
      <color rgb="FF0000FF"/>
      <name val="Arial"/>
      <family val="2"/>
      <scheme val="minor"/>
    </font>
    <font>
      <b/>
      <sz val="11"/>
      <color rgb="FFFF0000"/>
      <name val="Arial"/>
      <family val="2"/>
      <scheme val="minor"/>
    </font>
    <font>
      <sz val="11"/>
      <color rgb="FF212121"/>
      <name val="Monospace"/>
    </font>
    <font>
      <i/>
      <sz val="10"/>
      <color theme="1"/>
      <name val="Arial"/>
      <family val="2"/>
      <scheme val="minor"/>
    </font>
    <font>
      <i/>
      <sz val="11"/>
      <color theme="1"/>
      <name val="Arial"/>
      <family val="2"/>
      <scheme val="minor"/>
    </font>
    <font>
      <sz val="10"/>
      <color theme="1"/>
      <name val="Arial"/>
      <family val="3"/>
    </font>
    <font>
      <sz val="10"/>
      <color theme="1"/>
      <name val="맑은 고딕"/>
      <family val="3"/>
      <charset val="129"/>
    </font>
    <font>
      <sz val="10"/>
      <color theme="1"/>
      <name val="Arial"/>
      <family val="3"/>
      <charset val="129"/>
    </font>
    <font>
      <sz val="10"/>
      <color theme="1"/>
      <name val="Arial Unicode MS"/>
      <family val="3"/>
      <charset val="129"/>
    </font>
    <font>
      <sz val="10"/>
      <name val="Arial"/>
      <family val="2"/>
      <scheme val="minor"/>
    </font>
    <font>
      <b/>
      <sz val="10"/>
      <name val="Arial"/>
      <family val="2"/>
      <scheme val="minor"/>
    </font>
    <font>
      <u/>
      <sz val="10"/>
      <color theme="10"/>
      <name val="Arial"/>
      <family val="2"/>
      <scheme val="minor"/>
    </font>
    <font>
      <sz val="10"/>
      <color rgb="FF000000"/>
      <name val="Arial"/>
      <family val="2"/>
      <scheme val="minor"/>
    </font>
    <font>
      <sz val="11"/>
      <color theme="1"/>
      <name val="맑은 고딕"/>
      <family val="3"/>
      <charset val="129"/>
    </font>
    <font>
      <b/>
      <u/>
      <sz val="16"/>
      <color theme="10"/>
      <name val="맑은 고딕"/>
      <family val="3"/>
      <charset val="129"/>
    </font>
    <font>
      <sz val="11"/>
      <color rgb="FF000000"/>
      <name val="맑은 고딕"/>
      <family val="3"/>
      <charset val="129"/>
    </font>
    <font>
      <b/>
      <sz val="14"/>
      <color rgb="FF000000"/>
      <name val="맑은 고딕"/>
      <family val="3"/>
      <charset val="129"/>
    </font>
    <font>
      <u/>
      <sz val="10"/>
      <color theme="10"/>
      <name val="맑은 고딕"/>
      <family val="3"/>
      <charset val="129"/>
    </font>
    <font>
      <b/>
      <sz val="12"/>
      <color rgb="FF000000"/>
      <name val="맑은 고딕"/>
      <family val="3"/>
      <charset val="129"/>
    </font>
    <font>
      <sz val="10"/>
      <color rgb="FF000000"/>
      <name val="Segoe UI"/>
      <family val="2"/>
    </font>
    <font>
      <sz val="10"/>
      <color rgb="FF000000"/>
      <name val="Segoe UI"/>
      <family val="2"/>
    </font>
    <font>
      <sz val="10"/>
      <color theme="1"/>
      <name val="Arial"/>
      <family val="3"/>
      <charset val="129"/>
      <scheme val="minor"/>
    </font>
    <font>
      <sz val="8"/>
      <name val="Arial"/>
      <family val="2"/>
      <charset val="129"/>
      <scheme val="minor"/>
    </font>
    <font>
      <sz val="16"/>
      <color rgb="FF000000"/>
      <name val="Arial"/>
      <family val="2"/>
      <scheme val="minor"/>
    </font>
    <font>
      <sz val="16"/>
      <color rgb="FF000000"/>
      <name val="Arial"/>
      <family val="3"/>
      <charset val="129"/>
      <scheme val="minor"/>
    </font>
    <font>
      <sz val="14"/>
      <color rgb="FF000000"/>
      <name val="Arial"/>
      <family val="2"/>
      <scheme val="minor"/>
    </font>
    <font>
      <sz val="12"/>
      <color theme="1"/>
      <name val="Arial"/>
      <family val="2"/>
      <scheme val="minor"/>
    </font>
    <font>
      <b/>
      <sz val="12"/>
      <color rgb="FFFFFFFF"/>
      <name val="Arial"/>
      <family val="2"/>
      <scheme val="minor"/>
    </font>
    <font>
      <sz val="12"/>
      <color rgb="FF000000"/>
      <name val="Arial"/>
      <family val="2"/>
      <scheme val="minor"/>
    </font>
    <font>
      <b/>
      <sz val="12"/>
      <color rgb="FF000000"/>
      <name val="Arial Unicode MS"/>
      <family val="3"/>
      <charset val="129"/>
    </font>
    <font>
      <sz val="12"/>
      <color rgb="FF000000"/>
      <name val="Arial Unicode MS"/>
      <charset val="129"/>
    </font>
    <font>
      <u/>
      <sz val="12"/>
      <color rgb="FF0000FF"/>
      <name val="Arial"/>
      <family val="2"/>
    </font>
    <font>
      <b/>
      <sz val="12"/>
      <color theme="1"/>
      <name val="Verdana"/>
      <family val="2"/>
    </font>
  </fonts>
  <fills count="27">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
      <patternFill patternType="solid">
        <fgColor rgb="FF434343"/>
        <bgColor rgb="FF434343"/>
      </patternFill>
    </fill>
    <fill>
      <patternFill patternType="solid">
        <fgColor rgb="FFFF0000"/>
        <bgColor rgb="FFFF0000"/>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D9EAD3"/>
        <bgColor rgb="FFD9EAD3"/>
      </patternFill>
    </fill>
    <fill>
      <patternFill patternType="solid">
        <fgColor rgb="FFFCE5CD"/>
        <bgColor rgb="FFFCE5CD"/>
      </patternFill>
    </fill>
    <fill>
      <patternFill patternType="solid">
        <fgColor rgb="FF6D9EEB"/>
        <bgColor rgb="FF6D9EEB"/>
      </patternFill>
    </fill>
    <fill>
      <patternFill patternType="solid">
        <fgColor rgb="FFFFE599"/>
        <bgColor rgb="FFFFE599"/>
      </patternFill>
    </fill>
    <fill>
      <patternFill patternType="solid">
        <fgColor rgb="FF00FFFF"/>
        <bgColor rgb="FF00FFFF"/>
      </patternFill>
    </fill>
    <fill>
      <patternFill patternType="solid">
        <fgColor theme="0"/>
        <bgColor rgb="FFFFE599"/>
      </patternFill>
    </fill>
    <fill>
      <patternFill patternType="solid">
        <fgColor theme="0"/>
        <bgColor indexed="64"/>
      </patternFill>
    </fill>
    <fill>
      <patternFill patternType="solid">
        <fgColor theme="9" tint="0.79998168889431442"/>
        <bgColor rgb="FFFFE599"/>
      </patternFill>
    </fill>
    <fill>
      <patternFill patternType="solid">
        <fgColor theme="9" tint="0.79998168889431442"/>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FFF00"/>
        <bgColor indexed="64"/>
      </patternFill>
    </fill>
  </fills>
  <borders count="24">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FFFFFF"/>
      </left>
      <right style="thin">
        <color rgb="FF000000"/>
      </right>
      <top style="thin">
        <color rgb="FFFFFFFF"/>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bottom style="thin">
        <color indexed="64"/>
      </bottom>
      <diagonal/>
    </border>
    <border>
      <left/>
      <right style="thin">
        <color rgb="FF000000"/>
      </right>
      <top style="thin">
        <color rgb="FF000000"/>
      </top>
      <bottom style="double">
        <color indexed="64"/>
      </bottom>
      <diagonal/>
    </border>
    <border>
      <left style="thin">
        <color rgb="FF000000"/>
      </left>
      <right style="thin">
        <color rgb="FF000000"/>
      </right>
      <top/>
      <bottom style="double">
        <color indexed="64"/>
      </bottom>
      <diagonal/>
    </border>
    <border>
      <left style="thin">
        <color rgb="FF000000"/>
      </left>
      <right style="thin">
        <color rgb="FF000000"/>
      </right>
      <top style="thin">
        <color rgb="FF000000"/>
      </top>
      <bottom style="double">
        <color indexed="64"/>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7" fillId="0" borderId="0" applyNumberFormat="0" applyFill="0" applyBorder="0" applyAlignment="0" applyProtection="0"/>
    <xf numFmtId="41" fontId="48" fillId="0" borderId="0" applyFont="0" applyFill="0" applyBorder="0" applyAlignment="0" applyProtection="0">
      <alignment vertical="center"/>
    </xf>
  </cellStyleXfs>
  <cellXfs count="273">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1" fillId="0" borderId="1" xfId="0" applyFont="1" applyBorder="1"/>
    <xf numFmtId="0" fontId="3" fillId="0" borderId="0" xfId="0" applyFont="1" applyAlignment="1">
      <alignment horizontal="right"/>
    </xf>
    <xf numFmtId="2" fontId="3" fillId="0" borderId="0" xfId="0" applyNumberFormat="1" applyFont="1" applyAlignment="1">
      <alignment horizontal="left"/>
    </xf>
    <xf numFmtId="2" fontId="3" fillId="0" borderId="0" xfId="0" applyNumberFormat="1" applyFont="1"/>
    <xf numFmtId="0" fontId="2" fillId="0" borderId="0" xfId="0" applyFont="1" applyAlignment="1">
      <alignment horizontal="left"/>
    </xf>
    <xf numFmtId="0" fontId="4" fillId="0" borderId="0" xfId="0" applyFont="1"/>
    <xf numFmtId="0" fontId="2" fillId="0" borderId="0" xfId="0" applyFont="1" applyAlignment="1">
      <alignment horizontal="center"/>
    </xf>
    <xf numFmtId="0" fontId="5" fillId="2" borderId="0" xfId="0" applyFont="1" applyFill="1" applyAlignment="1">
      <alignment horizontal="right"/>
    </xf>
    <xf numFmtId="0" fontId="2" fillId="0" borderId="1" xfId="0" applyFont="1" applyBorder="1"/>
    <xf numFmtId="0" fontId="6" fillId="0" borderId="1" xfId="0" applyFont="1" applyBorder="1" applyAlignment="1">
      <alignment horizontal="right"/>
    </xf>
    <xf numFmtId="0" fontId="6" fillId="3" borderId="0" xfId="0" applyFont="1" applyFill="1" applyAlignment="1">
      <alignment horizontal="right"/>
    </xf>
    <xf numFmtId="0" fontId="2" fillId="0" borderId="1" xfId="0" applyFont="1" applyBorder="1" applyAlignment="1">
      <alignment horizontal="right"/>
    </xf>
    <xf numFmtId="0" fontId="6" fillId="3" borderId="1" xfId="0" applyFont="1" applyFill="1" applyBorder="1" applyAlignment="1">
      <alignment horizontal="right"/>
    </xf>
    <xf numFmtId="0" fontId="7" fillId="4" borderId="0" xfId="0" applyFont="1" applyFill="1"/>
    <xf numFmtId="0" fontId="3" fillId="0" borderId="0" xfId="0" quotePrefix="1" applyFont="1"/>
    <xf numFmtId="0" fontId="8" fillId="3" borderId="0" xfId="0" applyFont="1" applyFill="1"/>
    <xf numFmtId="0" fontId="9" fillId="3" borderId="0" xfId="0" applyFont="1" applyFill="1"/>
    <xf numFmtId="0" fontId="9" fillId="0" borderId="0" xfId="0" applyFont="1"/>
    <xf numFmtId="0" fontId="10" fillId="0" borderId="0" xfId="0" applyFont="1" applyAlignment="1">
      <alignment horizontal="right"/>
    </xf>
    <xf numFmtId="0" fontId="10" fillId="5" borderId="1" xfId="0" applyFont="1" applyFill="1" applyBorder="1" applyAlignment="1">
      <alignment horizontal="right"/>
    </xf>
    <xf numFmtId="0" fontId="10" fillId="0" borderId="1" xfId="0" applyFont="1" applyBorder="1" applyAlignment="1">
      <alignment horizontal="right"/>
    </xf>
    <xf numFmtId="0" fontId="11" fillId="3" borderId="1" xfId="0" applyFont="1" applyFill="1" applyBorder="1" applyAlignment="1">
      <alignment horizontal="right"/>
    </xf>
    <xf numFmtId="0" fontId="11" fillId="0" borderId="1" xfId="0" applyFont="1" applyBorder="1" applyAlignment="1">
      <alignment horizontal="right"/>
    </xf>
    <xf numFmtId="0" fontId="12" fillId="0" borderId="0" xfId="0" applyFont="1"/>
    <xf numFmtId="0" fontId="2" fillId="5" borderId="0" xfId="0" applyFont="1" applyFill="1" applyAlignment="1">
      <alignment horizontal="right"/>
    </xf>
    <xf numFmtId="0" fontId="13" fillId="6" borderId="0" xfId="0" applyFont="1" applyFill="1"/>
    <xf numFmtId="0" fontId="7" fillId="6" borderId="0" xfId="0" applyFont="1" applyFill="1"/>
    <xf numFmtId="0" fontId="2" fillId="5" borderId="1" xfId="0" applyFont="1" applyFill="1" applyBorder="1" applyAlignment="1">
      <alignment horizontal="right"/>
    </xf>
    <xf numFmtId="0" fontId="3" fillId="0" borderId="1" xfId="0" applyFont="1" applyBorder="1" applyAlignment="1">
      <alignment horizontal="right"/>
    </xf>
    <xf numFmtId="0" fontId="3" fillId="0" borderId="1" xfId="0" applyFont="1" applyBorder="1"/>
    <xf numFmtId="0" fontId="9" fillId="3" borderId="1" xfId="0" applyFont="1" applyFill="1" applyBorder="1"/>
    <xf numFmtId="0" fontId="2" fillId="3" borderId="0" xfId="0" applyFont="1" applyFill="1"/>
    <xf numFmtId="0" fontId="6" fillId="0" borderId="0" xfId="0" applyFont="1" applyAlignment="1">
      <alignment horizontal="right"/>
    </xf>
    <xf numFmtId="0" fontId="1" fillId="0" borderId="0" xfId="0" applyFont="1" applyAlignment="1">
      <alignment horizontal="right"/>
    </xf>
    <xf numFmtId="0" fontId="14" fillId="0" borderId="0" xfId="0" applyFont="1" applyAlignment="1">
      <alignment horizontal="right"/>
    </xf>
    <xf numFmtId="0" fontId="16" fillId="0" borderId="0" xfId="0" applyFont="1"/>
    <xf numFmtId="0" fontId="15" fillId="0" borderId="1" xfId="0" applyFont="1" applyBorder="1" applyAlignment="1">
      <alignment horizontal="center"/>
    </xf>
    <xf numFmtId="0" fontId="14" fillId="0" borderId="0" xfId="0" applyFont="1"/>
    <xf numFmtId="2" fontId="3" fillId="0" borderId="0" xfId="0" applyNumberFormat="1" applyFont="1" applyAlignment="1">
      <alignment horizontal="center"/>
    </xf>
    <xf numFmtId="0" fontId="2" fillId="0" borderId="1" xfId="0" applyFont="1" applyBorder="1" applyAlignment="1">
      <alignment horizontal="center"/>
    </xf>
    <xf numFmtId="178" fontId="2" fillId="0" borderId="0" xfId="0" applyNumberFormat="1" applyFont="1" applyAlignment="1">
      <alignment horizontal="right"/>
    </xf>
    <xf numFmtId="0" fontId="17" fillId="0" borderId="0" xfId="0" applyFont="1"/>
    <xf numFmtId="0" fontId="3" fillId="0" borderId="0" xfId="0" applyFont="1" applyAlignment="1">
      <alignment horizontal="center"/>
    </xf>
    <xf numFmtId="0" fontId="3" fillId="9" borderId="0" xfId="0" applyFont="1" applyFill="1" applyAlignment="1">
      <alignment horizontal="center"/>
    </xf>
    <xf numFmtId="0" fontId="1" fillId="0" borderId="1" xfId="0" applyFont="1" applyBorder="1" applyAlignment="1">
      <alignment horizontal="center"/>
    </xf>
    <xf numFmtId="0" fontId="18" fillId="0" borderId="5" xfId="0" applyFont="1" applyBorder="1" applyAlignment="1">
      <alignment horizontal="center"/>
    </xf>
    <xf numFmtId="176" fontId="19" fillId="2" borderId="6" xfId="0" applyNumberFormat="1" applyFont="1" applyFill="1" applyBorder="1" applyAlignment="1">
      <alignment horizontal="center"/>
    </xf>
    <xf numFmtId="176" fontId="19" fillId="2" borderId="7" xfId="0" applyNumberFormat="1" applyFont="1" applyFill="1" applyBorder="1" applyAlignment="1">
      <alignment horizontal="center"/>
    </xf>
    <xf numFmtId="176" fontId="19" fillId="2" borderId="8" xfId="0" applyNumberFormat="1" applyFont="1" applyFill="1" applyBorder="1" applyAlignment="1">
      <alignment horizontal="center"/>
    </xf>
    <xf numFmtId="0" fontId="20" fillId="9" borderId="5" xfId="0" applyFont="1" applyFill="1" applyBorder="1" applyAlignment="1">
      <alignment horizontal="center"/>
    </xf>
    <xf numFmtId="0" fontId="21" fillId="7" borderId="1" xfId="0" applyFont="1" applyFill="1" applyBorder="1" applyAlignment="1">
      <alignment horizontal="center"/>
    </xf>
    <xf numFmtId="0" fontId="14" fillId="0" borderId="1" xfId="0" applyFont="1" applyBorder="1" applyAlignment="1">
      <alignment horizontal="center"/>
    </xf>
    <xf numFmtId="176" fontId="2" fillId="0" borderId="0" xfId="0" applyNumberFormat="1" applyFont="1" applyAlignment="1">
      <alignment horizontal="center"/>
    </xf>
    <xf numFmtId="176" fontId="6" fillId="0" borderId="9" xfId="0" applyNumberFormat="1" applyFont="1" applyBorder="1" applyAlignment="1">
      <alignment horizontal="center"/>
    </xf>
    <xf numFmtId="176" fontId="3" fillId="0" borderId="0" xfId="0" applyNumberFormat="1" applyFont="1" applyAlignment="1">
      <alignment horizontal="center"/>
    </xf>
    <xf numFmtId="176" fontId="20" fillId="9" borderId="9" xfId="0" applyNumberFormat="1" applyFont="1" applyFill="1" applyBorder="1" applyAlignment="1">
      <alignment horizontal="center"/>
    </xf>
    <xf numFmtId="176" fontId="21" fillId="7" borderId="0" xfId="0" applyNumberFormat="1" applyFont="1" applyFill="1" applyAlignment="1">
      <alignment horizontal="center"/>
    </xf>
    <xf numFmtId="177" fontId="3" fillId="0" borderId="0" xfId="0" applyNumberFormat="1" applyFont="1" applyAlignment="1">
      <alignment horizontal="center"/>
    </xf>
    <xf numFmtId="176" fontId="6" fillId="0" borderId="10" xfId="0" applyNumberFormat="1" applyFont="1" applyBorder="1" applyAlignment="1">
      <alignment horizontal="center"/>
    </xf>
    <xf numFmtId="176" fontId="20" fillId="9" borderId="10" xfId="0" applyNumberFormat="1" applyFont="1" applyFill="1" applyBorder="1" applyAlignment="1">
      <alignment horizontal="center"/>
    </xf>
    <xf numFmtId="176" fontId="22" fillId="0" borderId="6" xfId="0" applyNumberFormat="1" applyFont="1" applyBorder="1" applyAlignment="1">
      <alignment horizontal="center"/>
    </xf>
    <xf numFmtId="0" fontId="23" fillId="0" borderId="8" xfId="0" applyFont="1" applyBorder="1"/>
    <xf numFmtId="0" fontId="1" fillId="0" borderId="0" xfId="0" applyFont="1" applyAlignment="1">
      <alignment horizontal="center"/>
    </xf>
    <xf numFmtId="0" fontId="24" fillId="0" borderId="0" xfId="0" applyFont="1"/>
    <xf numFmtId="177" fontId="2" fillId="0" borderId="0" xfId="0" applyNumberFormat="1" applyFont="1" applyAlignment="1">
      <alignment horizontal="center"/>
    </xf>
    <xf numFmtId="0" fontId="18" fillId="0" borderId="0" xfId="0" applyFont="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2" fillId="9"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xf>
    <xf numFmtId="0" fontId="3" fillId="0" borderId="4" xfId="0" applyFont="1" applyBorder="1" applyAlignment="1">
      <alignment horizontal="center"/>
    </xf>
    <xf numFmtId="0" fontId="15" fillId="0" borderId="3" xfId="0" applyFont="1" applyBorder="1" applyAlignment="1">
      <alignment horizontal="right"/>
    </xf>
    <xf numFmtId="0" fontId="15" fillId="3" borderId="4" xfId="0" applyFont="1" applyFill="1" applyBorder="1" applyAlignment="1">
      <alignment horizontal="right"/>
    </xf>
    <xf numFmtId="0" fontId="15" fillId="3" borderId="0" xfId="0" applyFont="1" applyFill="1" applyAlignment="1">
      <alignment horizontal="center"/>
    </xf>
    <xf numFmtId="0" fontId="15" fillId="3" borderId="3" xfId="0" applyFont="1" applyFill="1" applyBorder="1" applyAlignment="1">
      <alignment horizontal="right"/>
    </xf>
    <xf numFmtId="0" fontId="15" fillId="3" borderId="1" xfId="0" applyFont="1" applyFill="1" applyBorder="1" applyAlignment="1">
      <alignment horizontal="center"/>
    </xf>
    <xf numFmtId="0" fontId="15" fillId="3" borderId="4" xfId="0" applyFont="1" applyFill="1" applyBorder="1" applyAlignment="1">
      <alignment horizontal="left"/>
    </xf>
    <xf numFmtId="0" fontId="15" fillId="11" borderId="4" xfId="0" applyFont="1" applyFill="1" applyBorder="1" applyAlignment="1">
      <alignment horizontal="right"/>
    </xf>
    <xf numFmtId="0" fontId="15" fillId="11" borderId="0" xfId="0" applyFont="1" applyFill="1" applyAlignment="1">
      <alignment horizontal="center"/>
    </xf>
    <xf numFmtId="0" fontId="15" fillId="11" borderId="14" xfId="0" applyFont="1" applyFill="1" applyBorder="1" applyAlignment="1">
      <alignment horizontal="right"/>
    </xf>
    <xf numFmtId="0" fontId="15" fillId="11" borderId="15" xfId="0" applyFont="1" applyFill="1" applyBorder="1" applyAlignment="1">
      <alignment horizontal="center"/>
    </xf>
    <xf numFmtId="2" fontId="15" fillId="11" borderId="0" xfId="0" applyNumberFormat="1" applyFont="1" applyFill="1" applyAlignment="1">
      <alignment horizontal="center"/>
    </xf>
    <xf numFmtId="2" fontId="16" fillId="0" borderId="0" xfId="0" applyNumberFormat="1" applyFont="1"/>
    <xf numFmtId="0" fontId="3" fillId="8" borderId="10" xfId="0" applyFont="1" applyFill="1" applyBorder="1" applyAlignment="1">
      <alignment horizontal="center"/>
    </xf>
    <xf numFmtId="0" fontId="25" fillId="0" borderId="0" xfId="0" applyFont="1"/>
    <xf numFmtId="0" fontId="25" fillId="0" borderId="1" xfId="0" applyFont="1" applyBorder="1"/>
    <xf numFmtId="0" fontId="25" fillId="0" borderId="0" xfId="0" quotePrefix="1" applyFont="1" applyAlignment="1">
      <alignment horizontal="right"/>
    </xf>
    <xf numFmtId="0" fontId="25" fillId="0" borderId="4" xfId="0" quotePrefix="1" applyFont="1" applyBorder="1" applyAlignment="1">
      <alignment horizontal="right"/>
    </xf>
    <xf numFmtId="0" fontId="25" fillId="8" borderId="0" xfId="0" quotePrefix="1" applyFont="1" applyFill="1" applyAlignment="1">
      <alignment horizontal="right"/>
    </xf>
    <xf numFmtId="0" fontId="27" fillId="3" borderId="1" xfId="0" applyFont="1" applyFill="1" applyBorder="1" applyAlignment="1">
      <alignment horizontal="right"/>
    </xf>
    <xf numFmtId="0" fontId="27" fillId="3" borderId="3" xfId="0" applyFont="1" applyFill="1" applyBorder="1" applyAlignment="1">
      <alignment horizontal="right"/>
    </xf>
    <xf numFmtId="0" fontId="27" fillId="0" borderId="1" xfId="0" applyFont="1" applyBorder="1" applyAlignment="1">
      <alignment horizontal="right"/>
    </xf>
    <xf numFmtId="0" fontId="27" fillId="8" borderId="1" xfId="0" applyFont="1" applyFill="1" applyBorder="1" applyAlignment="1">
      <alignment horizontal="right"/>
    </xf>
    <xf numFmtId="0" fontId="28" fillId="0" borderId="1" xfId="0" applyFont="1" applyBorder="1" applyAlignment="1">
      <alignment horizontal="right"/>
    </xf>
    <xf numFmtId="3" fontId="27" fillId="3" borderId="0" xfId="0" applyNumberFormat="1" applyFont="1" applyFill="1" applyAlignment="1">
      <alignment horizontal="right"/>
    </xf>
    <xf numFmtId="0" fontId="27" fillId="3" borderId="4" xfId="0" applyFont="1" applyFill="1" applyBorder="1" applyAlignment="1">
      <alignment horizontal="right"/>
    </xf>
    <xf numFmtId="10" fontId="27" fillId="0" borderId="0" xfId="0" applyNumberFormat="1" applyFont="1" applyAlignment="1">
      <alignment horizontal="right"/>
    </xf>
    <xf numFmtId="10" fontId="27" fillId="8" borderId="0" xfId="0" applyNumberFormat="1" applyFont="1" applyFill="1" applyAlignment="1">
      <alignment horizontal="right"/>
    </xf>
    <xf numFmtId="3" fontId="27" fillId="3" borderId="1" xfId="0" applyNumberFormat="1" applyFont="1" applyFill="1" applyBorder="1" applyAlignment="1">
      <alignment horizontal="right"/>
    </xf>
    <xf numFmtId="10" fontId="27" fillId="0" borderId="1" xfId="0" applyNumberFormat="1" applyFont="1" applyBorder="1" applyAlignment="1">
      <alignment horizontal="right"/>
    </xf>
    <xf numFmtId="10" fontId="27" fillId="8" borderId="1" xfId="0" applyNumberFormat="1" applyFont="1" applyFill="1" applyBorder="1" applyAlignment="1">
      <alignment horizontal="right"/>
    </xf>
    <xf numFmtId="3" fontId="27" fillId="0" borderId="0" xfId="0" applyNumberFormat="1" applyFont="1" applyAlignment="1">
      <alignment horizontal="right"/>
    </xf>
    <xf numFmtId="0" fontId="27" fillId="0" borderId="0" xfId="0" applyFont="1" applyAlignment="1">
      <alignment horizontal="right"/>
    </xf>
    <xf numFmtId="0" fontId="28" fillId="0" borderId="0" xfId="0" applyFont="1" applyAlignment="1">
      <alignment horizontal="right"/>
    </xf>
    <xf numFmtId="0" fontId="26" fillId="0" borderId="0" xfId="0" applyFont="1" applyAlignment="1">
      <alignment horizontal="right"/>
    </xf>
    <xf numFmtId="10" fontId="26" fillId="0" borderId="0" xfId="0" applyNumberFormat="1" applyFont="1" applyAlignment="1">
      <alignment horizontal="left"/>
    </xf>
    <xf numFmtId="0" fontId="29" fillId="0" borderId="0" xfId="0" applyFont="1"/>
    <xf numFmtId="0" fontId="34" fillId="0" borderId="0" xfId="0" applyFont="1" applyAlignment="1">
      <alignment horizontal="center"/>
    </xf>
    <xf numFmtId="179" fontId="34" fillId="0" borderId="0" xfId="0" applyNumberFormat="1" applyFont="1" applyAlignment="1">
      <alignment horizontal="center"/>
    </xf>
    <xf numFmtId="0" fontId="35" fillId="0" borderId="0" xfId="0" applyFont="1"/>
    <xf numFmtId="0" fontId="34" fillId="14" borderId="1" xfId="0" applyFont="1" applyFill="1" applyBorder="1" applyAlignment="1">
      <alignment horizontal="center"/>
    </xf>
    <xf numFmtId="179" fontId="34" fillId="14" borderId="1" xfId="0" applyNumberFormat="1" applyFont="1" applyFill="1" applyBorder="1" applyAlignment="1">
      <alignment horizontal="center"/>
    </xf>
    <xf numFmtId="179" fontId="34" fillId="9" borderId="1" xfId="0" applyNumberFormat="1" applyFont="1" applyFill="1" applyBorder="1" applyAlignment="1">
      <alignment horizontal="center"/>
    </xf>
    <xf numFmtId="0" fontId="35" fillId="14" borderId="0" xfId="0" applyFont="1" applyFill="1" applyAlignment="1">
      <alignment horizontal="center"/>
    </xf>
    <xf numFmtId="1" fontId="36" fillId="14" borderId="0" xfId="0" applyNumberFormat="1" applyFont="1" applyFill="1" applyAlignment="1">
      <alignment horizontal="center"/>
    </xf>
    <xf numFmtId="1" fontId="34" fillId="0" borderId="0" xfId="0" applyNumberFormat="1" applyFont="1" applyAlignment="1">
      <alignment horizontal="center"/>
    </xf>
    <xf numFmtId="1" fontId="37" fillId="14" borderId="0" xfId="0" applyNumberFormat="1" applyFont="1" applyFill="1" applyAlignment="1">
      <alignment horizontal="center"/>
    </xf>
    <xf numFmtId="0" fontId="35" fillId="14" borderId="1" xfId="0" applyFont="1" applyFill="1" applyBorder="1" applyAlignment="1">
      <alignment horizontal="center"/>
    </xf>
    <xf numFmtId="1" fontId="37" fillId="14" borderId="1" xfId="0" applyNumberFormat="1" applyFont="1" applyFill="1" applyBorder="1" applyAlignment="1">
      <alignment horizontal="center"/>
    </xf>
    <xf numFmtId="179" fontId="34" fillId="0" borderId="1" xfId="0" applyNumberFormat="1" applyFont="1" applyBorder="1" applyAlignment="1">
      <alignment horizontal="center"/>
    </xf>
    <xf numFmtId="179" fontId="34" fillId="15" borderId="0" xfId="0" applyNumberFormat="1" applyFont="1" applyFill="1" applyAlignment="1">
      <alignment horizontal="center"/>
    </xf>
    <xf numFmtId="179" fontId="38" fillId="15" borderId="0" xfId="0" applyNumberFormat="1" applyFont="1" applyFill="1"/>
    <xf numFmtId="0" fontId="3" fillId="15" borderId="0" xfId="0" applyFont="1" applyFill="1"/>
    <xf numFmtId="0" fontId="23" fillId="0" borderId="0" xfId="0" applyFont="1"/>
    <xf numFmtId="0" fontId="39" fillId="0" borderId="7" xfId="0" applyFont="1" applyBorder="1" applyAlignment="1">
      <alignment horizontal="center"/>
    </xf>
    <xf numFmtId="1" fontId="35" fillId="14" borderId="0" xfId="0" applyNumberFormat="1" applyFont="1" applyFill="1" applyAlignment="1">
      <alignment horizontal="center"/>
    </xf>
    <xf numFmtId="2" fontId="35" fillId="14" borderId="0" xfId="0" applyNumberFormat="1" applyFont="1" applyFill="1" applyAlignment="1">
      <alignment horizontal="center"/>
    </xf>
    <xf numFmtId="179" fontId="34" fillId="0" borderId="7" xfId="0" applyNumberFormat="1" applyFont="1" applyBorder="1" applyAlignment="1">
      <alignment horizontal="center"/>
    </xf>
    <xf numFmtId="179" fontId="40" fillId="0" borderId="7" xfId="0" applyNumberFormat="1" applyFont="1" applyBorder="1" applyAlignment="1">
      <alignment horizontal="center"/>
    </xf>
    <xf numFmtId="0" fontId="39" fillId="0" borderId="7" xfId="0" applyFont="1" applyBorder="1"/>
    <xf numFmtId="2" fontId="34" fillId="0" borderId="0" xfId="0" applyNumberFormat="1" applyFont="1" applyAlignment="1">
      <alignment horizontal="center"/>
    </xf>
    <xf numFmtId="0" fontId="34" fillId="0" borderId="7" xfId="0" applyFont="1" applyBorder="1" applyAlignment="1">
      <alignment horizontal="center"/>
    </xf>
    <xf numFmtId="0" fontId="34" fillId="0" borderId="1" xfId="0" applyFont="1" applyBorder="1" applyAlignment="1">
      <alignment horizontal="center"/>
    </xf>
    <xf numFmtId="0" fontId="34" fillId="0" borderId="0" xfId="0" applyFont="1"/>
    <xf numFmtId="2" fontId="3" fillId="0" borderId="0" xfId="0" applyNumberFormat="1" applyFont="1" applyAlignment="1">
      <alignment horizontal="right"/>
    </xf>
    <xf numFmtId="2" fontId="3" fillId="0" borderId="1" xfId="0" applyNumberFormat="1" applyFont="1" applyBorder="1" applyAlignment="1">
      <alignment horizontal="right"/>
    </xf>
    <xf numFmtId="0" fontId="3" fillId="8" borderId="13" xfId="0" applyFont="1" applyFill="1" applyBorder="1" applyAlignment="1">
      <alignment horizontal="center"/>
    </xf>
    <xf numFmtId="0" fontId="3" fillId="0" borderId="1" xfId="0" quotePrefix="1" applyFont="1" applyBorder="1" applyAlignment="1">
      <alignment horizontal="right"/>
    </xf>
    <xf numFmtId="2" fontId="3" fillId="8" borderId="9" xfId="0" applyNumberFormat="1" applyFont="1" applyFill="1" applyBorder="1" applyAlignment="1">
      <alignment horizontal="center"/>
    </xf>
    <xf numFmtId="0" fontId="3" fillId="8" borderId="9" xfId="0" applyFont="1" applyFill="1" applyBorder="1" applyAlignment="1">
      <alignment horizontal="center"/>
    </xf>
    <xf numFmtId="2" fontId="3" fillId="8" borderId="10" xfId="0" applyNumberFormat="1" applyFont="1" applyFill="1" applyBorder="1" applyAlignment="1">
      <alignment horizontal="center"/>
    </xf>
    <xf numFmtId="2" fontId="3" fillId="19" borderId="0" xfId="0" quotePrefix="1" applyNumberFormat="1" applyFont="1" applyFill="1" applyAlignment="1">
      <alignment horizontal="center"/>
    </xf>
    <xf numFmtId="0" fontId="3" fillId="21" borderId="0" xfId="0" applyFont="1" applyFill="1" applyAlignment="1">
      <alignment horizontal="center"/>
    </xf>
    <xf numFmtId="2" fontId="32" fillId="18" borderId="0" xfId="0" applyNumberFormat="1" applyFont="1" applyFill="1" applyAlignment="1">
      <alignment horizontal="center"/>
    </xf>
    <xf numFmtId="179" fontId="20" fillId="21" borderId="0" xfId="0" applyNumberFormat="1" applyFont="1" applyFill="1" applyAlignment="1">
      <alignment horizontal="center"/>
    </xf>
    <xf numFmtId="0" fontId="3" fillId="8" borderId="18" xfId="0" applyFont="1" applyFill="1" applyBorder="1" applyAlignment="1">
      <alignment horizontal="center"/>
    </xf>
    <xf numFmtId="0" fontId="43" fillId="8" borderId="19" xfId="0" applyFont="1" applyFill="1" applyBorder="1" applyAlignment="1">
      <alignment horizontal="center"/>
    </xf>
    <xf numFmtId="0" fontId="44" fillId="8" borderId="19" xfId="0" applyFont="1" applyFill="1" applyBorder="1" applyAlignment="1">
      <alignment horizontal="center"/>
    </xf>
    <xf numFmtId="0" fontId="30" fillId="18" borderId="21" xfId="0" applyFont="1" applyFill="1" applyBorder="1" applyAlignment="1">
      <alignment horizontal="center"/>
    </xf>
    <xf numFmtId="0" fontId="31" fillId="20" borderId="20" xfId="0" applyFont="1" applyFill="1" applyBorder="1" applyAlignment="1">
      <alignment horizontal="center"/>
    </xf>
    <xf numFmtId="0" fontId="45" fillId="8" borderId="20" xfId="0" applyFont="1" applyFill="1" applyBorder="1" applyAlignment="1">
      <alignment horizontal="center"/>
    </xf>
    <xf numFmtId="0" fontId="46" fillId="16" borderId="21" xfId="0" applyFont="1" applyFill="1" applyBorder="1" applyAlignment="1">
      <alignment horizontal="center"/>
    </xf>
    <xf numFmtId="2" fontId="45" fillId="0" borderId="0" xfId="0" applyNumberFormat="1" applyFont="1" applyAlignment="1">
      <alignment horizontal="center"/>
    </xf>
    <xf numFmtId="2" fontId="45" fillId="16" borderId="0" xfId="0" applyNumberFormat="1" applyFont="1" applyFill="1" applyAlignment="1">
      <alignment horizontal="center"/>
    </xf>
    <xf numFmtId="0" fontId="45" fillId="0" borderId="0" xfId="0" applyFont="1" applyAlignment="1">
      <alignment horizontal="center"/>
    </xf>
    <xf numFmtId="0" fontId="45" fillId="0" borderId="0" xfId="0" quotePrefix="1" applyFont="1" applyAlignment="1">
      <alignment horizontal="center"/>
    </xf>
    <xf numFmtId="0" fontId="45" fillId="17" borderId="0" xfId="0" quotePrefix="1" applyFont="1" applyFill="1" applyAlignment="1">
      <alignment horizontal="center"/>
    </xf>
    <xf numFmtId="0" fontId="45" fillId="0" borderId="0" xfId="0" applyFont="1"/>
    <xf numFmtId="2" fontId="32" fillId="18" borderId="21" xfId="0" applyNumberFormat="1" applyFont="1" applyFill="1" applyBorder="1" applyAlignment="1">
      <alignment horizontal="center"/>
    </xf>
    <xf numFmtId="179" fontId="20" fillId="21" borderId="21" xfId="0" applyNumberFormat="1" applyFont="1" applyFill="1" applyBorder="1" applyAlignment="1">
      <alignment horizontal="center"/>
    </xf>
    <xf numFmtId="0" fontId="3" fillId="21" borderId="21" xfId="0" applyFont="1" applyFill="1" applyBorder="1" applyAlignment="1">
      <alignment horizontal="center"/>
    </xf>
    <xf numFmtId="0" fontId="50" fillId="0" borderId="0" xfId="1" applyFont="1"/>
    <xf numFmtId="0" fontId="51" fillId="0" borderId="0" xfId="0" applyFont="1"/>
    <xf numFmtId="0" fontId="51" fillId="0" borderId="0" xfId="0" applyFont="1" applyAlignment="1">
      <alignment horizontal="center"/>
    </xf>
    <xf numFmtId="0" fontId="51" fillId="0" borderId="17" xfId="0" applyFont="1" applyBorder="1"/>
    <xf numFmtId="0" fontId="49" fillId="0" borderId="17" xfId="0" applyFont="1" applyBorder="1" applyAlignment="1">
      <alignment horizontal="center"/>
    </xf>
    <xf numFmtId="180" fontId="51" fillId="0" borderId="0" xfId="0" applyNumberFormat="1" applyFont="1"/>
    <xf numFmtId="0" fontId="49" fillId="0" borderId="0" xfId="0" applyFont="1" applyAlignment="1">
      <alignment horizontal="center"/>
    </xf>
    <xf numFmtId="0" fontId="51" fillId="0" borderId="17" xfId="0" applyFont="1" applyBorder="1" applyAlignment="1">
      <alignment horizontal="center"/>
    </xf>
    <xf numFmtId="0" fontId="51" fillId="22" borderId="0" xfId="0" applyFont="1" applyFill="1" applyAlignment="1">
      <alignment horizontal="right"/>
    </xf>
    <xf numFmtId="0" fontId="51" fillId="22" borderId="0" xfId="0" applyFont="1" applyFill="1" applyAlignment="1">
      <alignment horizontal="center"/>
    </xf>
    <xf numFmtId="0" fontId="49" fillId="19" borderId="0" xfId="0" applyFont="1" applyFill="1" applyAlignment="1">
      <alignment horizontal="right"/>
    </xf>
    <xf numFmtId="0" fontId="49" fillId="19" borderId="0" xfId="0" applyFont="1" applyFill="1" applyAlignment="1">
      <alignment horizontal="center"/>
    </xf>
    <xf numFmtId="181" fontId="49" fillId="0" borderId="0" xfId="2" applyNumberFormat="1" applyFont="1" applyAlignment="1">
      <alignment horizontal="center"/>
    </xf>
    <xf numFmtId="181" fontId="51" fillId="0" borderId="0" xfId="2" applyNumberFormat="1" applyFont="1" applyAlignment="1">
      <alignment horizontal="center"/>
    </xf>
    <xf numFmtId="0" fontId="53" fillId="0" borderId="0" xfId="1" applyFont="1"/>
    <xf numFmtId="0" fontId="49" fillId="0" borderId="0" xfId="0" applyFont="1"/>
    <xf numFmtId="0" fontId="54" fillId="0" borderId="0" xfId="0" applyFont="1"/>
    <xf numFmtId="0" fontId="51" fillId="0" borderId="0" xfId="0" applyFont="1" applyAlignment="1">
      <alignment wrapText="1"/>
    </xf>
    <xf numFmtId="0" fontId="49" fillId="23" borderId="0" xfId="0" applyFont="1" applyFill="1"/>
    <xf numFmtId="0" fontId="49" fillId="23" borderId="0" xfId="0" applyFont="1" applyFill="1" applyAlignment="1">
      <alignment horizontal="left"/>
    </xf>
    <xf numFmtId="181" fontId="49" fillId="23" borderId="0" xfId="2" applyNumberFormat="1" applyFont="1" applyFill="1" applyAlignment="1">
      <alignment horizontal="center"/>
    </xf>
    <xf numFmtId="181" fontId="52" fillId="23" borderId="0" xfId="2" applyNumberFormat="1" applyFont="1" applyFill="1" applyAlignment="1">
      <alignment horizontal="center"/>
    </xf>
    <xf numFmtId="181" fontId="51" fillId="23" borderId="0" xfId="2" quotePrefix="1" applyNumberFormat="1" applyFont="1" applyFill="1" applyAlignment="1">
      <alignment horizontal="left"/>
    </xf>
    <xf numFmtId="0" fontId="49" fillId="24" borderId="0" xfId="0" applyFont="1" applyFill="1"/>
    <xf numFmtId="0" fontId="51" fillId="24" borderId="0" xfId="0" applyFont="1" applyFill="1" applyAlignment="1">
      <alignment horizontal="left"/>
    </xf>
    <xf numFmtId="181" fontId="49" fillId="24" borderId="0" xfId="2" applyNumberFormat="1" applyFont="1" applyFill="1" applyAlignment="1">
      <alignment horizontal="center"/>
    </xf>
    <xf numFmtId="181" fontId="52" fillId="24" borderId="0" xfId="2" applyNumberFormat="1" applyFont="1" applyFill="1" applyAlignment="1">
      <alignment horizontal="center"/>
    </xf>
    <xf numFmtId="181" fontId="51" fillId="24" borderId="0" xfId="2" applyNumberFormat="1" applyFont="1" applyFill="1" applyAlignment="1">
      <alignment horizontal="center"/>
    </xf>
    <xf numFmtId="0" fontId="49" fillId="25" borderId="0" xfId="0" applyFont="1" applyFill="1"/>
    <xf numFmtId="0" fontId="49" fillId="25" borderId="0" xfId="0" applyFont="1" applyFill="1" applyAlignment="1">
      <alignment horizontal="left"/>
    </xf>
    <xf numFmtId="181" fontId="49" fillId="25" borderId="0" xfId="2" applyNumberFormat="1" applyFont="1" applyFill="1" applyAlignment="1">
      <alignment horizontal="center"/>
    </xf>
    <xf numFmtId="181" fontId="52" fillId="25" borderId="0" xfId="2" applyNumberFormat="1" applyFont="1" applyFill="1" applyAlignment="1">
      <alignment horizontal="center"/>
    </xf>
    <xf numFmtId="181" fontId="51" fillId="25" borderId="0" xfId="2" applyNumberFormat="1" applyFont="1" applyFill="1" applyAlignment="1">
      <alignment horizontal="center"/>
    </xf>
    <xf numFmtId="0" fontId="56" fillId="0" borderId="0" xfId="0" applyFont="1" applyAlignment="1">
      <alignment horizontal="left" vertical="center" wrapText="1" indent="1"/>
    </xf>
    <xf numFmtId="0" fontId="43" fillId="0" borderId="1" xfId="0" applyFont="1" applyBorder="1" applyAlignment="1">
      <alignment horizontal="right"/>
    </xf>
    <xf numFmtId="0" fontId="57" fillId="0" borderId="1" xfId="0" applyFont="1" applyBorder="1" applyAlignment="1">
      <alignment horizontal="right"/>
    </xf>
    <xf numFmtId="182" fontId="59" fillId="0" borderId="0" xfId="2" applyNumberFormat="1" applyFont="1" applyAlignment="1">
      <alignment horizontal="center" vertical="center"/>
    </xf>
    <xf numFmtId="181" fontId="59" fillId="0" borderId="0" xfId="2" applyNumberFormat="1" applyFont="1" applyAlignment="1">
      <alignment horizontal="center" vertical="center"/>
    </xf>
    <xf numFmtId="182" fontId="59" fillId="0" borderId="0" xfId="2" quotePrefix="1" applyNumberFormat="1" applyFont="1" applyAlignment="1">
      <alignment horizontal="center" vertical="center"/>
    </xf>
    <xf numFmtId="182" fontId="60" fillId="0" borderId="0" xfId="2" applyNumberFormat="1" applyFont="1" applyAlignment="1">
      <alignment horizontal="center" vertical="center"/>
    </xf>
    <xf numFmtId="181" fontId="59" fillId="0" borderId="0" xfId="2" applyNumberFormat="1" applyFont="1" applyAlignment="1">
      <alignment horizontal="center"/>
    </xf>
    <xf numFmtId="181" fontId="59" fillId="0" borderId="0" xfId="2" quotePrefix="1" applyNumberFormat="1" applyFont="1" applyAlignment="1">
      <alignment horizontal="center" vertical="center"/>
    </xf>
    <xf numFmtId="0" fontId="61" fillId="0" borderId="0" xfId="0" applyFont="1"/>
    <xf numFmtId="183" fontId="61" fillId="0" borderId="0" xfId="2" applyNumberFormat="1" applyFont="1" applyAlignment="1"/>
    <xf numFmtId="43" fontId="61" fillId="0" borderId="0" xfId="0" applyNumberFormat="1" applyFont="1"/>
    <xf numFmtId="0" fontId="1" fillId="0" borderId="0" xfId="0" applyFont="1"/>
    <xf numFmtId="0" fontId="0" fillId="0" borderId="0" xfId="0"/>
    <xf numFmtId="0" fontId="2" fillId="0" borderId="0" xfId="0" applyFont="1"/>
    <xf numFmtId="0" fontId="1" fillId="0" borderId="0" xfId="0" applyFont="1" applyAlignment="1">
      <alignment horizontal="center"/>
    </xf>
    <xf numFmtId="0" fontId="13" fillId="10" borderId="0" xfId="0" applyFont="1" applyFill="1" applyAlignment="1">
      <alignment horizontal="center"/>
    </xf>
    <xf numFmtId="0" fontId="26" fillId="0" borderId="0" xfId="0" applyFont="1"/>
    <xf numFmtId="0" fontId="62" fillId="8" borderId="3" xfId="0" applyFont="1" applyFill="1" applyBorder="1" applyAlignment="1">
      <alignment horizontal="center"/>
    </xf>
    <xf numFmtId="0" fontId="62" fillId="8" borderId="10" xfId="0" applyFont="1" applyFill="1" applyBorder="1" applyAlignment="1">
      <alignment horizontal="center"/>
    </xf>
    <xf numFmtId="0" fontId="63" fillId="4" borderId="0" xfId="0" applyFont="1" applyFill="1" applyAlignment="1">
      <alignment horizontal="center"/>
    </xf>
    <xf numFmtId="0" fontId="62" fillId="8" borderId="2" xfId="0" applyFont="1" applyFill="1" applyBorder="1" applyAlignment="1">
      <alignment horizontal="center"/>
    </xf>
    <xf numFmtId="0" fontId="64" fillId="0" borderId="0" xfId="0" applyFont="1"/>
    <xf numFmtId="0" fontId="62" fillId="12" borderId="0" xfId="0" applyFont="1" applyFill="1" applyAlignment="1">
      <alignment horizontal="center"/>
    </xf>
    <xf numFmtId="0" fontId="64" fillId="0" borderId="0" xfId="0" applyFont="1"/>
    <xf numFmtId="0" fontId="62" fillId="13" borderId="0" xfId="0" applyFont="1" applyFill="1" applyAlignment="1">
      <alignment horizontal="center"/>
    </xf>
    <xf numFmtId="0" fontId="62" fillId="8" borderId="8" xfId="0" applyFont="1" applyFill="1" applyBorder="1" applyAlignment="1">
      <alignment horizontal="center"/>
    </xf>
    <xf numFmtId="0" fontId="62" fillId="8" borderId="5" xfId="0" applyFont="1" applyFill="1" applyBorder="1" applyAlignment="1">
      <alignment horizontal="center"/>
    </xf>
    <xf numFmtId="0" fontId="63" fillId="4" borderId="1" xfId="0" applyFont="1" applyFill="1" applyBorder="1" applyAlignment="1">
      <alignment horizontal="center"/>
    </xf>
    <xf numFmtId="0" fontId="62" fillId="8" borderId="6" xfId="0" applyFont="1" applyFill="1" applyBorder="1" applyAlignment="1">
      <alignment horizontal="center"/>
    </xf>
    <xf numFmtId="0" fontId="62" fillId="12" borderId="0" xfId="0" applyFont="1" applyFill="1" applyAlignment="1">
      <alignment horizontal="center"/>
    </xf>
    <xf numFmtId="0" fontId="62" fillId="13" borderId="0" xfId="0" applyFont="1" applyFill="1" applyAlignment="1">
      <alignment horizontal="center"/>
    </xf>
    <xf numFmtId="0" fontId="62" fillId="0" borderId="0" xfId="0" applyFont="1" applyAlignment="1">
      <alignment horizontal="center"/>
    </xf>
    <xf numFmtId="0" fontId="62" fillId="0" borderId="5" xfId="0" applyFont="1" applyBorder="1" applyAlignment="1">
      <alignment horizontal="center"/>
    </xf>
    <xf numFmtId="0" fontId="62" fillId="0" borderId="0" xfId="0" applyFont="1"/>
    <xf numFmtId="0" fontId="62" fillId="0" borderId="16" xfId="0" applyFont="1" applyBorder="1"/>
    <xf numFmtId="0" fontId="62" fillId="13" borderId="11" xfId="0" applyFont="1" applyFill="1" applyBorder="1" applyAlignment="1">
      <alignment horizontal="center"/>
    </xf>
    <xf numFmtId="0" fontId="62" fillId="0" borderId="7" xfId="0" applyFont="1" applyBorder="1" applyAlignment="1">
      <alignment horizontal="center"/>
    </xf>
    <xf numFmtId="0" fontId="62" fillId="0" borderId="11" xfId="0" applyFont="1" applyBorder="1"/>
    <xf numFmtId="0" fontId="62" fillId="0" borderId="12" xfId="0" applyFont="1" applyBorder="1"/>
    <xf numFmtId="0" fontId="62" fillId="12" borderId="2" xfId="0" applyFont="1" applyFill="1" applyBorder="1" applyAlignment="1">
      <alignment horizontal="center"/>
    </xf>
    <xf numFmtId="0" fontId="62" fillId="0" borderId="3" xfId="0" applyFont="1" applyBorder="1"/>
    <xf numFmtId="0" fontId="62" fillId="0" borderId="10" xfId="0" applyFont="1" applyBorder="1"/>
    <xf numFmtId="0" fontId="62" fillId="0" borderId="2" xfId="0" applyFont="1" applyBorder="1" applyAlignment="1">
      <alignment horizontal="center"/>
    </xf>
    <xf numFmtId="0" fontId="62" fillId="0" borderId="4" xfId="0" applyFont="1" applyBorder="1" applyAlignment="1">
      <alignment horizontal="center"/>
    </xf>
    <xf numFmtId="2" fontId="62" fillId="0" borderId="0" xfId="0" applyNumberFormat="1" applyFont="1" applyAlignment="1">
      <alignment horizontal="center"/>
    </xf>
    <xf numFmtId="0" fontId="62" fillId="0" borderId="8" xfId="0" applyFont="1" applyBorder="1"/>
    <xf numFmtId="0" fontId="62" fillId="0" borderId="5" xfId="0" applyFont="1" applyBorder="1"/>
    <xf numFmtId="0" fontId="62" fillId="0" borderId="6" xfId="0" applyFont="1" applyBorder="1" applyAlignment="1">
      <alignment horizontal="center"/>
    </xf>
    <xf numFmtId="0" fontId="62" fillId="0" borderId="2" xfId="0" applyFont="1" applyBorder="1"/>
    <xf numFmtId="0" fontId="62" fillId="0" borderId="1" xfId="0" applyFont="1" applyBorder="1"/>
    <xf numFmtId="2" fontId="62" fillId="0" borderId="5" xfId="0" applyNumberFormat="1" applyFont="1" applyBorder="1"/>
    <xf numFmtId="0" fontId="62" fillId="2" borderId="5" xfId="0" applyFont="1" applyFill="1" applyBorder="1"/>
    <xf numFmtId="2" fontId="62" fillId="2" borderId="5" xfId="0" applyNumberFormat="1" applyFont="1" applyFill="1" applyBorder="1"/>
    <xf numFmtId="0" fontId="65" fillId="26" borderId="23" xfId="0" applyFont="1" applyFill="1" applyBorder="1"/>
    <xf numFmtId="0" fontId="64" fillId="26" borderId="22" xfId="0" applyFont="1" applyFill="1" applyBorder="1"/>
    <xf numFmtId="0" fontId="64" fillId="0" borderId="0" xfId="0" quotePrefix="1" applyFont="1"/>
    <xf numFmtId="0" fontId="67" fillId="0" borderId="0" xfId="0" applyFont="1"/>
    <xf numFmtId="0" fontId="62" fillId="12" borderId="1" xfId="0" applyFont="1" applyFill="1" applyBorder="1" applyAlignment="1">
      <alignment horizontal="center"/>
    </xf>
    <xf numFmtId="10" fontId="62" fillId="0" borderId="5" xfId="0" applyNumberFormat="1" applyFont="1" applyBorder="1" applyAlignment="1">
      <alignment horizontal="center"/>
    </xf>
    <xf numFmtId="0" fontId="68" fillId="0" borderId="0" xfId="0" applyFont="1"/>
    <xf numFmtId="0" fontId="1" fillId="0" borderId="0" xfId="0" applyFont="1" applyAlignment="1">
      <alignment horizontal="left"/>
    </xf>
    <xf numFmtId="2" fontId="2" fillId="0" borderId="0" xfId="0" applyNumberFormat="1" applyFont="1" applyAlignment="1">
      <alignment horizontal="center"/>
    </xf>
    <xf numFmtId="0" fontId="2" fillId="0" borderId="0" xfId="0" quotePrefix="1" applyFont="1"/>
    <xf numFmtId="184" fontId="2" fillId="0" borderId="0" xfId="0" applyNumberFormat="1" applyFont="1"/>
    <xf numFmtId="0" fontId="17" fillId="0" borderId="0" xfId="0" applyFont="1" applyAlignment="1">
      <alignment horizontal="center"/>
    </xf>
    <xf numFmtId="0" fontId="3" fillId="0" borderId="1" xfId="0" applyFont="1" applyBorder="1" applyAlignment="1">
      <alignment horizontal="center"/>
    </xf>
    <xf numFmtId="0" fontId="3" fillId="0" borderId="4" xfId="0" applyFont="1" applyBorder="1" applyAlignment="1">
      <alignment horizontal="right"/>
    </xf>
    <xf numFmtId="2" fontId="3" fillId="5" borderId="0" xfId="0" applyNumberFormat="1" applyFont="1" applyFill="1" applyAlignment="1">
      <alignment horizontal="center"/>
    </xf>
    <xf numFmtId="2" fontId="3" fillId="2" borderId="0" xfId="0" applyNumberFormat="1" applyFont="1" applyFill="1" applyAlignment="1">
      <alignment horizontal="center"/>
    </xf>
    <xf numFmtId="0" fontId="3" fillId="0" borderId="0" xfId="0" applyFont="1" applyAlignment="1">
      <alignment horizontal="left"/>
    </xf>
  </cellXfs>
  <cellStyles count="3">
    <cellStyle name="쉼표 [0]" xfId="2" builtinId="6"/>
    <cellStyle name="표준" xfId="0" builtinId="0"/>
    <cellStyle name="하이퍼링크" xfId="1" builtinId="8"/>
  </cellStyles>
  <dxfs count="9">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covarianc_correlation!$C$1</c:f>
              <c:strCache>
                <c:ptCount val="1"/>
                <c:pt idx="0">
                  <c:v>Weight (kg)</c:v>
                </c:pt>
              </c:strCache>
            </c:strRef>
          </c:tx>
          <c:spPr>
            <a:ln w="19050" cap="rnd">
              <a:noFill/>
              <a:round/>
            </a:ln>
            <a:effectLst/>
          </c:spPr>
          <c:marker>
            <c:symbol val="circle"/>
            <c:size val="5"/>
            <c:spPr>
              <a:solidFill>
                <a:schemeClr val="accent1"/>
              </a:solidFill>
              <a:ln w="9525">
                <a:solidFill>
                  <a:schemeClr val="accent1"/>
                </a:solidFill>
              </a:ln>
              <a:effectLst/>
            </c:spPr>
          </c:marker>
          <c:xVal>
            <c:numRef>
              <c:f>covarianc_correlation!$B$2:$B$17</c:f>
              <c:numCache>
                <c:formatCode>General</c:formatCode>
                <c:ptCount val="16"/>
                <c:pt idx="0">
                  <c:v>100</c:v>
                </c:pt>
                <c:pt idx="1">
                  <c:v>320</c:v>
                </c:pt>
                <c:pt idx="2">
                  <c:v>623</c:v>
                </c:pt>
                <c:pt idx="3">
                  <c:v>877</c:v>
                </c:pt>
                <c:pt idx="4">
                  <c:v>1182</c:v>
                </c:pt>
                <c:pt idx="5">
                  <c:v>1408</c:v>
                </c:pt>
                <c:pt idx="6">
                  <c:v>1599</c:v>
                </c:pt>
                <c:pt idx="7">
                  <c:v>1779</c:v>
                </c:pt>
                <c:pt idx="8">
                  <c:v>1994</c:v>
                </c:pt>
                <c:pt idx="9">
                  <c:v>2158</c:v>
                </c:pt>
                <c:pt idx="10">
                  <c:v>2467</c:v>
                </c:pt>
                <c:pt idx="11">
                  <c:v>2657</c:v>
                </c:pt>
                <c:pt idx="12">
                  <c:v>2812</c:v>
                </c:pt>
                <c:pt idx="13">
                  <c:v>3015</c:v>
                </c:pt>
                <c:pt idx="14">
                  <c:v>3185</c:v>
                </c:pt>
                <c:pt idx="15">
                  <c:v>3417</c:v>
                </c:pt>
              </c:numCache>
            </c:numRef>
          </c:xVal>
          <c:yVal>
            <c:numRef>
              <c:f>covarianc_correlation!$C$2:$C$17</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0"/>
          <c:extLst>
            <c:ext xmlns:c16="http://schemas.microsoft.com/office/drawing/2014/chart" uri="{C3380CC4-5D6E-409C-BE32-E72D297353CC}">
              <c16:uniqueId val="{00000000-AA94-4D03-8772-9C3D3027D6BD}"/>
            </c:ext>
          </c:extLst>
        </c:ser>
        <c:dLbls>
          <c:showLegendKey val="0"/>
          <c:showVal val="0"/>
          <c:showCatName val="0"/>
          <c:showSerName val="0"/>
          <c:showPercent val="0"/>
          <c:showBubbleSize val="0"/>
        </c:dLbls>
        <c:axId val="1042360704"/>
        <c:axId val="1042348704"/>
      </c:scatterChart>
      <c:valAx>
        <c:axId val="104236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48704"/>
        <c:crosses val="autoZero"/>
        <c:crossBetween val="midCat"/>
      </c:valAx>
      <c:valAx>
        <c:axId val="10423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60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'log loss plot'!$L$4</c:f>
              <c:strCache>
                <c:ptCount val="1"/>
                <c:pt idx="0">
                  <c:v> (1-y)*log(1-p) </c:v>
                </c:pt>
              </c:strCache>
            </c:strRef>
          </c:tx>
          <c:spPr>
            <a:ln w="19050" cap="rnd">
              <a:noFill/>
              <a:round/>
            </a:ln>
            <a:effectLst/>
          </c:spPr>
          <c:marker>
            <c:symbol val="circle"/>
            <c:size val="5"/>
            <c:spPr>
              <a:solidFill>
                <a:schemeClr val="accent1"/>
              </a:solidFill>
              <a:ln w="9525">
                <a:solidFill>
                  <a:schemeClr val="accent1"/>
                </a:solidFill>
              </a:ln>
              <a:effectLst/>
            </c:spPr>
          </c:marker>
          <c:xVal>
            <c:numRef>
              <c:f>'log loss plot'!$J$5:$J$16</c:f>
              <c:numCache>
                <c:formatCode>_-* #,##0.00_-;\-* #,##0.00_-;_-* "-"_-;_-@_-</c:formatCode>
                <c:ptCount val="12"/>
                <c:pt idx="0">
                  <c:v>0.65093155694235783</c:v>
                </c:pt>
                <c:pt idx="1">
                  <c:v>0.82873766203579324</c:v>
                </c:pt>
                <c:pt idx="2">
                  <c:v>0.44536049905311881</c:v>
                </c:pt>
                <c:pt idx="3">
                  <c:v>0.90479147307203256</c:v>
                </c:pt>
                <c:pt idx="4">
                  <c:v>0.73594026071645968</c:v>
                </c:pt>
                <c:pt idx="5">
                  <c:v>0.1404211589535872</c:v>
                </c:pt>
                <c:pt idx="6">
                  <c:v>0.62070042897056543</c:v>
                </c:pt>
                <c:pt idx="7">
                  <c:v>0.81290991792286582</c:v>
                </c:pt>
                <c:pt idx="8">
                  <c:v>0.49420241075943616</c:v>
                </c:pt>
                <c:pt idx="9">
                  <c:v>0.75388067383402424</c:v>
                </c:pt>
                <c:pt idx="10">
                  <c:v>0.94739346266493552</c:v>
                </c:pt>
                <c:pt idx="11">
                  <c:v>0.87781523057887623</c:v>
                </c:pt>
              </c:numCache>
            </c:numRef>
          </c:xVal>
          <c:yVal>
            <c:numRef>
              <c:f>'log loss plot'!$L$5:$L$16</c:f>
              <c:numCache>
                <c:formatCode>_-* #,##0.00_-;\-* #,##0.00_-;_-* "-"_-;_-@_-</c:formatCode>
                <c:ptCount val="12"/>
                <c:pt idx="0">
                  <c:v>1.0524872640941225</c:v>
                </c:pt>
                <c:pt idx="1">
                  <c:v>1.7645587579287105</c:v>
                </c:pt>
                <c:pt idx="2">
                  <c:v>0.58943692412675563</c:v>
                </c:pt>
                <c:pt idx="3">
                  <c:v>2.351685772624756</c:v>
                </c:pt>
                <c:pt idx="4">
                  <c:v>1.3315799162695217</c:v>
                </c:pt>
                <c:pt idx="5">
                  <c:v>0.15131272939991947</c:v>
                </c:pt>
                <c:pt idx="6">
                  <c:v>0.96942896124116729</c:v>
                </c:pt>
                <c:pt idx="7">
                  <c:v>1.6761650557808909</c:v>
                </c:pt>
                <c:pt idx="8">
                  <c:v>0.68161871098822824</c:v>
                </c:pt>
                <c:pt idx="9">
                  <c:v>1.40193879494077</c:v>
                </c:pt>
                <c:pt idx="10">
                  <c:v>2.9449148830244942</c:v>
                </c:pt>
                <c:pt idx="11">
                  <c:v>2.1022208765007635</c:v>
                </c:pt>
              </c:numCache>
            </c:numRef>
          </c:yVal>
          <c:smooth val="0"/>
          <c:extLst>
            <c:ext xmlns:c16="http://schemas.microsoft.com/office/drawing/2014/chart" uri="{C3380CC4-5D6E-409C-BE32-E72D297353CC}">
              <c16:uniqueId val="{00000000-542B-47B6-A1F8-71968C1A4781}"/>
            </c:ext>
          </c:extLst>
        </c:ser>
        <c:dLbls>
          <c:showLegendKey val="0"/>
          <c:showVal val="0"/>
          <c:showCatName val="0"/>
          <c:showSerName val="0"/>
          <c:showPercent val="0"/>
          <c:showBubbleSize val="0"/>
        </c:dLbls>
        <c:axId val="18216592"/>
        <c:axId val="23884400"/>
      </c:scatterChart>
      <c:valAx>
        <c:axId val="18216592"/>
        <c:scaling>
          <c:orientation val="minMax"/>
        </c:scaling>
        <c:delete val="0"/>
        <c:axPos val="b"/>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884400"/>
        <c:crosses val="autoZero"/>
        <c:crossBetween val="midCat"/>
      </c:valAx>
      <c:valAx>
        <c:axId val="2388440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X2 vs. X1</a:t>
            </a:r>
          </a:p>
        </c:rich>
      </c:tx>
      <c:overlay val="0"/>
    </c:title>
    <c:autoTitleDeleted val="0"/>
    <c:plotArea>
      <c:layout/>
      <c:scatterChart>
        <c:scatterStyle val="lineMarker"/>
        <c:varyColors val="0"/>
        <c:ser>
          <c:idx val="0"/>
          <c:order val="0"/>
          <c:tx>
            <c:strRef>
              <c:f>[2]KNN_clustering!$C$4</c:f>
              <c:strCache>
                <c:ptCount val="1"/>
                <c:pt idx="0">
                  <c:v>X2</c:v>
                </c:pt>
              </c:strCache>
            </c:strRef>
          </c:tx>
          <c:spPr>
            <a:ln>
              <a:noFill/>
            </a:ln>
          </c:spPr>
          <c:marker>
            <c:symbol val="circle"/>
            <c:size val="7"/>
            <c:spPr>
              <a:solidFill>
                <a:schemeClr val="accent1"/>
              </a:solidFill>
              <a:ln cmpd="sng">
                <a:solidFill>
                  <a:schemeClr val="accent1"/>
                </a:solidFill>
              </a:ln>
            </c:spPr>
          </c:marker>
          <c:xVal>
            <c:numRef>
              <c:f>[2]KNN_clustering!$B$5:$B$15</c:f>
              <c:numCache>
                <c:formatCode>0.00</c:formatCode>
                <c:ptCount val="11"/>
                <c:pt idx="1">
                  <c:v>3.3935332100000002</c:v>
                </c:pt>
                <c:pt idx="2">
                  <c:v>3.1100734800000001</c:v>
                </c:pt>
                <c:pt idx="3">
                  <c:v>1.34380883</c:v>
                </c:pt>
                <c:pt idx="4">
                  <c:v>3.5822940399999998</c:v>
                </c:pt>
                <c:pt idx="5">
                  <c:v>2.2803624400000002</c:v>
                </c:pt>
                <c:pt idx="6">
                  <c:v>7.4234369400000002</c:v>
                </c:pt>
                <c:pt idx="7">
                  <c:v>5.7450520000000003</c:v>
                </c:pt>
                <c:pt idx="8">
                  <c:v>9.1721686200000008</c:v>
                </c:pt>
                <c:pt idx="9">
                  <c:v>7.7927834799999998</c:v>
                </c:pt>
                <c:pt idx="10">
                  <c:v>7.9398208199999996</c:v>
                </c:pt>
              </c:numCache>
            </c:numRef>
          </c:xVal>
          <c:yVal>
            <c:numRef>
              <c:f>[2]KNN_clustering!$C$5:$C$15</c:f>
              <c:numCache>
                <c:formatCode>0.00</c:formatCode>
                <c:ptCount val="11"/>
                <c:pt idx="1">
                  <c:v>2.3312733799999998</c:v>
                </c:pt>
                <c:pt idx="2">
                  <c:v>1.7815396400000001</c:v>
                </c:pt>
                <c:pt idx="3">
                  <c:v>3.36836095</c:v>
                </c:pt>
                <c:pt idx="4">
                  <c:v>4.6791791099999998</c:v>
                </c:pt>
                <c:pt idx="5">
                  <c:v>2.8669902600000001</c:v>
                </c:pt>
                <c:pt idx="6">
                  <c:v>4.6965228799999998</c:v>
                </c:pt>
                <c:pt idx="7">
                  <c:v>3.5339898000000001</c:v>
                </c:pt>
                <c:pt idx="8">
                  <c:v>2.5111010500000002</c:v>
                </c:pt>
                <c:pt idx="9">
                  <c:v>3.4240889399999999</c:v>
                </c:pt>
                <c:pt idx="10">
                  <c:v>0.79163722999999997</c:v>
                </c:pt>
              </c:numCache>
            </c:numRef>
          </c:yVal>
          <c:smooth val="1"/>
          <c:extLst>
            <c:ext xmlns:c16="http://schemas.microsoft.com/office/drawing/2014/chart" uri="{C3380CC4-5D6E-409C-BE32-E72D297353CC}">
              <c16:uniqueId val="{00000000-FA17-4165-A8F8-FAA33B1C1CE2}"/>
            </c:ext>
          </c:extLst>
        </c:ser>
        <c:dLbls>
          <c:showLegendKey val="0"/>
          <c:showVal val="0"/>
          <c:showCatName val="0"/>
          <c:showSerName val="0"/>
          <c:showPercent val="0"/>
          <c:showBubbleSize val="0"/>
        </c:dLbls>
        <c:axId val="1542958361"/>
        <c:axId val="256854109"/>
      </c:scatterChart>
      <c:valAx>
        <c:axId val="15429583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56854109"/>
        <c:crosses val="autoZero"/>
        <c:crossBetween val="midCat"/>
      </c:valAx>
      <c:valAx>
        <c:axId val="2568541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54295836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Lift</a:t>
            </a:r>
          </a:p>
        </c:rich>
      </c:tx>
      <c:overlay val="0"/>
    </c:title>
    <c:autoTitleDeleted val="0"/>
    <c:plotArea>
      <c:layout/>
      <c:barChart>
        <c:barDir val="col"/>
        <c:grouping val="clustered"/>
        <c:varyColors val="1"/>
        <c:ser>
          <c:idx val="0"/>
          <c:order val="0"/>
          <c:tx>
            <c:strRef>
              <c:f>'Lift curve'!$E$5</c:f>
              <c:strCache>
                <c:ptCount val="1"/>
                <c:pt idx="0">
                  <c:v>Lift</c:v>
                </c:pt>
              </c:strCache>
            </c:strRef>
          </c:tx>
          <c:spPr>
            <a:solidFill>
              <a:srgbClr val="4285F4"/>
            </a:solidFill>
            <a:ln cmpd="sng">
              <a:solidFill>
                <a:srgbClr val="000000"/>
              </a:solidFill>
            </a:ln>
          </c:spPr>
          <c:invertIfNegative val="1"/>
          <c:val>
            <c:numRef>
              <c:f>'Lift curve'!$E$6:$E$15</c:f>
              <c:numCache>
                <c:formatCode>0.00%</c:formatCode>
                <c:ptCount val="10"/>
                <c:pt idx="0">
                  <c:v>4.5669291338582677E-2</c:v>
                </c:pt>
                <c:pt idx="1">
                  <c:v>2.8871391076115489E-2</c:v>
                </c:pt>
                <c:pt idx="2">
                  <c:v>9.9737532808398949E-3</c:v>
                </c:pt>
                <c:pt idx="3">
                  <c:v>3.6745406824146985E-3</c:v>
                </c:pt>
                <c:pt idx="4">
                  <c:v>2.887139107611549E-3</c:v>
                </c:pt>
                <c:pt idx="5">
                  <c:v>2.6246719160104987E-3</c:v>
                </c:pt>
                <c:pt idx="6">
                  <c:v>1.8372703412073493E-3</c:v>
                </c:pt>
                <c:pt idx="7">
                  <c:v>2.6246719160104987E-3</c:v>
                </c:pt>
                <c:pt idx="8">
                  <c:v>7.874015748031496E-4</c:v>
                </c:pt>
                <c:pt idx="9">
                  <c:v>1.0498687664041995E-3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95-454B-95A1-E2A741F377C4}"/>
            </c:ext>
          </c:extLst>
        </c:ser>
        <c:dLbls>
          <c:showLegendKey val="0"/>
          <c:showVal val="0"/>
          <c:showCatName val="0"/>
          <c:showSerName val="0"/>
          <c:showPercent val="0"/>
          <c:showBubbleSize val="0"/>
        </c:dLbls>
        <c:gapWidth val="150"/>
        <c:axId val="1736751588"/>
        <c:axId val="316143154"/>
      </c:barChart>
      <c:catAx>
        <c:axId val="1736751588"/>
        <c:scaling>
          <c:orientation val="minMax"/>
        </c:scaling>
        <c:delete val="0"/>
        <c:axPos val="b"/>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6143154"/>
        <c:crosses val="autoZero"/>
        <c:auto val="1"/>
        <c:lblAlgn val="ctr"/>
        <c:lblOffset val="100"/>
        <c:noMultiLvlLbl val="1"/>
      </c:catAx>
      <c:valAx>
        <c:axId val="316143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Lift</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736751588"/>
        <c:crosses val="autoZero"/>
        <c:crossBetween val="between"/>
      </c:valAx>
    </c:plotArea>
    <c:legend>
      <c:legendPos val="r"/>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ko-KR" altLang="en-US" b="0">
                <a:solidFill>
                  <a:srgbClr val="757575"/>
                </a:solidFill>
                <a:latin typeface="+mn-lt"/>
              </a:rPr>
              <a:t>누적응답비율</a:t>
            </a:r>
          </a:p>
        </c:rich>
      </c:tx>
      <c:overlay val="0"/>
    </c:title>
    <c:autoTitleDeleted val="0"/>
    <c:plotArea>
      <c:layout/>
      <c:barChart>
        <c:barDir val="col"/>
        <c:grouping val="clustered"/>
        <c:varyColors val="1"/>
        <c:ser>
          <c:idx val="0"/>
          <c:order val="0"/>
          <c:tx>
            <c:strRef>
              <c:f>'Lift curve'!$F$5</c:f>
              <c:strCache>
                <c:ptCount val="1"/>
                <c:pt idx="0">
                  <c:v>누적응답비율</c:v>
                </c:pt>
              </c:strCache>
            </c:strRef>
          </c:tx>
          <c:spPr>
            <a:solidFill>
              <a:srgbClr val="4285F4"/>
            </a:solidFill>
            <a:ln cmpd="sng">
              <a:solidFill>
                <a:srgbClr val="000000"/>
              </a:solidFill>
            </a:ln>
          </c:spPr>
          <c:invertIfNegative val="1"/>
          <c:val>
            <c:numRef>
              <c:f>'Lift curve'!$F$6:$F$15</c:f>
              <c:numCache>
                <c:formatCode>0.00%</c:formatCode>
                <c:ptCount val="10"/>
                <c:pt idx="0">
                  <c:v>0.45669291338582679</c:v>
                </c:pt>
                <c:pt idx="1">
                  <c:v>0.74540682414698167</c:v>
                </c:pt>
                <c:pt idx="2">
                  <c:v>0.84514435695538059</c:v>
                </c:pt>
                <c:pt idx="3">
                  <c:v>0.88188976377952755</c:v>
                </c:pt>
                <c:pt idx="4">
                  <c:v>0.91076115485564302</c:v>
                </c:pt>
                <c:pt idx="5">
                  <c:v>0.93700787401574803</c:v>
                </c:pt>
                <c:pt idx="6">
                  <c:v>0.95538057742782156</c:v>
                </c:pt>
                <c:pt idx="7">
                  <c:v>0.98162729658792658</c:v>
                </c:pt>
                <c:pt idx="8">
                  <c:v>0.98950131233595806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7B-427E-81B3-F5CB2A21CA01}"/>
            </c:ext>
          </c:extLst>
        </c:ser>
        <c:dLbls>
          <c:showLegendKey val="0"/>
          <c:showVal val="0"/>
          <c:showCatName val="0"/>
          <c:showSerName val="0"/>
          <c:showPercent val="0"/>
          <c:showBubbleSize val="0"/>
        </c:dLbls>
        <c:gapWidth val="150"/>
        <c:axId val="1577783943"/>
        <c:axId val="164194834"/>
      </c:barChart>
      <c:catAx>
        <c:axId val="1577783943"/>
        <c:scaling>
          <c:orientation val="minMax"/>
        </c:scaling>
        <c:delete val="0"/>
        <c:axPos val="b"/>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64194834"/>
        <c:crosses val="autoZero"/>
        <c:auto val="1"/>
        <c:lblAlgn val="ctr"/>
        <c:lblOffset val="100"/>
        <c:noMultiLvlLbl val="1"/>
      </c:catAx>
      <c:valAx>
        <c:axId val="16419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ko-KR" altLang="en-US" b="0">
                    <a:solidFill>
                      <a:srgbClr val="000000"/>
                    </a:solidFill>
                    <a:latin typeface="+mn-lt"/>
                  </a:rPr>
                  <a:t>누적응답비율</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577783943"/>
        <c:crosses val="autoZero"/>
        <c:crossBetween val="between"/>
      </c:valAx>
    </c:plotArea>
    <c:legend>
      <c:legendPos val="r"/>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1875021872265965"/>
          <c:y val="0.19027777777777777"/>
          <c:w val="0.88124978127734033"/>
          <c:h val="0.73111111111111116"/>
        </c:manualLayout>
      </c:layout>
      <c:barChart>
        <c:barDir val="col"/>
        <c:grouping val="clustered"/>
        <c:varyColors val="0"/>
        <c:ser>
          <c:idx val="0"/>
          <c:order val="0"/>
          <c:tx>
            <c:strRef>
              <c:f>log!$D$10</c:f>
              <c:strCache>
                <c:ptCount val="1"/>
                <c:pt idx="0">
                  <c:v>p(y)</c:v>
                </c:pt>
              </c:strCache>
            </c:strRef>
          </c:tx>
          <c:spPr>
            <a:solidFill>
              <a:schemeClr val="accent1"/>
            </a:solidFill>
            <a:ln>
              <a:noFill/>
            </a:ln>
            <a:effectLst/>
          </c:spPr>
          <c:invertIfNegative val="0"/>
          <c:val>
            <c:numRef>
              <c:f>log!$D$11:$D$21</c:f>
              <c:numCache>
                <c:formatCode>_-* #,##0.0_-;\-* #,##0.0_-;_-* "-"_-;_-@_-</c:formatCode>
                <c:ptCount val="11"/>
                <c:pt idx="0">
                  <c:v>0.1</c:v>
                </c:pt>
                <c:pt idx="1">
                  <c:v>0.2</c:v>
                </c:pt>
                <c:pt idx="2">
                  <c:v>0.30000000000000004</c:v>
                </c:pt>
                <c:pt idx="3">
                  <c:v>0.4</c:v>
                </c:pt>
                <c:pt idx="4">
                  <c:v>0.5</c:v>
                </c:pt>
                <c:pt idx="5">
                  <c:v>0.6</c:v>
                </c:pt>
                <c:pt idx="6">
                  <c:v>0.7</c:v>
                </c:pt>
                <c:pt idx="7">
                  <c:v>0.79999999999999993</c:v>
                </c:pt>
                <c:pt idx="8">
                  <c:v>0.89999999999999991</c:v>
                </c:pt>
                <c:pt idx="9">
                  <c:v>0.99999999999999989</c:v>
                </c:pt>
              </c:numCache>
            </c:numRef>
          </c:val>
          <c:extLst>
            <c:ext xmlns:c16="http://schemas.microsoft.com/office/drawing/2014/chart" uri="{C3380CC4-5D6E-409C-BE32-E72D297353CC}">
              <c16:uniqueId val="{00000000-15FF-4901-A5C6-451F54E2082E}"/>
            </c:ext>
          </c:extLst>
        </c:ser>
        <c:dLbls>
          <c:showLegendKey val="0"/>
          <c:showVal val="0"/>
          <c:showCatName val="0"/>
          <c:showSerName val="0"/>
          <c:showPercent val="0"/>
          <c:showBubbleSize val="0"/>
        </c:dLbls>
        <c:gapWidth val="219"/>
        <c:overlap val="-27"/>
        <c:axId val="599123104"/>
        <c:axId val="588436112"/>
      </c:barChart>
      <c:catAx>
        <c:axId val="5991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88436112"/>
        <c:crosses val="autoZero"/>
        <c:auto val="1"/>
        <c:lblAlgn val="ctr"/>
        <c:lblOffset val="100"/>
        <c:noMultiLvlLbl val="0"/>
      </c:catAx>
      <c:valAx>
        <c:axId val="58843611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2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log!$E$10</c:f>
              <c:strCache>
                <c:ptCount val="1"/>
                <c:pt idx="0">
                  <c:v>log(p)</c:v>
                </c:pt>
              </c:strCache>
            </c:strRef>
          </c:tx>
          <c:spPr>
            <a:solidFill>
              <a:schemeClr val="accent1"/>
            </a:solidFill>
            <a:ln>
              <a:noFill/>
            </a:ln>
            <a:effectLst/>
          </c:spPr>
          <c:invertIfNegative val="0"/>
          <c:val>
            <c:numRef>
              <c:f>log!$E$11:$E$21</c:f>
              <c:numCache>
                <c:formatCode>_-* #,##0.0_-;\-* #,##0.0_-;_-* "-"_-;_-@_-</c:formatCode>
                <c:ptCount val="11"/>
                <c:pt idx="0">
                  <c:v>2.3025850929940455</c:v>
                </c:pt>
                <c:pt idx="1">
                  <c:v>1.6094379124341003</c:v>
                </c:pt>
                <c:pt idx="2">
                  <c:v>1.2039728043259359</c:v>
                </c:pt>
                <c:pt idx="3">
                  <c:v>0.916290731874155</c:v>
                </c:pt>
                <c:pt idx="4">
                  <c:v>0.69314718055994529</c:v>
                </c:pt>
                <c:pt idx="5">
                  <c:v>0.51082562376599072</c:v>
                </c:pt>
                <c:pt idx="6">
                  <c:v>0.35667494393873245</c:v>
                </c:pt>
                <c:pt idx="7">
                  <c:v>0.22314355131420985</c:v>
                </c:pt>
                <c:pt idx="8">
                  <c:v>0.10536051565782641</c:v>
                </c:pt>
                <c:pt idx="9">
                  <c:v>1.1102230246251565E-16</c:v>
                </c:pt>
              </c:numCache>
            </c:numRef>
          </c:val>
          <c:extLst>
            <c:ext xmlns:c16="http://schemas.microsoft.com/office/drawing/2014/chart" uri="{C3380CC4-5D6E-409C-BE32-E72D297353CC}">
              <c16:uniqueId val="{00000000-7482-46BC-90D0-C1FF4FC33B73}"/>
            </c:ext>
          </c:extLst>
        </c:ser>
        <c:dLbls>
          <c:showLegendKey val="0"/>
          <c:showVal val="0"/>
          <c:showCatName val="0"/>
          <c:showSerName val="0"/>
          <c:showPercent val="0"/>
          <c:showBubbleSize val="0"/>
        </c:dLbls>
        <c:gapWidth val="219"/>
        <c:overlap val="-27"/>
        <c:axId val="599118304"/>
        <c:axId val="597475808"/>
      </c:barChart>
      <c:catAx>
        <c:axId val="5991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7475808"/>
        <c:crosses val="autoZero"/>
        <c:auto val="1"/>
        <c:lblAlgn val="ctr"/>
        <c:lblOffset val="100"/>
        <c:noMultiLvlLbl val="0"/>
      </c:catAx>
      <c:valAx>
        <c:axId val="5974758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1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Weight (kg) vs. Height (cm)</a:t>
            </a:r>
          </a:p>
        </c:rich>
      </c:tx>
      <c:overlay val="0"/>
    </c:title>
    <c:autoTitleDeleted val="0"/>
    <c:plotArea>
      <c:layout/>
      <c:scatterChart>
        <c:scatterStyle val="lineMarker"/>
        <c:varyColors val="0"/>
        <c:ser>
          <c:idx val="0"/>
          <c:order val="0"/>
          <c:tx>
            <c:strRef>
              <c:f>'linear regression'!$B$3</c:f>
              <c:strCache>
                <c:ptCount val="1"/>
                <c:pt idx="0">
                  <c:v>Weight (kg)</c:v>
                </c:pt>
              </c:strCache>
            </c:strRef>
          </c:tx>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0"/>
            <c:dispEq val="1"/>
            <c:trendlineLbl>
              <c:numFmt formatCode="General" sourceLinked="0"/>
            </c:trendlineLbl>
          </c:trendline>
          <c:xVal>
            <c:numRef>
              <c:f>'linear regression'!$A$4:$A$19</c:f>
              <c:numCache>
                <c:formatCode>General</c:formatCode>
                <c:ptCount val="16"/>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numCache>
            </c:numRef>
          </c:xVal>
          <c:yVal>
            <c:numRef>
              <c:f>'linear regression'!$B$4:$B$19</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1"/>
          <c:extLst>
            <c:ext xmlns:c16="http://schemas.microsoft.com/office/drawing/2014/chart" uri="{C3380CC4-5D6E-409C-BE32-E72D297353CC}">
              <c16:uniqueId val="{00000001-1559-41D8-ABA4-BFABAE452104}"/>
            </c:ext>
          </c:extLst>
        </c:ser>
        <c:dLbls>
          <c:showLegendKey val="0"/>
          <c:showVal val="0"/>
          <c:showCatName val="0"/>
          <c:showSerName val="0"/>
          <c:showPercent val="0"/>
          <c:showBubbleSize val="0"/>
        </c:dLbls>
        <c:axId val="1891863070"/>
        <c:axId val="2015278475"/>
      </c:scatterChart>
      <c:valAx>
        <c:axId val="18918630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Height (cm)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015278475"/>
        <c:crosses val="autoZero"/>
        <c:crossBetween val="midCat"/>
      </c:valAx>
      <c:valAx>
        <c:axId val="2015278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Weight (kg)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89186307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'simple linear regression'!$C$3</c:f>
              <c:strCache>
                <c:ptCount val="1"/>
                <c:pt idx="0">
                  <c:v>y</c:v>
                </c:pt>
              </c:strCache>
            </c:strRef>
          </c:tx>
          <c:spPr>
            <a:ln>
              <a:noFill/>
            </a:ln>
          </c:spPr>
          <c:marker>
            <c:symbol val="circle"/>
            <c:size val="7"/>
            <c:spPr>
              <a:solidFill>
                <a:schemeClr val="accent1"/>
              </a:solidFill>
              <a:ln cmpd="sng">
                <a:solidFill>
                  <a:schemeClr val="accent1"/>
                </a:solidFill>
              </a:ln>
            </c:spPr>
          </c:marker>
          <c:trendline>
            <c:spPr>
              <a:ln w="19050">
                <a:solidFill>
                  <a:srgbClr val="FF0000">
                    <a:alpha val="40000"/>
                  </a:srgbClr>
                </a:solidFill>
              </a:ln>
            </c:spPr>
            <c:trendlineType val="linear"/>
            <c:dispRSqr val="0"/>
            <c:dispEq val="1"/>
            <c:trendlineLbl>
              <c:numFmt formatCode="General" sourceLinked="0"/>
            </c:trendlineLbl>
          </c:trendline>
          <c:xVal>
            <c:numRef>
              <c:f>'simple linear regression'!$B$4:$B$9</c:f>
              <c:numCache>
                <c:formatCode>General</c:formatCode>
                <c:ptCount val="6"/>
                <c:pt idx="0">
                  <c:v>1</c:v>
                </c:pt>
                <c:pt idx="1">
                  <c:v>2</c:v>
                </c:pt>
                <c:pt idx="2">
                  <c:v>4</c:v>
                </c:pt>
                <c:pt idx="3">
                  <c:v>3</c:v>
                </c:pt>
                <c:pt idx="4">
                  <c:v>5</c:v>
                </c:pt>
                <c:pt idx="5">
                  <c:v>3</c:v>
                </c:pt>
              </c:numCache>
            </c:numRef>
          </c:xVal>
          <c:yVal>
            <c:numRef>
              <c:f>'simple linear regression'!$C$4:$C$9</c:f>
              <c:numCache>
                <c:formatCode>General</c:formatCode>
                <c:ptCount val="6"/>
                <c:pt idx="0">
                  <c:v>1</c:v>
                </c:pt>
                <c:pt idx="1">
                  <c:v>3</c:v>
                </c:pt>
                <c:pt idx="2">
                  <c:v>3</c:v>
                </c:pt>
                <c:pt idx="3">
                  <c:v>2</c:v>
                </c:pt>
                <c:pt idx="4">
                  <c:v>5</c:v>
                </c:pt>
                <c:pt idx="5">
                  <c:v>2.8</c:v>
                </c:pt>
              </c:numCache>
            </c:numRef>
          </c:yVal>
          <c:smooth val="1"/>
          <c:extLst>
            <c:ext xmlns:c16="http://schemas.microsoft.com/office/drawing/2014/chart" uri="{C3380CC4-5D6E-409C-BE32-E72D297353CC}">
              <c16:uniqueId val="{00000001-2AEB-4AF7-AA10-FBFB1CBBD3C4}"/>
            </c:ext>
          </c:extLst>
        </c:ser>
        <c:dLbls>
          <c:showLegendKey val="0"/>
          <c:showVal val="0"/>
          <c:showCatName val="0"/>
          <c:showSerName val="0"/>
          <c:showPercent val="0"/>
          <c:showBubbleSize val="0"/>
        </c:dLbls>
        <c:axId val="1617402601"/>
        <c:axId val="1039985152"/>
      </c:scatterChart>
      <c:valAx>
        <c:axId val="16174026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039985152"/>
        <c:crosses val="autoZero"/>
        <c:crossBetween val="midCat"/>
      </c:valAx>
      <c:valAx>
        <c:axId val="1039985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61740260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bias_variance!$C$1</c:f>
              <c:strCache>
                <c:ptCount val="1"/>
                <c:pt idx="0">
                  <c:v>Y</c:v>
                </c:pt>
              </c:strCache>
            </c:strRef>
          </c:tx>
          <c:spPr>
            <a:ln>
              <a:noFill/>
            </a:ln>
          </c:spPr>
          <c:marker>
            <c:symbol val="circle"/>
            <c:size val="7"/>
            <c:spPr>
              <a:solidFill>
                <a:schemeClr val="accent1"/>
              </a:solidFill>
              <a:ln cmpd="sng">
                <a:solidFill>
                  <a:schemeClr val="accent1"/>
                </a:solidFill>
              </a:ln>
            </c:spPr>
          </c:marker>
          <c:xVal>
            <c:strRef>
              <c:f>bias_variance!$B$2:$B$19</c:f>
              <c:strCache>
                <c:ptCount val="18"/>
                <c:pt idx="0">
                  <c:v>0.00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7">
                  <c:v>에서 linear regression구글링</c:v>
                </c:pt>
              </c:strCache>
            </c:strRef>
          </c:xVal>
          <c:yVal>
            <c:numRef>
              <c:f>bias_variance!$C$2:$C$19</c:f>
              <c:numCache>
                <c:formatCode>0.00</c:formatCode>
                <c:ptCount val="18"/>
                <c:pt idx="0">
                  <c:v>83.030578700721293</c:v>
                </c:pt>
                <c:pt idx="1">
                  <c:v>69.42594255831311</c:v>
                </c:pt>
                <c:pt idx="2">
                  <c:v>80.232288575505066</c:v>
                </c:pt>
                <c:pt idx="3">
                  <c:v>79.969956890093343</c:v>
                </c:pt>
                <c:pt idx="4">
                  <c:v>84.450293208329043</c:v>
                </c:pt>
                <c:pt idx="5">
                  <c:v>13.355143249860927</c:v>
                </c:pt>
                <c:pt idx="6">
                  <c:v>90.723525171836528</c:v>
                </c:pt>
                <c:pt idx="7">
                  <c:v>81.778932804873051</c:v>
                </c:pt>
                <c:pt idx="8">
                  <c:v>64.5691642983344</c:v>
                </c:pt>
                <c:pt idx="9">
                  <c:v>68.398702191734415</c:v>
                </c:pt>
                <c:pt idx="10">
                  <c:v>86.546837236144441</c:v>
                </c:pt>
                <c:pt idx="11">
                  <c:v>3.1960182781006505</c:v>
                </c:pt>
                <c:pt idx="12">
                  <c:v>33.278994214006396</c:v>
                </c:pt>
                <c:pt idx="13">
                  <c:v>57.05743758548617</c:v>
                </c:pt>
                <c:pt idx="14">
                  <c:v>38.715675210772417</c:v>
                </c:pt>
                <c:pt idx="15">
                  <c:v>84.247980561997736</c:v>
                </c:pt>
              </c:numCache>
            </c:numRef>
          </c:yVal>
          <c:smooth val="1"/>
          <c:extLst>
            <c:ext xmlns:c16="http://schemas.microsoft.com/office/drawing/2014/chart" uri="{C3380CC4-5D6E-409C-BE32-E72D297353CC}">
              <c16:uniqueId val="{00000000-1A57-4E5E-8B6F-0C5430DABC2B}"/>
            </c:ext>
          </c:extLst>
        </c:ser>
        <c:dLbls>
          <c:showLegendKey val="0"/>
          <c:showVal val="0"/>
          <c:showCatName val="0"/>
          <c:showSerName val="0"/>
          <c:showPercent val="0"/>
          <c:showBubbleSize val="0"/>
        </c:dLbls>
        <c:axId val="1433146727"/>
        <c:axId val="1205222407"/>
      </c:scatterChart>
      <c:valAx>
        <c:axId val="14331467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05222407"/>
        <c:crosses val="autoZero"/>
        <c:crossBetween val="midCat"/>
      </c:valAx>
      <c:valAx>
        <c:axId val="1205222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433146727"/>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                  Logistic vs. Input</a:t>
            </a:r>
          </a:p>
        </c:rich>
      </c:tx>
      <c:overlay val="0"/>
    </c:title>
    <c:autoTitleDeleted val="0"/>
    <c:plotArea>
      <c:layout/>
      <c:lineChart>
        <c:grouping val="standard"/>
        <c:varyColors val="0"/>
        <c:ser>
          <c:idx val="0"/>
          <c:order val="0"/>
          <c:tx>
            <c:strRef>
              <c:f>'logistic function'!$C$3</c:f>
              <c:strCache>
                <c:ptCount val="1"/>
                <c:pt idx="0">
                  <c:v>Logistic</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function'!$C$4:$C$14</c:f>
              <c:numCache>
                <c:formatCode>0.0000000</c:formatCode>
                <c:ptCount val="11"/>
                <c:pt idx="0">
                  <c:v>6.6928509242848554E-3</c:v>
                </c:pt>
                <c:pt idx="1">
                  <c:v>1.7986209962091559E-2</c:v>
                </c:pt>
                <c:pt idx="2">
                  <c:v>4.7425873177566781E-2</c:v>
                </c:pt>
                <c:pt idx="3">
                  <c:v>0.11920292202211755</c:v>
                </c:pt>
                <c:pt idx="4">
                  <c:v>0.2689414213699951</c:v>
                </c:pt>
                <c:pt idx="5">
                  <c:v>0.5</c:v>
                </c:pt>
                <c:pt idx="6">
                  <c:v>0.7310585786300049</c:v>
                </c:pt>
                <c:pt idx="7">
                  <c:v>0.88079707797788231</c:v>
                </c:pt>
                <c:pt idx="8">
                  <c:v>0.95257412682243336</c:v>
                </c:pt>
                <c:pt idx="9">
                  <c:v>0.98201379003790845</c:v>
                </c:pt>
                <c:pt idx="10">
                  <c:v>0.99330714907571527</c:v>
                </c:pt>
              </c:numCache>
            </c:numRef>
          </c:val>
          <c:smooth val="0"/>
          <c:extLst>
            <c:ext xmlns:c16="http://schemas.microsoft.com/office/drawing/2014/chart" uri="{C3380CC4-5D6E-409C-BE32-E72D297353CC}">
              <c16:uniqueId val="{00000000-63D4-4290-BCBB-ACECD188A87C}"/>
            </c:ext>
          </c:extLst>
        </c:ser>
        <c:dLbls>
          <c:showLegendKey val="0"/>
          <c:showVal val="0"/>
          <c:showCatName val="0"/>
          <c:showSerName val="0"/>
          <c:showPercent val="0"/>
          <c:showBubbleSize val="0"/>
        </c:dLbls>
        <c:smooth val="0"/>
        <c:axId val="138815279"/>
        <c:axId val="313704264"/>
      </c:lineChart>
      <c:catAx>
        <c:axId val="1388152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3704264"/>
        <c:crosses val="autoZero"/>
        <c:auto val="1"/>
        <c:lblAlgn val="ctr"/>
        <c:lblOffset val="100"/>
        <c:noMultiLvlLbl val="1"/>
      </c:catAx>
      <c:valAx>
        <c:axId val="313704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Logistic</a:t>
                </a:r>
              </a:p>
            </c:rich>
          </c:tx>
          <c:overlay val="0"/>
        </c:title>
        <c:numFmt formatCode="0.00E+0" sourceLinked="0"/>
        <c:majorTickMark val="none"/>
        <c:minorTickMark val="none"/>
        <c:tickLblPos val="nextTo"/>
        <c:spPr>
          <a:ln/>
        </c:spPr>
        <c:txPr>
          <a:bodyPr/>
          <a:lstStyle/>
          <a:p>
            <a:pPr lvl="0">
              <a:defRPr b="0">
                <a:solidFill>
                  <a:srgbClr val="000000"/>
                </a:solidFill>
                <a:latin typeface="+mn-lt"/>
              </a:defRPr>
            </a:pPr>
            <a:endParaRPr lang="ko-KR"/>
          </a:p>
        </c:txPr>
        <c:crossAx val="138815279"/>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Derivative vs. Input</a:t>
            </a:r>
          </a:p>
        </c:rich>
      </c:tx>
      <c:overlay val="0"/>
    </c:title>
    <c:autoTitleDeleted val="0"/>
    <c:plotArea>
      <c:layout/>
      <c:lineChart>
        <c:grouping val="standard"/>
        <c:varyColors val="0"/>
        <c:ser>
          <c:idx val="0"/>
          <c:order val="0"/>
          <c:tx>
            <c:strRef>
              <c:f>'logistic function'!$D$3</c:f>
              <c:strCache>
                <c:ptCount val="1"/>
                <c:pt idx="0">
                  <c:v>Derivative</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function'!$D$4:$D$14</c:f>
              <c:numCache>
                <c:formatCode>0.0000000</c:formatCode>
                <c:ptCount val="11"/>
                <c:pt idx="0">
                  <c:v>6.6480566707901546E-3</c:v>
                </c:pt>
                <c:pt idx="1">
                  <c:v>1.7662706213291118E-2</c:v>
                </c:pt>
                <c:pt idx="2">
                  <c:v>4.517665973091213E-2</c:v>
                </c:pt>
                <c:pt idx="3">
                  <c:v>0.10499358540350652</c:v>
                </c:pt>
                <c:pt idx="4">
                  <c:v>0.19661193324148185</c:v>
                </c:pt>
                <c:pt idx="5">
                  <c:v>0.25</c:v>
                </c:pt>
                <c:pt idx="6">
                  <c:v>0.19661193324148188</c:v>
                </c:pt>
                <c:pt idx="7">
                  <c:v>0.10499358540350651</c:v>
                </c:pt>
                <c:pt idx="8">
                  <c:v>4.5176659730912144E-2</c:v>
                </c:pt>
                <c:pt idx="9">
                  <c:v>1.7662706213291114E-2</c:v>
                </c:pt>
                <c:pt idx="10">
                  <c:v>6.6480566707901563E-3</c:v>
                </c:pt>
              </c:numCache>
            </c:numRef>
          </c:val>
          <c:smooth val="0"/>
          <c:extLst>
            <c:ext xmlns:c16="http://schemas.microsoft.com/office/drawing/2014/chart" uri="{C3380CC4-5D6E-409C-BE32-E72D297353CC}">
              <c16:uniqueId val="{00000000-58F1-4207-82C3-20051968EF85}"/>
            </c:ext>
          </c:extLst>
        </c:ser>
        <c:dLbls>
          <c:showLegendKey val="0"/>
          <c:showVal val="0"/>
          <c:showCatName val="0"/>
          <c:showSerName val="0"/>
          <c:showPercent val="0"/>
          <c:showBubbleSize val="0"/>
        </c:dLbls>
        <c:smooth val="0"/>
        <c:axId val="1885742272"/>
        <c:axId val="570590992"/>
      </c:lineChart>
      <c:catAx>
        <c:axId val="18857422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570590992"/>
        <c:crosses val="autoZero"/>
        <c:auto val="1"/>
        <c:lblAlgn val="ctr"/>
        <c:lblOffset val="100"/>
        <c:noMultiLvlLbl val="1"/>
      </c:catAx>
      <c:valAx>
        <c:axId val="570590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Derivative</a:t>
                </a:r>
              </a:p>
            </c:rich>
          </c:tx>
          <c:overlay val="0"/>
        </c:title>
        <c:numFmt formatCode="0.0000000" sourceLinked="1"/>
        <c:majorTickMark val="none"/>
        <c:minorTickMark val="none"/>
        <c:tickLblPos val="nextTo"/>
        <c:spPr>
          <a:ln/>
        </c:spPr>
        <c:txPr>
          <a:bodyPr/>
          <a:lstStyle/>
          <a:p>
            <a:pPr lvl="0">
              <a:defRPr b="0">
                <a:solidFill>
                  <a:srgbClr val="000000"/>
                </a:solidFill>
                <a:latin typeface="+mn-lt"/>
              </a:defRPr>
            </a:pPr>
            <a:endParaRPr lang="ko-KR"/>
          </a:p>
        </c:txPr>
        <c:crossAx val="1885742272"/>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autoTitleDeleted val="1"/>
    <c:plotArea>
      <c:layout/>
      <c:scatterChart>
        <c:scatterStyle val="lineMarker"/>
        <c:varyColors val="0"/>
        <c:ser>
          <c:idx val="0"/>
          <c:order val="0"/>
          <c:tx>
            <c:strRef>
              <c:f>KNN_classification!$B$3</c:f>
              <c:strCache>
                <c:ptCount val="1"/>
                <c:pt idx="0">
                  <c:v>X2</c:v>
                </c:pt>
              </c:strCache>
            </c:strRef>
          </c:tx>
          <c:spPr>
            <a:ln>
              <a:noFill/>
            </a:ln>
          </c:spPr>
          <c:marker>
            <c:symbol val="circle"/>
            <c:size val="7"/>
            <c:spPr>
              <a:solidFill>
                <a:schemeClr val="accent1"/>
              </a:solidFill>
              <a:ln cmpd="sng">
                <a:solidFill>
                  <a:schemeClr val="accent1"/>
                </a:solidFill>
              </a:ln>
            </c:spPr>
          </c:marker>
          <c:xVal>
            <c:numRef>
              <c:f>KNN_classification!$A$4:$A$13</c:f>
              <c:numCache>
                <c:formatCode>0.000</c:formatCode>
                <c:ptCount val="10"/>
                <c:pt idx="0">
                  <c:v>3.3935332100000002</c:v>
                </c:pt>
                <c:pt idx="1">
                  <c:v>3.1100734800000001</c:v>
                </c:pt>
                <c:pt idx="2">
                  <c:v>1.34380883</c:v>
                </c:pt>
                <c:pt idx="3">
                  <c:v>3.5822940399999998</c:v>
                </c:pt>
                <c:pt idx="4">
                  <c:v>2.2803624400000002</c:v>
                </c:pt>
                <c:pt idx="5">
                  <c:v>7.4234369400000002</c:v>
                </c:pt>
                <c:pt idx="6">
                  <c:v>5.7450520000000003</c:v>
                </c:pt>
                <c:pt idx="7">
                  <c:v>9.1721686200000008</c:v>
                </c:pt>
                <c:pt idx="8">
                  <c:v>7.7927834799999998</c:v>
                </c:pt>
                <c:pt idx="9">
                  <c:v>7.9398208199999996</c:v>
                </c:pt>
              </c:numCache>
            </c:numRef>
          </c:xVal>
          <c:yVal>
            <c:numRef>
              <c:f>KNN_classification!$B$4:$B$13</c:f>
              <c:numCache>
                <c:formatCode>0.000</c:formatCode>
                <c:ptCount val="10"/>
                <c:pt idx="0">
                  <c:v>2.3312733799999998</c:v>
                </c:pt>
                <c:pt idx="1">
                  <c:v>1.7815396400000001</c:v>
                </c:pt>
                <c:pt idx="2">
                  <c:v>3.36836095</c:v>
                </c:pt>
                <c:pt idx="3">
                  <c:v>4.6791791099999998</c:v>
                </c:pt>
                <c:pt idx="4">
                  <c:v>2.8669902600000001</c:v>
                </c:pt>
                <c:pt idx="5">
                  <c:v>4.6965228799999998</c:v>
                </c:pt>
                <c:pt idx="6">
                  <c:v>3.5339898000000001</c:v>
                </c:pt>
                <c:pt idx="7">
                  <c:v>2.5111010500000002</c:v>
                </c:pt>
                <c:pt idx="8">
                  <c:v>3.4240889399999999</c:v>
                </c:pt>
                <c:pt idx="9">
                  <c:v>0.79163722999999997</c:v>
                </c:pt>
              </c:numCache>
            </c:numRef>
          </c:yVal>
          <c:smooth val="1"/>
          <c:extLst>
            <c:ext xmlns:c16="http://schemas.microsoft.com/office/drawing/2014/chart" uri="{C3380CC4-5D6E-409C-BE32-E72D297353CC}">
              <c16:uniqueId val="{00000000-724A-47E7-B8C5-36295D53AA7B}"/>
            </c:ext>
          </c:extLst>
        </c:ser>
        <c:dLbls>
          <c:showLegendKey val="0"/>
          <c:showVal val="0"/>
          <c:showCatName val="0"/>
          <c:showSerName val="0"/>
          <c:showPercent val="0"/>
          <c:showBubbleSize val="0"/>
        </c:dLbls>
        <c:axId val="90286160"/>
        <c:axId val="1541189619"/>
      </c:scatterChart>
      <c:valAx>
        <c:axId val="90286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1541189619"/>
        <c:crosses val="autoZero"/>
        <c:crossBetween val="midCat"/>
      </c:valAx>
      <c:valAx>
        <c:axId val="1541189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9028616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gini = 2*p*(1-p) vs. Node</a:t>
            </a:r>
          </a:p>
        </c:rich>
      </c:tx>
      <c:overlay val="0"/>
    </c:title>
    <c:autoTitleDeleted val="0"/>
    <c:plotArea>
      <c:layout/>
      <c:barChart>
        <c:barDir val="col"/>
        <c:grouping val="clustered"/>
        <c:varyColors val="1"/>
        <c:ser>
          <c:idx val="0"/>
          <c:order val="0"/>
          <c:tx>
            <c:strRef>
              <c:f>gini!$A$8</c:f>
              <c:strCache>
                <c:ptCount val="1"/>
                <c:pt idx="0">
                  <c:v>gini = 2*p*(1-p)</c:v>
                </c:pt>
              </c:strCache>
            </c:strRef>
          </c:tx>
          <c:spPr>
            <a:solidFill>
              <a:srgbClr val="4285F4"/>
            </a:solidFill>
            <a:ln cmpd="sng">
              <a:solidFill>
                <a:srgbClr val="000000"/>
              </a:solidFill>
            </a:ln>
          </c:spPr>
          <c:invertIfNegative val="1"/>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96-4E2E-A883-5389FB7A63B6}"/>
            </c:ext>
          </c:extLst>
        </c:ser>
        <c:dLbls>
          <c:showLegendKey val="0"/>
          <c:showVal val="0"/>
          <c:showCatName val="0"/>
          <c:showSerName val="0"/>
          <c:showPercent val="0"/>
          <c:showBubbleSize val="0"/>
        </c:dLbls>
        <c:gapWidth val="150"/>
        <c:axId val="33371350"/>
        <c:axId val="1466398482"/>
      </c:barChart>
      <c:catAx>
        <c:axId val="333713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466398482"/>
        <c:crosses val="autoZero"/>
        <c:auto val="1"/>
        <c:lblAlgn val="ctr"/>
        <c:lblOffset val="100"/>
        <c:noMultiLvlLbl val="1"/>
      </c:catAx>
      <c:valAx>
        <c:axId val="146639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gini = 2*p*(1-p)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3371350"/>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p*(1-p), gini = 2*p*(1-p), entropy and miss clarification</a:t>
            </a:r>
          </a:p>
        </c:rich>
      </c:tx>
      <c:overlay val="0"/>
    </c:title>
    <c:autoTitleDeleted val="0"/>
    <c:plotArea>
      <c:layout/>
      <c:lineChart>
        <c:grouping val="standard"/>
        <c:varyColors val="1"/>
        <c:ser>
          <c:idx val="0"/>
          <c:order val="0"/>
          <c:tx>
            <c:strRef>
              <c:f>gini!$A$7</c:f>
              <c:strCache>
                <c:ptCount val="1"/>
                <c:pt idx="0">
                  <c:v>p*(1-p)</c:v>
                </c:pt>
              </c:strCache>
            </c:strRef>
          </c:tx>
          <c:spPr>
            <a:ln cmpd="sng">
              <a:solidFill>
                <a:srgbClr val="4285F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gini!$B$7:$L$7</c:f>
              <c:numCache>
                <c:formatCode>General</c:formatCode>
                <c:ptCount val="11"/>
                <c:pt idx="0">
                  <c:v>0</c:v>
                </c:pt>
                <c:pt idx="1">
                  <c:v>8.9999999999999983E-2</c:v>
                </c:pt>
                <c:pt idx="2">
                  <c:v>0.15999999999999998</c:v>
                </c:pt>
                <c:pt idx="3">
                  <c:v>0.21000000000000002</c:v>
                </c:pt>
                <c:pt idx="4">
                  <c:v>0.24</c:v>
                </c:pt>
                <c:pt idx="5">
                  <c:v>0.25</c:v>
                </c:pt>
                <c:pt idx="6">
                  <c:v>0.24</c:v>
                </c:pt>
                <c:pt idx="7">
                  <c:v>0.21</c:v>
                </c:pt>
                <c:pt idx="8">
                  <c:v>0.16000000000000003</c:v>
                </c:pt>
                <c:pt idx="9">
                  <c:v>9.0000000000000011E-2</c:v>
                </c:pt>
                <c:pt idx="10">
                  <c:v>0</c:v>
                </c:pt>
              </c:numCache>
            </c:numRef>
          </c:val>
          <c:smooth val="0"/>
          <c:extLst>
            <c:ext xmlns:c16="http://schemas.microsoft.com/office/drawing/2014/chart" uri="{C3380CC4-5D6E-409C-BE32-E72D297353CC}">
              <c16:uniqueId val="{00000000-5F8C-427E-ACE1-11055D0DC4CC}"/>
            </c:ext>
          </c:extLst>
        </c:ser>
        <c:ser>
          <c:idx val="1"/>
          <c:order val="1"/>
          <c:tx>
            <c:strRef>
              <c:f>gini!$A$8</c:f>
              <c:strCache>
                <c:ptCount val="1"/>
                <c:pt idx="0">
                  <c:v>gini = 2*p*(1-p)</c:v>
                </c:pt>
              </c:strCache>
            </c:strRef>
          </c:tx>
          <c:spPr>
            <a:ln cmpd="sng">
              <a:solidFill>
                <a:srgbClr val="EA4335"/>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smooth val="0"/>
          <c:extLst>
            <c:ext xmlns:c16="http://schemas.microsoft.com/office/drawing/2014/chart" uri="{C3380CC4-5D6E-409C-BE32-E72D297353CC}">
              <c16:uniqueId val="{00000001-5F8C-427E-ACE1-11055D0DC4CC}"/>
            </c:ext>
          </c:extLst>
        </c:ser>
        <c:ser>
          <c:idx val="2"/>
          <c:order val="2"/>
          <c:tx>
            <c:strRef>
              <c:f>gini!$A$9</c:f>
              <c:strCache>
                <c:ptCount val="1"/>
                <c:pt idx="0">
                  <c:v>entropy</c:v>
                </c:pt>
              </c:strCache>
            </c:strRef>
          </c:tx>
          <c:spPr>
            <a:ln cmpd="sng">
              <a:solidFill>
                <a:srgbClr val="FBBC0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gini!$B$9:$L$9</c:f>
              <c:numCache>
                <c:formatCode>0.00</c:formatCode>
                <c:ptCount val="11"/>
                <c:pt idx="0">
                  <c:v>0</c:v>
                </c:pt>
                <c:pt idx="1">
                  <c:v>0.46899559358928117</c:v>
                </c:pt>
                <c:pt idx="2">
                  <c:v>0.72192809488736231</c:v>
                </c:pt>
                <c:pt idx="3">
                  <c:v>0.8812908992306927</c:v>
                </c:pt>
                <c:pt idx="4">
                  <c:v>0.97095059445466858</c:v>
                </c:pt>
                <c:pt idx="5">
                  <c:v>1</c:v>
                </c:pt>
                <c:pt idx="6">
                  <c:v>0.97095059445466858</c:v>
                </c:pt>
                <c:pt idx="7">
                  <c:v>0.8812908992306927</c:v>
                </c:pt>
                <c:pt idx="8">
                  <c:v>0.72192809488736231</c:v>
                </c:pt>
                <c:pt idx="9">
                  <c:v>0.46899559358928122</c:v>
                </c:pt>
                <c:pt idx="10">
                  <c:v>0</c:v>
                </c:pt>
              </c:numCache>
            </c:numRef>
          </c:val>
          <c:smooth val="0"/>
          <c:extLst>
            <c:ext xmlns:c16="http://schemas.microsoft.com/office/drawing/2014/chart" uri="{C3380CC4-5D6E-409C-BE32-E72D297353CC}">
              <c16:uniqueId val="{00000002-5F8C-427E-ACE1-11055D0DC4CC}"/>
            </c:ext>
          </c:extLst>
        </c:ser>
        <c:ser>
          <c:idx val="3"/>
          <c:order val="3"/>
          <c:tx>
            <c:strRef>
              <c:f>gini!$A$10</c:f>
              <c:strCache>
                <c:ptCount val="1"/>
                <c:pt idx="0">
                  <c:v>miss clarification</c:v>
                </c:pt>
              </c:strCache>
            </c:strRef>
          </c:tx>
          <c:spPr>
            <a:ln cmpd="sng">
              <a:solidFill>
                <a:srgbClr val="34A853"/>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gini!$B$10:$L$10</c:f>
              <c:numCache>
                <c:formatCode>General</c:formatCode>
                <c:ptCount val="11"/>
                <c:pt idx="0">
                  <c:v>0</c:v>
                </c:pt>
                <c:pt idx="1">
                  <c:v>9.9999999999999978E-2</c:v>
                </c:pt>
                <c:pt idx="2">
                  <c:v>0.19999999999999996</c:v>
                </c:pt>
                <c:pt idx="3">
                  <c:v>0.30000000000000004</c:v>
                </c:pt>
                <c:pt idx="4">
                  <c:v>0.4</c:v>
                </c:pt>
                <c:pt idx="5">
                  <c:v>0.5</c:v>
                </c:pt>
                <c:pt idx="6">
                  <c:v>0.4</c:v>
                </c:pt>
                <c:pt idx="7">
                  <c:v>0.30000000000000004</c:v>
                </c:pt>
                <c:pt idx="8">
                  <c:v>0.19999999999999996</c:v>
                </c:pt>
                <c:pt idx="9">
                  <c:v>9.9999999999999978E-2</c:v>
                </c:pt>
                <c:pt idx="10">
                  <c:v>0</c:v>
                </c:pt>
              </c:numCache>
            </c:numRef>
          </c:val>
          <c:smooth val="0"/>
          <c:extLst>
            <c:ext xmlns:c16="http://schemas.microsoft.com/office/drawing/2014/chart" uri="{C3380CC4-5D6E-409C-BE32-E72D297353CC}">
              <c16:uniqueId val="{00000003-5F8C-427E-ACE1-11055D0DC4CC}"/>
            </c:ext>
          </c:extLst>
        </c:ser>
        <c:dLbls>
          <c:showLegendKey val="0"/>
          <c:showVal val="0"/>
          <c:showCatName val="0"/>
          <c:showSerName val="0"/>
          <c:showPercent val="0"/>
          <c:showBubbleSize val="0"/>
        </c:dLbls>
        <c:smooth val="0"/>
        <c:axId val="214824643"/>
        <c:axId val="725157135"/>
      </c:lineChart>
      <c:catAx>
        <c:axId val="2148246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725157135"/>
        <c:crosses val="autoZero"/>
        <c:auto val="1"/>
        <c:lblAlgn val="ctr"/>
        <c:lblOffset val="100"/>
        <c:noMultiLvlLbl val="1"/>
      </c:catAx>
      <c:valAx>
        <c:axId val="725157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14824643"/>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image" Target="../media/image9.pn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41910</xdr:rowOff>
    </xdr:from>
    <xdr:to>
      <xdr:col>11</xdr:col>
      <xdr:colOff>800100</xdr:colOff>
      <xdr:row>20</xdr:row>
      <xdr:rowOff>22860</xdr:rowOff>
    </xdr:to>
    <xdr:graphicFrame macro="">
      <xdr:nvGraphicFramePr>
        <xdr:cNvPr id="3" name="차트 2">
          <a:extLst>
            <a:ext uri="{FF2B5EF4-FFF2-40B4-BE49-F238E27FC236}">
              <a16:creationId xmlns:a16="http://schemas.microsoft.com/office/drawing/2014/main" id="{0961D92C-BAFB-516B-0675-45A7D73BE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9</xdr:col>
      <xdr:colOff>200025</xdr:colOff>
      <xdr:row>5</xdr:row>
      <xdr:rowOff>123825</xdr:rowOff>
    </xdr:from>
    <xdr:ext cx="4171950" cy="2609850"/>
    <xdr:pic>
      <xdr:nvPicPr>
        <xdr:cNvPr id="2" name="image14.png" title="Image">
          <a:extLst>
            <a:ext uri="{FF2B5EF4-FFF2-40B4-BE49-F238E27FC236}">
              <a16:creationId xmlns:a16="http://schemas.microsoft.com/office/drawing/2014/main" id="{6C0DF802-4353-484E-81B8-1D320E0A1BDA}"/>
            </a:ext>
          </a:extLst>
        </xdr:cNvPr>
        <xdr:cNvPicPr preferRelativeResize="0"/>
      </xdr:nvPicPr>
      <xdr:blipFill>
        <a:blip xmlns:r="http://schemas.openxmlformats.org/officeDocument/2006/relationships" r:embed="rId1" cstate="print"/>
        <a:stretch>
          <a:fillRect/>
        </a:stretch>
      </xdr:blipFill>
      <xdr:spPr>
        <a:xfrm>
          <a:off x="7157085" y="1114425"/>
          <a:ext cx="4171950" cy="2609850"/>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13</xdr:col>
      <xdr:colOff>554354</xdr:colOff>
      <xdr:row>3</xdr:row>
      <xdr:rowOff>99060</xdr:rowOff>
    </xdr:from>
    <xdr:ext cx="5137785" cy="4587240"/>
    <xdr:graphicFrame macro="">
      <xdr:nvGraphicFramePr>
        <xdr:cNvPr id="2" name="Chart 10" title="Chart">
          <a:extLst>
            <a:ext uri="{FF2B5EF4-FFF2-40B4-BE49-F238E27FC236}">
              <a16:creationId xmlns:a16="http://schemas.microsoft.com/office/drawing/2014/main" id="{52E759D3-7402-47E1-AB47-8A4D23947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2</xdr:col>
      <xdr:colOff>175259</xdr:colOff>
      <xdr:row>16</xdr:row>
      <xdr:rowOff>112395</xdr:rowOff>
    </xdr:from>
    <xdr:ext cx="4528089" cy="2691765"/>
    <xdr:graphicFrame macro="">
      <xdr:nvGraphicFramePr>
        <xdr:cNvPr id="13" name="Chart 13" title="Chart">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941070</xdr:colOff>
      <xdr:row>16</xdr:row>
      <xdr:rowOff>74295</xdr:rowOff>
    </xdr:from>
    <xdr:ext cx="4469130" cy="2691765"/>
    <xdr:graphicFrame macro="">
      <xdr:nvGraphicFramePr>
        <xdr:cNvPr id="14" name="Chart 14" title="Chart">
          <a:extLst>
            <a:ext uri="{FF2B5EF4-FFF2-40B4-BE49-F238E27FC236}">
              <a16:creationId xmlns:a16="http://schemas.microsoft.com/office/drawing/2014/main" id="{00000000-0008-0000-1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twoCellAnchor editAs="oneCell">
    <xdr:from>
      <xdr:col>1</xdr:col>
      <xdr:colOff>30480</xdr:colOff>
      <xdr:row>15</xdr:row>
      <xdr:rowOff>182880</xdr:rowOff>
    </xdr:from>
    <xdr:to>
      <xdr:col>3</xdr:col>
      <xdr:colOff>1196903</xdr:colOff>
      <xdr:row>19</xdr:row>
      <xdr:rowOff>30683</xdr:rowOff>
    </xdr:to>
    <xdr:pic>
      <xdr:nvPicPr>
        <xdr:cNvPr id="4" name="그림 3">
          <a:extLst>
            <a:ext uri="{FF2B5EF4-FFF2-40B4-BE49-F238E27FC236}">
              <a16:creationId xmlns:a16="http://schemas.microsoft.com/office/drawing/2014/main" id="{ADD32067-2B21-5685-2E3F-3A72CB01A823}"/>
            </a:ext>
          </a:extLst>
        </xdr:cNvPr>
        <xdr:cNvPicPr>
          <a:picLocks noChangeAspect="1"/>
        </xdr:cNvPicPr>
      </xdr:nvPicPr>
      <xdr:blipFill>
        <a:blip xmlns:r="http://schemas.openxmlformats.org/officeDocument/2006/relationships" r:embed="rId1"/>
        <a:stretch>
          <a:fillRect/>
        </a:stretch>
      </xdr:blipFill>
      <xdr:spPr>
        <a:xfrm>
          <a:off x="1295400" y="4709160"/>
          <a:ext cx="6492803" cy="234716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1051560</xdr:colOff>
      <xdr:row>4</xdr:row>
      <xdr:rowOff>19050</xdr:rowOff>
    </xdr:from>
    <xdr:to>
      <xdr:col>11</xdr:col>
      <xdr:colOff>594360</xdr:colOff>
      <xdr:row>16</xdr:row>
      <xdr:rowOff>110490</xdr:rowOff>
    </xdr:to>
    <xdr:graphicFrame macro="">
      <xdr:nvGraphicFramePr>
        <xdr:cNvPr id="2" name="차트 1">
          <a:extLst>
            <a:ext uri="{FF2B5EF4-FFF2-40B4-BE49-F238E27FC236}">
              <a16:creationId xmlns:a16="http://schemas.microsoft.com/office/drawing/2014/main" id="{692B46BD-2F7B-9544-5060-471228436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1143000</xdr:colOff>
      <xdr:row>16</xdr:row>
      <xdr:rowOff>163830</xdr:rowOff>
    </xdr:from>
    <xdr:to>
      <xdr:col>11</xdr:col>
      <xdr:colOff>685800</xdr:colOff>
      <xdr:row>29</xdr:row>
      <xdr:rowOff>34290</xdr:rowOff>
    </xdr:to>
    <xdr:graphicFrame macro="">
      <xdr:nvGraphicFramePr>
        <xdr:cNvPr id="3" name="차트 2">
          <a:extLst>
            <a:ext uri="{FF2B5EF4-FFF2-40B4-BE49-F238E27FC236}">
              <a16:creationId xmlns:a16="http://schemas.microsoft.com/office/drawing/2014/main" id="{C63A4666-AB28-50CC-A3EB-B00375EA3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108585</xdr:colOff>
      <xdr:row>3</xdr:row>
      <xdr:rowOff>36195</xdr:rowOff>
    </xdr:from>
    <xdr:ext cx="5027295" cy="293560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842010</xdr:colOff>
      <xdr:row>18</xdr:row>
      <xdr:rowOff>180975</xdr:rowOff>
    </xdr:from>
    <xdr:ext cx="3219450" cy="542925"/>
    <xdr:pic>
      <xdr:nvPicPr>
        <xdr:cNvPr id="3" name="image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7288530" y="3747135"/>
          <a:ext cx="321945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613410</xdr:colOff>
      <xdr:row>15</xdr:row>
      <xdr:rowOff>28575</xdr:rowOff>
    </xdr:from>
    <xdr:ext cx="5715000" cy="3533775"/>
    <xdr:graphicFrame macro="">
      <xdr:nvGraphicFramePr>
        <xdr:cNvPr id="2" name="Chart 2"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285750</xdr:colOff>
      <xdr:row>17</xdr:row>
      <xdr:rowOff>76200</xdr:rowOff>
    </xdr:from>
    <xdr:ext cx="2009775" cy="457200"/>
    <xdr:pic>
      <xdr:nvPicPr>
        <xdr:cNvPr id="6" name="image3.png" title="Image">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542925</xdr:colOff>
      <xdr:row>1</xdr:row>
      <xdr:rowOff>200025</xdr:rowOff>
    </xdr:from>
    <xdr:ext cx="6867525" cy="26193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741045</xdr:colOff>
      <xdr:row>0</xdr:row>
      <xdr:rowOff>74295</xdr:rowOff>
    </xdr:from>
    <xdr:ext cx="3390900" cy="2695575"/>
    <xdr:graphicFrame macro="">
      <xdr:nvGraphicFramePr>
        <xdr:cNvPr id="7" name="Chart 7" title="Chart">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792480</xdr:colOff>
      <xdr:row>0</xdr:row>
      <xdr:rowOff>89535</xdr:rowOff>
    </xdr:from>
    <xdr:ext cx="3619500" cy="2695575"/>
    <xdr:graphicFrame macro="">
      <xdr:nvGraphicFramePr>
        <xdr:cNvPr id="8" name="Chart 8" title="Chart">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617220</xdr:colOff>
      <xdr:row>0</xdr:row>
      <xdr:rowOff>36195</xdr:rowOff>
    </xdr:from>
    <xdr:ext cx="1600200" cy="409575"/>
    <xdr:pic>
      <xdr:nvPicPr>
        <xdr:cNvPr id="2" name="image9.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2926080" y="36195"/>
          <a:ext cx="1600200" cy="409575"/>
        </a:xfrm>
        <a:prstGeom prst="rect">
          <a:avLst/>
        </a:prstGeom>
        <a:noFill/>
      </xdr:spPr>
    </xdr:pic>
    <xdr:clientData fLocksWithSheet="0"/>
  </xdr:oneCellAnchor>
  <xdr:oneCellAnchor>
    <xdr:from>
      <xdr:col>10</xdr:col>
      <xdr:colOff>184785</xdr:colOff>
      <xdr:row>1</xdr:row>
      <xdr:rowOff>83820</xdr:rowOff>
    </xdr:from>
    <xdr:ext cx="2152650" cy="219075"/>
    <xdr:pic>
      <xdr:nvPicPr>
        <xdr:cNvPr id="3" name="image6.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8178165" y="251460"/>
          <a:ext cx="2152650" cy="219075"/>
        </a:xfrm>
        <a:prstGeom prst="rect">
          <a:avLst/>
        </a:prstGeom>
        <a:noFill/>
      </xdr:spPr>
    </xdr:pic>
    <xdr:clientData fLocksWithSheet="0"/>
  </xdr:oneCellAnchor>
  <xdr:oneCellAnchor>
    <xdr:from>
      <xdr:col>3</xdr:col>
      <xdr:colOff>314325</xdr:colOff>
      <xdr:row>15</xdr:row>
      <xdr:rowOff>276225</xdr:rowOff>
    </xdr:from>
    <xdr:ext cx="5172075" cy="581025"/>
    <xdr:pic>
      <xdr:nvPicPr>
        <xdr:cNvPr id="4" name="image7.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215265</xdr:colOff>
      <xdr:row>3</xdr:row>
      <xdr:rowOff>150495</xdr:rowOff>
    </xdr:from>
    <xdr:ext cx="2047875" cy="3724275"/>
    <xdr:pic>
      <xdr:nvPicPr>
        <xdr:cNvPr id="5" name="image11.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xfrm>
          <a:off x="8208645" y="653415"/>
          <a:ext cx="2047875" cy="372427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342900</xdr:colOff>
      <xdr:row>1</xdr:row>
      <xdr:rowOff>47625</xdr:rowOff>
    </xdr:from>
    <xdr:ext cx="4162425" cy="2581275"/>
    <xdr:graphicFrame macro="">
      <xdr:nvGraphicFramePr>
        <xdr:cNvPr id="9" name="Chart 9" title="Chart">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274320</xdr:colOff>
      <xdr:row>12</xdr:row>
      <xdr:rowOff>22860</xdr:rowOff>
    </xdr:from>
    <xdr:ext cx="3169920" cy="2324100"/>
    <xdr:graphicFrame macro="">
      <xdr:nvGraphicFramePr>
        <xdr:cNvPr id="11" name="Chart 11" title="Chart">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15240</xdr:colOff>
      <xdr:row>12</xdr:row>
      <xdr:rowOff>15240</xdr:rowOff>
    </xdr:from>
    <xdr:ext cx="4411979" cy="2324100"/>
    <xdr:graphicFrame macro="">
      <xdr:nvGraphicFramePr>
        <xdr:cNvPr id="12" name="Chart 12" title="Chart">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295275</xdr:colOff>
      <xdr:row>11</xdr:row>
      <xdr:rowOff>47625</xdr:rowOff>
    </xdr:from>
    <xdr:ext cx="1485900" cy="1762125"/>
    <xdr:pic>
      <xdr:nvPicPr>
        <xdr:cNvPr id="2" name="image14.png" title="Image">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11</xdr:row>
      <xdr:rowOff>47625</xdr:rowOff>
    </xdr:from>
    <xdr:ext cx="1419225" cy="1762125"/>
    <xdr:pic>
      <xdr:nvPicPr>
        <xdr:cNvPr id="3" name="image15.png" title="Image">
          <a:extLst>
            <a:ext uri="{FF2B5EF4-FFF2-40B4-BE49-F238E27FC236}">
              <a16:creationId xmlns:a16="http://schemas.microsoft.com/office/drawing/2014/main" id="{00000000-0008-0000-1100-00000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133350</xdr:colOff>
      <xdr:row>11</xdr:row>
      <xdr:rowOff>133350</xdr:rowOff>
    </xdr:from>
    <xdr:ext cx="1276350" cy="1590675"/>
    <xdr:pic>
      <xdr:nvPicPr>
        <xdr:cNvPr id="4" name="image16.png" title="Image">
          <a:extLst>
            <a:ext uri="{FF2B5EF4-FFF2-40B4-BE49-F238E27FC236}">
              <a16:creationId xmlns:a16="http://schemas.microsoft.com/office/drawing/2014/main" id="{00000000-0008-0000-1100-00000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twoCellAnchor editAs="oneCell">
    <xdr:from>
      <xdr:col>4</xdr:col>
      <xdr:colOff>156308</xdr:colOff>
      <xdr:row>0</xdr:row>
      <xdr:rowOff>244231</xdr:rowOff>
    </xdr:from>
    <xdr:to>
      <xdr:col>6</xdr:col>
      <xdr:colOff>1592371</xdr:colOff>
      <xdr:row>2</xdr:row>
      <xdr:rowOff>146538</xdr:rowOff>
    </xdr:to>
    <xdr:pic>
      <xdr:nvPicPr>
        <xdr:cNvPr id="2" name="그림 1">
          <a:extLst>
            <a:ext uri="{FF2B5EF4-FFF2-40B4-BE49-F238E27FC236}">
              <a16:creationId xmlns:a16="http://schemas.microsoft.com/office/drawing/2014/main" id="{61C2F7AF-FE3F-4DE1-8647-06727FA59850}"/>
            </a:ext>
          </a:extLst>
        </xdr:cNvPr>
        <xdr:cNvPicPr>
          <a:picLocks noChangeAspect="1"/>
        </xdr:cNvPicPr>
      </xdr:nvPicPr>
      <xdr:blipFill>
        <a:blip xmlns:r="http://schemas.openxmlformats.org/officeDocument/2006/relationships" r:embed="rId1"/>
        <a:stretch>
          <a:fillRect/>
        </a:stretch>
      </xdr:blipFill>
      <xdr:spPr>
        <a:xfrm>
          <a:off x="4806462" y="244231"/>
          <a:ext cx="4083524" cy="429845"/>
        </a:xfrm>
        <a:prstGeom prst="rect">
          <a:avLst/>
        </a:prstGeom>
      </xdr:spPr>
    </xdr:pic>
    <xdr:clientData/>
  </xdr:twoCellAnchor>
  <xdr:twoCellAnchor>
    <xdr:from>
      <xdr:col>9</xdr:col>
      <xdr:colOff>478693</xdr:colOff>
      <xdr:row>10</xdr:row>
      <xdr:rowOff>254976</xdr:rowOff>
    </xdr:from>
    <xdr:to>
      <xdr:col>12</xdr:col>
      <xdr:colOff>1563078</xdr:colOff>
      <xdr:row>21</xdr:row>
      <xdr:rowOff>96714</xdr:rowOff>
    </xdr:to>
    <xdr:graphicFrame macro="">
      <xdr:nvGraphicFramePr>
        <xdr:cNvPr id="5" name="차트 4">
          <a:extLst>
            <a:ext uri="{FF2B5EF4-FFF2-40B4-BE49-F238E27FC236}">
              <a16:creationId xmlns:a16="http://schemas.microsoft.com/office/drawing/2014/main" id="{DB8391B7-FD3F-4517-7A78-4AAB73C7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51312;&#44540;&#54616;\Downloads\Algorithms.xlsx" TargetMode="External"/><Relationship Id="rId1" Type="http://schemas.openxmlformats.org/officeDocument/2006/relationships/externalLinkPath" Target="Algorith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ress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ash course"/>
      <sheetName val="covarianc_correlation"/>
      <sheetName val="linear regression"/>
      <sheetName val="__Solver__"/>
      <sheetName val="__Solver___conflict482289707"/>
      <sheetName val="simple linear regression"/>
      <sheetName val="stochastic gradient regression"/>
      <sheetName val="실전문제"/>
      <sheetName val="optimization"/>
      <sheetName val="bias_variance"/>
      <sheetName val="logistic function"/>
      <sheetName val="logistic regression"/>
      <sheetName val="Sheet22"/>
      <sheetName val="distance"/>
      <sheetName val="KNN_classification"/>
      <sheetName val="KNN_clustering"/>
      <sheetName val="Hierachy Clustering"/>
      <sheetName val="gini"/>
      <sheetName val="confusion matrix"/>
      <sheetName val="Lift curve"/>
      <sheetName val="loss function"/>
      <sheetName val="__OpenSolverCache__"/>
      <sheetName val="__OpenSolver_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
          <cell r="C4" t="str">
            <v>X2</v>
          </cell>
        </row>
        <row r="6">
          <cell r="B6">
            <v>3.3935332100000002</v>
          </cell>
          <cell r="C6">
            <v>2.3312733799999998</v>
          </cell>
        </row>
        <row r="7">
          <cell r="B7">
            <v>3.1100734800000001</v>
          </cell>
          <cell r="C7">
            <v>1.7815396400000001</v>
          </cell>
        </row>
        <row r="8">
          <cell r="B8">
            <v>1.34380883</v>
          </cell>
          <cell r="C8">
            <v>3.36836095</v>
          </cell>
        </row>
        <row r="9">
          <cell r="B9">
            <v>3.5822940399999998</v>
          </cell>
          <cell r="C9">
            <v>4.6791791099999998</v>
          </cell>
        </row>
        <row r="10">
          <cell r="B10">
            <v>2.2803624400000002</v>
          </cell>
          <cell r="C10">
            <v>2.8669902600000001</v>
          </cell>
        </row>
        <row r="11">
          <cell r="B11">
            <v>7.4234369400000002</v>
          </cell>
          <cell r="C11">
            <v>4.6965228799999998</v>
          </cell>
        </row>
        <row r="12">
          <cell r="B12">
            <v>5.7450520000000003</v>
          </cell>
          <cell r="C12">
            <v>3.5339898000000001</v>
          </cell>
        </row>
        <row r="13">
          <cell r="B13">
            <v>9.1721686200000008</v>
          </cell>
          <cell r="C13">
            <v>2.5111010500000002</v>
          </cell>
        </row>
        <row r="14">
          <cell r="B14">
            <v>7.7927834799999998</v>
          </cell>
          <cell r="C14">
            <v>3.4240889399999999</v>
          </cell>
        </row>
        <row r="15">
          <cell r="B15">
            <v>7.9398208199999996</v>
          </cell>
          <cell r="C15">
            <v>0.79163722999999997</v>
          </cell>
        </row>
      </sheetData>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표2" displayName="표2" ref="D4:G24" totalsRowShown="0" headerRowDxfId="8" dataDxfId="7" headerRowCellStyle="쉼표 [0]" dataCellStyle="쉼표 [0]">
  <autoFilter ref="D4:G24" xr:uid="{00000000-0009-0000-0100-000002000000}"/>
  <sortState xmlns:xlrd2="http://schemas.microsoft.com/office/spreadsheetml/2017/richdata2" ref="D5:G24">
    <sortCondition ref="E4:E24"/>
  </sortState>
  <tableColumns count="4">
    <tableColumn id="1" xr3:uid="{00000000-0010-0000-0000-000001000000}" name="y" dataDxfId="6" dataCellStyle="쉼표 [0]">
      <calculatedColumnFormula>RANDBETWEEN(0,1)</calculatedColumnFormula>
    </tableColumn>
    <tableColumn id="2" xr3:uid="{00000000-0010-0000-0000-000002000000}" name="p" dataDxfId="5" dataCellStyle="쉼표 [0]">
      <calculatedColumnFormula>RAND()</calculatedColumnFormula>
    </tableColumn>
    <tableColumn id="3" xr3:uid="{00000000-0010-0000-0000-000003000000}" name="y*log(p)" dataDxfId="4" dataCellStyle="쉼표 [0]">
      <calculatedColumnFormula>-D5*LN(E5)</calculatedColumnFormula>
    </tableColumn>
    <tableColumn id="4" xr3:uid="{00000000-0010-0000-0000-000004000000}" name="(1-y)*log(1-p)" dataDxfId="3" dataCellStyle="쉼표 [0]">
      <calculatedColumnFormula>-(1-D5)*LN(1-E5)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표3" displayName="표3" ref="C4:C24" totalsRowShown="0" headerRowDxfId="2" dataDxfId="1" headerRowCellStyle="쉼표 [0]" dataCellStyle="쉼표 [0]">
  <autoFilter ref="C4:C24" xr:uid="{00000000-0009-0000-0100-000003000000}"/>
  <tableColumns count="1">
    <tableColumn id="1" xr3:uid="{00000000-0010-0000-0100-000001000000}" name="ID" dataDxfId="0" dataCellStyle="쉼표 [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vision.stanford.edu/teaching/cs231n-demos/kn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hyperlink" Target="https://89douner.tistory.com/254"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datamarket.kr/xe/board_mXVL91/9807"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scikit-learn.org/stable/modules/neighbors.html"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medium.com/learning-intelligence/understanding-and-implementation-of-apriori-algorithm-with-python-part-1-e0b656a8cce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Linear_regression" TargetMode="External"/><Relationship Id="rId1" Type="http://schemas.openxmlformats.org/officeDocument/2006/relationships/hyperlink" Target="https://www.youtube.com/watch?v=yZXNS5AxmI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3"/>
  <sheetViews>
    <sheetView showGridLines="0" topLeftCell="A21" workbookViewId="0">
      <selection activeCell="I42" sqref="I42"/>
    </sheetView>
  </sheetViews>
  <sheetFormatPr defaultColWidth="12.6640625" defaultRowHeight="15.75" customHeight="1"/>
  <sheetData>
    <row r="1" spans="1:3">
      <c r="A1" s="214" t="s">
        <v>0</v>
      </c>
      <c r="B1" s="215"/>
      <c r="C1" s="2"/>
    </row>
    <row r="2" spans="1:3">
      <c r="A2" s="2"/>
      <c r="B2" s="2"/>
      <c r="C2" s="2"/>
    </row>
    <row r="3" spans="1:3">
      <c r="A3" s="1" t="s">
        <v>1</v>
      </c>
      <c r="B3" s="2"/>
      <c r="C3" s="2"/>
    </row>
    <row r="4" spans="1:3">
      <c r="A4" s="2" t="s">
        <v>2</v>
      </c>
      <c r="B4" s="3">
        <v>2</v>
      </c>
      <c r="C4" s="2"/>
    </row>
    <row r="5" spans="1:3">
      <c r="A5" s="2"/>
      <c r="B5" s="2"/>
      <c r="C5" s="2"/>
    </row>
    <row r="6" spans="1:3">
      <c r="A6" s="2" t="s">
        <v>3</v>
      </c>
      <c r="B6" s="2"/>
      <c r="C6" s="2"/>
    </row>
    <row r="7" spans="1:3">
      <c r="A7" s="3">
        <v>1</v>
      </c>
      <c r="B7" s="3">
        <v>2</v>
      </c>
      <c r="C7" s="3">
        <v>3</v>
      </c>
    </row>
    <row r="8" spans="1:3">
      <c r="A8" s="3">
        <f>SUM(A7:C7)</f>
        <v>6</v>
      </c>
      <c r="B8" s="2"/>
      <c r="C8" s="2"/>
    </row>
    <row r="9" spans="1:3">
      <c r="A9" s="2"/>
      <c r="B9" s="2"/>
      <c r="C9" s="2"/>
    </row>
    <row r="10" spans="1:3">
      <c r="A10" s="2" t="s">
        <v>4</v>
      </c>
      <c r="B10" s="2"/>
      <c r="C10" s="2"/>
    </row>
    <row r="11" spans="1:3">
      <c r="A11" s="3">
        <f>COUNT(A7:C7)</f>
        <v>3</v>
      </c>
      <c r="B11" s="2"/>
      <c r="C11" s="2"/>
    </row>
    <row r="12" spans="1:3">
      <c r="A12" s="2"/>
      <c r="B12" s="2"/>
      <c r="C12" s="2"/>
    </row>
    <row r="13" spans="1:3">
      <c r="A13" s="2" t="s">
        <v>5</v>
      </c>
      <c r="B13" s="2" t="s">
        <v>6</v>
      </c>
      <c r="C13" s="2" t="s">
        <v>7</v>
      </c>
    </row>
    <row r="14" spans="1:3">
      <c r="A14" s="3">
        <f>2^2</f>
        <v>4</v>
      </c>
      <c r="B14" s="3">
        <f>LOG(2)</f>
        <v>0.3010299956639812</v>
      </c>
      <c r="C14" s="3">
        <f>SQRT(2)</f>
        <v>1.4142135623730951</v>
      </c>
    </row>
    <row r="15" spans="1:3">
      <c r="A15" s="2"/>
      <c r="B15" s="2"/>
      <c r="C15" s="2"/>
    </row>
    <row r="16" spans="1:3">
      <c r="A16" s="2" t="s">
        <v>8</v>
      </c>
      <c r="B16" s="2" t="s">
        <v>9</v>
      </c>
      <c r="C16" s="2"/>
    </row>
    <row r="17" spans="1:3">
      <c r="A17" s="3">
        <f>EXP(2)</f>
        <v>7.3890560989306504</v>
      </c>
      <c r="B17" s="3">
        <v>2</v>
      </c>
      <c r="C17" s="2"/>
    </row>
    <row r="18" spans="1:3">
      <c r="A18" s="2"/>
      <c r="B18" s="2"/>
      <c r="C18" s="2"/>
    </row>
    <row r="19" spans="1:3">
      <c r="A19" s="2" t="s">
        <v>10</v>
      </c>
      <c r="B19" s="2"/>
      <c r="C19" s="2"/>
    </row>
    <row r="20" spans="1:3">
      <c r="A20" s="3">
        <v>3.1415926540000001</v>
      </c>
      <c r="B20" s="2"/>
      <c r="C20" s="2"/>
    </row>
    <row r="21" spans="1:3">
      <c r="A21" s="2"/>
      <c r="B21" s="2"/>
      <c r="C21" s="2"/>
    </row>
    <row r="22" spans="1:3">
      <c r="A22" s="2"/>
      <c r="B22" s="2"/>
      <c r="C22" s="2"/>
    </row>
    <row r="23" spans="1:3">
      <c r="A23" s="214" t="s">
        <v>11</v>
      </c>
      <c r="B23" s="215"/>
      <c r="C23" s="2"/>
    </row>
    <row r="24" spans="1:3">
      <c r="A24" s="2"/>
      <c r="B24" s="2"/>
      <c r="C24" s="2"/>
    </row>
    <row r="25" spans="1:3">
      <c r="A25" s="2" t="s">
        <v>12</v>
      </c>
      <c r="B25" s="2"/>
      <c r="C25" s="2"/>
    </row>
    <row r="26" spans="1:3">
      <c r="A26" s="3">
        <v>4</v>
      </c>
      <c r="B26" s="3">
        <v>5</v>
      </c>
      <c r="C26" s="3">
        <v>8</v>
      </c>
    </row>
    <row r="27" spans="1:3">
      <c r="A27" s="3">
        <f>AVERAGE(A26:C26)</f>
        <v>5.666666666666667</v>
      </c>
      <c r="B27" s="2"/>
      <c r="C27" s="2"/>
    </row>
    <row r="28" spans="1:3">
      <c r="A28" s="2"/>
      <c r="B28" s="2"/>
      <c r="C28" s="2"/>
    </row>
    <row r="29" spans="1:3">
      <c r="A29" s="216" t="s">
        <v>13</v>
      </c>
      <c r="B29" s="215"/>
      <c r="C29" s="2"/>
    </row>
    <row r="30" spans="1:3">
      <c r="A30" s="3">
        <v>1</v>
      </c>
      <c r="B30" s="3">
        <v>2</v>
      </c>
      <c r="C30" s="3">
        <v>3</v>
      </c>
    </row>
    <row r="31" spans="1:3">
      <c r="A31" s="3">
        <f>STDEV(A30:C30)</f>
        <v>1</v>
      </c>
      <c r="B31" s="2"/>
      <c r="C31" s="2"/>
    </row>
    <row r="32" spans="1:3">
      <c r="A32" s="2"/>
      <c r="B32" s="2"/>
      <c r="C32" s="2"/>
    </row>
    <row r="33" spans="1:6">
      <c r="A33" s="2" t="s">
        <v>14</v>
      </c>
      <c r="B33" s="2"/>
      <c r="C33" s="2"/>
    </row>
    <row r="34" spans="1:6">
      <c r="A34" s="3">
        <v>2</v>
      </c>
      <c r="B34" s="3">
        <v>3</v>
      </c>
      <c r="C34" s="3">
        <v>4</v>
      </c>
    </row>
    <row r="35" spans="1:6">
      <c r="A35" s="3">
        <v>4</v>
      </c>
      <c r="B35" s="3">
        <v>8</v>
      </c>
      <c r="C35" s="3">
        <v>-12</v>
      </c>
    </row>
    <row r="36" spans="1:6">
      <c r="A36" s="3">
        <f>CORREL(A34:C34,A35:C35)</f>
        <v>-0.75592894601845428</v>
      </c>
      <c r="B36" s="2"/>
      <c r="C36" s="2"/>
    </row>
    <row r="37" spans="1:6">
      <c r="A37" s="2"/>
      <c r="B37" s="2"/>
      <c r="C37" s="2"/>
    </row>
    <row r="38" spans="1:6">
      <c r="A38" s="2" t="s">
        <v>15</v>
      </c>
      <c r="B38" s="2"/>
      <c r="C38" s="2"/>
    </row>
    <row r="39" spans="1:6">
      <c r="A39" s="3">
        <v>2</v>
      </c>
      <c r="B39" s="3">
        <v>3</v>
      </c>
      <c r="C39" s="3">
        <v>3</v>
      </c>
      <c r="D39" s="4">
        <v>3</v>
      </c>
      <c r="E39" s="4">
        <v>3</v>
      </c>
      <c r="F39" s="4">
        <v>2</v>
      </c>
    </row>
    <row r="40" spans="1:6">
      <c r="A40" s="3">
        <f>MODE(A39:F39)</f>
        <v>3</v>
      </c>
      <c r="B40" s="2"/>
      <c r="C40" s="2"/>
    </row>
    <row r="41" spans="1:6">
      <c r="A41" s="2"/>
      <c r="B41" s="2"/>
      <c r="C41" s="2"/>
    </row>
    <row r="42" spans="1:6">
      <c r="A42" s="214" t="s">
        <v>16</v>
      </c>
      <c r="B42" s="215"/>
      <c r="C42" s="2"/>
    </row>
    <row r="43" spans="1:6">
      <c r="A43" s="2"/>
      <c r="B43" s="2"/>
      <c r="C43" s="2"/>
    </row>
    <row r="44" spans="1:6">
      <c r="A44" s="2" t="s">
        <v>17</v>
      </c>
      <c r="B44" s="2"/>
      <c r="C44" s="2"/>
    </row>
    <row r="45" spans="1:6">
      <c r="A45" s="3">
        <v>0.74371643499999995</v>
      </c>
      <c r="B45" s="2"/>
      <c r="C45" s="2"/>
    </row>
    <row r="46" spans="1:6">
      <c r="A46" s="2"/>
      <c r="B46" s="2"/>
      <c r="C46" s="2"/>
    </row>
    <row r="47" spans="1:6">
      <c r="A47" s="2" t="s">
        <v>18</v>
      </c>
      <c r="B47" s="2"/>
      <c r="C47" s="2"/>
    </row>
    <row r="48" spans="1:6">
      <c r="A48" s="3">
        <v>1.752884632</v>
      </c>
      <c r="B48" s="2"/>
      <c r="C48" s="2"/>
    </row>
    <row r="49" spans="1:3">
      <c r="A49" s="2"/>
      <c r="B49" s="2"/>
      <c r="C49" s="2"/>
    </row>
    <row r="50" spans="1:3">
      <c r="A50" s="1" t="s">
        <v>19</v>
      </c>
      <c r="B50" s="2"/>
      <c r="C50" s="2"/>
    </row>
    <row r="51" spans="1:3">
      <c r="A51" s="2"/>
      <c r="B51" s="2"/>
      <c r="C51" s="2"/>
    </row>
    <row r="52" spans="1:3">
      <c r="A52" s="2" t="s">
        <v>20</v>
      </c>
      <c r="B52" s="2"/>
      <c r="C52" s="2"/>
    </row>
    <row r="53" spans="1:3">
      <c r="A53" s="2" t="s">
        <v>21</v>
      </c>
      <c r="B53" s="2"/>
      <c r="C53" s="2"/>
    </row>
  </sheetData>
  <mergeCells count="4">
    <mergeCell ref="A1:B1"/>
    <mergeCell ref="A23:B23"/>
    <mergeCell ref="A29:B29"/>
    <mergeCell ref="A42:B42"/>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995"/>
  <sheetViews>
    <sheetView showGridLines="0" topLeftCell="A13" workbookViewId="0">
      <selection activeCell="K15" sqref="K15"/>
    </sheetView>
  </sheetViews>
  <sheetFormatPr defaultColWidth="12.6640625" defaultRowHeight="15.75" customHeight="1"/>
  <cols>
    <col min="9" max="12" width="14.109375" customWidth="1"/>
  </cols>
  <sheetData>
    <row r="1" spans="1:26">
      <c r="A1" s="217" t="s">
        <v>104</v>
      </c>
      <c r="B1" s="215"/>
      <c r="C1" s="11"/>
      <c r="D1" s="11"/>
      <c r="E1" s="11"/>
      <c r="F1" s="11"/>
      <c r="G1" s="11"/>
      <c r="H1" s="11"/>
      <c r="I1" s="11"/>
      <c r="J1" s="11"/>
      <c r="K1" s="47"/>
      <c r="L1" s="47"/>
      <c r="M1" s="47"/>
      <c r="N1" s="47"/>
      <c r="O1" s="47"/>
      <c r="P1" s="47"/>
      <c r="Q1" s="47"/>
      <c r="R1" s="47"/>
      <c r="S1" s="47"/>
      <c r="T1" s="47"/>
      <c r="U1" s="47"/>
      <c r="V1" s="47"/>
      <c r="W1" s="47"/>
      <c r="X1" s="47"/>
      <c r="Y1" s="47"/>
      <c r="Z1" s="47"/>
    </row>
    <row r="2" spans="1:26">
      <c r="A2" s="67" t="s">
        <v>48</v>
      </c>
      <c r="B2" s="9"/>
      <c r="C2" s="11"/>
      <c r="D2" s="11"/>
      <c r="E2" s="11"/>
      <c r="F2" s="11"/>
      <c r="G2" s="11"/>
      <c r="H2" s="11"/>
      <c r="I2" s="11"/>
      <c r="J2" s="11"/>
      <c r="K2" s="68" t="s">
        <v>105</v>
      </c>
      <c r="L2" s="47"/>
      <c r="M2" s="47"/>
      <c r="N2" s="47"/>
      <c r="O2" s="47"/>
      <c r="P2" s="47"/>
      <c r="Q2" s="47"/>
      <c r="R2" s="47"/>
      <c r="S2" s="47"/>
      <c r="T2" s="47"/>
      <c r="U2" s="47"/>
      <c r="V2" s="47"/>
      <c r="W2" s="47"/>
      <c r="X2" s="47"/>
      <c r="Y2" s="47"/>
      <c r="Z2" s="47"/>
    </row>
    <row r="3" spans="1:26">
      <c r="A3" s="49" t="s">
        <v>66</v>
      </c>
      <c r="B3" s="49" t="s">
        <v>67</v>
      </c>
      <c r="C3" s="49" t="s">
        <v>69</v>
      </c>
      <c r="D3" s="11"/>
      <c r="E3" s="11"/>
      <c r="F3" s="11"/>
      <c r="G3" s="11"/>
      <c r="H3" s="11"/>
      <c r="I3" s="11"/>
      <c r="J3" s="11"/>
      <c r="K3" s="47"/>
      <c r="L3" s="47"/>
      <c r="M3" s="47"/>
      <c r="N3" s="47"/>
      <c r="O3" s="47"/>
      <c r="P3" s="47"/>
      <c r="Q3" s="47"/>
      <c r="R3" s="47"/>
      <c r="S3" s="47"/>
      <c r="T3" s="47"/>
      <c r="U3" s="47"/>
      <c r="V3" s="47"/>
      <c r="W3" s="47"/>
      <c r="X3" s="47"/>
      <c r="Y3" s="47"/>
      <c r="Z3" s="47"/>
    </row>
    <row r="4" spans="1:26">
      <c r="A4" s="69">
        <v>3.3935332100000002</v>
      </c>
      <c r="B4" s="69">
        <v>2.3312733799999998</v>
      </c>
      <c r="C4" s="11">
        <v>0</v>
      </c>
      <c r="D4" s="11"/>
      <c r="E4" s="11"/>
      <c r="F4" s="11"/>
      <c r="G4" s="11"/>
      <c r="H4" s="11"/>
      <c r="I4" s="11"/>
      <c r="J4" s="11"/>
      <c r="K4" s="47"/>
      <c r="L4" s="47"/>
      <c r="M4" s="47"/>
      <c r="N4" s="47"/>
      <c r="O4" s="47"/>
      <c r="P4" s="47"/>
      <c r="Q4" s="47"/>
      <c r="R4" s="47"/>
      <c r="S4" s="47"/>
      <c r="T4" s="47"/>
      <c r="U4" s="47"/>
      <c r="V4" s="47"/>
      <c r="W4" s="47"/>
      <c r="X4" s="47"/>
      <c r="Y4" s="47"/>
      <c r="Z4" s="47"/>
    </row>
    <row r="5" spans="1:26">
      <c r="A5" s="69">
        <v>3.1100734800000001</v>
      </c>
      <c r="B5" s="69">
        <v>1.7815396400000001</v>
      </c>
      <c r="C5" s="11">
        <v>0</v>
      </c>
      <c r="D5" s="11"/>
      <c r="E5" s="11"/>
      <c r="F5" s="11"/>
      <c r="G5" s="11"/>
      <c r="H5" s="11"/>
      <c r="I5" s="11"/>
      <c r="J5" s="11"/>
      <c r="K5" s="47"/>
      <c r="L5" s="47"/>
      <c r="M5" s="47"/>
      <c r="N5" s="47"/>
      <c r="O5" s="47"/>
      <c r="P5" s="47"/>
      <c r="Q5" s="47"/>
      <c r="R5" s="47"/>
      <c r="S5" s="47"/>
      <c r="T5" s="47"/>
      <c r="U5" s="47"/>
      <c r="V5" s="47"/>
      <c r="W5" s="47"/>
      <c r="X5" s="47"/>
      <c r="Y5" s="47"/>
      <c r="Z5" s="47"/>
    </row>
    <row r="6" spans="1:26">
      <c r="A6" s="69">
        <v>1.34380883</v>
      </c>
      <c r="B6" s="69">
        <v>3.36836095</v>
      </c>
      <c r="C6" s="11">
        <v>0</v>
      </c>
      <c r="D6" s="11"/>
      <c r="E6" s="11"/>
      <c r="F6" s="11"/>
      <c r="G6" s="11"/>
      <c r="H6" s="11"/>
      <c r="I6" s="11"/>
      <c r="J6" s="11"/>
      <c r="K6" s="47"/>
      <c r="L6" s="47"/>
      <c r="M6" s="47"/>
      <c r="N6" s="47"/>
      <c r="O6" s="47"/>
      <c r="P6" s="47"/>
      <c r="Q6" s="47"/>
      <c r="R6" s="47"/>
      <c r="S6" s="47"/>
      <c r="T6" s="47"/>
      <c r="U6" s="47"/>
      <c r="V6" s="47"/>
      <c r="W6" s="47"/>
      <c r="X6" s="47"/>
      <c r="Y6" s="47"/>
      <c r="Z6" s="47"/>
    </row>
    <row r="7" spans="1:26">
      <c r="A7" s="69">
        <v>3.5822940399999998</v>
      </c>
      <c r="B7" s="69">
        <v>4.6791791099999998</v>
      </c>
      <c r="C7" s="11">
        <v>0</v>
      </c>
      <c r="D7" s="11"/>
      <c r="E7" s="11"/>
      <c r="F7" s="11"/>
      <c r="G7" s="11"/>
      <c r="H7" s="11"/>
      <c r="I7" s="11"/>
      <c r="J7" s="11"/>
      <c r="K7" s="47"/>
      <c r="L7" s="47"/>
      <c r="M7" s="47"/>
      <c r="N7" s="47"/>
      <c r="O7" s="47"/>
      <c r="P7" s="47"/>
      <c r="Q7" s="47"/>
      <c r="R7" s="47"/>
      <c r="S7" s="47"/>
      <c r="T7" s="47"/>
      <c r="U7" s="47"/>
      <c r="V7" s="47"/>
      <c r="W7" s="47"/>
      <c r="X7" s="47"/>
      <c r="Y7" s="47"/>
      <c r="Z7" s="47"/>
    </row>
    <row r="8" spans="1:26">
      <c r="A8" s="69">
        <v>2.2803624400000002</v>
      </c>
      <c r="B8" s="69">
        <v>2.8669902600000001</v>
      </c>
      <c r="C8" s="11">
        <v>0</v>
      </c>
      <c r="D8" s="11"/>
      <c r="E8" s="11"/>
      <c r="F8" s="11"/>
      <c r="G8" s="11"/>
      <c r="H8" s="11"/>
      <c r="I8" s="11"/>
      <c r="J8" s="11"/>
      <c r="K8" s="47"/>
      <c r="L8" s="47"/>
      <c r="M8" s="47"/>
      <c r="N8" s="47"/>
      <c r="O8" s="47"/>
      <c r="P8" s="47"/>
      <c r="Q8" s="47"/>
      <c r="R8" s="47"/>
      <c r="S8" s="47"/>
      <c r="T8" s="47"/>
      <c r="U8" s="47"/>
      <c r="V8" s="47"/>
      <c r="W8" s="47"/>
      <c r="X8" s="47"/>
      <c r="Y8" s="47"/>
      <c r="Z8" s="47"/>
    </row>
    <row r="9" spans="1:26">
      <c r="A9" s="69">
        <v>7.4234369400000002</v>
      </c>
      <c r="B9" s="69">
        <v>4.6965228799999998</v>
      </c>
      <c r="C9" s="11">
        <v>1</v>
      </c>
      <c r="D9" s="11"/>
      <c r="E9" s="11"/>
      <c r="F9" s="11"/>
      <c r="G9" s="11"/>
      <c r="H9" s="11"/>
      <c r="I9" s="11"/>
      <c r="J9" s="11"/>
      <c r="K9" s="47"/>
      <c r="L9" s="47"/>
      <c r="M9" s="47"/>
      <c r="N9" s="47"/>
      <c r="O9" s="47"/>
      <c r="P9" s="47"/>
      <c r="Q9" s="47"/>
      <c r="R9" s="47"/>
      <c r="S9" s="47"/>
      <c r="T9" s="47"/>
      <c r="U9" s="47"/>
      <c r="V9" s="47"/>
      <c r="W9" s="47"/>
      <c r="X9" s="47"/>
      <c r="Y9" s="47"/>
      <c r="Z9" s="47"/>
    </row>
    <row r="10" spans="1:26">
      <c r="A10" s="69">
        <v>5.7450520000000003</v>
      </c>
      <c r="B10" s="69">
        <v>3.5339898000000001</v>
      </c>
      <c r="C10" s="11">
        <v>1</v>
      </c>
      <c r="D10" s="11"/>
      <c r="E10" s="11"/>
      <c r="F10" s="11"/>
      <c r="G10" s="11"/>
      <c r="H10" s="11"/>
      <c r="I10" s="11"/>
      <c r="J10" s="11"/>
      <c r="K10" s="47"/>
      <c r="L10" s="47"/>
      <c r="M10" s="47"/>
      <c r="N10" s="47"/>
      <c r="O10" s="47"/>
      <c r="P10" s="47"/>
      <c r="Q10" s="47"/>
      <c r="R10" s="47"/>
      <c r="S10" s="47"/>
      <c r="T10" s="47"/>
      <c r="U10" s="47"/>
      <c r="V10" s="47"/>
      <c r="W10" s="47"/>
      <c r="X10" s="47"/>
      <c r="Y10" s="47"/>
      <c r="Z10" s="47"/>
    </row>
    <row r="11" spans="1:26">
      <c r="A11" s="69">
        <v>9.1721686200000008</v>
      </c>
      <c r="B11" s="69">
        <v>2.5111010500000002</v>
      </c>
      <c r="C11" s="11">
        <v>1</v>
      </c>
      <c r="D11" s="11"/>
      <c r="E11" s="11"/>
      <c r="F11" s="11"/>
      <c r="G11" s="11"/>
      <c r="H11" s="11"/>
      <c r="I11" s="11"/>
      <c r="J11" s="11"/>
      <c r="K11" s="47"/>
      <c r="L11" s="47"/>
      <c r="M11" s="47"/>
      <c r="N11" s="47"/>
      <c r="O11" s="47"/>
      <c r="P11" s="47"/>
      <c r="Q11" s="47"/>
      <c r="R11" s="47"/>
      <c r="S11" s="47"/>
      <c r="T11" s="47"/>
      <c r="U11" s="47"/>
      <c r="V11" s="47"/>
      <c r="W11" s="47"/>
      <c r="X11" s="47"/>
      <c r="Y11" s="47"/>
      <c r="Z11" s="47"/>
    </row>
    <row r="12" spans="1:26">
      <c r="A12" s="69">
        <v>7.7927834799999998</v>
      </c>
      <c r="B12" s="69">
        <v>3.4240889399999999</v>
      </c>
      <c r="C12" s="11">
        <v>1</v>
      </c>
      <c r="D12" s="11"/>
      <c r="E12" s="11"/>
      <c r="F12" s="11"/>
      <c r="G12" s="11"/>
      <c r="H12" s="11"/>
      <c r="I12" s="11"/>
      <c r="J12" s="11"/>
      <c r="K12" s="47"/>
      <c r="L12" s="47"/>
      <c r="M12" s="47"/>
      <c r="N12" s="47"/>
      <c r="O12" s="47"/>
      <c r="P12" s="47"/>
      <c r="Q12" s="47"/>
      <c r="R12" s="47"/>
      <c r="S12" s="47"/>
      <c r="T12" s="47"/>
      <c r="U12" s="47"/>
      <c r="V12" s="47"/>
      <c r="W12" s="47"/>
      <c r="X12" s="47"/>
      <c r="Y12" s="47"/>
      <c r="Z12" s="47"/>
    </row>
    <row r="13" spans="1:26">
      <c r="A13" s="69">
        <v>7.9398208199999996</v>
      </c>
      <c r="B13" s="69">
        <v>0.79163722999999997</v>
      </c>
      <c r="C13" s="11">
        <v>1</v>
      </c>
      <c r="D13" s="11"/>
      <c r="E13" s="11"/>
      <c r="F13" s="11"/>
      <c r="G13" s="11"/>
      <c r="H13" s="11"/>
      <c r="I13" s="11"/>
      <c r="J13" s="11"/>
      <c r="K13" s="47"/>
      <c r="L13" s="47"/>
      <c r="M13" s="47"/>
      <c r="N13" s="47"/>
      <c r="O13" s="47"/>
      <c r="P13" s="47"/>
      <c r="Q13" s="47"/>
      <c r="R13" s="47"/>
      <c r="S13" s="47"/>
      <c r="T13" s="47"/>
      <c r="U13" s="47"/>
      <c r="V13" s="47"/>
      <c r="W13" s="47"/>
      <c r="X13" s="47"/>
      <c r="Y13" s="47"/>
      <c r="Z13" s="47"/>
    </row>
    <row r="14" spans="1:26">
      <c r="A14" s="11"/>
      <c r="B14" s="11"/>
      <c r="C14" s="11"/>
      <c r="D14" s="11"/>
      <c r="E14" s="11"/>
      <c r="F14" s="11"/>
      <c r="G14" s="11"/>
      <c r="H14" s="11"/>
      <c r="I14" s="11"/>
      <c r="J14" s="11"/>
      <c r="K14" s="47"/>
      <c r="L14" s="47"/>
      <c r="M14" s="47"/>
      <c r="N14" s="47"/>
      <c r="O14" s="47"/>
      <c r="P14" s="47"/>
      <c r="Q14" s="47"/>
      <c r="R14" s="47"/>
      <c r="S14" s="47"/>
      <c r="T14" s="47"/>
      <c r="U14" s="47"/>
      <c r="V14" s="47"/>
      <c r="W14" s="47"/>
      <c r="X14" s="47"/>
      <c r="Y14" s="47"/>
      <c r="Z14" s="47"/>
    </row>
    <row r="15" spans="1:26">
      <c r="A15" s="217" t="s">
        <v>106</v>
      </c>
      <c r="B15" s="215"/>
      <c r="C15" s="11"/>
      <c r="D15" s="11"/>
      <c r="E15" s="11"/>
      <c r="F15" s="11"/>
      <c r="G15" s="11"/>
      <c r="H15" s="11"/>
      <c r="I15" s="11"/>
      <c r="J15" s="11"/>
      <c r="K15" s="47"/>
      <c r="L15" s="47"/>
      <c r="M15" s="47"/>
      <c r="N15" s="47"/>
      <c r="O15" s="47"/>
      <c r="P15" s="47"/>
      <c r="Q15" s="47"/>
      <c r="R15" s="47"/>
      <c r="S15" s="47"/>
      <c r="T15" s="47"/>
      <c r="U15" s="47"/>
      <c r="V15" s="47"/>
      <c r="W15" s="47"/>
      <c r="X15" s="47"/>
      <c r="Y15" s="47"/>
      <c r="Z15" s="47"/>
    </row>
    <row r="16" spans="1:26">
      <c r="A16" s="49" t="s">
        <v>66</v>
      </c>
      <c r="B16" s="49" t="s">
        <v>67</v>
      </c>
      <c r="C16" s="49" t="s">
        <v>107</v>
      </c>
      <c r="D16" s="49" t="s">
        <v>108</v>
      </c>
      <c r="E16" s="49" t="s">
        <v>3</v>
      </c>
      <c r="F16" s="49" t="s">
        <v>109</v>
      </c>
      <c r="G16" s="11"/>
      <c r="H16" s="11"/>
      <c r="I16" s="11"/>
      <c r="J16" s="11"/>
      <c r="K16" s="47"/>
      <c r="L16" s="47"/>
      <c r="M16" s="47"/>
      <c r="N16" s="47"/>
      <c r="O16" s="47"/>
      <c r="P16" s="47"/>
      <c r="Q16" s="47"/>
      <c r="R16" s="47"/>
      <c r="S16" s="47"/>
      <c r="T16" s="47"/>
      <c r="U16" s="47"/>
      <c r="V16" s="47"/>
      <c r="W16" s="47"/>
      <c r="X16" s="47"/>
      <c r="Y16" s="47"/>
      <c r="Z16" s="47"/>
    </row>
    <row r="17" spans="1:26">
      <c r="A17" s="69">
        <v>3.3935332100000002</v>
      </c>
      <c r="B17" s="69">
        <v>2.3312733799999998</v>
      </c>
      <c r="C17" s="69">
        <f t="shared" ref="C17:D17" si="0">(A17-A18)^2</f>
        <v>8.0349418531672975E-2</v>
      </c>
      <c r="D17" s="69">
        <f t="shared" si="0"/>
        <v>0.3022071848943873</v>
      </c>
      <c r="E17" s="69">
        <f>SUM(C17:D17)</f>
        <v>0.38255660342606029</v>
      </c>
      <c r="F17" s="69">
        <f>SQRT(E17)</f>
        <v>0.61851160330753718</v>
      </c>
      <c r="G17" s="11"/>
      <c r="H17" s="11"/>
      <c r="I17" s="11"/>
      <c r="J17" s="11"/>
      <c r="K17" s="47"/>
      <c r="L17" s="47"/>
      <c r="M17" s="47"/>
      <c r="N17" s="47"/>
      <c r="O17" s="47"/>
      <c r="P17" s="47"/>
      <c r="Q17" s="47"/>
      <c r="R17" s="47"/>
      <c r="S17" s="47"/>
      <c r="T17" s="47"/>
      <c r="U17" s="47"/>
      <c r="V17" s="47"/>
      <c r="W17" s="47"/>
      <c r="X17" s="47"/>
      <c r="Y17" s="47"/>
      <c r="Z17" s="47"/>
    </row>
    <row r="18" spans="1:26">
      <c r="A18" s="69">
        <v>3.1100734800000001</v>
      </c>
      <c r="B18" s="69">
        <v>1.7815396400000001</v>
      </c>
      <c r="C18" s="69"/>
      <c r="D18" s="69"/>
      <c r="E18" s="69"/>
      <c r="F18" s="69"/>
      <c r="G18" s="11"/>
      <c r="H18" s="11"/>
      <c r="I18" s="11"/>
      <c r="J18" s="11"/>
      <c r="K18" s="47"/>
      <c r="L18" s="47"/>
      <c r="M18" s="47"/>
      <c r="N18" s="47"/>
      <c r="O18" s="47"/>
      <c r="P18" s="47"/>
      <c r="Q18" s="47"/>
      <c r="R18" s="47"/>
      <c r="S18" s="47"/>
      <c r="T18" s="47"/>
      <c r="U18" s="47"/>
      <c r="V18" s="47"/>
      <c r="W18" s="47"/>
      <c r="X18" s="47"/>
      <c r="Y18" s="47"/>
      <c r="Z18" s="47"/>
    </row>
    <row r="19" spans="1:26">
      <c r="A19" s="11"/>
      <c r="B19" s="11"/>
      <c r="C19" s="11"/>
      <c r="D19" s="11"/>
      <c r="E19" s="11"/>
      <c r="F19" s="11"/>
      <c r="G19" s="11"/>
      <c r="H19" s="11"/>
      <c r="I19" s="11"/>
      <c r="J19" s="11"/>
      <c r="K19" s="47"/>
      <c r="L19" s="47"/>
      <c r="M19" s="47"/>
      <c r="N19" s="47"/>
      <c r="O19" s="47"/>
      <c r="P19" s="47"/>
      <c r="Q19" s="47"/>
      <c r="R19" s="47"/>
      <c r="S19" s="47"/>
      <c r="T19" s="47"/>
      <c r="U19" s="47"/>
      <c r="V19" s="47"/>
      <c r="W19" s="47"/>
      <c r="X19" s="47"/>
      <c r="Y19" s="47"/>
      <c r="Z19" s="47"/>
    </row>
    <row r="20" spans="1:26">
      <c r="A20" s="218" t="s">
        <v>110</v>
      </c>
      <c r="B20" s="215"/>
      <c r="C20" s="11"/>
      <c r="D20" s="11"/>
      <c r="E20" s="11"/>
      <c r="F20" s="11"/>
      <c r="G20" s="11"/>
      <c r="H20" s="11"/>
      <c r="I20" s="11"/>
      <c r="J20" s="11"/>
      <c r="K20" s="47"/>
      <c r="L20" s="47"/>
      <c r="M20" s="47"/>
      <c r="N20" s="47"/>
      <c r="O20" s="47"/>
      <c r="P20" s="47"/>
      <c r="Q20" s="47"/>
      <c r="R20" s="47"/>
      <c r="S20" s="47"/>
      <c r="T20" s="47"/>
      <c r="U20" s="47"/>
      <c r="V20" s="47"/>
      <c r="W20" s="47"/>
      <c r="X20" s="47"/>
      <c r="Y20" s="47"/>
      <c r="Z20" s="47"/>
    </row>
    <row r="21" spans="1:26">
      <c r="A21" s="49" t="s">
        <v>66</v>
      </c>
      <c r="B21" s="49" t="s">
        <v>67</v>
      </c>
      <c r="C21" s="49" t="s">
        <v>69</v>
      </c>
      <c r="D21" s="11"/>
      <c r="E21" s="11"/>
      <c r="F21" s="11"/>
      <c r="G21" s="11"/>
      <c r="H21" s="11"/>
      <c r="I21" s="11"/>
      <c r="J21" s="11"/>
      <c r="K21" s="47"/>
      <c r="L21" s="47"/>
      <c r="M21" s="47"/>
      <c r="N21" s="47"/>
      <c r="O21" s="47"/>
      <c r="P21" s="47"/>
      <c r="Q21" s="47"/>
      <c r="R21" s="47"/>
      <c r="S21" s="47"/>
      <c r="T21" s="47"/>
      <c r="U21" s="47"/>
      <c r="V21" s="47"/>
      <c r="W21" s="47"/>
      <c r="X21" s="47"/>
      <c r="Y21" s="47"/>
      <c r="Z21" s="47"/>
    </row>
    <row r="22" spans="1:26">
      <c r="A22" s="69">
        <v>5</v>
      </c>
      <c r="B22" s="69">
        <v>3</v>
      </c>
      <c r="C22" s="70" t="s">
        <v>111</v>
      </c>
      <c r="D22" s="11"/>
      <c r="E22" s="11"/>
      <c r="F22" s="11"/>
      <c r="G22" s="11"/>
      <c r="H22" s="11"/>
      <c r="I22" s="11"/>
      <c r="J22" s="11"/>
      <c r="K22" s="47"/>
      <c r="L22" s="47"/>
      <c r="M22" s="47"/>
      <c r="N22" s="47"/>
      <c r="O22" s="47"/>
      <c r="P22" s="47"/>
      <c r="Q22" s="47"/>
      <c r="R22" s="47"/>
      <c r="S22" s="47"/>
      <c r="T22" s="47"/>
      <c r="U22" s="47"/>
      <c r="V22" s="47"/>
      <c r="W22" s="47"/>
      <c r="X22" s="47"/>
      <c r="Y22" s="47"/>
      <c r="Z22" s="47"/>
    </row>
    <row r="23" spans="1:26">
      <c r="A23" s="11"/>
      <c r="B23" s="11"/>
      <c r="C23" s="11"/>
      <c r="D23" s="11"/>
      <c r="E23" s="11"/>
      <c r="F23" s="11"/>
      <c r="G23" s="11"/>
      <c r="H23" s="11"/>
      <c r="I23" s="11"/>
      <c r="J23" s="11"/>
      <c r="K23" s="47"/>
      <c r="L23" s="47"/>
      <c r="M23" s="47"/>
      <c r="N23" s="47"/>
      <c r="O23" s="47"/>
      <c r="P23" s="47"/>
      <c r="Q23" s="47"/>
      <c r="R23" s="47"/>
      <c r="S23" s="47"/>
      <c r="T23" s="47"/>
      <c r="U23" s="47"/>
      <c r="V23" s="47"/>
      <c r="W23" s="47"/>
      <c r="X23" s="47"/>
      <c r="Y23" s="47"/>
      <c r="Z23" s="47"/>
    </row>
    <row r="24" spans="1:26">
      <c r="A24" s="67" t="s">
        <v>112</v>
      </c>
      <c r="B24" s="11"/>
      <c r="C24" s="11"/>
      <c r="D24" s="11"/>
      <c r="E24" s="11"/>
      <c r="F24" s="11"/>
      <c r="G24" s="11"/>
      <c r="H24" s="11"/>
      <c r="I24" s="11"/>
      <c r="J24" s="11"/>
      <c r="K24" s="47"/>
      <c r="L24" s="47"/>
      <c r="M24" s="47"/>
      <c r="N24" s="47"/>
      <c r="O24" s="47"/>
      <c r="P24" s="47"/>
      <c r="Q24" s="47"/>
      <c r="R24" s="47"/>
      <c r="S24" s="47"/>
      <c r="T24" s="47"/>
      <c r="U24" s="47"/>
      <c r="V24" s="47"/>
      <c r="W24" s="47"/>
      <c r="X24" s="47"/>
      <c r="Y24" s="47"/>
      <c r="Z24" s="47"/>
    </row>
    <row r="25" spans="1:26">
      <c r="A25" s="49" t="s">
        <v>113</v>
      </c>
      <c r="B25" s="49" t="s">
        <v>66</v>
      </c>
      <c r="C25" s="49" t="s">
        <v>67</v>
      </c>
      <c r="D25" s="49" t="s">
        <v>69</v>
      </c>
      <c r="E25" s="49" t="s">
        <v>107</v>
      </c>
      <c r="F25" s="49" t="s">
        <v>108</v>
      </c>
      <c r="G25" s="49" t="s">
        <v>3</v>
      </c>
      <c r="H25" s="49" t="s">
        <v>109</v>
      </c>
      <c r="I25" s="71" t="s">
        <v>114</v>
      </c>
      <c r="J25" s="72" t="s">
        <v>112</v>
      </c>
      <c r="K25" s="73" t="s">
        <v>115</v>
      </c>
      <c r="L25" s="74" t="s">
        <v>112</v>
      </c>
      <c r="M25" s="47"/>
      <c r="N25" s="47"/>
      <c r="O25" s="47"/>
      <c r="P25" s="47"/>
      <c r="Q25" s="47"/>
      <c r="R25" s="47"/>
      <c r="S25" s="47"/>
      <c r="T25" s="47"/>
      <c r="U25" s="47"/>
      <c r="V25" s="47"/>
      <c r="W25" s="47"/>
      <c r="X25" s="47"/>
      <c r="Y25" s="47"/>
      <c r="Z25" s="47"/>
    </row>
    <row r="26" spans="1:26">
      <c r="A26" s="11">
        <v>1</v>
      </c>
      <c r="B26" s="69">
        <v>3.3935332100000002</v>
      </c>
      <c r="C26" s="69">
        <v>2.3312733799999998</v>
      </c>
      <c r="D26" s="11">
        <v>0</v>
      </c>
      <c r="E26" s="69">
        <f t="shared" ref="E26:E35" si="1">($A$22-B26)^2</f>
        <v>2.5807355473729037</v>
      </c>
      <c r="F26" s="69">
        <f t="shared" ref="F26:F35" si="2">($B$22-C26)^2</f>
        <v>0.44719529229662464</v>
      </c>
      <c r="G26" s="69">
        <f t="shared" ref="G26:G35" si="3">SUM(E26:F26)</f>
        <v>3.0279308396695281</v>
      </c>
      <c r="H26" s="69">
        <f t="shared" ref="H26:H35" si="4">SQRT(G26)</f>
        <v>1.7400950662735437</v>
      </c>
      <c r="I26" s="75" t="s">
        <v>116</v>
      </c>
      <c r="J26" s="75">
        <f>MODE(D26, D29, D32)</f>
        <v>0</v>
      </c>
      <c r="K26" s="76" t="s">
        <v>116</v>
      </c>
      <c r="L26" s="77">
        <f>MODE(D26, D27, D29, D32, D34)</f>
        <v>0</v>
      </c>
      <c r="M26" s="47"/>
      <c r="N26" s="47"/>
      <c r="O26" s="47"/>
      <c r="P26" s="47"/>
      <c r="Q26" s="47"/>
      <c r="R26" s="47"/>
      <c r="S26" s="47"/>
      <c r="T26" s="47"/>
      <c r="U26" s="47"/>
      <c r="V26" s="47"/>
      <c r="W26" s="47"/>
      <c r="X26" s="47"/>
      <c r="Y26" s="47"/>
      <c r="Z26" s="47"/>
    </row>
    <row r="27" spans="1:26">
      <c r="A27" s="11">
        <v>2</v>
      </c>
      <c r="B27" s="69">
        <v>3.1100734800000001</v>
      </c>
      <c r="C27" s="69">
        <v>1.7815396400000001</v>
      </c>
      <c r="D27" s="11">
        <v>0</v>
      </c>
      <c r="E27" s="69">
        <f t="shared" si="1"/>
        <v>3.5718222509993103</v>
      </c>
      <c r="F27" s="69">
        <f t="shared" si="2"/>
        <v>1.4846456488913293</v>
      </c>
      <c r="G27" s="69">
        <f t="shared" si="3"/>
        <v>5.0564678998906398</v>
      </c>
      <c r="H27" s="69">
        <f t="shared" si="4"/>
        <v>2.2486591337707544</v>
      </c>
      <c r="I27" s="75"/>
      <c r="J27" s="75"/>
      <c r="K27" s="76" t="s">
        <v>116</v>
      </c>
      <c r="L27" s="76"/>
      <c r="M27" s="47"/>
      <c r="N27" s="47"/>
      <c r="O27" s="47"/>
      <c r="P27" s="47"/>
      <c r="Q27" s="47"/>
      <c r="R27" s="47"/>
      <c r="S27" s="47"/>
      <c r="T27" s="47"/>
      <c r="U27" s="47"/>
      <c r="V27" s="47"/>
      <c r="W27" s="47"/>
      <c r="X27" s="47"/>
      <c r="Y27" s="47"/>
      <c r="Z27" s="47"/>
    </row>
    <row r="28" spans="1:26">
      <c r="A28" s="11">
        <v>3</v>
      </c>
      <c r="B28" s="69">
        <v>1.34380883</v>
      </c>
      <c r="C28" s="69">
        <v>3.36836095</v>
      </c>
      <c r="D28" s="11">
        <v>0</v>
      </c>
      <c r="E28" s="69">
        <f t="shared" si="1"/>
        <v>13.367733871585969</v>
      </c>
      <c r="F28" s="69">
        <f t="shared" si="2"/>
        <v>0.13568978948490251</v>
      </c>
      <c r="G28" s="69">
        <f t="shared" si="3"/>
        <v>13.503423661070872</v>
      </c>
      <c r="H28" s="69">
        <f t="shared" si="4"/>
        <v>3.6747004858996157</v>
      </c>
      <c r="I28" s="75"/>
      <c r="J28" s="75"/>
      <c r="K28" s="76"/>
      <c r="L28" s="76"/>
      <c r="M28" s="47"/>
      <c r="N28" s="47"/>
      <c r="O28" s="47"/>
      <c r="P28" s="47"/>
      <c r="Q28" s="47"/>
      <c r="R28" s="47"/>
      <c r="S28" s="47"/>
      <c r="T28" s="47"/>
      <c r="U28" s="47"/>
      <c r="V28" s="47"/>
      <c r="W28" s="47"/>
      <c r="X28" s="47"/>
      <c r="Y28" s="47"/>
      <c r="Z28" s="47"/>
    </row>
    <row r="29" spans="1:26">
      <c r="A29" s="11">
        <v>4</v>
      </c>
      <c r="B29" s="69">
        <v>3.5822940399999998</v>
      </c>
      <c r="C29" s="69">
        <v>4.6791791099999998</v>
      </c>
      <c r="D29" s="11">
        <v>0</v>
      </c>
      <c r="E29" s="69">
        <f t="shared" si="1"/>
        <v>2.0098901890195222</v>
      </c>
      <c r="F29" s="69">
        <f t="shared" si="2"/>
        <v>2.8196424834603913</v>
      </c>
      <c r="G29" s="69">
        <f t="shared" si="3"/>
        <v>4.8295326724799139</v>
      </c>
      <c r="H29" s="69">
        <f t="shared" si="4"/>
        <v>2.1976197743194601</v>
      </c>
      <c r="I29" s="75" t="s">
        <v>116</v>
      </c>
      <c r="J29" s="75"/>
      <c r="K29" s="76" t="s">
        <v>116</v>
      </c>
      <c r="L29" s="76"/>
      <c r="M29" s="47"/>
      <c r="N29" s="47"/>
      <c r="O29" s="47"/>
      <c r="P29" s="47"/>
      <c r="Q29" s="47"/>
      <c r="R29" s="47"/>
      <c r="S29" s="47"/>
      <c r="T29" s="47"/>
      <c r="U29" s="47"/>
      <c r="V29" s="47"/>
      <c r="W29" s="47"/>
      <c r="X29" s="47"/>
      <c r="Y29" s="47"/>
      <c r="Z29" s="47"/>
    </row>
    <row r="30" spans="1:26">
      <c r="A30" s="11">
        <v>5</v>
      </c>
      <c r="B30" s="69">
        <v>2.2803624400000002</v>
      </c>
      <c r="C30" s="69">
        <v>2.8669902600000001</v>
      </c>
      <c r="D30" s="11">
        <v>0</v>
      </c>
      <c r="E30" s="69">
        <f t="shared" si="1"/>
        <v>7.3964284577627524</v>
      </c>
      <c r="F30" s="69">
        <f t="shared" si="2"/>
        <v>1.7691590934867565E-2</v>
      </c>
      <c r="G30" s="69">
        <f t="shared" si="3"/>
        <v>7.4141200486976198</v>
      </c>
      <c r="H30" s="69">
        <f t="shared" si="4"/>
        <v>2.7228881814532193</v>
      </c>
      <c r="I30" s="75"/>
      <c r="J30" s="75"/>
      <c r="K30" s="76"/>
      <c r="L30" s="76"/>
      <c r="M30" s="47"/>
      <c r="N30" s="47"/>
      <c r="O30" s="47"/>
      <c r="P30" s="47"/>
      <c r="Q30" s="47"/>
      <c r="R30" s="47"/>
      <c r="S30" s="47"/>
      <c r="T30" s="47"/>
      <c r="U30" s="47"/>
      <c r="V30" s="47"/>
      <c r="W30" s="47"/>
      <c r="X30" s="47"/>
      <c r="Y30" s="47"/>
      <c r="Z30" s="47"/>
    </row>
    <row r="31" spans="1:26">
      <c r="A31" s="11">
        <v>6</v>
      </c>
      <c r="B31" s="69">
        <v>7.4234369400000002</v>
      </c>
      <c r="C31" s="69">
        <v>4.6965228799999998</v>
      </c>
      <c r="D31" s="11">
        <v>1</v>
      </c>
      <c r="E31" s="69">
        <f t="shared" si="1"/>
        <v>5.8730466021565642</v>
      </c>
      <c r="F31" s="69">
        <f t="shared" si="2"/>
        <v>2.8781898823634937</v>
      </c>
      <c r="G31" s="69">
        <f t="shared" si="3"/>
        <v>8.7512364845200583</v>
      </c>
      <c r="H31" s="69">
        <f t="shared" si="4"/>
        <v>2.9582488881972151</v>
      </c>
      <c r="I31" s="75"/>
      <c r="J31" s="75"/>
      <c r="K31" s="76"/>
      <c r="L31" s="76"/>
      <c r="M31" s="47"/>
      <c r="N31" s="47"/>
      <c r="O31" s="47"/>
      <c r="P31" s="47"/>
      <c r="Q31" s="47"/>
      <c r="R31" s="47"/>
      <c r="S31" s="47"/>
      <c r="T31" s="47"/>
      <c r="U31" s="47"/>
      <c r="V31" s="47"/>
      <c r="W31" s="47"/>
      <c r="X31" s="47"/>
      <c r="Y31" s="47"/>
      <c r="Z31" s="47"/>
    </row>
    <row r="32" spans="1:26">
      <c r="A32" s="11">
        <v>7</v>
      </c>
      <c r="B32" s="69">
        <v>5.7450520000000003</v>
      </c>
      <c r="C32" s="69">
        <v>3.5339898000000001</v>
      </c>
      <c r="D32" s="11">
        <v>1</v>
      </c>
      <c r="E32" s="69">
        <f t="shared" si="1"/>
        <v>0.55510248270400042</v>
      </c>
      <c r="F32" s="69">
        <f t="shared" si="2"/>
        <v>0.28514510650404007</v>
      </c>
      <c r="G32" s="69">
        <f t="shared" si="3"/>
        <v>0.84024758920804055</v>
      </c>
      <c r="H32" s="69">
        <f t="shared" si="4"/>
        <v>0.91665020002618258</v>
      </c>
      <c r="I32" s="75" t="s">
        <v>116</v>
      </c>
      <c r="J32" s="75"/>
      <c r="K32" s="76" t="s">
        <v>116</v>
      </c>
      <c r="L32" s="76"/>
      <c r="M32" s="47"/>
      <c r="N32" s="47"/>
      <c r="O32" s="47"/>
      <c r="P32" s="47"/>
      <c r="Q32" s="47"/>
      <c r="R32" s="47"/>
      <c r="S32" s="47"/>
      <c r="T32" s="47"/>
      <c r="U32" s="47"/>
      <c r="V32" s="47"/>
      <c r="W32" s="47"/>
      <c r="X32" s="47"/>
      <c r="Y32" s="47"/>
      <c r="Z32" s="47"/>
    </row>
    <row r="33" spans="1:26">
      <c r="A33" s="11">
        <v>8</v>
      </c>
      <c r="B33" s="69">
        <v>9.1721686200000008</v>
      </c>
      <c r="C33" s="69">
        <v>2.5111010500000002</v>
      </c>
      <c r="D33" s="11">
        <v>1</v>
      </c>
      <c r="E33" s="69">
        <f t="shared" si="1"/>
        <v>17.406990993712711</v>
      </c>
      <c r="F33" s="69">
        <f t="shared" si="2"/>
        <v>0.23902218331110234</v>
      </c>
      <c r="G33" s="69">
        <f t="shared" si="3"/>
        <v>17.646013177023814</v>
      </c>
      <c r="H33" s="69">
        <f t="shared" si="4"/>
        <v>4.2007157934123338</v>
      </c>
      <c r="I33" s="75"/>
      <c r="J33" s="75"/>
      <c r="K33" s="76"/>
      <c r="L33" s="76"/>
      <c r="M33" s="47"/>
      <c r="N33" s="47"/>
      <c r="O33" s="47"/>
      <c r="P33" s="47"/>
      <c r="Q33" s="47"/>
      <c r="R33" s="47"/>
      <c r="S33" s="47"/>
      <c r="T33" s="47"/>
      <c r="U33" s="47"/>
      <c r="V33" s="47"/>
      <c r="W33" s="47"/>
      <c r="X33" s="47"/>
      <c r="Y33" s="47"/>
      <c r="Z33" s="47"/>
    </row>
    <row r="34" spans="1:26">
      <c r="A34" s="11">
        <v>9</v>
      </c>
      <c r="B34" s="69">
        <v>7.7927834799999998</v>
      </c>
      <c r="C34" s="69">
        <v>3.4240889399999999</v>
      </c>
      <c r="D34" s="11">
        <v>1</v>
      </c>
      <c r="E34" s="69">
        <f t="shared" si="1"/>
        <v>7.7996395661609093</v>
      </c>
      <c r="F34" s="69">
        <f t="shared" si="2"/>
        <v>0.17985142903032347</v>
      </c>
      <c r="G34" s="69">
        <f t="shared" si="3"/>
        <v>7.9794909951912327</v>
      </c>
      <c r="H34" s="69">
        <f t="shared" si="4"/>
        <v>2.8247992840538658</v>
      </c>
      <c r="I34" s="75"/>
      <c r="J34" s="75"/>
      <c r="K34" s="76" t="s">
        <v>116</v>
      </c>
      <c r="L34" s="76"/>
      <c r="M34" s="47"/>
      <c r="N34" s="47"/>
      <c r="O34" s="47"/>
      <c r="P34" s="47"/>
      <c r="Q34" s="47"/>
      <c r="R34" s="47"/>
      <c r="S34" s="47"/>
      <c r="T34" s="47"/>
      <c r="U34" s="47"/>
      <c r="V34" s="47"/>
      <c r="W34" s="47"/>
      <c r="X34" s="47"/>
      <c r="Y34" s="47"/>
      <c r="Z34" s="47"/>
    </row>
    <row r="35" spans="1:26">
      <c r="A35" s="11">
        <v>10</v>
      </c>
      <c r="B35" s="69">
        <v>7.9398208199999996</v>
      </c>
      <c r="C35" s="69">
        <v>0.79163722999999997</v>
      </c>
      <c r="D35" s="11">
        <v>1</v>
      </c>
      <c r="E35" s="69">
        <f t="shared" si="1"/>
        <v>8.642546453705469</v>
      </c>
      <c r="F35" s="69">
        <f t="shared" si="2"/>
        <v>4.8768661239220723</v>
      </c>
      <c r="G35" s="69">
        <f t="shared" si="3"/>
        <v>13.519412577627541</v>
      </c>
      <c r="H35" s="69">
        <f t="shared" si="4"/>
        <v>3.6768753823902629</v>
      </c>
      <c r="I35" s="75"/>
      <c r="J35" s="75"/>
      <c r="K35" s="76"/>
      <c r="L35" s="76"/>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sheetData>
  <mergeCells count="3">
    <mergeCell ref="A1:B1"/>
    <mergeCell ref="A15:B15"/>
    <mergeCell ref="A20:B20"/>
  </mergeCells>
  <phoneticPr fontId="33" type="noConversion"/>
  <hyperlinks>
    <hyperlink ref="K2" r:id="rId1" xr:uid="{00000000-0004-0000-0B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2"/>
  <sheetViews>
    <sheetView showGridLines="0" workbookViewId="0">
      <selection activeCell="G26" sqref="G26"/>
    </sheetView>
  </sheetViews>
  <sheetFormatPr defaultColWidth="12.6640625" defaultRowHeight="15.75" customHeight="1"/>
  <cols>
    <col min="1" max="1" width="27.33203125" customWidth="1"/>
    <col min="2" max="12" width="10.6640625" customWidth="1"/>
  </cols>
  <sheetData>
    <row r="1" spans="1:26">
      <c r="A1" s="40"/>
      <c r="B1" s="40"/>
      <c r="C1" s="40"/>
      <c r="D1" s="40"/>
      <c r="E1" s="40"/>
      <c r="F1" s="40"/>
      <c r="G1" s="40"/>
      <c r="H1" s="40"/>
      <c r="I1" s="40"/>
      <c r="J1" s="40"/>
      <c r="K1" s="40"/>
      <c r="L1" s="40"/>
      <c r="M1" s="40"/>
      <c r="N1" s="40"/>
      <c r="O1" s="40"/>
      <c r="P1" s="40"/>
      <c r="Q1" s="40"/>
      <c r="R1" s="40"/>
      <c r="S1" s="40"/>
      <c r="T1" s="40"/>
      <c r="U1" s="40"/>
      <c r="V1" s="40"/>
      <c r="W1" s="40"/>
      <c r="X1" s="40"/>
      <c r="Y1" s="40"/>
      <c r="Z1" s="40"/>
    </row>
    <row r="2" spans="1:26">
      <c r="A2" s="79" t="s">
        <v>119</v>
      </c>
      <c r="B2" s="41" t="s">
        <v>120</v>
      </c>
      <c r="C2" s="41" t="s">
        <v>121</v>
      </c>
      <c r="D2" s="41" t="s">
        <v>122</v>
      </c>
      <c r="E2" s="41" t="s">
        <v>123</v>
      </c>
      <c r="F2" s="41" t="s">
        <v>124</v>
      </c>
      <c r="G2" s="41" t="s">
        <v>125</v>
      </c>
      <c r="H2" s="41" t="s">
        <v>126</v>
      </c>
      <c r="I2" s="41" t="s">
        <v>127</v>
      </c>
      <c r="J2" s="41" t="s">
        <v>128</v>
      </c>
      <c r="K2" s="41" t="s">
        <v>129</v>
      </c>
      <c r="L2" s="41" t="s">
        <v>130</v>
      </c>
      <c r="M2" s="40"/>
      <c r="N2" s="40"/>
      <c r="O2" s="40"/>
      <c r="P2" s="40"/>
      <c r="Q2" s="40"/>
      <c r="R2" s="40"/>
      <c r="S2" s="40"/>
      <c r="T2" s="40"/>
      <c r="U2" s="40"/>
      <c r="V2" s="40"/>
      <c r="W2" s="40"/>
      <c r="X2" s="40"/>
      <c r="Y2" s="40"/>
      <c r="Z2" s="40"/>
    </row>
    <row r="3" spans="1:26">
      <c r="A3" s="80" t="s">
        <v>131</v>
      </c>
      <c r="B3" s="81">
        <v>10</v>
      </c>
      <c r="C3" s="81">
        <f t="shared" ref="C3:L3" si="0">B3-1</f>
        <v>9</v>
      </c>
      <c r="D3" s="81">
        <f t="shared" si="0"/>
        <v>8</v>
      </c>
      <c r="E3" s="81">
        <f t="shared" si="0"/>
        <v>7</v>
      </c>
      <c r="F3" s="81">
        <f t="shared" si="0"/>
        <v>6</v>
      </c>
      <c r="G3" s="81">
        <f t="shared" si="0"/>
        <v>5</v>
      </c>
      <c r="H3" s="81">
        <f t="shared" si="0"/>
        <v>4</v>
      </c>
      <c r="I3" s="81">
        <f t="shared" si="0"/>
        <v>3</v>
      </c>
      <c r="J3" s="81">
        <f t="shared" si="0"/>
        <v>2</v>
      </c>
      <c r="K3" s="81">
        <f t="shared" si="0"/>
        <v>1</v>
      </c>
      <c r="L3" s="81">
        <f t="shared" si="0"/>
        <v>0</v>
      </c>
      <c r="M3" s="40"/>
      <c r="N3" s="40"/>
      <c r="O3" s="40"/>
      <c r="P3" s="40"/>
      <c r="Q3" s="40"/>
      <c r="R3" s="40"/>
      <c r="S3" s="40"/>
      <c r="T3" s="40"/>
      <c r="U3" s="40"/>
      <c r="V3" s="40"/>
      <c r="W3" s="40"/>
      <c r="X3" s="40"/>
      <c r="Y3" s="40"/>
      <c r="Z3" s="40"/>
    </row>
    <row r="4" spans="1:26">
      <c r="A4" s="82" t="s">
        <v>132</v>
      </c>
      <c r="B4" s="83">
        <v>0</v>
      </c>
      <c r="C4" s="83">
        <f t="shared" ref="C4:L4" si="1">B4+1</f>
        <v>1</v>
      </c>
      <c r="D4" s="83">
        <f t="shared" si="1"/>
        <v>2</v>
      </c>
      <c r="E4" s="83">
        <f t="shared" si="1"/>
        <v>3</v>
      </c>
      <c r="F4" s="83">
        <f t="shared" si="1"/>
        <v>4</v>
      </c>
      <c r="G4" s="83">
        <f t="shared" si="1"/>
        <v>5</v>
      </c>
      <c r="H4" s="83">
        <f t="shared" si="1"/>
        <v>6</v>
      </c>
      <c r="I4" s="83">
        <f t="shared" si="1"/>
        <v>7</v>
      </c>
      <c r="J4" s="83">
        <f t="shared" si="1"/>
        <v>8</v>
      </c>
      <c r="K4" s="83">
        <f t="shared" si="1"/>
        <v>9</v>
      </c>
      <c r="L4" s="83">
        <f t="shared" si="1"/>
        <v>10</v>
      </c>
      <c r="M4" s="40"/>
      <c r="N4" s="40"/>
      <c r="O4" s="40"/>
      <c r="P4" s="40"/>
      <c r="Q4" s="40"/>
      <c r="R4" s="40"/>
      <c r="S4" s="40"/>
      <c r="T4" s="40"/>
      <c r="U4" s="40"/>
      <c r="V4" s="40"/>
      <c r="W4" s="40"/>
      <c r="X4" s="40"/>
      <c r="Y4" s="40"/>
      <c r="Z4" s="40"/>
    </row>
    <row r="5" spans="1:26">
      <c r="A5" s="84" t="s">
        <v>133</v>
      </c>
      <c r="B5" s="81">
        <v>0</v>
      </c>
      <c r="C5" s="81">
        <f t="shared" ref="C5:L5" si="2">C3/10</f>
        <v>0.9</v>
      </c>
      <c r="D5" s="81">
        <f t="shared" si="2"/>
        <v>0.8</v>
      </c>
      <c r="E5" s="81">
        <f t="shared" si="2"/>
        <v>0.7</v>
      </c>
      <c r="F5" s="81">
        <f t="shared" si="2"/>
        <v>0.6</v>
      </c>
      <c r="G5" s="81">
        <f t="shared" si="2"/>
        <v>0.5</v>
      </c>
      <c r="H5" s="81">
        <f t="shared" si="2"/>
        <v>0.4</v>
      </c>
      <c r="I5" s="81">
        <f t="shared" si="2"/>
        <v>0.3</v>
      </c>
      <c r="J5" s="81">
        <f t="shared" si="2"/>
        <v>0.2</v>
      </c>
      <c r="K5" s="81">
        <f t="shared" si="2"/>
        <v>0.1</v>
      </c>
      <c r="L5" s="81">
        <f t="shared" si="2"/>
        <v>0</v>
      </c>
      <c r="M5" s="40"/>
      <c r="N5" s="40"/>
      <c r="O5" s="40"/>
      <c r="P5" s="40"/>
      <c r="Q5" s="40"/>
      <c r="R5" s="40"/>
      <c r="S5" s="40"/>
      <c r="T5" s="40"/>
      <c r="U5" s="40"/>
      <c r="V5" s="40"/>
      <c r="W5" s="40"/>
      <c r="X5" s="40"/>
      <c r="Y5" s="40"/>
      <c r="Z5" s="40"/>
    </row>
    <row r="6" spans="1:26">
      <c r="A6" s="84" t="s">
        <v>134</v>
      </c>
      <c r="B6" s="81">
        <v>1</v>
      </c>
      <c r="C6" s="81">
        <f t="shared" ref="C6:L6" si="3">1-C5</f>
        <v>9.9999999999999978E-2</v>
      </c>
      <c r="D6" s="81">
        <f t="shared" si="3"/>
        <v>0.19999999999999996</v>
      </c>
      <c r="E6" s="81">
        <f t="shared" si="3"/>
        <v>0.30000000000000004</v>
      </c>
      <c r="F6" s="81">
        <f t="shared" si="3"/>
        <v>0.4</v>
      </c>
      <c r="G6" s="81">
        <f t="shared" si="3"/>
        <v>0.5</v>
      </c>
      <c r="H6" s="81">
        <f t="shared" si="3"/>
        <v>0.6</v>
      </c>
      <c r="I6" s="81">
        <f t="shared" si="3"/>
        <v>0.7</v>
      </c>
      <c r="J6" s="81">
        <f t="shared" si="3"/>
        <v>0.8</v>
      </c>
      <c r="K6" s="81">
        <f t="shared" si="3"/>
        <v>0.9</v>
      </c>
      <c r="L6" s="81">
        <f t="shared" si="3"/>
        <v>1</v>
      </c>
      <c r="M6" s="40"/>
      <c r="N6" s="40"/>
      <c r="O6" s="40"/>
      <c r="P6" s="40"/>
      <c r="Q6" s="40"/>
      <c r="R6" s="40"/>
      <c r="S6" s="40"/>
      <c r="T6" s="40"/>
      <c r="U6" s="40"/>
      <c r="V6" s="40"/>
      <c r="W6" s="40"/>
      <c r="X6" s="40"/>
      <c r="Y6" s="40"/>
      <c r="Z6" s="40"/>
    </row>
    <row r="7" spans="1:26">
      <c r="A7" s="85" t="s">
        <v>135</v>
      </c>
      <c r="B7" s="86">
        <f t="shared" ref="B7:L7" si="4">B5*B6</f>
        <v>0</v>
      </c>
      <c r="C7" s="86">
        <f t="shared" si="4"/>
        <v>8.9999999999999983E-2</v>
      </c>
      <c r="D7" s="86">
        <f t="shared" si="4"/>
        <v>0.15999999999999998</v>
      </c>
      <c r="E7" s="86">
        <f t="shared" si="4"/>
        <v>0.21000000000000002</v>
      </c>
      <c r="F7" s="86">
        <f t="shared" si="4"/>
        <v>0.24</v>
      </c>
      <c r="G7" s="86">
        <f t="shared" si="4"/>
        <v>0.25</v>
      </c>
      <c r="H7" s="86">
        <f t="shared" si="4"/>
        <v>0.24</v>
      </c>
      <c r="I7" s="86">
        <f t="shared" si="4"/>
        <v>0.21</v>
      </c>
      <c r="J7" s="86">
        <f t="shared" si="4"/>
        <v>0.16000000000000003</v>
      </c>
      <c r="K7" s="86">
        <f t="shared" si="4"/>
        <v>9.0000000000000011E-2</v>
      </c>
      <c r="L7" s="86">
        <f t="shared" si="4"/>
        <v>0</v>
      </c>
      <c r="M7" s="40"/>
      <c r="N7" s="40"/>
      <c r="O7" s="40"/>
      <c r="P7" s="40"/>
      <c r="Q7" s="40"/>
      <c r="R7" s="40"/>
      <c r="S7" s="40"/>
      <c r="T7" s="40"/>
      <c r="U7" s="40"/>
      <c r="V7" s="40"/>
      <c r="W7" s="40"/>
      <c r="X7" s="40"/>
      <c r="Y7" s="40"/>
      <c r="Z7" s="40"/>
    </row>
    <row r="8" spans="1:26">
      <c r="A8" s="87" t="s">
        <v>136</v>
      </c>
      <c r="B8" s="88">
        <f t="shared" ref="B8:L8" si="5">B7*2</f>
        <v>0</v>
      </c>
      <c r="C8" s="88">
        <f t="shared" si="5"/>
        <v>0.17999999999999997</v>
      </c>
      <c r="D8" s="88">
        <f t="shared" si="5"/>
        <v>0.31999999999999995</v>
      </c>
      <c r="E8" s="88">
        <f t="shared" si="5"/>
        <v>0.42000000000000004</v>
      </c>
      <c r="F8" s="88">
        <f t="shared" si="5"/>
        <v>0.48</v>
      </c>
      <c r="G8" s="88">
        <f t="shared" si="5"/>
        <v>0.5</v>
      </c>
      <c r="H8" s="88">
        <f t="shared" si="5"/>
        <v>0.48</v>
      </c>
      <c r="I8" s="88">
        <f t="shared" si="5"/>
        <v>0.42</v>
      </c>
      <c r="J8" s="88">
        <f t="shared" si="5"/>
        <v>0.32000000000000006</v>
      </c>
      <c r="K8" s="88">
        <f t="shared" si="5"/>
        <v>0.18000000000000002</v>
      </c>
      <c r="L8" s="88">
        <f t="shared" si="5"/>
        <v>0</v>
      </c>
      <c r="M8" s="40"/>
      <c r="N8" s="40"/>
      <c r="O8" s="40"/>
      <c r="P8" s="40"/>
      <c r="Q8" s="40"/>
      <c r="R8" s="40"/>
      <c r="S8" s="40"/>
      <c r="T8" s="40"/>
      <c r="U8" s="40"/>
      <c r="V8" s="40"/>
      <c r="W8" s="40"/>
      <c r="X8" s="40"/>
      <c r="Y8" s="40"/>
      <c r="Z8" s="40"/>
    </row>
    <row r="9" spans="1:26">
      <c r="A9" s="85" t="s">
        <v>137</v>
      </c>
      <c r="B9" s="89" t="e">
        <f t="shared" ref="B9:L9" si="6">-(B5*LOG(B5, 2) + (1-B5)*LOG((1-B5), 2))</f>
        <v>#NUM!</v>
      </c>
      <c r="C9" s="89">
        <f t="shared" si="6"/>
        <v>0.46899559358928117</v>
      </c>
      <c r="D9" s="89">
        <f t="shared" si="6"/>
        <v>0.72192809488736231</v>
      </c>
      <c r="E9" s="89">
        <f t="shared" si="6"/>
        <v>0.8812908992306927</v>
      </c>
      <c r="F9" s="89">
        <f t="shared" si="6"/>
        <v>0.97095059445466858</v>
      </c>
      <c r="G9" s="89">
        <f t="shared" si="6"/>
        <v>1</v>
      </c>
      <c r="H9" s="89">
        <f t="shared" si="6"/>
        <v>0.97095059445466858</v>
      </c>
      <c r="I9" s="89">
        <f t="shared" si="6"/>
        <v>0.8812908992306927</v>
      </c>
      <c r="J9" s="89">
        <f t="shared" si="6"/>
        <v>0.72192809488736231</v>
      </c>
      <c r="K9" s="89">
        <f t="shared" si="6"/>
        <v>0.46899559358928122</v>
      </c>
      <c r="L9" s="89" t="e">
        <f t="shared" si="6"/>
        <v>#NUM!</v>
      </c>
      <c r="M9" s="40"/>
      <c r="N9" s="40"/>
      <c r="O9" s="40"/>
      <c r="P9" s="40"/>
      <c r="Q9" s="40"/>
      <c r="R9" s="40"/>
      <c r="S9" s="40"/>
      <c r="T9" s="40"/>
      <c r="U9" s="40"/>
      <c r="V9" s="40"/>
      <c r="W9" s="40"/>
      <c r="X9" s="40"/>
      <c r="Y9" s="40"/>
      <c r="Z9" s="40"/>
    </row>
    <row r="10" spans="1:26">
      <c r="A10" s="85" t="s">
        <v>138</v>
      </c>
      <c r="B10" s="86">
        <f t="shared" ref="B10:L10" si="7">1-MAX(B5, (1-B5))</f>
        <v>0</v>
      </c>
      <c r="C10" s="86">
        <f t="shared" si="7"/>
        <v>9.9999999999999978E-2</v>
      </c>
      <c r="D10" s="86">
        <f t="shared" si="7"/>
        <v>0.19999999999999996</v>
      </c>
      <c r="E10" s="86">
        <f t="shared" si="7"/>
        <v>0.30000000000000004</v>
      </c>
      <c r="F10" s="86">
        <f t="shared" si="7"/>
        <v>0.4</v>
      </c>
      <c r="G10" s="86">
        <f t="shared" si="7"/>
        <v>0.5</v>
      </c>
      <c r="H10" s="86">
        <f t="shared" si="7"/>
        <v>0.4</v>
      </c>
      <c r="I10" s="86">
        <f t="shared" si="7"/>
        <v>0.30000000000000004</v>
      </c>
      <c r="J10" s="86">
        <f t="shared" si="7"/>
        <v>0.19999999999999996</v>
      </c>
      <c r="K10" s="86">
        <f t="shared" si="7"/>
        <v>9.9999999999999978E-2</v>
      </c>
      <c r="L10" s="86">
        <f t="shared" si="7"/>
        <v>0</v>
      </c>
      <c r="M10" s="40"/>
      <c r="N10" s="40"/>
      <c r="O10" s="40"/>
      <c r="P10" s="40"/>
      <c r="Q10" s="40"/>
      <c r="R10" s="40"/>
      <c r="S10" s="40"/>
      <c r="T10" s="40"/>
      <c r="U10" s="40"/>
      <c r="V10" s="40"/>
      <c r="W10" s="40"/>
      <c r="X10" s="40"/>
      <c r="Y10" s="40"/>
      <c r="Z10" s="40"/>
    </row>
    <row r="11" spans="1:26">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c r="A28" s="79" t="s">
        <v>119</v>
      </c>
      <c r="B28" s="41" t="s">
        <v>120</v>
      </c>
      <c r="C28" s="41" t="s">
        <v>121</v>
      </c>
      <c r="D28" s="41" t="s">
        <v>122</v>
      </c>
      <c r="E28" s="41" t="s">
        <v>123</v>
      </c>
      <c r="F28" s="41" t="s">
        <v>124</v>
      </c>
      <c r="G28" s="41" t="s">
        <v>125</v>
      </c>
      <c r="H28" s="41" t="s">
        <v>126</v>
      </c>
      <c r="I28" s="41" t="s">
        <v>127</v>
      </c>
      <c r="J28" s="41" t="s">
        <v>128</v>
      </c>
      <c r="K28" s="41" t="s">
        <v>129</v>
      </c>
      <c r="L28" s="41" t="s">
        <v>130</v>
      </c>
      <c r="M28" s="40"/>
      <c r="N28" s="40"/>
      <c r="O28" s="40"/>
      <c r="P28" s="40"/>
      <c r="Q28" s="40"/>
      <c r="R28" s="40"/>
      <c r="S28" s="40"/>
      <c r="T28" s="40"/>
      <c r="U28" s="40"/>
      <c r="V28" s="40"/>
      <c r="W28" s="40"/>
      <c r="X28" s="40"/>
      <c r="Y28" s="40"/>
      <c r="Z28" s="40"/>
    </row>
    <row r="29" spans="1:26">
      <c r="A29" s="40" t="s">
        <v>139</v>
      </c>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c r="A30" s="84" t="s">
        <v>140</v>
      </c>
      <c r="B30" s="90" t="e">
        <f t="shared" ref="B30:L30" si="8">1/B5</f>
        <v>#DIV/0!</v>
      </c>
      <c r="C30" s="90">
        <f t="shared" si="8"/>
        <v>1.1111111111111112</v>
      </c>
      <c r="D30" s="90">
        <f t="shared" si="8"/>
        <v>1.25</v>
      </c>
      <c r="E30" s="90">
        <f t="shared" si="8"/>
        <v>1.4285714285714286</v>
      </c>
      <c r="F30" s="90">
        <f t="shared" si="8"/>
        <v>1.6666666666666667</v>
      </c>
      <c r="G30" s="90">
        <f t="shared" si="8"/>
        <v>2</v>
      </c>
      <c r="H30" s="90">
        <f t="shared" si="8"/>
        <v>2.5</v>
      </c>
      <c r="I30" s="90">
        <f t="shared" si="8"/>
        <v>3.3333333333333335</v>
      </c>
      <c r="J30" s="90">
        <f t="shared" si="8"/>
        <v>5</v>
      </c>
      <c r="K30" s="90">
        <f t="shared" si="8"/>
        <v>10</v>
      </c>
      <c r="L30" s="90" t="e">
        <f t="shared" si="8"/>
        <v>#DIV/0!</v>
      </c>
      <c r="M30" s="40"/>
      <c r="N30" s="40"/>
      <c r="O30" s="40"/>
      <c r="P30" s="40"/>
      <c r="Q30" s="40"/>
      <c r="R30" s="40"/>
      <c r="S30" s="40"/>
      <c r="T30" s="40"/>
      <c r="U30" s="40"/>
      <c r="V30" s="40"/>
      <c r="W30" s="40"/>
      <c r="X30" s="40"/>
      <c r="Y30" s="40"/>
      <c r="Z30" s="40"/>
    </row>
    <row r="31" spans="1:26">
      <c r="A31" s="84" t="s">
        <v>141</v>
      </c>
      <c r="B31" s="90">
        <f t="shared" ref="B31:L31" si="9">1/B6</f>
        <v>1</v>
      </c>
      <c r="C31" s="90">
        <f t="shared" si="9"/>
        <v>10.000000000000002</v>
      </c>
      <c r="D31" s="90">
        <f t="shared" si="9"/>
        <v>5.0000000000000009</v>
      </c>
      <c r="E31" s="90">
        <f t="shared" si="9"/>
        <v>3.333333333333333</v>
      </c>
      <c r="F31" s="90">
        <f t="shared" si="9"/>
        <v>2.5</v>
      </c>
      <c r="G31" s="90">
        <f t="shared" si="9"/>
        <v>2</v>
      </c>
      <c r="H31" s="90">
        <f t="shared" si="9"/>
        <v>1.6666666666666667</v>
      </c>
      <c r="I31" s="90">
        <f t="shared" si="9"/>
        <v>1.4285714285714286</v>
      </c>
      <c r="J31" s="90">
        <f t="shared" si="9"/>
        <v>1.25</v>
      </c>
      <c r="K31" s="90">
        <f t="shared" si="9"/>
        <v>1.1111111111111112</v>
      </c>
      <c r="L31" s="90">
        <f t="shared" si="9"/>
        <v>1</v>
      </c>
      <c r="M31" s="40"/>
      <c r="N31" s="40"/>
      <c r="O31" s="40"/>
      <c r="P31" s="40"/>
      <c r="Q31" s="40"/>
      <c r="R31" s="40"/>
      <c r="S31" s="40"/>
      <c r="T31" s="40"/>
      <c r="U31" s="40"/>
      <c r="V31" s="40"/>
      <c r="W31" s="40"/>
      <c r="X31" s="40"/>
      <c r="Y31" s="40"/>
      <c r="Z31" s="40"/>
    </row>
    <row r="32" spans="1:26">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spans="1:26">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sheetData>
  <phoneticPr fontId="33"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Q47"/>
  <sheetViews>
    <sheetView showGridLines="0" zoomScale="76" workbookViewId="0">
      <selection activeCell="E3" sqref="E3"/>
    </sheetView>
  </sheetViews>
  <sheetFormatPr defaultColWidth="12.6640625" defaultRowHeight="15.75" customHeight="1"/>
  <cols>
    <col min="1" max="1" width="16.109375" style="224" customWidth="1"/>
    <col min="2" max="2" width="18.77734375" style="224" bestFit="1" customWidth="1"/>
    <col min="3" max="3" width="12.6640625" style="224"/>
    <col min="4" max="4" width="50.6640625" style="224" bestFit="1" customWidth="1"/>
    <col min="5" max="6" width="12.6640625" style="224"/>
    <col min="7" max="7" width="6.6640625" style="224" customWidth="1"/>
    <col min="8" max="8" width="16" style="224" customWidth="1"/>
    <col min="9" max="10" width="12.6640625" style="224"/>
    <col min="11" max="11" width="25.33203125" style="224" customWidth="1"/>
    <col min="12" max="12" width="7.6640625" style="224" customWidth="1"/>
    <col min="13" max="13" width="7.88671875" style="224" customWidth="1"/>
    <col min="14" max="14" width="12.6640625" style="224"/>
    <col min="15" max="15" width="13.44140625" style="224" bestFit="1" customWidth="1"/>
    <col min="16" max="16384" width="12.6640625" style="224"/>
  </cols>
  <sheetData>
    <row r="1" spans="1:17" ht="15.6">
      <c r="A1" s="220" t="s">
        <v>142</v>
      </c>
      <c r="B1" s="221" t="s">
        <v>143</v>
      </c>
      <c r="C1" s="221" t="s">
        <v>144</v>
      </c>
      <c r="D1" s="221" t="s">
        <v>145</v>
      </c>
      <c r="E1" s="222" t="s">
        <v>146</v>
      </c>
      <c r="F1" s="223" t="s">
        <v>147</v>
      </c>
      <c r="H1" s="225" t="s">
        <v>148</v>
      </c>
      <c r="I1" s="226"/>
      <c r="J1" s="227" t="s">
        <v>149</v>
      </c>
      <c r="K1" s="226"/>
    </row>
    <row r="2" spans="1:17" ht="15.6">
      <c r="A2" s="228" t="s">
        <v>150</v>
      </c>
      <c r="B2" s="229" t="s">
        <v>151</v>
      </c>
      <c r="C2" s="229" t="s">
        <v>148</v>
      </c>
      <c r="D2" s="229" t="s">
        <v>152</v>
      </c>
      <c r="E2" s="230" t="s">
        <v>153</v>
      </c>
      <c r="F2" s="231" t="s">
        <v>154</v>
      </c>
      <c r="H2" s="232" t="s">
        <v>155</v>
      </c>
      <c r="I2" s="232" t="s">
        <v>156</v>
      </c>
      <c r="J2" s="233" t="s">
        <v>157</v>
      </c>
      <c r="K2" s="233" t="s">
        <v>158</v>
      </c>
    </row>
    <row r="3" spans="1:17" ht="15.6">
      <c r="A3" s="222">
        <v>0.5</v>
      </c>
      <c r="B3" s="234">
        <v>1</v>
      </c>
      <c r="C3" s="234" t="s">
        <v>159</v>
      </c>
      <c r="D3" s="234">
        <f t="shared" ref="D3:D7" ca="1" si="0">INT(RAND()*70+30)/100</f>
        <v>0.75</v>
      </c>
      <c r="E3" s="234" t="str">
        <f t="shared" ref="E3:E42" ca="1" si="1">IF(D3&gt;$A$3, "Positive", "Negative")</f>
        <v>Positive</v>
      </c>
      <c r="F3" s="234" t="str">
        <f t="shared" ref="F3:F42" ca="1" si="2">IF(AND(C3="Yes", E3="Positive"), "TP", IF(AND(C3="Yes", E3="Negative"), "FN", IF(AND(C3="No", E3="Positive"), "FP", IF(AND(C3="No", E3="Negative"), "TN", ""))))</f>
        <v>TP</v>
      </c>
      <c r="H3" s="235">
        <f>COUNTIF(C3:C42, "=Yes")</f>
        <v>5</v>
      </c>
      <c r="I3" s="235">
        <f>COUNTIF(C3:C42, "=No")</f>
        <v>35</v>
      </c>
      <c r="J3" s="235">
        <f ca="1">COUNTIF(E3:E42, "=Positive")</f>
        <v>18</v>
      </c>
      <c r="K3" s="235">
        <f ca="1">COUNTIF(E3:E42, "=Negative")</f>
        <v>22</v>
      </c>
    </row>
    <row r="4" spans="1:17" ht="15">
      <c r="A4" s="236" t="s">
        <v>160</v>
      </c>
      <c r="B4" s="234">
        <f t="shared" ref="B4:B42" si="3">B3+1</f>
        <v>2</v>
      </c>
      <c r="C4" s="234" t="s">
        <v>159</v>
      </c>
      <c r="D4" s="234">
        <f t="shared" ca="1" si="0"/>
        <v>0.32</v>
      </c>
      <c r="E4" s="234" t="str">
        <f t="shared" ca="1" si="1"/>
        <v>Negative</v>
      </c>
      <c r="F4" s="234" t="str">
        <f t="shared" ca="1" si="2"/>
        <v>FN</v>
      </c>
    </row>
    <row r="5" spans="1:17" ht="15">
      <c r="B5" s="234">
        <f t="shared" si="3"/>
        <v>3</v>
      </c>
      <c r="C5" s="234" t="s">
        <v>159</v>
      </c>
      <c r="D5" s="234">
        <f t="shared" ca="1" si="0"/>
        <v>0.59</v>
      </c>
      <c r="E5" s="234" t="str">
        <f t="shared" ca="1" si="1"/>
        <v>Positive</v>
      </c>
      <c r="F5" s="234" t="str">
        <f t="shared" ca="1" si="2"/>
        <v>TP</v>
      </c>
    </row>
    <row r="6" spans="1:17" ht="15">
      <c r="B6" s="234">
        <f t="shared" si="3"/>
        <v>4</v>
      </c>
      <c r="C6" s="234" t="s">
        <v>159</v>
      </c>
      <c r="D6" s="234">
        <f t="shared" ca="1" si="0"/>
        <v>0.88</v>
      </c>
      <c r="E6" s="234" t="str">
        <f t="shared" ca="1" si="1"/>
        <v>Positive</v>
      </c>
      <c r="F6" s="234" t="str">
        <f t="shared" ca="1" si="2"/>
        <v>TP</v>
      </c>
      <c r="H6" s="237" t="s">
        <v>161</v>
      </c>
      <c r="I6" s="238" t="s">
        <v>158</v>
      </c>
      <c r="J6" s="238" t="s">
        <v>157</v>
      </c>
      <c r="K6" s="239" t="s">
        <v>162</v>
      </c>
      <c r="L6" s="240"/>
      <c r="M6" s="241"/>
    </row>
    <row r="7" spans="1:17" ht="15">
      <c r="B7" s="234">
        <f t="shared" si="3"/>
        <v>5</v>
      </c>
      <c r="C7" s="234" t="s">
        <v>159</v>
      </c>
      <c r="D7" s="234">
        <f t="shared" ca="1" si="0"/>
        <v>0.7</v>
      </c>
      <c r="E7" s="234" t="str">
        <f t="shared" ca="1" si="1"/>
        <v>Positive</v>
      </c>
      <c r="F7" s="234" t="str">
        <f t="shared" ca="1" si="2"/>
        <v>TP</v>
      </c>
      <c r="H7" s="242" t="s">
        <v>163</v>
      </c>
      <c r="I7" s="243">
        <f ca="1">COUNTIF(F3:F42, "TN")</f>
        <v>21</v>
      </c>
      <c r="J7" s="244">
        <f ca="1">COUNTIF(F3:F42, "FP")</f>
        <v>14</v>
      </c>
      <c r="K7" s="245">
        <f t="shared" ref="K7:K8" ca="1" si="4">SUM(I7:J7)</f>
        <v>35</v>
      </c>
      <c r="L7" s="234" t="s">
        <v>164</v>
      </c>
      <c r="M7" s="246" t="s">
        <v>165</v>
      </c>
    </row>
    <row r="8" spans="1:17" ht="15">
      <c r="B8" s="234">
        <f t="shared" si="3"/>
        <v>6</v>
      </c>
      <c r="C8" s="234" t="s">
        <v>163</v>
      </c>
      <c r="D8" s="247">
        <f t="shared" ref="D8:D42" ca="1" si="5">INT(RAND()*50+20)/100</f>
        <v>0.54</v>
      </c>
      <c r="E8" s="234" t="str">
        <f t="shared" ca="1" si="1"/>
        <v>Positive</v>
      </c>
      <c r="F8" s="234" t="str">
        <f t="shared" ca="1" si="2"/>
        <v>FP</v>
      </c>
      <c r="H8" s="242" t="s">
        <v>159</v>
      </c>
      <c r="I8" s="248">
        <f ca="1">COUNTIF(F3:F42, "FN")</f>
        <v>1</v>
      </c>
      <c r="J8" s="249">
        <f ca="1">COUNTIF(F3:F42, "TP")</f>
        <v>4</v>
      </c>
      <c r="K8" s="250">
        <f t="shared" ca="1" si="4"/>
        <v>5</v>
      </c>
      <c r="L8" s="234" t="s">
        <v>166</v>
      </c>
      <c r="M8" s="246" t="s">
        <v>167</v>
      </c>
    </row>
    <row r="9" spans="1:17" ht="15">
      <c r="B9" s="234">
        <f t="shared" si="3"/>
        <v>7</v>
      </c>
      <c r="C9" s="234" t="s">
        <v>163</v>
      </c>
      <c r="D9" s="247">
        <f t="shared" ca="1" si="5"/>
        <v>0.31</v>
      </c>
      <c r="E9" s="234" t="str">
        <f t="shared" ca="1" si="1"/>
        <v>Negative</v>
      </c>
      <c r="F9" s="234" t="str">
        <f t="shared" ca="1" si="2"/>
        <v>TN</v>
      </c>
      <c r="H9" s="251"/>
      <c r="I9" s="248">
        <f t="shared" ref="I9:K9" ca="1" si="6">SUM(I7:I8)</f>
        <v>22</v>
      </c>
      <c r="J9" s="249">
        <f t="shared" ca="1" si="6"/>
        <v>18</v>
      </c>
      <c r="K9" s="250">
        <f t="shared" ca="1" si="6"/>
        <v>40</v>
      </c>
      <c r="L9" s="252"/>
      <c r="M9" s="243"/>
    </row>
    <row r="10" spans="1:17" ht="15">
      <c r="B10" s="234">
        <f t="shared" si="3"/>
        <v>8</v>
      </c>
      <c r="C10" s="234" t="s">
        <v>163</v>
      </c>
      <c r="D10" s="247">
        <f t="shared" ca="1" si="5"/>
        <v>0.65</v>
      </c>
      <c r="E10" s="234" t="str">
        <f t="shared" ca="1" si="1"/>
        <v>Positive</v>
      </c>
      <c r="F10" s="234" t="str">
        <f t="shared" ca="1" si="2"/>
        <v>FP</v>
      </c>
      <c r="H10" s="236" t="s">
        <v>168</v>
      </c>
    </row>
    <row r="11" spans="1:17" ht="15.6" thickBot="1">
      <c r="B11" s="234">
        <f t="shared" si="3"/>
        <v>9</v>
      </c>
      <c r="C11" s="234" t="s">
        <v>163</v>
      </c>
      <c r="D11" s="247">
        <f t="shared" ca="1" si="5"/>
        <v>0.69</v>
      </c>
      <c r="E11" s="234" t="str">
        <f t="shared" ca="1" si="1"/>
        <v>Positive</v>
      </c>
      <c r="F11" s="234" t="str">
        <f t="shared" ca="1" si="2"/>
        <v>FP</v>
      </c>
      <c r="H11" s="249" t="s">
        <v>86</v>
      </c>
      <c r="I11" s="249" t="s">
        <v>169</v>
      </c>
      <c r="J11" s="253">
        <f ca="1">(I7+J8)/K9</f>
        <v>0.625</v>
      </c>
    </row>
    <row r="12" spans="1:17" ht="16.2" thickBot="1">
      <c r="B12" s="234">
        <f t="shared" si="3"/>
        <v>10</v>
      </c>
      <c r="C12" s="234" t="s">
        <v>163</v>
      </c>
      <c r="D12" s="247">
        <f t="shared" ca="1" si="5"/>
        <v>0.36</v>
      </c>
      <c r="E12" s="234" t="str">
        <f t="shared" ca="1" si="1"/>
        <v>Negative</v>
      </c>
      <c r="F12" s="234" t="str">
        <f t="shared" ca="1" si="2"/>
        <v>TN</v>
      </c>
      <c r="H12" s="254" t="s">
        <v>170</v>
      </c>
      <c r="I12" s="254" t="s">
        <v>171</v>
      </c>
      <c r="J12" s="255">
        <f ca="1">J8/K8</f>
        <v>0.8</v>
      </c>
      <c r="K12" s="236" t="s">
        <v>172</v>
      </c>
      <c r="O12" s="256" t="s">
        <v>355</v>
      </c>
      <c r="P12" s="257">
        <f ca="1">J7/K7</f>
        <v>0.4</v>
      </c>
      <c r="Q12" s="224" t="s">
        <v>358</v>
      </c>
    </row>
    <row r="13" spans="1:17" ht="15">
      <c r="B13" s="234">
        <f t="shared" si="3"/>
        <v>11</v>
      </c>
      <c r="C13" s="234" t="s">
        <v>163</v>
      </c>
      <c r="D13" s="247">
        <f t="shared" ca="1" si="5"/>
        <v>0.5</v>
      </c>
      <c r="E13" s="234" t="str">
        <f t="shared" ca="1" si="1"/>
        <v>Negative</v>
      </c>
      <c r="F13" s="234" t="str">
        <f t="shared" ca="1" si="2"/>
        <v>TN</v>
      </c>
      <c r="H13" s="254" t="s">
        <v>173</v>
      </c>
      <c r="I13" s="254" t="s">
        <v>174</v>
      </c>
      <c r="J13" s="255">
        <f ca="1">J8/J9</f>
        <v>0.22222222222222221</v>
      </c>
      <c r="K13" s="236" t="s">
        <v>175</v>
      </c>
      <c r="O13" s="258" t="s">
        <v>356</v>
      </c>
    </row>
    <row r="14" spans="1:17" ht="15">
      <c r="B14" s="234">
        <f t="shared" si="3"/>
        <v>12</v>
      </c>
      <c r="C14" s="234" t="s">
        <v>163</v>
      </c>
      <c r="D14" s="247">
        <f t="shared" ca="1" si="5"/>
        <v>0.6</v>
      </c>
      <c r="E14" s="234" t="str">
        <f t="shared" ca="1" si="1"/>
        <v>Positive</v>
      </c>
      <c r="F14" s="234" t="str">
        <f t="shared" ca="1" si="2"/>
        <v>FP</v>
      </c>
      <c r="H14" s="249" t="s">
        <v>176</v>
      </c>
      <c r="I14" s="249" t="s">
        <v>177</v>
      </c>
      <c r="J14" s="253">
        <f ca="1">I7/K7</f>
        <v>0.6</v>
      </c>
      <c r="K14" s="259" t="s">
        <v>178</v>
      </c>
    </row>
    <row r="15" spans="1:17" ht="15">
      <c r="B15" s="234">
        <f t="shared" si="3"/>
        <v>13</v>
      </c>
      <c r="C15" s="234" t="s">
        <v>163</v>
      </c>
      <c r="D15" s="247">
        <f t="shared" ca="1" si="5"/>
        <v>0.49</v>
      </c>
      <c r="E15" s="234" t="str">
        <f t="shared" ca="1" si="1"/>
        <v>Negative</v>
      </c>
      <c r="F15" s="234" t="str">
        <f t="shared" ca="1" si="2"/>
        <v>TN</v>
      </c>
      <c r="H15" s="249" t="s">
        <v>179</v>
      </c>
      <c r="I15" s="249" t="s">
        <v>180</v>
      </c>
      <c r="J15" s="253">
        <f ca="1">2*J12*J13/(J12+J13)</f>
        <v>0.34782608695652178</v>
      </c>
    </row>
    <row r="16" spans="1:17" ht="15">
      <c r="B16" s="234">
        <f t="shared" si="3"/>
        <v>14</v>
      </c>
      <c r="C16" s="234" t="s">
        <v>163</v>
      </c>
      <c r="D16" s="247">
        <f t="shared" ca="1" si="5"/>
        <v>0.25</v>
      </c>
      <c r="E16" s="234" t="str">
        <f t="shared" ca="1" si="1"/>
        <v>Negative</v>
      </c>
      <c r="F16" s="234" t="str">
        <f t="shared" ca="1" si="2"/>
        <v>TN</v>
      </c>
    </row>
    <row r="17" spans="2:10" ht="15">
      <c r="B17" s="234">
        <f t="shared" si="3"/>
        <v>15</v>
      </c>
      <c r="C17" s="234" t="s">
        <v>163</v>
      </c>
      <c r="D17" s="247">
        <f t="shared" ca="1" si="5"/>
        <v>0.35</v>
      </c>
      <c r="E17" s="234" t="str">
        <f t="shared" ca="1" si="1"/>
        <v>Negative</v>
      </c>
      <c r="F17" s="234" t="str">
        <f t="shared" ca="1" si="2"/>
        <v>TN</v>
      </c>
      <c r="H17" s="236" t="s">
        <v>181</v>
      </c>
    </row>
    <row r="18" spans="2:10" ht="15">
      <c r="B18" s="234">
        <f t="shared" si="3"/>
        <v>16</v>
      </c>
      <c r="C18" s="234" t="s">
        <v>163</v>
      </c>
      <c r="D18" s="247">
        <f t="shared" ca="1" si="5"/>
        <v>0.56999999999999995</v>
      </c>
      <c r="E18" s="234" t="str">
        <f t="shared" ca="1" si="1"/>
        <v>Positive</v>
      </c>
      <c r="F18" s="234" t="str">
        <f t="shared" ca="1" si="2"/>
        <v>FP</v>
      </c>
      <c r="H18" s="236" t="s">
        <v>182</v>
      </c>
    </row>
    <row r="19" spans="2:10" ht="15">
      <c r="B19" s="234">
        <f t="shared" si="3"/>
        <v>17</v>
      </c>
      <c r="C19" s="234" t="s">
        <v>163</v>
      </c>
      <c r="D19" s="247">
        <f t="shared" ca="1" si="5"/>
        <v>0.44</v>
      </c>
      <c r="E19" s="234" t="str">
        <f t="shared" ca="1" si="1"/>
        <v>Negative</v>
      </c>
      <c r="F19" s="234" t="str">
        <f t="shared" ca="1" si="2"/>
        <v>TN</v>
      </c>
      <c r="H19" s="236" t="s">
        <v>183</v>
      </c>
    </row>
    <row r="20" spans="2:10" ht="15">
      <c r="B20" s="234">
        <f t="shared" si="3"/>
        <v>18</v>
      </c>
      <c r="C20" s="234" t="s">
        <v>163</v>
      </c>
      <c r="D20" s="247">
        <f t="shared" ca="1" si="5"/>
        <v>0.49</v>
      </c>
      <c r="E20" s="234" t="str">
        <f t="shared" ca="1" si="1"/>
        <v>Negative</v>
      </c>
      <c r="F20" s="234" t="str">
        <f t="shared" ca="1" si="2"/>
        <v>TN</v>
      </c>
    </row>
    <row r="21" spans="2:10" ht="15">
      <c r="B21" s="234">
        <f t="shared" si="3"/>
        <v>19</v>
      </c>
      <c r="C21" s="234" t="s">
        <v>163</v>
      </c>
      <c r="D21" s="247">
        <f t="shared" ca="1" si="5"/>
        <v>0.4</v>
      </c>
      <c r="E21" s="234" t="str">
        <f t="shared" ca="1" si="1"/>
        <v>Negative</v>
      </c>
      <c r="F21" s="234" t="str">
        <f t="shared" ca="1" si="2"/>
        <v>TN</v>
      </c>
    </row>
    <row r="22" spans="2:10" ht="15">
      <c r="B22" s="234">
        <f t="shared" si="3"/>
        <v>20</v>
      </c>
      <c r="C22" s="234" t="s">
        <v>163</v>
      </c>
      <c r="D22" s="247">
        <f t="shared" ca="1" si="5"/>
        <v>0.57999999999999996</v>
      </c>
      <c r="E22" s="234" t="str">
        <f t="shared" ca="1" si="1"/>
        <v>Positive</v>
      </c>
      <c r="F22" s="234" t="str">
        <f t="shared" ca="1" si="2"/>
        <v>FP</v>
      </c>
    </row>
    <row r="23" spans="2:10" ht="15.6">
      <c r="B23" s="234">
        <f t="shared" si="3"/>
        <v>21</v>
      </c>
      <c r="C23" s="234" t="s">
        <v>163</v>
      </c>
      <c r="D23" s="247">
        <f t="shared" ca="1" si="5"/>
        <v>0.48</v>
      </c>
      <c r="E23" s="234" t="str">
        <f t="shared" ca="1" si="1"/>
        <v>Negative</v>
      </c>
      <c r="F23" s="234" t="str">
        <f t="shared" ca="1" si="2"/>
        <v>TN</v>
      </c>
      <c r="H23" s="131" t="s">
        <v>184</v>
      </c>
    </row>
    <row r="24" spans="2:10" ht="15">
      <c r="B24" s="234">
        <f t="shared" si="3"/>
        <v>22</v>
      </c>
      <c r="C24" s="234" t="s">
        <v>163</v>
      </c>
      <c r="D24" s="247">
        <f t="shared" ca="1" si="5"/>
        <v>0.61</v>
      </c>
      <c r="E24" s="234" t="str">
        <f t="shared" ca="1" si="1"/>
        <v>Positive</v>
      </c>
      <c r="F24" s="234" t="str">
        <f t="shared" ca="1" si="2"/>
        <v>FP</v>
      </c>
      <c r="H24" s="236" t="s">
        <v>161</v>
      </c>
      <c r="I24" s="233" t="s">
        <v>158</v>
      </c>
      <c r="J24" s="233" t="s">
        <v>157</v>
      </c>
    </row>
    <row r="25" spans="2:10" ht="15">
      <c r="B25" s="234">
        <f t="shared" si="3"/>
        <v>23</v>
      </c>
      <c r="C25" s="234" t="s">
        <v>163</v>
      </c>
      <c r="D25" s="247">
        <f t="shared" ca="1" si="5"/>
        <v>0.36</v>
      </c>
      <c r="E25" s="234" t="str">
        <f t="shared" ca="1" si="1"/>
        <v>Negative</v>
      </c>
      <c r="F25" s="234" t="str">
        <f t="shared" ca="1" si="2"/>
        <v>TN</v>
      </c>
      <c r="H25" s="260" t="s">
        <v>163</v>
      </c>
      <c r="I25" s="243">
        <v>15</v>
      </c>
      <c r="J25" s="244">
        <v>20</v>
      </c>
    </row>
    <row r="26" spans="2:10" ht="15">
      <c r="B26" s="234">
        <f t="shared" si="3"/>
        <v>24</v>
      </c>
      <c r="C26" s="234" t="s">
        <v>163</v>
      </c>
      <c r="D26" s="247">
        <f t="shared" ca="1" si="5"/>
        <v>0.2</v>
      </c>
      <c r="E26" s="234" t="str">
        <f t="shared" ca="1" si="1"/>
        <v>Negative</v>
      </c>
      <c r="F26" s="234" t="str">
        <f t="shared" ca="1" si="2"/>
        <v>TN</v>
      </c>
      <c r="H26" s="260" t="s">
        <v>159</v>
      </c>
      <c r="I26" s="248">
        <v>20</v>
      </c>
      <c r="J26" s="249">
        <v>30</v>
      </c>
    </row>
    <row r="27" spans="2:10" ht="15">
      <c r="B27" s="234">
        <f t="shared" si="3"/>
        <v>25</v>
      </c>
      <c r="C27" s="234" t="s">
        <v>163</v>
      </c>
      <c r="D27" s="247">
        <f t="shared" ca="1" si="5"/>
        <v>0.35</v>
      </c>
      <c r="E27" s="234" t="str">
        <f t="shared" ca="1" si="1"/>
        <v>Negative</v>
      </c>
      <c r="F27" s="234" t="str">
        <f t="shared" ca="1" si="2"/>
        <v>TN</v>
      </c>
    </row>
    <row r="28" spans="2:10" ht="15">
      <c r="B28" s="234">
        <f t="shared" si="3"/>
        <v>26</v>
      </c>
      <c r="C28" s="234" t="s">
        <v>163</v>
      </c>
      <c r="D28" s="247">
        <f t="shared" ca="1" si="5"/>
        <v>0.67</v>
      </c>
      <c r="E28" s="234" t="str">
        <f t="shared" ca="1" si="1"/>
        <v>Positive</v>
      </c>
      <c r="F28" s="234" t="str">
        <f t="shared" ca="1" si="2"/>
        <v>FP</v>
      </c>
      <c r="H28" s="249" t="s">
        <v>86</v>
      </c>
      <c r="I28" s="249" t="s">
        <v>169</v>
      </c>
      <c r="J28" s="249"/>
    </row>
    <row r="29" spans="2:10" ht="15">
      <c r="B29" s="234">
        <f t="shared" si="3"/>
        <v>27</v>
      </c>
      <c r="C29" s="234" t="s">
        <v>163</v>
      </c>
      <c r="D29" s="247">
        <f t="shared" ca="1" si="5"/>
        <v>0.34</v>
      </c>
      <c r="E29" s="234" t="str">
        <f t="shared" ca="1" si="1"/>
        <v>Negative</v>
      </c>
      <c r="F29" s="234" t="str">
        <f t="shared" ca="1" si="2"/>
        <v>TN</v>
      </c>
      <c r="H29" s="254" t="s">
        <v>170</v>
      </c>
      <c r="I29" s="254" t="s">
        <v>171</v>
      </c>
      <c r="J29" s="249"/>
    </row>
    <row r="30" spans="2:10" ht="15">
      <c r="B30" s="234">
        <f t="shared" si="3"/>
        <v>28</v>
      </c>
      <c r="C30" s="234" t="s">
        <v>163</v>
      </c>
      <c r="D30" s="247">
        <f t="shared" ca="1" si="5"/>
        <v>0.22</v>
      </c>
      <c r="E30" s="234" t="str">
        <f t="shared" ca="1" si="1"/>
        <v>Negative</v>
      </c>
      <c r="F30" s="234" t="str">
        <f t="shared" ca="1" si="2"/>
        <v>TN</v>
      </c>
      <c r="H30" s="254" t="s">
        <v>173</v>
      </c>
      <c r="I30" s="254" t="s">
        <v>174</v>
      </c>
      <c r="J30" s="249"/>
    </row>
    <row r="31" spans="2:10" ht="15">
      <c r="B31" s="234">
        <f t="shared" si="3"/>
        <v>29</v>
      </c>
      <c r="C31" s="234" t="s">
        <v>163</v>
      </c>
      <c r="D31" s="247">
        <f t="shared" ca="1" si="5"/>
        <v>0.51</v>
      </c>
      <c r="E31" s="234" t="str">
        <f t="shared" ca="1" si="1"/>
        <v>Positive</v>
      </c>
      <c r="F31" s="234" t="str">
        <f t="shared" ca="1" si="2"/>
        <v>FP</v>
      </c>
      <c r="H31" s="249" t="s">
        <v>176</v>
      </c>
      <c r="I31" s="249" t="s">
        <v>177</v>
      </c>
      <c r="J31" s="249"/>
    </row>
    <row r="32" spans="2:10" ht="15">
      <c r="B32" s="234">
        <f t="shared" si="3"/>
        <v>30</v>
      </c>
      <c r="C32" s="234" t="s">
        <v>163</v>
      </c>
      <c r="D32" s="247">
        <f t="shared" ca="1" si="5"/>
        <v>0.32</v>
      </c>
      <c r="E32" s="234" t="str">
        <f t="shared" ca="1" si="1"/>
        <v>Negative</v>
      </c>
      <c r="F32" s="234" t="str">
        <f t="shared" ca="1" si="2"/>
        <v>TN</v>
      </c>
      <c r="H32" s="249" t="s">
        <v>179</v>
      </c>
      <c r="I32" s="249" t="s">
        <v>180</v>
      </c>
      <c r="J32" s="249"/>
    </row>
    <row r="33" spans="2:6" ht="15">
      <c r="B33" s="234">
        <f t="shared" si="3"/>
        <v>31</v>
      </c>
      <c r="C33" s="234" t="s">
        <v>163</v>
      </c>
      <c r="D33" s="247">
        <f t="shared" ca="1" si="5"/>
        <v>0.37</v>
      </c>
      <c r="E33" s="234" t="str">
        <f t="shared" ca="1" si="1"/>
        <v>Negative</v>
      </c>
      <c r="F33" s="234" t="str">
        <f t="shared" ca="1" si="2"/>
        <v>TN</v>
      </c>
    </row>
    <row r="34" spans="2:6" ht="15">
      <c r="B34" s="234">
        <f t="shared" si="3"/>
        <v>32</v>
      </c>
      <c r="C34" s="234" t="s">
        <v>163</v>
      </c>
      <c r="D34" s="247">
        <f t="shared" ca="1" si="5"/>
        <v>0.39</v>
      </c>
      <c r="E34" s="234" t="str">
        <f t="shared" ca="1" si="1"/>
        <v>Negative</v>
      </c>
      <c r="F34" s="234" t="str">
        <f t="shared" ca="1" si="2"/>
        <v>TN</v>
      </c>
    </row>
    <row r="35" spans="2:6" ht="15">
      <c r="B35" s="234">
        <f t="shared" si="3"/>
        <v>33</v>
      </c>
      <c r="C35" s="234" t="s">
        <v>163</v>
      </c>
      <c r="D35" s="247">
        <f t="shared" ca="1" si="5"/>
        <v>0.59</v>
      </c>
      <c r="E35" s="234" t="str">
        <f t="shared" ca="1" si="1"/>
        <v>Positive</v>
      </c>
      <c r="F35" s="234" t="str">
        <f t="shared" ca="1" si="2"/>
        <v>FP</v>
      </c>
    </row>
    <row r="36" spans="2:6" ht="15">
      <c r="B36" s="234">
        <f t="shared" si="3"/>
        <v>34</v>
      </c>
      <c r="C36" s="234" t="s">
        <v>163</v>
      </c>
      <c r="D36" s="247">
        <f t="shared" ca="1" si="5"/>
        <v>0.52</v>
      </c>
      <c r="E36" s="234" t="str">
        <f t="shared" ca="1" si="1"/>
        <v>Positive</v>
      </c>
      <c r="F36" s="234" t="str">
        <f t="shared" ca="1" si="2"/>
        <v>FP</v>
      </c>
    </row>
    <row r="37" spans="2:6" ht="15">
      <c r="B37" s="234">
        <f t="shared" si="3"/>
        <v>35</v>
      </c>
      <c r="C37" s="234" t="s">
        <v>163</v>
      </c>
      <c r="D37" s="247">
        <f t="shared" ca="1" si="5"/>
        <v>0.41</v>
      </c>
      <c r="E37" s="234" t="str">
        <f t="shared" ca="1" si="1"/>
        <v>Negative</v>
      </c>
      <c r="F37" s="234" t="str">
        <f t="shared" ca="1" si="2"/>
        <v>TN</v>
      </c>
    </row>
    <row r="38" spans="2:6" ht="15">
      <c r="B38" s="234">
        <f t="shared" si="3"/>
        <v>36</v>
      </c>
      <c r="C38" s="234" t="s">
        <v>163</v>
      </c>
      <c r="D38" s="247">
        <f t="shared" ca="1" si="5"/>
        <v>0.32</v>
      </c>
      <c r="E38" s="234" t="str">
        <f t="shared" ca="1" si="1"/>
        <v>Negative</v>
      </c>
      <c r="F38" s="234" t="str">
        <f t="shared" ca="1" si="2"/>
        <v>TN</v>
      </c>
    </row>
    <row r="39" spans="2:6" ht="15">
      <c r="B39" s="234">
        <f t="shared" si="3"/>
        <v>37</v>
      </c>
      <c r="C39" s="234" t="s">
        <v>163</v>
      </c>
      <c r="D39" s="247">
        <f t="shared" ca="1" si="5"/>
        <v>0.68</v>
      </c>
      <c r="E39" s="234" t="str">
        <f t="shared" ca="1" si="1"/>
        <v>Positive</v>
      </c>
      <c r="F39" s="234" t="str">
        <f t="shared" ca="1" si="2"/>
        <v>FP</v>
      </c>
    </row>
    <row r="40" spans="2:6" ht="15">
      <c r="B40" s="234">
        <f t="shared" si="3"/>
        <v>38</v>
      </c>
      <c r="C40" s="234" t="s">
        <v>163</v>
      </c>
      <c r="D40" s="247">
        <f t="shared" ca="1" si="5"/>
        <v>0.69</v>
      </c>
      <c r="E40" s="234" t="str">
        <f t="shared" ca="1" si="1"/>
        <v>Positive</v>
      </c>
      <c r="F40" s="234" t="str">
        <f t="shared" ca="1" si="2"/>
        <v>FP</v>
      </c>
    </row>
    <row r="41" spans="2:6" ht="15">
      <c r="B41" s="234">
        <f t="shared" si="3"/>
        <v>39</v>
      </c>
      <c r="C41" s="234" t="s">
        <v>163</v>
      </c>
      <c r="D41" s="247">
        <f t="shared" ca="1" si="5"/>
        <v>0.37</v>
      </c>
      <c r="E41" s="234" t="str">
        <f t="shared" ca="1" si="1"/>
        <v>Negative</v>
      </c>
      <c r="F41" s="234" t="str">
        <f t="shared" ca="1" si="2"/>
        <v>TN</v>
      </c>
    </row>
    <row r="42" spans="2:6" ht="15">
      <c r="B42" s="234">
        <f t="shared" si="3"/>
        <v>40</v>
      </c>
      <c r="C42" s="234" t="s">
        <v>163</v>
      </c>
      <c r="D42" s="247">
        <f t="shared" ca="1" si="5"/>
        <v>0.59</v>
      </c>
      <c r="E42" s="234" t="str">
        <f t="shared" ca="1" si="1"/>
        <v>Positive</v>
      </c>
      <c r="F42" s="234" t="str">
        <f t="shared" ca="1" si="2"/>
        <v>FP</v>
      </c>
    </row>
    <row r="43" spans="2:6" ht="15">
      <c r="F43" s="234"/>
    </row>
    <row r="44" spans="2:6" ht="15">
      <c r="B44" s="235" t="s">
        <v>185</v>
      </c>
      <c r="C44" s="235" t="s">
        <v>186</v>
      </c>
      <c r="D44" s="235" t="s">
        <v>187</v>
      </c>
      <c r="F44" s="234"/>
    </row>
    <row r="45" spans="2:6" ht="15">
      <c r="B45" s="235" t="s">
        <v>159</v>
      </c>
      <c r="C45" s="235">
        <f>COUNTIF(C2:C42,"Yes")</f>
        <v>5</v>
      </c>
      <c r="D45" s="261">
        <f>C45/C47</f>
        <v>0.125</v>
      </c>
    </row>
    <row r="46" spans="2:6" ht="15">
      <c r="B46" s="235" t="s">
        <v>163</v>
      </c>
      <c r="C46" s="235">
        <f>COUNTIF(C2:C42,"No")</f>
        <v>35</v>
      </c>
      <c r="D46" s="261">
        <f>C46/C47</f>
        <v>0.875</v>
      </c>
    </row>
    <row r="47" spans="2:6" ht="15">
      <c r="B47" s="235" t="s">
        <v>188</v>
      </c>
      <c r="C47" s="235">
        <f>SUM(C45:C46)</f>
        <v>40</v>
      </c>
      <c r="D47" s="261">
        <f>SUM(D45:D46)</f>
        <v>1</v>
      </c>
    </row>
  </sheetData>
  <mergeCells count="2">
    <mergeCell ref="H1:I1"/>
    <mergeCell ref="J1:K1"/>
  </mergeCells>
  <phoneticPr fontId="33" type="noConversion"/>
  <hyperlinks>
    <hyperlink ref="K14" r:id="rId1" xr:uid="{00000000-0004-0000-0D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974"/>
  <sheetViews>
    <sheetView showGridLines="0" workbookViewId="0">
      <selection activeCell="E26" sqref="E26"/>
    </sheetView>
  </sheetViews>
  <sheetFormatPr defaultColWidth="12.6640625" defaultRowHeight="15.75" customHeight="1"/>
  <cols>
    <col min="1" max="1" width="9" customWidth="1"/>
    <col min="2" max="2" width="22.44140625" customWidth="1"/>
    <col min="3" max="3" width="19.6640625" customWidth="1"/>
    <col min="4" max="4" width="27.6640625" style="165" customWidth="1"/>
    <col min="5" max="5" width="31.88671875" style="165" customWidth="1"/>
    <col min="6" max="6" width="31.88671875" customWidth="1"/>
    <col min="7" max="7" width="24.33203125" customWidth="1"/>
  </cols>
  <sheetData>
    <row r="1" spans="1:9" ht="16.2" thickBot="1">
      <c r="A1" s="153"/>
      <c r="B1" s="154" t="s">
        <v>286</v>
      </c>
      <c r="C1" s="155" t="s">
        <v>289</v>
      </c>
      <c r="D1" s="158" t="s">
        <v>288</v>
      </c>
      <c r="E1" s="159" t="s">
        <v>283</v>
      </c>
      <c r="F1" s="156" t="s">
        <v>287</v>
      </c>
      <c r="G1" s="157" t="s">
        <v>201</v>
      </c>
      <c r="H1" s="34"/>
      <c r="I1" s="34"/>
    </row>
    <row r="2" spans="1:9" ht="13.8" thickTop="1">
      <c r="A2" s="42" t="s">
        <v>284</v>
      </c>
      <c r="B2" s="47" t="s">
        <v>281</v>
      </c>
      <c r="C2" s="47">
        <v>1</v>
      </c>
      <c r="D2" s="160">
        <v>0.9</v>
      </c>
      <c r="E2" s="161">
        <f>1-D2</f>
        <v>9.9999999999999978E-2</v>
      </c>
      <c r="F2" s="151">
        <f>-(C2*LN(D2)+(1-C2)*LN(E2))</f>
        <v>0.10536051565782628</v>
      </c>
      <c r="G2" s="152">
        <f>(C2-E2)^2</f>
        <v>0.81</v>
      </c>
    </row>
    <row r="3" spans="1:9" ht="13.2">
      <c r="A3" s="4"/>
      <c r="B3" s="47" t="s">
        <v>282</v>
      </c>
      <c r="C3" s="47">
        <v>0</v>
      </c>
      <c r="D3" s="160">
        <v>0.1</v>
      </c>
      <c r="E3" s="161">
        <f t="shared" ref="E3:E4" si="0">1-D3</f>
        <v>0.9</v>
      </c>
      <c r="F3" s="151">
        <f t="shared" ref="F3:F6" si="1">-(C3*LN(D3)+(1-C3)*LN(E3))</f>
        <v>0.10536051565782628</v>
      </c>
      <c r="G3" s="152">
        <f>(C3-E3)^2</f>
        <v>0.81</v>
      </c>
    </row>
    <row r="4" spans="1:9" ht="13.2">
      <c r="A4" s="4"/>
      <c r="B4" s="47" t="s">
        <v>282</v>
      </c>
      <c r="C4" s="47">
        <v>0</v>
      </c>
      <c r="D4" s="162">
        <v>0.2</v>
      </c>
      <c r="E4" s="161">
        <f t="shared" si="0"/>
        <v>0.8</v>
      </c>
      <c r="F4" s="151">
        <f t="shared" si="1"/>
        <v>0.22314355131420971</v>
      </c>
      <c r="G4" s="152">
        <f>(C4-E4)^2</f>
        <v>0.64000000000000012</v>
      </c>
    </row>
    <row r="5" spans="1:9" ht="13.2">
      <c r="A5" s="4"/>
      <c r="B5" s="47" t="s">
        <v>281</v>
      </c>
      <c r="C5" s="47">
        <v>1</v>
      </c>
      <c r="D5" s="162">
        <v>0.65</v>
      </c>
      <c r="E5" s="161">
        <f t="shared" ref="E5:E14" si="2">1-D5</f>
        <v>0.35</v>
      </c>
      <c r="F5" s="151">
        <f t="shared" si="1"/>
        <v>0.43078291609245423</v>
      </c>
      <c r="G5" s="152">
        <f>(C5-E5)^2</f>
        <v>0.42250000000000004</v>
      </c>
    </row>
    <row r="6" spans="1:9" ht="13.8" thickBot="1">
      <c r="A6" s="4"/>
      <c r="B6" s="47" t="s">
        <v>282</v>
      </c>
      <c r="C6" s="47">
        <v>0</v>
      </c>
      <c r="D6" s="160">
        <v>0.25</v>
      </c>
      <c r="E6" s="161">
        <f t="shared" si="2"/>
        <v>0.75</v>
      </c>
      <c r="F6" s="166">
        <f t="shared" si="1"/>
        <v>0.2876820724517809</v>
      </c>
      <c r="G6" s="167">
        <f>(C6-E6)^2</f>
        <v>0.5625</v>
      </c>
    </row>
    <row r="7" spans="1:9" ht="13.8" thickTop="1">
      <c r="B7" s="47"/>
      <c r="C7" s="47"/>
      <c r="D7" s="163" t="s">
        <v>202</v>
      </c>
      <c r="E7" s="164"/>
      <c r="F7" s="149">
        <f>SUM(F2:F6)/5</f>
        <v>0.23046591423481946</v>
      </c>
      <c r="G7" s="150"/>
    </row>
    <row r="8" spans="1:9" ht="13.2">
      <c r="B8" s="47"/>
      <c r="C8" s="47"/>
      <c r="D8" s="163"/>
      <c r="E8" s="164"/>
    </row>
    <row r="9" spans="1:9" ht="13.2">
      <c r="B9" s="47"/>
      <c r="C9" s="47"/>
      <c r="D9" s="163"/>
      <c r="E9" s="164"/>
    </row>
    <row r="10" spans="1:9" ht="13.2">
      <c r="A10" s="42" t="s">
        <v>285</v>
      </c>
      <c r="B10" s="47" t="s">
        <v>281</v>
      </c>
      <c r="C10" s="47">
        <v>1</v>
      </c>
      <c r="D10" s="160">
        <v>0.86</v>
      </c>
      <c r="E10" s="161">
        <f t="shared" si="2"/>
        <v>0.14000000000000001</v>
      </c>
      <c r="F10" s="151">
        <f>-(C10*LN(D10)+(1-C10)*LN(E10))</f>
        <v>0.15082288973458366</v>
      </c>
      <c r="G10" s="150"/>
    </row>
    <row r="11" spans="1:9" ht="13.2">
      <c r="B11" s="47" t="s">
        <v>282</v>
      </c>
      <c r="C11" s="47">
        <v>0</v>
      </c>
      <c r="D11" s="160">
        <v>0.45</v>
      </c>
      <c r="E11" s="161">
        <f t="shared" si="2"/>
        <v>0.55000000000000004</v>
      </c>
      <c r="F11" s="151">
        <f t="shared" ref="F11:F14" si="3">-(C11*LN(D11)+(1-C11)*LN(E11))</f>
        <v>0.59783700075562041</v>
      </c>
      <c r="G11" s="150"/>
    </row>
    <row r="12" spans="1:9" ht="13.2">
      <c r="B12" s="47" t="s">
        <v>282</v>
      </c>
      <c r="C12" s="47">
        <v>0</v>
      </c>
      <c r="D12" s="162">
        <v>0.23</v>
      </c>
      <c r="E12" s="161">
        <f t="shared" si="2"/>
        <v>0.77</v>
      </c>
      <c r="F12" s="151">
        <f t="shared" si="3"/>
        <v>0.26136476413440751</v>
      </c>
      <c r="G12" s="150"/>
    </row>
    <row r="13" spans="1:9" ht="13.2">
      <c r="B13" s="47" t="s">
        <v>281</v>
      </c>
      <c r="C13" s="47">
        <v>1</v>
      </c>
      <c r="D13" s="162">
        <v>0.56000000000000005</v>
      </c>
      <c r="E13" s="161">
        <f t="shared" si="2"/>
        <v>0.43999999999999995</v>
      </c>
      <c r="F13" s="151">
        <f t="shared" si="3"/>
        <v>0.57981849525294205</v>
      </c>
      <c r="G13" s="150"/>
    </row>
    <row r="14" spans="1:9" ht="13.8" thickBot="1">
      <c r="B14" s="47" t="s">
        <v>282</v>
      </c>
      <c r="C14" s="47">
        <v>0</v>
      </c>
      <c r="D14" s="160">
        <v>0.44</v>
      </c>
      <c r="E14" s="161">
        <f t="shared" si="2"/>
        <v>0.56000000000000005</v>
      </c>
      <c r="F14" s="166">
        <f t="shared" si="3"/>
        <v>0.57981849525294205</v>
      </c>
      <c r="G14" s="168"/>
    </row>
    <row r="15" spans="1:9" ht="13.8" thickTop="1">
      <c r="B15" s="47"/>
      <c r="C15" s="47"/>
      <c r="D15" s="163"/>
      <c r="E15" s="163"/>
      <c r="F15" s="149">
        <f>SUM(F10:F14)/5</f>
        <v>0.43393232902609913</v>
      </c>
      <c r="G15" s="150"/>
    </row>
    <row r="16" spans="1:9" ht="13.2">
      <c r="B16" s="47"/>
      <c r="C16" s="47"/>
      <c r="D16" s="163"/>
      <c r="E16" s="163"/>
      <c r="F16" s="47"/>
      <c r="G16" s="47"/>
    </row>
    <row r="17" spans="1:7" ht="13.2">
      <c r="A17" s="4" t="s">
        <v>203</v>
      </c>
      <c r="B17" s="47"/>
      <c r="C17" s="47"/>
      <c r="D17" s="162"/>
      <c r="E17" s="160"/>
      <c r="F17" s="43"/>
      <c r="G17" s="47"/>
    </row>
    <row r="18" spans="1:7" ht="13.2">
      <c r="B18" s="47"/>
      <c r="C18" s="47"/>
      <c r="D18" s="162"/>
      <c r="E18" s="160"/>
      <c r="F18" s="43"/>
      <c r="G18" s="47"/>
    </row>
    <row r="19" spans="1:7" ht="13.2">
      <c r="B19" s="47"/>
      <c r="C19" s="47"/>
      <c r="D19" s="162"/>
      <c r="E19" s="160"/>
      <c r="F19" s="43"/>
      <c r="G19" s="47"/>
    </row>
    <row r="20" spans="1:7" ht="13.2">
      <c r="B20" s="47"/>
      <c r="C20" s="47"/>
      <c r="D20" s="162"/>
      <c r="E20" s="162"/>
      <c r="F20" s="47"/>
      <c r="G20" s="47"/>
    </row>
    <row r="21" spans="1:7" ht="13.2">
      <c r="B21" s="47"/>
      <c r="C21" s="47"/>
      <c r="D21" s="162"/>
      <c r="E21" s="162"/>
      <c r="F21" s="47"/>
      <c r="G21" s="47"/>
    </row>
    <row r="22" spans="1:7" ht="13.2">
      <c r="B22" s="47"/>
      <c r="C22" s="47"/>
      <c r="D22" s="162"/>
      <c r="E22" s="162"/>
      <c r="F22" s="47"/>
      <c r="G22" s="47"/>
    </row>
    <row r="23" spans="1:7" ht="13.2">
      <c r="B23" s="47"/>
      <c r="C23" s="47"/>
      <c r="D23" s="162"/>
      <c r="E23" s="162"/>
      <c r="F23" s="47"/>
      <c r="G23" s="47"/>
    </row>
    <row r="24" spans="1:7" ht="13.2">
      <c r="B24" s="47"/>
      <c r="C24" s="47"/>
      <c r="D24" s="162"/>
      <c r="E24" s="162"/>
      <c r="F24" s="47"/>
      <c r="G24" s="47"/>
    </row>
    <row r="25" spans="1:7" ht="13.2">
      <c r="B25" s="47"/>
      <c r="C25" s="47"/>
      <c r="D25" s="162"/>
      <c r="E25" s="162"/>
      <c r="F25" s="47"/>
      <c r="G25" s="47"/>
    </row>
    <row r="26" spans="1:7" ht="13.2">
      <c r="B26" s="47"/>
      <c r="C26" s="47"/>
      <c r="D26" s="162"/>
      <c r="E26" s="162"/>
      <c r="F26" s="47"/>
      <c r="G26" s="47"/>
    </row>
    <row r="27" spans="1:7" ht="13.2">
      <c r="B27" s="47"/>
      <c r="C27" s="47"/>
      <c r="D27" s="162"/>
      <c r="E27" s="162"/>
      <c r="F27" s="47"/>
      <c r="G27" s="47"/>
    </row>
    <row r="28" spans="1:7" ht="13.2">
      <c r="B28" s="47"/>
      <c r="C28" s="47"/>
      <c r="D28" s="162"/>
      <c r="E28" s="162"/>
      <c r="F28" s="47"/>
      <c r="G28" s="47"/>
    </row>
    <row r="29" spans="1:7" ht="13.2">
      <c r="B29" s="47"/>
      <c r="C29" s="47"/>
      <c r="D29" s="162"/>
      <c r="E29" s="162"/>
      <c r="F29" s="47"/>
      <c r="G29" s="47"/>
    </row>
    <row r="30" spans="1:7" ht="13.2">
      <c r="B30" s="47"/>
      <c r="C30" s="47"/>
      <c r="D30" s="162"/>
      <c r="E30" s="162"/>
      <c r="F30" s="47"/>
      <c r="G30" s="47"/>
    </row>
    <row r="31" spans="1:7" ht="13.2">
      <c r="B31" s="47"/>
      <c r="C31" s="47"/>
      <c r="D31" s="162"/>
      <c r="E31" s="162"/>
      <c r="F31" s="47"/>
      <c r="G31" s="47"/>
    </row>
    <row r="32" spans="1:7" ht="13.2">
      <c r="B32" s="47"/>
      <c r="C32" s="47"/>
      <c r="D32" s="162"/>
      <c r="E32" s="162"/>
      <c r="F32" s="47"/>
      <c r="G32" s="47"/>
    </row>
    <row r="33" spans="2:7" ht="13.2">
      <c r="B33" s="47"/>
      <c r="C33" s="47"/>
      <c r="D33" s="162"/>
      <c r="E33" s="162"/>
      <c r="F33" s="47"/>
      <c r="G33" s="47"/>
    </row>
    <row r="34" spans="2:7" ht="13.2">
      <c r="B34" s="47"/>
      <c r="C34" s="47"/>
      <c r="D34" s="162"/>
      <c r="E34" s="162"/>
      <c r="F34" s="47"/>
      <c r="G34" s="47"/>
    </row>
    <row r="35" spans="2:7" ht="13.2">
      <c r="B35" s="47"/>
      <c r="C35" s="47"/>
      <c r="D35" s="162"/>
      <c r="E35" s="162"/>
      <c r="F35" s="47"/>
      <c r="G35" s="47"/>
    </row>
    <row r="36" spans="2:7" ht="13.2">
      <c r="B36" s="47"/>
      <c r="C36" s="47"/>
      <c r="D36" s="162"/>
      <c r="E36" s="162"/>
      <c r="F36" s="47"/>
      <c r="G36" s="47"/>
    </row>
    <row r="37" spans="2:7" ht="13.2">
      <c r="B37" s="47"/>
      <c r="C37" s="47"/>
      <c r="D37" s="162"/>
      <c r="E37" s="162"/>
      <c r="F37" s="47"/>
      <c r="G37" s="47"/>
    </row>
    <row r="38" spans="2:7" ht="13.2">
      <c r="B38" s="47"/>
      <c r="C38" s="47"/>
      <c r="D38" s="162"/>
      <c r="E38" s="162"/>
      <c r="F38" s="47"/>
      <c r="G38" s="47"/>
    </row>
    <row r="39" spans="2:7" ht="13.2">
      <c r="B39" s="47"/>
      <c r="C39" s="47"/>
      <c r="D39" s="162"/>
      <c r="E39" s="162"/>
      <c r="F39" s="47"/>
      <c r="G39" s="47"/>
    </row>
    <row r="40" spans="2:7" ht="13.2">
      <c r="B40" s="47"/>
      <c r="C40" s="47"/>
      <c r="D40" s="162"/>
      <c r="E40" s="162"/>
      <c r="F40" s="47"/>
      <c r="G40" s="47"/>
    </row>
    <row r="41" spans="2:7" ht="13.2">
      <c r="B41" s="47"/>
      <c r="C41" s="47"/>
      <c r="D41" s="162"/>
      <c r="E41" s="162"/>
      <c r="F41" s="47"/>
      <c r="G41" s="47"/>
    </row>
    <row r="42" spans="2:7" ht="13.2">
      <c r="B42" s="47"/>
      <c r="C42" s="47"/>
      <c r="D42" s="162"/>
      <c r="E42" s="162"/>
      <c r="F42" s="47"/>
      <c r="G42" s="47"/>
    </row>
    <row r="43" spans="2:7" ht="13.2">
      <c r="B43" s="47"/>
      <c r="C43" s="47"/>
      <c r="D43" s="162"/>
      <c r="E43" s="162"/>
      <c r="F43" s="47"/>
      <c r="G43" s="47"/>
    </row>
    <row r="44" spans="2:7" ht="13.2">
      <c r="B44" s="47"/>
      <c r="C44" s="47"/>
      <c r="D44" s="162"/>
      <c r="E44" s="162"/>
      <c r="F44" s="47"/>
      <c r="G44" s="47"/>
    </row>
    <row r="45" spans="2:7" ht="13.2">
      <c r="B45" s="47"/>
      <c r="C45" s="47"/>
      <c r="D45" s="162"/>
      <c r="E45" s="162"/>
      <c r="F45" s="47"/>
      <c r="G45" s="47"/>
    </row>
    <row r="46" spans="2:7" ht="13.2">
      <c r="B46" s="47"/>
      <c r="C46" s="47"/>
      <c r="D46" s="162"/>
      <c r="E46" s="162"/>
      <c r="F46" s="47"/>
      <c r="G46" s="47"/>
    </row>
    <row r="47" spans="2:7" ht="13.2">
      <c r="B47" s="47"/>
      <c r="C47" s="47"/>
      <c r="D47" s="162"/>
      <c r="E47" s="162"/>
      <c r="F47" s="47"/>
      <c r="G47" s="47"/>
    </row>
    <row r="48" spans="2:7" ht="13.2">
      <c r="B48" s="47"/>
      <c r="C48" s="47"/>
      <c r="D48" s="162"/>
      <c r="E48" s="162"/>
      <c r="F48" s="47"/>
      <c r="G48" s="47"/>
    </row>
    <row r="49" spans="2:7" ht="13.2">
      <c r="B49" s="47"/>
      <c r="C49" s="47"/>
      <c r="D49" s="162"/>
      <c r="E49" s="162"/>
      <c r="F49" s="47"/>
      <c r="G49" s="47"/>
    </row>
    <row r="50" spans="2:7" ht="13.2">
      <c r="B50" s="47"/>
      <c r="C50" s="47"/>
      <c r="D50" s="162"/>
      <c r="E50" s="162"/>
      <c r="F50" s="47"/>
      <c r="G50" s="47"/>
    </row>
    <row r="51" spans="2:7" ht="13.2">
      <c r="B51" s="47"/>
      <c r="C51" s="47"/>
      <c r="D51" s="162"/>
      <c r="E51" s="162"/>
      <c r="F51" s="47"/>
      <c r="G51" s="47"/>
    </row>
    <row r="52" spans="2:7" ht="13.2">
      <c r="B52" s="47"/>
      <c r="C52" s="47"/>
      <c r="D52" s="162"/>
      <c r="E52" s="162"/>
      <c r="F52" s="47"/>
      <c r="G52" s="47"/>
    </row>
    <row r="53" spans="2:7" ht="13.2">
      <c r="B53" s="47"/>
      <c r="C53" s="47"/>
      <c r="D53" s="162"/>
      <c r="E53" s="162"/>
      <c r="F53" s="47"/>
      <c r="G53" s="47"/>
    </row>
    <row r="54" spans="2:7" ht="13.2">
      <c r="B54" s="47"/>
      <c r="C54" s="47"/>
      <c r="D54" s="162"/>
      <c r="E54" s="162"/>
      <c r="F54" s="47"/>
      <c r="G54" s="47"/>
    </row>
    <row r="55" spans="2:7" ht="13.2">
      <c r="B55" s="47"/>
      <c r="C55" s="47"/>
      <c r="D55" s="162"/>
      <c r="E55" s="162"/>
      <c r="F55" s="47"/>
      <c r="G55" s="47"/>
    </row>
    <row r="56" spans="2:7" ht="13.2">
      <c r="B56" s="47"/>
      <c r="C56" s="47"/>
      <c r="D56" s="162"/>
      <c r="E56" s="162"/>
      <c r="F56" s="47"/>
      <c r="G56" s="47"/>
    </row>
    <row r="57" spans="2:7" ht="13.2">
      <c r="B57" s="47"/>
      <c r="C57" s="47"/>
      <c r="D57" s="162"/>
      <c r="E57" s="162"/>
      <c r="F57" s="47"/>
      <c r="G57" s="47"/>
    </row>
    <row r="58" spans="2:7" ht="13.2">
      <c r="B58" s="47"/>
      <c r="C58" s="47"/>
      <c r="D58" s="162"/>
      <c r="E58" s="162"/>
      <c r="F58" s="47"/>
      <c r="G58" s="47"/>
    </row>
    <row r="59" spans="2:7" ht="13.2">
      <c r="B59" s="47"/>
      <c r="C59" s="47"/>
      <c r="D59" s="162"/>
      <c r="E59" s="162"/>
      <c r="F59" s="47"/>
      <c r="G59" s="47"/>
    </row>
    <row r="60" spans="2:7" ht="13.2">
      <c r="B60" s="47"/>
      <c r="C60" s="47"/>
      <c r="D60" s="162"/>
      <c r="E60" s="162"/>
      <c r="F60" s="47"/>
      <c r="G60" s="47"/>
    </row>
    <row r="61" spans="2:7" ht="13.2">
      <c r="B61" s="47"/>
      <c r="C61" s="47"/>
      <c r="D61" s="162"/>
      <c r="E61" s="162"/>
      <c r="F61" s="47"/>
      <c r="G61" s="47"/>
    </row>
    <row r="62" spans="2:7" ht="13.2">
      <c r="B62" s="47"/>
      <c r="C62" s="47"/>
      <c r="D62" s="162"/>
      <c r="E62" s="162"/>
      <c r="F62" s="47"/>
      <c r="G62" s="47"/>
    </row>
    <row r="63" spans="2:7" ht="13.2">
      <c r="B63" s="47"/>
      <c r="C63" s="47"/>
      <c r="D63" s="162"/>
      <c r="E63" s="162"/>
      <c r="F63" s="47"/>
      <c r="G63" s="47"/>
    </row>
    <row r="64" spans="2:7" ht="13.2">
      <c r="B64" s="47"/>
      <c r="C64" s="47"/>
      <c r="D64" s="162"/>
      <c r="E64" s="162"/>
      <c r="F64" s="47"/>
      <c r="G64" s="47"/>
    </row>
    <row r="65" spans="2:7" ht="13.2">
      <c r="B65" s="47"/>
      <c r="C65" s="47"/>
      <c r="D65" s="162"/>
      <c r="E65" s="162"/>
      <c r="F65" s="47"/>
      <c r="G65" s="47"/>
    </row>
    <row r="66" spans="2:7" ht="13.2">
      <c r="B66" s="47"/>
      <c r="C66" s="47"/>
      <c r="D66" s="162"/>
      <c r="E66" s="162"/>
      <c r="F66" s="47"/>
      <c r="G66" s="47"/>
    </row>
    <row r="67" spans="2:7" ht="13.2">
      <c r="B67" s="47"/>
      <c r="C67" s="47"/>
      <c r="D67" s="162"/>
      <c r="E67" s="162"/>
      <c r="F67" s="47"/>
      <c r="G67" s="47"/>
    </row>
    <row r="68" spans="2:7" ht="13.2">
      <c r="B68" s="47"/>
      <c r="C68" s="47"/>
      <c r="D68" s="162"/>
      <c r="E68" s="162"/>
      <c r="F68" s="47"/>
      <c r="G68" s="47"/>
    </row>
    <row r="69" spans="2:7" ht="13.2">
      <c r="B69" s="47"/>
      <c r="C69" s="47"/>
      <c r="D69" s="162"/>
      <c r="E69" s="162"/>
      <c r="F69" s="47"/>
      <c r="G69" s="47"/>
    </row>
    <row r="70" spans="2:7" ht="13.2">
      <c r="B70" s="47"/>
      <c r="C70" s="47"/>
      <c r="D70" s="162"/>
      <c r="E70" s="162"/>
      <c r="F70" s="47"/>
      <c r="G70" s="47"/>
    </row>
    <row r="71" spans="2:7" ht="13.2">
      <c r="B71" s="47"/>
      <c r="C71" s="47"/>
      <c r="D71" s="162"/>
      <c r="E71" s="162"/>
      <c r="F71" s="47"/>
      <c r="G71" s="47"/>
    </row>
    <row r="72" spans="2:7" ht="13.2">
      <c r="B72" s="47"/>
      <c r="C72" s="47"/>
      <c r="D72" s="162"/>
      <c r="E72" s="162"/>
      <c r="F72" s="47"/>
      <c r="G72" s="47"/>
    </row>
    <row r="73" spans="2:7" ht="13.2">
      <c r="B73" s="47"/>
      <c r="C73" s="47"/>
      <c r="D73" s="162"/>
      <c r="E73" s="162"/>
      <c r="F73" s="47"/>
      <c r="G73" s="47"/>
    </row>
    <row r="74" spans="2:7" ht="13.2">
      <c r="B74" s="47"/>
      <c r="C74" s="47"/>
      <c r="D74" s="162"/>
      <c r="E74" s="162"/>
      <c r="F74" s="47"/>
      <c r="G74" s="47"/>
    </row>
    <row r="75" spans="2:7" ht="13.2">
      <c r="B75" s="47"/>
      <c r="C75" s="47"/>
      <c r="D75" s="162"/>
      <c r="E75" s="162"/>
      <c r="F75" s="47"/>
      <c r="G75" s="47"/>
    </row>
    <row r="76" spans="2:7" ht="13.2">
      <c r="B76" s="47"/>
      <c r="C76" s="47"/>
      <c r="D76" s="162"/>
      <c r="E76" s="162"/>
      <c r="F76" s="47"/>
      <c r="G76" s="47"/>
    </row>
    <row r="77" spans="2:7" ht="13.2">
      <c r="B77" s="47"/>
      <c r="C77" s="47"/>
      <c r="D77" s="162"/>
      <c r="E77" s="162"/>
      <c r="F77" s="47"/>
      <c r="G77" s="47"/>
    </row>
    <row r="78" spans="2:7" ht="13.2">
      <c r="B78" s="47"/>
      <c r="C78" s="47"/>
      <c r="D78" s="162"/>
      <c r="E78" s="162"/>
      <c r="F78" s="47"/>
      <c r="G78" s="47"/>
    </row>
    <row r="79" spans="2:7" ht="13.2">
      <c r="B79" s="47"/>
      <c r="C79" s="47"/>
      <c r="D79" s="162"/>
      <c r="E79" s="162"/>
      <c r="F79" s="47"/>
      <c r="G79" s="47"/>
    </row>
    <row r="80" spans="2:7" ht="13.2">
      <c r="B80" s="47"/>
      <c r="C80" s="47"/>
      <c r="D80" s="162"/>
      <c r="E80" s="162"/>
      <c r="F80" s="47"/>
      <c r="G80" s="47"/>
    </row>
    <row r="81" spans="2:7" ht="13.2">
      <c r="B81" s="47"/>
      <c r="C81" s="47"/>
      <c r="D81" s="162"/>
      <c r="E81" s="162"/>
      <c r="F81" s="47"/>
      <c r="G81" s="47"/>
    </row>
    <row r="82" spans="2:7" ht="13.2">
      <c r="B82" s="47"/>
      <c r="C82" s="47"/>
      <c r="D82" s="162"/>
      <c r="E82" s="162"/>
      <c r="F82" s="47"/>
      <c r="G82" s="47"/>
    </row>
    <row r="83" spans="2:7" ht="13.2">
      <c r="B83" s="47"/>
      <c r="C83" s="47"/>
      <c r="D83" s="162"/>
      <c r="E83" s="162"/>
      <c r="F83" s="47"/>
      <c r="G83" s="47"/>
    </row>
    <row r="84" spans="2:7" ht="13.2">
      <c r="B84" s="47"/>
      <c r="C84" s="47"/>
      <c r="D84" s="162"/>
      <c r="E84" s="162"/>
      <c r="F84" s="47"/>
      <c r="G84" s="47"/>
    </row>
    <row r="85" spans="2:7" ht="13.2">
      <c r="B85" s="47"/>
      <c r="C85" s="47"/>
      <c r="D85" s="162"/>
      <c r="E85" s="162"/>
      <c r="F85" s="47"/>
      <c r="G85" s="47"/>
    </row>
    <row r="86" spans="2:7" ht="13.2">
      <c r="B86" s="47"/>
      <c r="C86" s="47"/>
      <c r="D86" s="162"/>
      <c r="E86" s="162"/>
      <c r="F86" s="47"/>
      <c r="G86" s="47"/>
    </row>
    <row r="87" spans="2:7" ht="13.2">
      <c r="B87" s="47"/>
      <c r="C87" s="47"/>
      <c r="D87" s="162"/>
      <c r="E87" s="162"/>
      <c r="F87" s="47"/>
      <c r="G87" s="47"/>
    </row>
    <row r="88" spans="2:7" ht="13.2">
      <c r="B88" s="47"/>
      <c r="C88" s="47"/>
      <c r="D88" s="162"/>
      <c r="E88" s="162"/>
      <c r="F88" s="47"/>
      <c r="G88" s="47"/>
    </row>
    <row r="89" spans="2:7" ht="13.2">
      <c r="B89" s="47"/>
      <c r="C89" s="47"/>
      <c r="D89" s="162"/>
      <c r="E89" s="162"/>
      <c r="F89" s="47"/>
      <c r="G89" s="47"/>
    </row>
    <row r="90" spans="2:7" ht="13.2">
      <c r="B90" s="47"/>
      <c r="C90" s="47"/>
      <c r="D90" s="162"/>
      <c r="E90" s="162"/>
      <c r="F90" s="47"/>
      <c r="G90" s="47"/>
    </row>
    <row r="91" spans="2:7" ht="13.2">
      <c r="B91" s="47"/>
      <c r="C91" s="47"/>
      <c r="D91" s="162"/>
      <c r="E91" s="162"/>
      <c r="F91" s="47"/>
      <c r="G91" s="47"/>
    </row>
    <row r="92" spans="2:7" ht="13.2">
      <c r="B92" s="47"/>
      <c r="C92" s="47"/>
      <c r="D92" s="162"/>
      <c r="E92" s="162"/>
      <c r="F92" s="47"/>
      <c r="G92" s="47"/>
    </row>
    <row r="93" spans="2:7" ht="13.2">
      <c r="B93" s="47"/>
      <c r="C93" s="47"/>
      <c r="D93" s="162"/>
      <c r="E93" s="162"/>
      <c r="F93" s="47"/>
      <c r="G93" s="47"/>
    </row>
    <row r="94" spans="2:7" ht="13.2">
      <c r="B94" s="47"/>
      <c r="C94" s="47"/>
      <c r="D94" s="162"/>
      <c r="E94" s="162"/>
      <c r="F94" s="47"/>
      <c r="G94" s="47"/>
    </row>
    <row r="95" spans="2:7" ht="13.2">
      <c r="B95" s="47"/>
      <c r="C95" s="47"/>
      <c r="D95" s="162"/>
      <c r="E95" s="162"/>
      <c r="F95" s="47"/>
      <c r="G95" s="47"/>
    </row>
    <row r="96" spans="2:7" ht="13.2">
      <c r="B96" s="47"/>
      <c r="C96" s="47"/>
      <c r="D96" s="162"/>
      <c r="E96" s="162"/>
      <c r="F96" s="47"/>
      <c r="G96" s="47"/>
    </row>
    <row r="97" spans="2:7" ht="13.2">
      <c r="B97" s="47"/>
      <c r="C97" s="47"/>
      <c r="D97" s="162"/>
      <c r="E97" s="162"/>
      <c r="F97" s="47"/>
      <c r="G97" s="47"/>
    </row>
    <row r="98" spans="2:7" ht="13.2">
      <c r="B98" s="47"/>
      <c r="C98" s="47"/>
      <c r="D98" s="162"/>
      <c r="E98" s="162"/>
      <c r="F98" s="47"/>
      <c r="G98" s="47"/>
    </row>
    <row r="99" spans="2:7" ht="13.2">
      <c r="B99" s="47"/>
      <c r="C99" s="47"/>
      <c r="D99" s="162"/>
      <c r="E99" s="162"/>
      <c r="F99" s="47"/>
      <c r="G99" s="47"/>
    </row>
    <row r="100" spans="2:7" ht="13.2">
      <c r="B100" s="47"/>
      <c r="C100" s="47"/>
      <c r="D100" s="162"/>
      <c r="E100" s="162"/>
      <c r="F100" s="47"/>
      <c r="G100" s="47"/>
    </row>
    <row r="101" spans="2:7" ht="13.2">
      <c r="B101" s="47"/>
      <c r="C101" s="47"/>
      <c r="D101" s="162"/>
      <c r="E101" s="162"/>
      <c r="F101" s="47"/>
      <c r="G101" s="47"/>
    </row>
    <row r="102" spans="2:7" ht="13.2">
      <c r="B102" s="47"/>
      <c r="C102" s="47"/>
      <c r="D102" s="162"/>
      <c r="E102" s="162"/>
      <c r="F102" s="47"/>
      <c r="G102" s="47"/>
    </row>
    <row r="103" spans="2:7" ht="13.2">
      <c r="B103" s="47"/>
      <c r="C103" s="47"/>
      <c r="D103" s="162"/>
      <c r="E103" s="162"/>
      <c r="F103" s="47"/>
      <c r="G103" s="47"/>
    </row>
    <row r="104" spans="2:7" ht="13.2">
      <c r="B104" s="47"/>
      <c r="C104" s="47"/>
      <c r="D104" s="162"/>
      <c r="E104" s="162"/>
      <c r="F104" s="47"/>
      <c r="G104" s="47"/>
    </row>
    <row r="105" spans="2:7" ht="13.2">
      <c r="B105" s="47"/>
      <c r="C105" s="47"/>
      <c r="D105" s="162"/>
      <c r="E105" s="162"/>
      <c r="F105" s="47"/>
      <c r="G105" s="47"/>
    </row>
    <row r="106" spans="2:7" ht="13.2">
      <c r="B106" s="47"/>
      <c r="C106" s="47"/>
      <c r="D106" s="162"/>
      <c r="E106" s="162"/>
      <c r="F106" s="47"/>
      <c r="G106" s="47"/>
    </row>
    <row r="107" spans="2:7" ht="13.2">
      <c r="B107" s="47"/>
      <c r="C107" s="47"/>
      <c r="D107" s="162"/>
      <c r="E107" s="162"/>
      <c r="F107" s="47"/>
      <c r="G107" s="47"/>
    </row>
    <row r="108" spans="2:7" ht="13.2">
      <c r="B108" s="47"/>
      <c r="C108" s="47"/>
      <c r="D108" s="162"/>
      <c r="E108" s="162"/>
      <c r="F108" s="47"/>
      <c r="G108" s="47"/>
    </row>
    <row r="109" spans="2:7" ht="13.2">
      <c r="B109" s="47"/>
      <c r="C109" s="47"/>
      <c r="D109" s="162"/>
      <c r="E109" s="162"/>
      <c r="F109" s="47"/>
      <c r="G109" s="47"/>
    </row>
    <row r="110" spans="2:7" ht="13.2">
      <c r="B110" s="47"/>
      <c r="C110" s="47"/>
      <c r="D110" s="162"/>
      <c r="E110" s="162"/>
      <c r="F110" s="47"/>
      <c r="G110" s="47"/>
    </row>
    <row r="111" spans="2:7" ht="13.2">
      <c r="B111" s="47"/>
      <c r="C111" s="47"/>
      <c r="D111" s="162"/>
      <c r="E111" s="162"/>
      <c r="F111" s="47"/>
      <c r="G111" s="47"/>
    </row>
    <row r="112" spans="2:7" ht="13.2">
      <c r="B112" s="47"/>
      <c r="C112" s="47"/>
      <c r="D112" s="162"/>
      <c r="E112" s="162"/>
      <c r="F112" s="47"/>
      <c r="G112" s="47"/>
    </row>
    <row r="113" spans="2:7" ht="13.2">
      <c r="B113" s="47"/>
      <c r="C113" s="47"/>
      <c r="D113" s="162"/>
      <c r="E113" s="162"/>
      <c r="F113" s="47"/>
      <c r="G113" s="47"/>
    </row>
    <row r="114" spans="2:7" ht="13.2">
      <c r="B114" s="47"/>
      <c r="C114" s="47"/>
      <c r="D114" s="162"/>
      <c r="E114" s="162"/>
      <c r="F114" s="47"/>
      <c r="G114" s="47"/>
    </row>
    <row r="115" spans="2:7" ht="13.2">
      <c r="B115" s="47"/>
      <c r="C115" s="47"/>
      <c r="D115" s="162"/>
      <c r="E115" s="162"/>
      <c r="F115" s="47"/>
      <c r="G115" s="47"/>
    </row>
    <row r="116" spans="2:7" ht="13.2">
      <c r="B116" s="47"/>
      <c r="C116" s="47"/>
      <c r="D116" s="162"/>
      <c r="E116" s="162"/>
      <c r="F116" s="47"/>
      <c r="G116" s="47"/>
    </row>
    <row r="117" spans="2:7" ht="13.2">
      <c r="B117" s="47"/>
      <c r="C117" s="47"/>
      <c r="D117" s="162"/>
      <c r="E117" s="162"/>
      <c r="F117" s="47"/>
      <c r="G117" s="47"/>
    </row>
    <row r="118" spans="2:7" ht="13.2">
      <c r="B118" s="47"/>
      <c r="C118" s="47"/>
      <c r="D118" s="162"/>
      <c r="E118" s="162"/>
      <c r="F118" s="47"/>
      <c r="G118" s="47"/>
    </row>
    <row r="119" spans="2:7" ht="13.2">
      <c r="B119" s="47"/>
      <c r="C119" s="47"/>
      <c r="D119" s="162"/>
      <c r="E119" s="162"/>
      <c r="F119" s="47"/>
      <c r="G119" s="47"/>
    </row>
    <row r="120" spans="2:7" ht="13.2">
      <c r="B120" s="47"/>
      <c r="C120" s="47"/>
      <c r="D120" s="162"/>
      <c r="E120" s="162"/>
      <c r="F120" s="47"/>
      <c r="G120" s="47"/>
    </row>
    <row r="121" spans="2:7" ht="13.2">
      <c r="B121" s="47"/>
      <c r="C121" s="47"/>
      <c r="D121" s="162"/>
      <c r="E121" s="162"/>
      <c r="F121" s="47"/>
      <c r="G121" s="47"/>
    </row>
    <row r="122" spans="2:7" ht="13.2">
      <c r="B122" s="47"/>
      <c r="C122" s="47"/>
      <c r="D122" s="162"/>
      <c r="E122" s="162"/>
      <c r="F122" s="47"/>
      <c r="G122" s="47"/>
    </row>
    <row r="123" spans="2:7" ht="13.2">
      <c r="B123" s="47"/>
      <c r="C123" s="47"/>
      <c r="D123" s="162"/>
      <c r="E123" s="162"/>
      <c r="F123" s="47"/>
      <c r="G123" s="47"/>
    </row>
    <row r="124" spans="2:7" ht="13.2">
      <c r="B124" s="47"/>
      <c r="C124" s="47"/>
      <c r="D124" s="162"/>
      <c r="E124" s="162"/>
      <c r="F124" s="47"/>
      <c r="G124" s="47"/>
    </row>
    <row r="125" spans="2:7" ht="13.2">
      <c r="B125" s="47"/>
      <c r="C125" s="47"/>
      <c r="D125" s="162"/>
      <c r="E125" s="162"/>
      <c r="F125" s="47"/>
      <c r="G125" s="47"/>
    </row>
    <row r="126" spans="2:7" ht="13.2">
      <c r="B126" s="47"/>
      <c r="C126" s="47"/>
      <c r="D126" s="162"/>
      <c r="E126" s="162"/>
      <c r="F126" s="47"/>
      <c r="G126" s="47"/>
    </row>
    <row r="127" spans="2:7" ht="13.2">
      <c r="B127" s="47"/>
      <c r="C127" s="47"/>
      <c r="D127" s="162"/>
      <c r="E127" s="162"/>
      <c r="F127" s="47"/>
      <c r="G127" s="47"/>
    </row>
    <row r="128" spans="2:7" ht="13.2">
      <c r="B128" s="47"/>
      <c r="C128" s="47"/>
      <c r="D128" s="162"/>
      <c r="E128" s="162"/>
      <c r="F128" s="47"/>
      <c r="G128" s="47"/>
    </row>
    <row r="129" spans="2:7" ht="13.2">
      <c r="B129" s="47"/>
      <c r="C129" s="47"/>
      <c r="D129" s="162"/>
      <c r="E129" s="162"/>
      <c r="F129" s="47"/>
      <c r="G129" s="47"/>
    </row>
    <row r="130" spans="2:7" ht="13.2">
      <c r="B130" s="47"/>
      <c r="C130" s="47"/>
      <c r="D130" s="162"/>
      <c r="E130" s="162"/>
      <c r="F130" s="47"/>
      <c r="G130" s="47"/>
    </row>
    <row r="131" spans="2:7" ht="13.2">
      <c r="B131" s="47"/>
      <c r="C131" s="47"/>
      <c r="D131" s="162"/>
      <c r="E131" s="162"/>
      <c r="F131" s="47"/>
      <c r="G131" s="47"/>
    </row>
    <row r="132" spans="2:7" ht="13.2">
      <c r="B132" s="47"/>
      <c r="C132" s="47"/>
      <c r="D132" s="162"/>
      <c r="E132" s="162"/>
      <c r="F132" s="47"/>
      <c r="G132" s="47"/>
    </row>
    <row r="133" spans="2:7" ht="13.2">
      <c r="B133" s="47"/>
      <c r="C133" s="47"/>
      <c r="D133" s="162"/>
      <c r="E133" s="162"/>
      <c r="F133" s="47"/>
      <c r="G133" s="47"/>
    </row>
    <row r="134" spans="2:7" ht="13.2">
      <c r="B134" s="47"/>
      <c r="C134" s="47"/>
      <c r="D134" s="162"/>
      <c r="E134" s="162"/>
      <c r="F134" s="47"/>
      <c r="G134" s="47"/>
    </row>
    <row r="135" spans="2:7" ht="13.2">
      <c r="B135" s="47"/>
      <c r="C135" s="47"/>
      <c r="D135" s="162"/>
      <c r="E135" s="162"/>
      <c r="F135" s="47"/>
      <c r="G135" s="47"/>
    </row>
    <row r="136" spans="2:7" ht="13.2">
      <c r="B136" s="47"/>
      <c r="C136" s="47"/>
      <c r="D136" s="162"/>
      <c r="E136" s="162"/>
      <c r="F136" s="47"/>
      <c r="G136" s="47"/>
    </row>
    <row r="137" spans="2:7" ht="13.2">
      <c r="B137" s="47"/>
      <c r="C137" s="47"/>
      <c r="D137" s="162"/>
      <c r="E137" s="162"/>
      <c r="F137" s="47"/>
      <c r="G137" s="47"/>
    </row>
    <row r="138" spans="2:7" ht="13.2">
      <c r="B138" s="47"/>
      <c r="C138" s="47"/>
      <c r="D138" s="162"/>
      <c r="E138" s="162"/>
      <c r="F138" s="47"/>
      <c r="G138" s="47"/>
    </row>
    <row r="139" spans="2:7" ht="13.2">
      <c r="B139" s="47"/>
      <c r="C139" s="47"/>
      <c r="D139" s="162"/>
      <c r="E139" s="162"/>
      <c r="F139" s="47"/>
      <c r="G139" s="47"/>
    </row>
    <row r="140" spans="2:7" ht="13.2">
      <c r="B140" s="47"/>
      <c r="C140" s="47"/>
      <c r="D140" s="162"/>
      <c r="E140" s="162"/>
      <c r="F140" s="47"/>
      <c r="G140" s="47"/>
    </row>
    <row r="141" spans="2:7" ht="13.2">
      <c r="B141" s="47"/>
      <c r="C141" s="47"/>
      <c r="D141" s="162"/>
      <c r="E141" s="162"/>
      <c r="F141" s="47"/>
      <c r="G141" s="47"/>
    </row>
    <row r="142" spans="2:7" ht="13.2">
      <c r="B142" s="47"/>
      <c r="C142" s="47"/>
      <c r="D142" s="162"/>
      <c r="E142" s="162"/>
      <c r="F142" s="47"/>
      <c r="G142" s="47"/>
    </row>
    <row r="143" spans="2:7" ht="13.2">
      <c r="B143" s="47"/>
      <c r="C143" s="47"/>
      <c r="D143" s="162"/>
      <c r="E143" s="162"/>
      <c r="F143" s="47"/>
      <c r="G143" s="47"/>
    </row>
    <row r="144" spans="2:7" ht="13.2">
      <c r="B144" s="47"/>
      <c r="C144" s="47"/>
      <c r="D144" s="162"/>
      <c r="E144" s="162"/>
      <c r="F144" s="47"/>
      <c r="G144" s="47"/>
    </row>
    <row r="145" spans="2:7" ht="13.2">
      <c r="B145" s="47"/>
      <c r="C145" s="47"/>
      <c r="D145" s="162"/>
      <c r="E145" s="162"/>
      <c r="F145" s="47"/>
      <c r="G145" s="47"/>
    </row>
    <row r="146" spans="2:7" ht="13.2">
      <c r="B146" s="47"/>
      <c r="C146" s="47"/>
      <c r="D146" s="162"/>
      <c r="E146" s="162"/>
      <c r="F146" s="47"/>
      <c r="G146" s="47"/>
    </row>
    <row r="147" spans="2:7" ht="13.2">
      <c r="B147" s="47"/>
      <c r="C147" s="47"/>
      <c r="D147" s="162"/>
      <c r="E147" s="162"/>
      <c r="F147" s="47"/>
      <c r="G147" s="47"/>
    </row>
    <row r="148" spans="2:7" ht="13.2">
      <c r="B148" s="47"/>
      <c r="C148" s="47"/>
      <c r="D148" s="162"/>
      <c r="E148" s="162"/>
      <c r="F148" s="47"/>
      <c r="G148" s="47"/>
    </row>
    <row r="149" spans="2:7" ht="13.2">
      <c r="B149" s="47"/>
      <c r="C149" s="47"/>
      <c r="D149" s="162"/>
      <c r="E149" s="162"/>
      <c r="F149" s="47"/>
      <c r="G149" s="47"/>
    </row>
    <row r="150" spans="2:7" ht="13.2">
      <c r="B150" s="47"/>
      <c r="C150" s="47"/>
      <c r="D150" s="162"/>
      <c r="E150" s="162"/>
      <c r="F150" s="47"/>
      <c r="G150" s="47"/>
    </row>
    <row r="151" spans="2:7" ht="13.2">
      <c r="B151" s="47"/>
      <c r="C151" s="47"/>
      <c r="D151" s="162"/>
      <c r="E151" s="162"/>
      <c r="F151" s="47"/>
      <c r="G151" s="47"/>
    </row>
    <row r="152" spans="2:7" ht="13.2">
      <c r="B152" s="47"/>
      <c r="C152" s="47"/>
      <c r="D152" s="162"/>
      <c r="E152" s="162"/>
      <c r="F152" s="47"/>
      <c r="G152" s="47"/>
    </row>
    <row r="153" spans="2:7" ht="13.2">
      <c r="B153" s="47"/>
      <c r="C153" s="47"/>
      <c r="D153" s="162"/>
      <c r="E153" s="162"/>
      <c r="F153" s="47"/>
      <c r="G153" s="47"/>
    </row>
    <row r="154" spans="2:7" ht="13.2">
      <c r="B154" s="47"/>
      <c r="C154" s="47"/>
      <c r="D154" s="162"/>
      <c r="E154" s="162"/>
      <c r="F154" s="47"/>
      <c r="G154" s="47"/>
    </row>
    <row r="155" spans="2:7" ht="13.2">
      <c r="B155" s="47"/>
      <c r="C155" s="47"/>
      <c r="D155" s="162"/>
      <c r="E155" s="162"/>
      <c r="F155" s="47"/>
      <c r="G155" s="47"/>
    </row>
    <row r="156" spans="2:7" ht="13.2">
      <c r="B156" s="47"/>
      <c r="C156" s="47"/>
      <c r="D156" s="162"/>
      <c r="E156" s="162"/>
      <c r="F156" s="47"/>
      <c r="G156" s="47"/>
    </row>
    <row r="157" spans="2:7" ht="13.2">
      <c r="B157" s="47"/>
      <c r="C157" s="47"/>
      <c r="D157" s="162"/>
      <c r="E157" s="162"/>
      <c r="F157" s="47"/>
      <c r="G157" s="47"/>
    </row>
    <row r="158" spans="2:7" ht="13.2">
      <c r="B158" s="47"/>
      <c r="C158" s="47"/>
      <c r="D158" s="162"/>
      <c r="E158" s="162"/>
      <c r="F158" s="47"/>
      <c r="G158" s="47"/>
    </row>
    <row r="159" spans="2:7" ht="13.2">
      <c r="B159" s="47"/>
      <c r="C159" s="47"/>
      <c r="D159" s="162"/>
      <c r="E159" s="162"/>
      <c r="F159" s="47"/>
      <c r="G159" s="47"/>
    </row>
    <row r="160" spans="2:7" ht="13.2">
      <c r="B160" s="47"/>
      <c r="C160" s="47"/>
      <c r="D160" s="162"/>
      <c r="E160" s="162"/>
      <c r="F160" s="47"/>
      <c r="G160" s="47"/>
    </row>
    <row r="161" spans="2:7" ht="13.2">
      <c r="B161" s="47"/>
      <c r="C161" s="47"/>
      <c r="D161" s="162"/>
      <c r="E161" s="162"/>
      <c r="F161" s="47"/>
      <c r="G161" s="47"/>
    </row>
    <row r="162" spans="2:7" ht="13.2">
      <c r="B162" s="47"/>
      <c r="C162" s="47"/>
      <c r="D162" s="162"/>
      <c r="E162" s="162"/>
      <c r="F162" s="47"/>
      <c r="G162" s="47"/>
    </row>
    <row r="163" spans="2:7" ht="13.2">
      <c r="B163" s="47"/>
      <c r="C163" s="47"/>
      <c r="D163" s="162"/>
      <c r="E163" s="162"/>
      <c r="F163" s="47"/>
      <c r="G163" s="47"/>
    </row>
    <row r="164" spans="2:7" ht="13.2">
      <c r="B164" s="47"/>
      <c r="C164" s="47"/>
      <c r="D164" s="162"/>
      <c r="E164" s="162"/>
      <c r="F164" s="47"/>
      <c r="G164" s="47"/>
    </row>
    <row r="165" spans="2:7" ht="13.2">
      <c r="B165" s="47"/>
      <c r="C165" s="47"/>
      <c r="D165" s="162"/>
      <c r="E165" s="162"/>
      <c r="F165" s="47"/>
      <c r="G165" s="47"/>
    </row>
    <row r="166" spans="2:7" ht="13.2">
      <c r="B166" s="47"/>
      <c r="C166" s="47"/>
      <c r="D166" s="162"/>
      <c r="E166" s="162"/>
      <c r="F166" s="47"/>
      <c r="G166" s="47"/>
    </row>
    <row r="167" spans="2:7" ht="13.2">
      <c r="B167" s="47"/>
      <c r="C167" s="47"/>
      <c r="D167" s="162"/>
      <c r="E167" s="162"/>
      <c r="F167" s="47"/>
      <c r="G167" s="47"/>
    </row>
    <row r="168" spans="2:7" ht="13.2">
      <c r="B168" s="47"/>
      <c r="C168" s="47"/>
      <c r="D168" s="162"/>
      <c r="E168" s="162"/>
      <c r="F168" s="47"/>
      <c r="G168" s="47"/>
    </row>
    <row r="169" spans="2:7" ht="13.2">
      <c r="B169" s="47"/>
      <c r="C169" s="47"/>
      <c r="D169" s="162"/>
      <c r="E169" s="162"/>
      <c r="F169" s="47"/>
      <c r="G169" s="47"/>
    </row>
    <row r="170" spans="2:7" ht="13.2">
      <c r="B170" s="47"/>
      <c r="C170" s="47"/>
      <c r="D170" s="162"/>
      <c r="E170" s="162"/>
      <c r="F170" s="47"/>
      <c r="G170" s="47"/>
    </row>
    <row r="171" spans="2:7" ht="13.2">
      <c r="B171" s="47"/>
      <c r="C171" s="47"/>
      <c r="D171" s="162"/>
      <c r="E171" s="162"/>
      <c r="F171" s="47"/>
      <c r="G171" s="47"/>
    </row>
    <row r="172" spans="2:7" ht="13.2">
      <c r="B172" s="47"/>
      <c r="C172" s="47"/>
      <c r="D172" s="162"/>
      <c r="E172" s="162"/>
      <c r="F172" s="47"/>
      <c r="G172" s="47"/>
    </row>
    <row r="173" spans="2:7" ht="13.2">
      <c r="B173" s="47"/>
      <c r="C173" s="47"/>
      <c r="D173" s="162"/>
      <c r="E173" s="162"/>
      <c r="F173" s="47"/>
      <c r="G173" s="47"/>
    </row>
    <row r="174" spans="2:7" ht="13.2">
      <c r="B174" s="47"/>
      <c r="C174" s="47"/>
      <c r="D174" s="162"/>
      <c r="E174" s="162"/>
      <c r="F174" s="47"/>
      <c r="G174" s="47"/>
    </row>
    <row r="175" spans="2:7" ht="13.2">
      <c r="B175" s="47"/>
      <c r="C175" s="47"/>
      <c r="D175" s="162"/>
      <c r="E175" s="162"/>
      <c r="F175" s="47"/>
      <c r="G175" s="47"/>
    </row>
    <row r="176" spans="2:7" ht="13.2">
      <c r="B176" s="47"/>
      <c r="C176" s="47"/>
      <c r="D176" s="162"/>
      <c r="E176" s="162"/>
      <c r="F176" s="47"/>
      <c r="G176" s="47"/>
    </row>
    <row r="177" spans="2:7" ht="13.2">
      <c r="B177" s="47"/>
      <c r="C177" s="47"/>
      <c r="D177" s="162"/>
      <c r="E177" s="162"/>
      <c r="F177" s="47"/>
      <c r="G177" s="47"/>
    </row>
    <row r="178" spans="2:7" ht="13.2">
      <c r="B178" s="47"/>
      <c r="C178" s="47"/>
      <c r="D178" s="162"/>
      <c r="E178" s="162"/>
      <c r="F178" s="47"/>
      <c r="G178" s="47"/>
    </row>
    <row r="179" spans="2:7" ht="13.2">
      <c r="B179" s="47"/>
      <c r="C179" s="47"/>
      <c r="D179" s="162"/>
      <c r="E179" s="162"/>
      <c r="F179" s="47"/>
      <c r="G179" s="47"/>
    </row>
    <row r="180" spans="2:7" ht="13.2">
      <c r="B180" s="47"/>
      <c r="C180" s="47"/>
      <c r="D180" s="162"/>
      <c r="E180" s="162"/>
      <c r="F180" s="47"/>
      <c r="G180" s="47"/>
    </row>
    <row r="181" spans="2:7" ht="13.2">
      <c r="B181" s="47"/>
      <c r="C181" s="47"/>
      <c r="D181" s="162"/>
      <c r="E181" s="162"/>
      <c r="F181" s="47"/>
      <c r="G181" s="47"/>
    </row>
    <row r="182" spans="2:7" ht="13.2">
      <c r="B182" s="47"/>
      <c r="C182" s="47"/>
      <c r="D182" s="162"/>
      <c r="E182" s="162"/>
      <c r="F182" s="47"/>
      <c r="G182" s="47"/>
    </row>
    <row r="183" spans="2:7" ht="13.2">
      <c r="B183" s="47"/>
      <c r="C183" s="47"/>
      <c r="D183" s="162"/>
      <c r="E183" s="162"/>
      <c r="F183" s="47"/>
      <c r="G183" s="47"/>
    </row>
    <row r="184" spans="2:7" ht="13.2">
      <c r="B184" s="47"/>
      <c r="C184" s="47"/>
      <c r="D184" s="162"/>
      <c r="E184" s="162"/>
      <c r="F184" s="47"/>
      <c r="G184" s="47"/>
    </row>
    <row r="185" spans="2:7" ht="13.2">
      <c r="B185" s="47"/>
      <c r="C185" s="47"/>
      <c r="D185" s="162"/>
      <c r="E185" s="162"/>
      <c r="F185" s="47"/>
      <c r="G185" s="47"/>
    </row>
    <row r="186" spans="2:7" ht="13.2">
      <c r="B186" s="47"/>
      <c r="C186" s="47"/>
      <c r="D186" s="162"/>
      <c r="E186" s="162"/>
      <c r="F186" s="47"/>
      <c r="G186" s="47"/>
    </row>
    <row r="187" spans="2:7" ht="13.2">
      <c r="B187" s="47"/>
      <c r="C187" s="47"/>
      <c r="D187" s="162"/>
      <c r="E187" s="162"/>
      <c r="F187" s="47"/>
      <c r="G187" s="47"/>
    </row>
    <row r="188" spans="2:7" ht="13.2">
      <c r="B188" s="47"/>
      <c r="C188" s="47"/>
      <c r="D188" s="162"/>
      <c r="E188" s="162"/>
      <c r="F188" s="47"/>
      <c r="G188" s="47"/>
    </row>
    <row r="189" spans="2:7" ht="13.2">
      <c r="B189" s="47"/>
      <c r="C189" s="47"/>
      <c r="D189" s="162"/>
      <c r="E189" s="162"/>
      <c r="F189" s="47"/>
      <c r="G189" s="47"/>
    </row>
    <row r="190" spans="2:7" ht="13.2">
      <c r="B190" s="47"/>
      <c r="C190" s="47"/>
      <c r="D190" s="162"/>
      <c r="E190" s="162"/>
      <c r="F190" s="47"/>
      <c r="G190" s="47"/>
    </row>
    <row r="191" spans="2:7" ht="13.2">
      <c r="B191" s="47"/>
      <c r="C191" s="47"/>
      <c r="D191" s="162"/>
      <c r="E191" s="162"/>
      <c r="F191" s="47"/>
      <c r="G191" s="47"/>
    </row>
    <row r="192" spans="2:7" ht="13.2">
      <c r="B192" s="47"/>
      <c r="C192" s="47"/>
      <c r="D192" s="162"/>
      <c r="E192" s="162"/>
      <c r="F192" s="47"/>
      <c r="G192" s="47"/>
    </row>
    <row r="193" spans="2:7" ht="13.2">
      <c r="B193" s="47"/>
      <c r="C193" s="47"/>
      <c r="D193" s="162"/>
      <c r="E193" s="162"/>
      <c r="F193" s="47"/>
      <c r="G193" s="47"/>
    </row>
    <row r="194" spans="2:7" ht="13.2">
      <c r="B194" s="47"/>
      <c r="C194" s="47"/>
      <c r="D194" s="162"/>
      <c r="E194" s="162"/>
      <c r="F194" s="47"/>
      <c r="G194" s="47"/>
    </row>
    <row r="195" spans="2:7" ht="13.2">
      <c r="B195" s="47"/>
      <c r="C195" s="47"/>
      <c r="D195" s="162"/>
      <c r="E195" s="162"/>
      <c r="F195" s="47"/>
      <c r="G195" s="47"/>
    </row>
    <row r="196" spans="2:7" ht="13.2">
      <c r="B196" s="47"/>
      <c r="C196" s="47"/>
      <c r="D196" s="162"/>
      <c r="E196" s="162"/>
      <c r="F196" s="47"/>
      <c r="G196" s="47"/>
    </row>
    <row r="197" spans="2:7" ht="13.2">
      <c r="B197" s="47"/>
      <c r="C197" s="47"/>
      <c r="D197" s="162"/>
      <c r="E197" s="162"/>
      <c r="F197" s="47"/>
      <c r="G197" s="47"/>
    </row>
    <row r="198" spans="2:7" ht="13.2">
      <c r="B198" s="47"/>
      <c r="C198" s="47"/>
      <c r="D198" s="162"/>
      <c r="E198" s="162"/>
      <c r="F198" s="47"/>
      <c r="G198" s="47"/>
    </row>
    <row r="199" spans="2:7" ht="13.2">
      <c r="B199" s="47"/>
      <c r="C199" s="47"/>
      <c r="D199" s="162"/>
      <c r="E199" s="162"/>
      <c r="F199" s="47"/>
      <c r="G199" s="47"/>
    </row>
    <row r="200" spans="2:7" ht="13.2">
      <c r="B200" s="47"/>
      <c r="C200" s="47"/>
      <c r="D200" s="162"/>
      <c r="E200" s="162"/>
      <c r="F200" s="47"/>
      <c r="G200" s="47"/>
    </row>
    <row r="201" spans="2:7" ht="13.2">
      <c r="B201" s="47"/>
      <c r="C201" s="47"/>
      <c r="D201" s="162"/>
      <c r="E201" s="162"/>
      <c r="F201" s="47"/>
      <c r="G201" s="47"/>
    </row>
    <row r="202" spans="2:7" ht="13.2">
      <c r="B202" s="47"/>
      <c r="C202" s="47"/>
      <c r="D202" s="162"/>
      <c r="E202" s="162"/>
      <c r="F202" s="47"/>
      <c r="G202" s="47"/>
    </row>
    <row r="203" spans="2:7" ht="13.2">
      <c r="B203" s="47"/>
      <c r="C203" s="47"/>
      <c r="D203" s="162"/>
      <c r="E203" s="162"/>
      <c r="F203" s="47"/>
      <c r="G203" s="47"/>
    </row>
    <row r="204" spans="2:7" ht="13.2">
      <c r="B204" s="47"/>
      <c r="C204" s="47"/>
      <c r="D204" s="162"/>
      <c r="E204" s="162"/>
      <c r="F204" s="47"/>
      <c r="G204" s="47"/>
    </row>
    <row r="205" spans="2:7" ht="13.2">
      <c r="B205" s="47"/>
      <c r="C205" s="47"/>
      <c r="D205" s="162"/>
      <c r="E205" s="162"/>
      <c r="F205" s="47"/>
      <c r="G205" s="47"/>
    </row>
    <row r="206" spans="2:7" ht="13.2">
      <c r="B206" s="47"/>
      <c r="C206" s="47"/>
      <c r="D206" s="162"/>
      <c r="E206" s="162"/>
      <c r="F206" s="47"/>
      <c r="G206" s="47"/>
    </row>
    <row r="207" spans="2:7" ht="13.2">
      <c r="B207" s="47"/>
      <c r="C207" s="47"/>
      <c r="D207" s="162"/>
      <c r="E207" s="162"/>
      <c r="F207" s="47"/>
      <c r="G207" s="47"/>
    </row>
    <row r="208" spans="2:7" ht="13.2">
      <c r="B208" s="47"/>
      <c r="C208" s="47"/>
      <c r="D208" s="162"/>
      <c r="E208" s="162"/>
      <c r="F208" s="47"/>
      <c r="G208" s="47"/>
    </row>
    <row r="209" spans="2:7" ht="13.2">
      <c r="B209" s="47"/>
      <c r="C209" s="47"/>
      <c r="D209" s="162"/>
      <c r="E209" s="162"/>
      <c r="F209" s="47"/>
      <c r="G209" s="47"/>
    </row>
    <row r="210" spans="2:7" ht="13.2">
      <c r="B210" s="47"/>
      <c r="C210" s="47"/>
      <c r="D210" s="162"/>
      <c r="E210" s="162"/>
      <c r="F210" s="47"/>
      <c r="G210" s="47"/>
    </row>
    <row r="211" spans="2:7" ht="13.2">
      <c r="B211" s="47"/>
      <c r="C211" s="47"/>
      <c r="D211" s="162"/>
      <c r="E211" s="162"/>
      <c r="F211" s="47"/>
      <c r="G211" s="47"/>
    </row>
    <row r="212" spans="2:7" ht="13.2">
      <c r="B212" s="47"/>
      <c r="C212" s="47"/>
      <c r="D212" s="162"/>
      <c r="E212" s="162"/>
      <c r="F212" s="47"/>
      <c r="G212" s="47"/>
    </row>
    <row r="213" spans="2:7" ht="13.2">
      <c r="B213" s="47"/>
      <c r="C213" s="47"/>
      <c r="D213" s="162"/>
      <c r="E213" s="162"/>
      <c r="F213" s="47"/>
      <c r="G213" s="47"/>
    </row>
    <row r="214" spans="2:7" ht="13.2">
      <c r="B214" s="47"/>
      <c r="C214" s="47"/>
      <c r="D214" s="162"/>
      <c r="E214" s="162"/>
      <c r="F214" s="47"/>
      <c r="G214" s="47"/>
    </row>
    <row r="215" spans="2:7" ht="13.2">
      <c r="B215" s="47"/>
      <c r="C215" s="47"/>
      <c r="D215" s="162"/>
      <c r="E215" s="162"/>
      <c r="F215" s="47"/>
      <c r="G215" s="47"/>
    </row>
    <row r="216" spans="2:7" ht="13.2">
      <c r="B216" s="47"/>
      <c r="C216" s="47"/>
      <c r="D216" s="162"/>
      <c r="E216" s="162"/>
      <c r="F216" s="47"/>
      <c r="G216" s="47"/>
    </row>
    <row r="217" spans="2:7" ht="13.2">
      <c r="B217" s="47"/>
      <c r="C217" s="47"/>
      <c r="D217" s="162"/>
      <c r="E217" s="162"/>
      <c r="F217" s="47"/>
      <c r="G217" s="47"/>
    </row>
    <row r="218" spans="2:7" ht="13.2">
      <c r="B218" s="47"/>
      <c r="C218" s="47"/>
      <c r="D218" s="162"/>
      <c r="E218" s="162"/>
      <c r="F218" s="47"/>
      <c r="G218" s="47"/>
    </row>
    <row r="219" spans="2:7" ht="13.2">
      <c r="B219" s="47"/>
      <c r="C219" s="47"/>
      <c r="D219" s="162"/>
      <c r="E219" s="162"/>
      <c r="F219" s="47"/>
      <c r="G219" s="47"/>
    </row>
    <row r="220" spans="2:7" ht="13.2">
      <c r="B220" s="47"/>
      <c r="C220" s="47"/>
      <c r="D220" s="162"/>
      <c r="E220" s="162"/>
      <c r="F220" s="47"/>
      <c r="G220" s="47"/>
    </row>
    <row r="221" spans="2:7" ht="13.2">
      <c r="B221" s="47"/>
      <c r="C221" s="47"/>
      <c r="D221" s="162"/>
      <c r="E221" s="162"/>
      <c r="F221" s="47"/>
      <c r="G221" s="47"/>
    </row>
    <row r="222" spans="2:7" ht="13.2">
      <c r="B222" s="47"/>
      <c r="C222" s="47"/>
      <c r="D222" s="162"/>
      <c r="E222" s="162"/>
      <c r="F222" s="47"/>
      <c r="G222" s="47"/>
    </row>
    <row r="223" spans="2:7" ht="13.2">
      <c r="B223" s="47"/>
      <c r="C223" s="47"/>
      <c r="D223" s="162"/>
      <c r="E223" s="162"/>
      <c r="F223" s="47"/>
      <c r="G223" s="47"/>
    </row>
    <row r="224" spans="2:7" ht="13.2">
      <c r="B224" s="47"/>
      <c r="C224" s="47"/>
      <c r="D224" s="162"/>
      <c r="E224" s="162"/>
      <c r="F224" s="47"/>
      <c r="G224" s="47"/>
    </row>
    <row r="225" spans="2:7" ht="13.2">
      <c r="B225" s="47"/>
      <c r="C225" s="47"/>
      <c r="D225" s="162"/>
      <c r="E225" s="162"/>
      <c r="F225" s="47"/>
      <c r="G225" s="47"/>
    </row>
    <row r="226" spans="2:7" ht="13.2">
      <c r="B226" s="47"/>
      <c r="C226" s="47"/>
      <c r="D226" s="162"/>
      <c r="E226" s="162"/>
      <c r="F226" s="47"/>
      <c r="G226" s="47"/>
    </row>
    <row r="227" spans="2:7" ht="13.2">
      <c r="B227" s="47"/>
      <c r="C227" s="47"/>
      <c r="D227" s="162"/>
      <c r="E227" s="162"/>
      <c r="F227" s="47"/>
      <c r="G227" s="47"/>
    </row>
    <row r="228" spans="2:7" ht="13.2">
      <c r="B228" s="47"/>
      <c r="C228" s="47"/>
      <c r="D228" s="162"/>
      <c r="E228" s="162"/>
      <c r="F228" s="47"/>
      <c r="G228" s="47"/>
    </row>
    <row r="229" spans="2:7" ht="13.2">
      <c r="B229" s="47"/>
      <c r="C229" s="47"/>
      <c r="D229" s="162"/>
      <c r="E229" s="162"/>
      <c r="F229" s="47"/>
      <c r="G229" s="47"/>
    </row>
    <row r="230" spans="2:7" ht="13.2">
      <c r="B230" s="47"/>
      <c r="C230" s="47"/>
      <c r="D230" s="162"/>
      <c r="E230" s="162"/>
      <c r="F230" s="47"/>
      <c r="G230" s="47"/>
    </row>
    <row r="231" spans="2:7" ht="13.2">
      <c r="B231" s="47"/>
      <c r="C231" s="47"/>
      <c r="D231" s="162"/>
      <c r="E231" s="162"/>
      <c r="F231" s="47"/>
      <c r="G231" s="47"/>
    </row>
    <row r="232" spans="2:7" ht="13.2">
      <c r="B232" s="47"/>
      <c r="C232" s="47"/>
      <c r="D232" s="162"/>
      <c r="E232" s="162"/>
      <c r="F232" s="47"/>
      <c r="G232" s="47"/>
    </row>
    <row r="233" spans="2:7" ht="13.2">
      <c r="B233" s="47"/>
      <c r="C233" s="47"/>
      <c r="D233" s="162"/>
      <c r="E233" s="162"/>
      <c r="F233" s="47"/>
      <c r="G233" s="47"/>
    </row>
    <row r="234" spans="2:7" ht="13.2">
      <c r="B234" s="47"/>
      <c r="C234" s="47"/>
      <c r="D234" s="162"/>
      <c r="E234" s="162"/>
      <c r="F234" s="47"/>
      <c r="G234" s="47"/>
    </row>
    <row r="235" spans="2:7" ht="13.2">
      <c r="B235" s="47"/>
      <c r="C235" s="47"/>
      <c r="D235" s="162"/>
      <c r="E235" s="162"/>
      <c r="F235" s="47"/>
      <c r="G235" s="47"/>
    </row>
    <row r="236" spans="2:7" ht="13.2">
      <c r="B236" s="47"/>
      <c r="C236" s="47"/>
      <c r="D236" s="162"/>
      <c r="E236" s="162"/>
      <c r="F236" s="47"/>
      <c r="G236" s="47"/>
    </row>
    <row r="237" spans="2:7" ht="13.2">
      <c r="B237" s="47"/>
      <c r="C237" s="47"/>
      <c r="D237" s="162"/>
      <c r="E237" s="162"/>
      <c r="F237" s="47"/>
      <c r="G237" s="47"/>
    </row>
    <row r="238" spans="2:7" ht="13.2">
      <c r="B238" s="47"/>
      <c r="C238" s="47"/>
      <c r="D238" s="162"/>
      <c r="E238" s="162"/>
      <c r="F238" s="47"/>
      <c r="G238" s="47"/>
    </row>
    <row r="239" spans="2:7" ht="13.2">
      <c r="B239" s="47"/>
      <c r="C239" s="47"/>
      <c r="D239" s="162"/>
      <c r="E239" s="162"/>
      <c r="F239" s="47"/>
      <c r="G239" s="47"/>
    </row>
    <row r="240" spans="2:7" ht="13.2">
      <c r="B240" s="47"/>
      <c r="C240" s="47"/>
      <c r="D240" s="162"/>
      <c r="E240" s="162"/>
      <c r="F240" s="47"/>
      <c r="G240" s="47"/>
    </row>
    <row r="241" spans="2:7" ht="13.2">
      <c r="B241" s="47"/>
      <c r="C241" s="47"/>
      <c r="D241" s="162"/>
      <c r="E241" s="162"/>
      <c r="F241" s="47"/>
      <c r="G241" s="47"/>
    </row>
    <row r="242" spans="2:7" ht="13.2">
      <c r="B242" s="47"/>
      <c r="C242" s="47"/>
      <c r="D242" s="162"/>
      <c r="E242" s="162"/>
      <c r="F242" s="47"/>
      <c r="G242" s="47"/>
    </row>
    <row r="243" spans="2:7" ht="13.2">
      <c r="B243" s="47"/>
      <c r="C243" s="47"/>
      <c r="D243" s="162"/>
      <c r="E243" s="162"/>
      <c r="F243" s="47"/>
      <c r="G243" s="47"/>
    </row>
    <row r="244" spans="2:7" ht="13.2">
      <c r="B244" s="47"/>
      <c r="C244" s="47"/>
      <c r="D244" s="162"/>
      <c r="E244" s="162"/>
      <c r="F244" s="47"/>
      <c r="G244" s="47"/>
    </row>
    <row r="245" spans="2:7" ht="13.2">
      <c r="B245" s="47"/>
      <c r="C245" s="47"/>
      <c r="D245" s="162"/>
      <c r="E245" s="162"/>
      <c r="F245" s="47"/>
      <c r="G245" s="47"/>
    </row>
    <row r="246" spans="2:7" ht="13.2">
      <c r="B246" s="47"/>
      <c r="C246" s="47"/>
      <c r="D246" s="162"/>
      <c r="E246" s="162"/>
      <c r="F246" s="47"/>
      <c r="G246" s="47"/>
    </row>
    <row r="247" spans="2:7" ht="13.2">
      <c r="B247" s="47"/>
      <c r="C247" s="47"/>
      <c r="D247" s="162"/>
      <c r="E247" s="162"/>
      <c r="F247" s="47"/>
      <c r="G247" s="47"/>
    </row>
    <row r="248" spans="2:7" ht="13.2">
      <c r="B248" s="47"/>
      <c r="C248" s="47"/>
      <c r="D248" s="162"/>
      <c r="E248" s="162"/>
      <c r="F248" s="47"/>
      <c r="G248" s="47"/>
    </row>
    <row r="249" spans="2:7" ht="13.2">
      <c r="B249" s="47"/>
      <c r="C249" s="47"/>
      <c r="D249" s="162"/>
      <c r="E249" s="162"/>
      <c r="F249" s="47"/>
      <c r="G249" s="47"/>
    </row>
    <row r="250" spans="2:7" ht="13.2">
      <c r="B250" s="47"/>
      <c r="C250" s="47"/>
      <c r="D250" s="162"/>
      <c r="E250" s="162"/>
      <c r="F250" s="47"/>
      <c r="G250" s="47"/>
    </row>
    <row r="251" spans="2:7" ht="13.2">
      <c r="B251" s="47"/>
      <c r="C251" s="47"/>
      <c r="D251" s="162"/>
      <c r="E251" s="162"/>
      <c r="F251" s="47"/>
      <c r="G251" s="47"/>
    </row>
    <row r="252" spans="2:7" ht="13.2">
      <c r="B252" s="47"/>
      <c r="C252" s="47"/>
      <c r="D252" s="162"/>
      <c r="E252" s="162"/>
      <c r="F252" s="47"/>
      <c r="G252" s="47"/>
    </row>
    <row r="253" spans="2:7" ht="13.2">
      <c r="B253" s="47"/>
      <c r="C253" s="47"/>
      <c r="D253" s="162"/>
      <c r="E253" s="162"/>
      <c r="F253" s="47"/>
      <c r="G253" s="47"/>
    </row>
    <row r="254" spans="2:7" ht="13.2">
      <c r="B254" s="47"/>
      <c r="C254" s="47"/>
      <c r="D254" s="162"/>
      <c r="E254" s="162"/>
      <c r="F254" s="47"/>
      <c r="G254" s="47"/>
    </row>
    <row r="255" spans="2:7" ht="13.2">
      <c r="B255" s="47"/>
      <c r="C255" s="47"/>
      <c r="D255" s="162"/>
      <c r="E255" s="162"/>
      <c r="F255" s="47"/>
      <c r="G255" s="47"/>
    </row>
    <row r="256" spans="2:7" ht="13.2">
      <c r="B256" s="47"/>
      <c r="C256" s="47"/>
      <c r="D256" s="162"/>
      <c r="E256" s="162"/>
      <c r="F256" s="47"/>
      <c r="G256" s="47"/>
    </row>
    <row r="257" spans="2:7" ht="13.2">
      <c r="B257" s="47"/>
      <c r="C257" s="47"/>
      <c r="D257" s="162"/>
      <c r="E257" s="162"/>
      <c r="F257" s="47"/>
      <c r="G257" s="47"/>
    </row>
    <row r="258" spans="2:7" ht="13.2">
      <c r="B258" s="47"/>
      <c r="C258" s="47"/>
      <c r="D258" s="162"/>
      <c r="E258" s="162"/>
      <c r="F258" s="47"/>
      <c r="G258" s="47"/>
    </row>
    <row r="259" spans="2:7" ht="13.2">
      <c r="B259" s="47"/>
      <c r="C259" s="47"/>
      <c r="D259" s="162"/>
      <c r="E259" s="162"/>
      <c r="F259" s="47"/>
      <c r="G259" s="47"/>
    </row>
    <row r="260" spans="2:7" ht="13.2">
      <c r="B260" s="47"/>
      <c r="C260" s="47"/>
      <c r="D260" s="162"/>
      <c r="E260" s="162"/>
      <c r="F260" s="47"/>
      <c r="G260" s="47"/>
    </row>
    <row r="261" spans="2:7" ht="13.2">
      <c r="B261" s="47"/>
      <c r="C261" s="47"/>
      <c r="D261" s="162"/>
      <c r="E261" s="162"/>
      <c r="F261" s="47"/>
      <c r="G261" s="47"/>
    </row>
    <row r="262" spans="2:7" ht="13.2">
      <c r="B262" s="47"/>
      <c r="C262" s="47"/>
      <c r="D262" s="162"/>
      <c r="E262" s="162"/>
      <c r="F262" s="47"/>
      <c r="G262" s="47"/>
    </row>
    <row r="263" spans="2:7" ht="13.2">
      <c r="B263" s="47"/>
      <c r="C263" s="47"/>
      <c r="D263" s="162"/>
      <c r="E263" s="162"/>
      <c r="F263" s="47"/>
      <c r="G263" s="47"/>
    </row>
    <row r="264" spans="2:7" ht="13.2">
      <c r="B264" s="47"/>
      <c r="C264" s="47"/>
      <c r="D264" s="162"/>
      <c r="E264" s="162"/>
      <c r="F264" s="47"/>
      <c r="G264" s="47"/>
    </row>
    <row r="265" spans="2:7" ht="13.2">
      <c r="B265" s="47"/>
      <c r="C265" s="47"/>
      <c r="D265" s="162"/>
      <c r="E265" s="162"/>
      <c r="F265" s="47"/>
      <c r="G265" s="47"/>
    </row>
    <row r="266" spans="2:7" ht="13.2">
      <c r="B266" s="47"/>
      <c r="C266" s="47"/>
      <c r="D266" s="162"/>
      <c r="E266" s="162"/>
      <c r="F266" s="47"/>
      <c r="G266" s="47"/>
    </row>
    <row r="267" spans="2:7" ht="13.2">
      <c r="B267" s="47"/>
      <c r="C267" s="47"/>
      <c r="D267" s="162"/>
      <c r="E267" s="162"/>
      <c r="F267" s="47"/>
      <c r="G267" s="47"/>
    </row>
    <row r="268" spans="2:7" ht="13.2">
      <c r="B268" s="47"/>
      <c r="C268" s="47"/>
      <c r="D268" s="162"/>
      <c r="E268" s="162"/>
      <c r="F268" s="47"/>
      <c r="G268" s="47"/>
    </row>
    <row r="269" spans="2:7" ht="13.2">
      <c r="B269" s="47"/>
      <c r="C269" s="47"/>
      <c r="D269" s="162"/>
      <c r="E269" s="162"/>
      <c r="F269" s="47"/>
      <c r="G269" s="47"/>
    </row>
    <row r="270" spans="2:7" ht="13.2">
      <c r="B270" s="47"/>
      <c r="C270" s="47"/>
      <c r="D270" s="162"/>
      <c r="E270" s="162"/>
      <c r="F270" s="47"/>
      <c r="G270" s="47"/>
    </row>
    <row r="271" spans="2:7" ht="13.2">
      <c r="B271" s="47"/>
      <c r="C271" s="47"/>
      <c r="D271" s="162"/>
      <c r="E271" s="162"/>
      <c r="F271" s="47"/>
      <c r="G271" s="47"/>
    </row>
    <row r="272" spans="2:7" ht="13.2">
      <c r="B272" s="47"/>
      <c r="C272" s="47"/>
      <c r="D272" s="162"/>
      <c r="E272" s="162"/>
      <c r="F272" s="47"/>
      <c r="G272" s="47"/>
    </row>
    <row r="273" spans="2:7" ht="13.2">
      <c r="B273" s="47"/>
      <c r="C273" s="47"/>
      <c r="D273" s="162"/>
      <c r="E273" s="162"/>
      <c r="F273" s="47"/>
      <c r="G273" s="47"/>
    </row>
    <row r="274" spans="2:7" ht="13.2">
      <c r="B274" s="47"/>
      <c r="C274" s="47"/>
      <c r="D274" s="162"/>
      <c r="E274" s="162"/>
      <c r="F274" s="47"/>
      <c r="G274" s="47"/>
    </row>
    <row r="275" spans="2:7" ht="13.2">
      <c r="B275" s="47"/>
      <c r="C275" s="47"/>
      <c r="D275" s="162"/>
      <c r="E275" s="162"/>
      <c r="F275" s="47"/>
      <c r="G275" s="47"/>
    </row>
    <row r="276" spans="2:7" ht="13.2">
      <c r="B276" s="47"/>
      <c r="C276" s="47"/>
      <c r="D276" s="162"/>
      <c r="E276" s="162"/>
      <c r="F276" s="47"/>
      <c r="G276" s="47"/>
    </row>
    <row r="277" spans="2:7" ht="13.2">
      <c r="B277" s="47"/>
      <c r="C277" s="47"/>
      <c r="D277" s="162"/>
      <c r="E277" s="162"/>
      <c r="F277" s="47"/>
      <c r="G277" s="47"/>
    </row>
    <row r="278" spans="2:7" ht="13.2">
      <c r="B278" s="47"/>
      <c r="C278" s="47"/>
      <c r="D278" s="162"/>
      <c r="E278" s="162"/>
      <c r="F278" s="47"/>
      <c r="G278" s="47"/>
    </row>
    <row r="279" spans="2:7" ht="13.2">
      <c r="B279" s="47"/>
      <c r="C279" s="47"/>
      <c r="D279" s="162"/>
      <c r="E279" s="162"/>
      <c r="F279" s="47"/>
      <c r="G279" s="47"/>
    </row>
    <row r="280" spans="2:7" ht="13.2">
      <c r="B280" s="47"/>
      <c r="C280" s="47"/>
      <c r="D280" s="162"/>
      <c r="E280" s="162"/>
      <c r="F280" s="47"/>
      <c r="G280" s="47"/>
    </row>
    <row r="281" spans="2:7" ht="13.2">
      <c r="B281" s="47"/>
      <c r="C281" s="47"/>
      <c r="D281" s="162"/>
      <c r="E281" s="162"/>
      <c r="F281" s="47"/>
      <c r="G281" s="47"/>
    </row>
    <row r="282" spans="2:7" ht="13.2">
      <c r="B282" s="47"/>
      <c r="C282" s="47"/>
      <c r="D282" s="162"/>
      <c r="E282" s="162"/>
      <c r="F282" s="47"/>
      <c r="G282" s="47"/>
    </row>
    <row r="283" spans="2:7" ht="13.2">
      <c r="B283" s="47"/>
      <c r="C283" s="47"/>
      <c r="D283" s="162"/>
      <c r="E283" s="162"/>
      <c r="F283" s="47"/>
      <c r="G283" s="47"/>
    </row>
    <row r="284" spans="2:7" ht="13.2">
      <c r="B284" s="47"/>
      <c r="C284" s="47"/>
      <c r="D284" s="162"/>
      <c r="E284" s="162"/>
      <c r="F284" s="47"/>
      <c r="G284" s="47"/>
    </row>
    <row r="285" spans="2:7" ht="13.2">
      <c r="B285" s="47"/>
      <c r="C285" s="47"/>
      <c r="D285" s="162"/>
      <c r="E285" s="162"/>
      <c r="F285" s="47"/>
      <c r="G285" s="47"/>
    </row>
    <row r="286" spans="2:7" ht="13.2">
      <c r="B286" s="47"/>
      <c r="C286" s="47"/>
      <c r="D286" s="162"/>
      <c r="E286" s="162"/>
      <c r="F286" s="47"/>
      <c r="G286" s="47"/>
    </row>
    <row r="287" spans="2:7" ht="13.2">
      <c r="B287" s="47"/>
      <c r="C287" s="47"/>
      <c r="D287" s="162"/>
      <c r="E287" s="162"/>
      <c r="F287" s="47"/>
      <c r="G287" s="47"/>
    </row>
    <row r="288" spans="2:7" ht="13.2">
      <c r="B288" s="47"/>
      <c r="C288" s="47"/>
      <c r="D288" s="162"/>
      <c r="E288" s="162"/>
      <c r="F288" s="47"/>
      <c r="G288" s="47"/>
    </row>
    <row r="289" spans="2:7" ht="13.2">
      <c r="B289" s="47"/>
      <c r="C289" s="47"/>
      <c r="D289" s="162"/>
      <c r="E289" s="162"/>
      <c r="F289" s="47"/>
      <c r="G289" s="47"/>
    </row>
    <row r="290" spans="2:7" ht="13.2">
      <c r="B290" s="47"/>
      <c r="C290" s="47"/>
      <c r="D290" s="162"/>
      <c r="E290" s="162"/>
      <c r="F290" s="47"/>
      <c r="G290" s="47"/>
    </row>
    <row r="291" spans="2:7" ht="13.2">
      <c r="B291" s="47"/>
      <c r="C291" s="47"/>
      <c r="D291" s="162"/>
      <c r="E291" s="162"/>
      <c r="F291" s="47"/>
      <c r="G291" s="47"/>
    </row>
    <row r="292" spans="2:7" ht="13.2">
      <c r="B292" s="47"/>
      <c r="C292" s="47"/>
      <c r="D292" s="162"/>
      <c r="E292" s="162"/>
      <c r="F292" s="47"/>
      <c r="G292" s="47"/>
    </row>
    <row r="293" spans="2:7" ht="13.2">
      <c r="B293" s="47"/>
      <c r="C293" s="47"/>
      <c r="D293" s="162"/>
      <c r="E293" s="162"/>
      <c r="F293" s="47"/>
      <c r="G293" s="47"/>
    </row>
    <row r="294" spans="2:7" ht="13.2">
      <c r="B294" s="47"/>
      <c r="C294" s="47"/>
      <c r="D294" s="162"/>
      <c r="E294" s="162"/>
      <c r="F294" s="47"/>
      <c r="G294" s="47"/>
    </row>
    <row r="295" spans="2:7" ht="13.2">
      <c r="B295" s="47"/>
      <c r="C295" s="47"/>
      <c r="D295" s="162"/>
      <c r="E295" s="162"/>
      <c r="F295" s="47"/>
      <c r="G295" s="47"/>
    </row>
    <row r="296" spans="2:7" ht="13.2">
      <c r="B296" s="47"/>
      <c r="C296" s="47"/>
      <c r="D296" s="162"/>
      <c r="E296" s="162"/>
      <c r="F296" s="47"/>
      <c r="G296" s="47"/>
    </row>
    <row r="297" spans="2:7" ht="13.2">
      <c r="B297" s="47"/>
      <c r="C297" s="47"/>
      <c r="D297" s="162"/>
      <c r="E297" s="162"/>
      <c r="F297" s="47"/>
      <c r="G297" s="47"/>
    </row>
    <row r="298" spans="2:7" ht="13.2">
      <c r="B298" s="47"/>
      <c r="C298" s="47"/>
      <c r="D298" s="162"/>
      <c r="E298" s="162"/>
      <c r="F298" s="47"/>
      <c r="G298" s="47"/>
    </row>
    <row r="299" spans="2:7" ht="13.2">
      <c r="B299" s="47"/>
      <c r="C299" s="47"/>
      <c r="D299" s="162"/>
      <c r="E299" s="162"/>
      <c r="F299" s="47"/>
      <c r="G299" s="47"/>
    </row>
    <row r="300" spans="2:7" ht="13.2">
      <c r="B300" s="47"/>
      <c r="C300" s="47"/>
      <c r="D300" s="162"/>
      <c r="E300" s="162"/>
      <c r="F300" s="47"/>
      <c r="G300" s="47"/>
    </row>
    <row r="301" spans="2:7" ht="13.2">
      <c r="B301" s="47"/>
      <c r="C301" s="47"/>
      <c r="D301" s="162"/>
      <c r="E301" s="162"/>
      <c r="F301" s="47"/>
      <c r="G301" s="47"/>
    </row>
    <row r="302" spans="2:7" ht="13.2">
      <c r="B302" s="47"/>
      <c r="C302" s="47"/>
      <c r="D302" s="162"/>
      <c r="E302" s="162"/>
      <c r="F302" s="47"/>
      <c r="G302" s="47"/>
    </row>
    <row r="303" spans="2:7" ht="13.2">
      <c r="B303" s="47"/>
      <c r="C303" s="47"/>
      <c r="D303" s="162"/>
      <c r="E303" s="162"/>
      <c r="F303" s="47"/>
      <c r="G303" s="47"/>
    </row>
    <row r="304" spans="2:7" ht="13.2">
      <c r="B304" s="47"/>
      <c r="C304" s="47"/>
      <c r="D304" s="162"/>
      <c r="E304" s="162"/>
      <c r="F304" s="47"/>
      <c r="G304" s="47"/>
    </row>
    <row r="305" spans="2:7" ht="13.2">
      <c r="B305" s="47"/>
      <c r="C305" s="47"/>
      <c r="D305" s="162"/>
      <c r="E305" s="162"/>
      <c r="F305" s="47"/>
      <c r="G305" s="47"/>
    </row>
    <row r="306" spans="2:7" ht="13.2">
      <c r="B306" s="47"/>
      <c r="C306" s="47"/>
      <c r="D306" s="162"/>
      <c r="E306" s="162"/>
      <c r="F306" s="47"/>
      <c r="G306" s="47"/>
    </row>
    <row r="307" spans="2:7" ht="13.2">
      <c r="B307" s="47"/>
      <c r="C307" s="47"/>
      <c r="D307" s="162"/>
      <c r="E307" s="162"/>
      <c r="F307" s="47"/>
      <c r="G307" s="47"/>
    </row>
    <row r="308" spans="2:7" ht="13.2">
      <c r="B308" s="47"/>
      <c r="C308" s="47"/>
      <c r="D308" s="162"/>
      <c r="E308" s="162"/>
      <c r="F308" s="47"/>
      <c r="G308" s="47"/>
    </row>
    <row r="309" spans="2:7" ht="13.2">
      <c r="B309" s="47"/>
      <c r="C309" s="47"/>
      <c r="D309" s="162"/>
      <c r="E309" s="162"/>
      <c r="F309" s="47"/>
      <c r="G309" s="47"/>
    </row>
    <row r="310" spans="2:7" ht="13.2">
      <c r="B310" s="47"/>
      <c r="C310" s="47"/>
      <c r="D310" s="162"/>
      <c r="E310" s="162"/>
      <c r="F310" s="47"/>
      <c r="G310" s="47"/>
    </row>
    <row r="311" spans="2:7" ht="13.2">
      <c r="B311" s="47"/>
      <c r="C311" s="47"/>
      <c r="D311" s="162"/>
      <c r="E311" s="162"/>
      <c r="F311" s="47"/>
      <c r="G311" s="47"/>
    </row>
    <row r="312" spans="2:7" ht="13.2">
      <c r="B312" s="47"/>
      <c r="C312" s="47"/>
      <c r="D312" s="162"/>
      <c r="E312" s="162"/>
      <c r="F312" s="47"/>
      <c r="G312" s="47"/>
    </row>
    <row r="313" spans="2:7" ht="13.2">
      <c r="B313" s="47"/>
      <c r="C313" s="47"/>
      <c r="D313" s="162"/>
      <c r="E313" s="162"/>
      <c r="F313" s="47"/>
      <c r="G313" s="47"/>
    </row>
    <row r="314" spans="2:7" ht="13.2">
      <c r="B314" s="47"/>
      <c r="C314" s="47"/>
      <c r="D314" s="162"/>
      <c r="E314" s="162"/>
      <c r="F314" s="47"/>
      <c r="G314" s="47"/>
    </row>
    <row r="315" spans="2:7" ht="13.2">
      <c r="B315" s="47"/>
      <c r="C315" s="47"/>
      <c r="D315" s="162"/>
      <c r="E315" s="162"/>
      <c r="F315" s="47"/>
      <c r="G315" s="47"/>
    </row>
    <row r="316" spans="2:7" ht="13.2">
      <c r="B316" s="47"/>
      <c r="C316" s="47"/>
      <c r="D316" s="162"/>
      <c r="E316" s="162"/>
      <c r="F316" s="47"/>
      <c r="G316" s="47"/>
    </row>
    <row r="317" spans="2:7" ht="13.2">
      <c r="B317" s="47"/>
      <c r="C317" s="47"/>
      <c r="D317" s="162"/>
      <c r="E317" s="162"/>
      <c r="F317" s="47"/>
      <c r="G317" s="47"/>
    </row>
    <row r="318" spans="2:7" ht="13.2">
      <c r="B318" s="47"/>
      <c r="C318" s="47"/>
      <c r="D318" s="162"/>
      <c r="E318" s="162"/>
      <c r="F318" s="47"/>
      <c r="G318" s="47"/>
    </row>
    <row r="319" spans="2:7" ht="13.2">
      <c r="B319" s="47"/>
      <c r="C319" s="47"/>
      <c r="D319" s="162"/>
      <c r="E319" s="162"/>
      <c r="F319" s="47"/>
      <c r="G319" s="47"/>
    </row>
    <row r="320" spans="2:7" ht="13.2">
      <c r="B320" s="47"/>
      <c r="C320" s="47"/>
      <c r="D320" s="162"/>
      <c r="E320" s="162"/>
      <c r="F320" s="47"/>
      <c r="G320" s="47"/>
    </row>
    <row r="321" spans="2:7" ht="13.2">
      <c r="B321" s="47"/>
      <c r="C321" s="47"/>
      <c r="D321" s="162"/>
      <c r="E321" s="162"/>
      <c r="F321" s="47"/>
      <c r="G321" s="47"/>
    </row>
    <row r="322" spans="2:7" ht="13.2">
      <c r="B322" s="47"/>
      <c r="C322" s="47"/>
      <c r="D322" s="162"/>
      <c r="E322" s="162"/>
      <c r="F322" s="47"/>
      <c r="G322" s="47"/>
    </row>
    <row r="323" spans="2:7" ht="13.2">
      <c r="B323" s="47"/>
      <c r="C323" s="47"/>
      <c r="D323" s="162"/>
      <c r="E323" s="162"/>
      <c r="F323" s="47"/>
      <c r="G323" s="47"/>
    </row>
    <row r="324" spans="2:7" ht="13.2">
      <c r="B324" s="47"/>
      <c r="C324" s="47"/>
      <c r="D324" s="162"/>
      <c r="E324" s="162"/>
      <c r="F324" s="47"/>
      <c r="G324" s="47"/>
    </row>
    <row r="325" spans="2:7" ht="13.2">
      <c r="B325" s="47"/>
      <c r="C325" s="47"/>
      <c r="D325" s="162"/>
      <c r="E325" s="162"/>
      <c r="F325" s="47"/>
      <c r="G325" s="47"/>
    </row>
    <row r="326" spans="2:7" ht="13.2">
      <c r="B326" s="47"/>
      <c r="C326" s="47"/>
      <c r="D326" s="162"/>
      <c r="E326" s="162"/>
      <c r="F326" s="47"/>
      <c r="G326" s="47"/>
    </row>
    <row r="327" spans="2:7" ht="13.2">
      <c r="B327" s="47"/>
      <c r="C327" s="47"/>
      <c r="D327" s="162"/>
      <c r="E327" s="162"/>
      <c r="F327" s="47"/>
      <c r="G327" s="47"/>
    </row>
    <row r="328" spans="2:7" ht="13.2">
      <c r="B328" s="47"/>
      <c r="C328" s="47"/>
      <c r="D328" s="162"/>
      <c r="E328" s="162"/>
      <c r="F328" s="47"/>
      <c r="G328" s="47"/>
    </row>
    <row r="329" spans="2:7" ht="13.2">
      <c r="B329" s="47"/>
      <c r="C329" s="47"/>
      <c r="D329" s="162"/>
      <c r="E329" s="162"/>
      <c r="F329" s="47"/>
      <c r="G329" s="47"/>
    </row>
    <row r="330" spans="2:7" ht="13.2">
      <c r="B330" s="47"/>
      <c r="C330" s="47"/>
      <c r="D330" s="162"/>
      <c r="E330" s="162"/>
      <c r="F330" s="47"/>
      <c r="G330" s="47"/>
    </row>
    <row r="331" spans="2:7" ht="13.2">
      <c r="B331" s="47"/>
      <c r="C331" s="47"/>
      <c r="D331" s="162"/>
      <c r="E331" s="162"/>
      <c r="F331" s="47"/>
      <c r="G331" s="47"/>
    </row>
    <row r="332" spans="2:7" ht="13.2">
      <c r="B332" s="47"/>
      <c r="C332" s="47"/>
      <c r="D332" s="162"/>
      <c r="E332" s="162"/>
      <c r="F332" s="47"/>
      <c r="G332" s="47"/>
    </row>
    <row r="333" spans="2:7" ht="13.2">
      <c r="B333" s="47"/>
      <c r="C333" s="47"/>
      <c r="D333" s="162"/>
      <c r="E333" s="162"/>
      <c r="F333" s="47"/>
      <c r="G333" s="47"/>
    </row>
    <row r="334" spans="2:7" ht="13.2">
      <c r="B334" s="47"/>
      <c r="C334" s="47"/>
      <c r="D334" s="162"/>
      <c r="E334" s="162"/>
      <c r="F334" s="47"/>
      <c r="G334" s="47"/>
    </row>
    <row r="335" spans="2:7" ht="13.2">
      <c r="B335" s="47"/>
      <c r="C335" s="47"/>
      <c r="D335" s="162"/>
      <c r="E335" s="162"/>
      <c r="F335" s="47"/>
      <c r="G335" s="47"/>
    </row>
    <row r="336" spans="2:7" ht="13.2">
      <c r="B336" s="47"/>
      <c r="C336" s="47"/>
      <c r="D336" s="162"/>
      <c r="E336" s="162"/>
      <c r="F336" s="47"/>
      <c r="G336" s="47"/>
    </row>
    <row r="337" spans="2:7" ht="13.2">
      <c r="B337" s="47"/>
      <c r="C337" s="47"/>
      <c r="D337" s="162"/>
      <c r="E337" s="162"/>
      <c r="F337" s="47"/>
      <c r="G337" s="47"/>
    </row>
    <row r="338" spans="2:7" ht="13.2">
      <c r="B338" s="47"/>
      <c r="C338" s="47"/>
      <c r="D338" s="162"/>
      <c r="E338" s="162"/>
      <c r="F338" s="47"/>
      <c r="G338" s="47"/>
    </row>
    <row r="339" spans="2:7" ht="13.2">
      <c r="B339" s="47"/>
      <c r="C339" s="47"/>
      <c r="D339" s="162"/>
      <c r="E339" s="162"/>
      <c r="F339" s="47"/>
      <c r="G339" s="47"/>
    </row>
    <row r="340" spans="2:7" ht="13.2">
      <c r="B340" s="47"/>
      <c r="C340" s="47"/>
      <c r="D340" s="162"/>
      <c r="E340" s="162"/>
      <c r="F340" s="47"/>
      <c r="G340" s="47"/>
    </row>
    <row r="341" spans="2:7" ht="13.2">
      <c r="B341" s="47"/>
      <c r="C341" s="47"/>
      <c r="D341" s="162"/>
      <c r="E341" s="162"/>
      <c r="F341" s="47"/>
      <c r="G341" s="47"/>
    </row>
    <row r="342" spans="2:7" ht="13.2">
      <c r="B342" s="47"/>
      <c r="C342" s="47"/>
      <c r="D342" s="162"/>
      <c r="E342" s="162"/>
      <c r="F342" s="47"/>
      <c r="G342" s="47"/>
    </row>
    <row r="343" spans="2:7" ht="13.2">
      <c r="B343" s="47"/>
      <c r="C343" s="47"/>
      <c r="D343" s="162"/>
      <c r="E343" s="162"/>
      <c r="F343" s="47"/>
      <c r="G343" s="47"/>
    </row>
    <row r="344" spans="2:7" ht="13.2">
      <c r="B344" s="47"/>
      <c r="C344" s="47"/>
      <c r="D344" s="162"/>
      <c r="E344" s="162"/>
      <c r="F344" s="47"/>
      <c r="G344" s="47"/>
    </row>
    <row r="345" spans="2:7" ht="13.2">
      <c r="B345" s="47"/>
      <c r="C345" s="47"/>
      <c r="D345" s="162"/>
      <c r="E345" s="162"/>
      <c r="F345" s="47"/>
      <c r="G345" s="47"/>
    </row>
    <row r="346" spans="2:7" ht="13.2">
      <c r="B346" s="47"/>
      <c r="C346" s="47"/>
      <c r="D346" s="162"/>
      <c r="E346" s="162"/>
      <c r="F346" s="47"/>
      <c r="G346" s="47"/>
    </row>
    <row r="347" spans="2:7" ht="13.2">
      <c r="B347" s="47"/>
      <c r="C347" s="47"/>
      <c r="D347" s="162"/>
      <c r="E347" s="162"/>
      <c r="F347" s="47"/>
      <c r="G347" s="47"/>
    </row>
    <row r="348" spans="2:7" ht="13.2">
      <c r="B348" s="47"/>
      <c r="C348" s="47"/>
      <c r="D348" s="162"/>
      <c r="E348" s="162"/>
      <c r="F348" s="47"/>
      <c r="G348" s="47"/>
    </row>
    <row r="349" spans="2:7" ht="13.2">
      <c r="B349" s="47"/>
      <c r="C349" s="47"/>
      <c r="D349" s="162"/>
      <c r="E349" s="162"/>
      <c r="F349" s="47"/>
      <c r="G349" s="47"/>
    </row>
    <row r="350" spans="2:7" ht="13.2">
      <c r="B350" s="47"/>
      <c r="C350" s="47"/>
      <c r="D350" s="162"/>
      <c r="E350" s="162"/>
      <c r="F350" s="47"/>
      <c r="G350" s="47"/>
    </row>
    <row r="351" spans="2:7" ht="13.2">
      <c r="B351" s="47"/>
      <c r="C351" s="47"/>
      <c r="D351" s="162"/>
      <c r="E351" s="162"/>
      <c r="F351" s="47"/>
      <c r="G351" s="47"/>
    </row>
    <row r="352" spans="2:7" ht="13.2">
      <c r="B352" s="47"/>
      <c r="C352" s="47"/>
      <c r="D352" s="162"/>
      <c r="E352" s="162"/>
      <c r="F352" s="47"/>
      <c r="G352" s="47"/>
    </row>
    <row r="353" spans="2:7" ht="13.2">
      <c r="B353" s="47"/>
      <c r="C353" s="47"/>
      <c r="D353" s="162"/>
      <c r="E353" s="162"/>
      <c r="F353" s="47"/>
      <c r="G353" s="47"/>
    </row>
    <row r="354" spans="2:7" ht="13.2">
      <c r="B354" s="47"/>
      <c r="C354" s="47"/>
      <c r="D354" s="162"/>
      <c r="E354" s="162"/>
      <c r="F354" s="47"/>
      <c r="G354" s="47"/>
    </row>
    <row r="355" spans="2:7" ht="13.2">
      <c r="B355" s="47"/>
      <c r="C355" s="47"/>
      <c r="D355" s="162"/>
      <c r="E355" s="162"/>
      <c r="F355" s="47"/>
      <c r="G355" s="47"/>
    </row>
    <row r="356" spans="2:7" ht="13.2">
      <c r="B356" s="47"/>
      <c r="C356" s="47"/>
      <c r="D356" s="162"/>
      <c r="E356" s="162"/>
      <c r="F356" s="47"/>
      <c r="G356" s="47"/>
    </row>
    <row r="357" spans="2:7" ht="13.2">
      <c r="B357" s="47"/>
      <c r="C357" s="47"/>
      <c r="D357" s="162"/>
      <c r="E357" s="162"/>
      <c r="F357" s="47"/>
      <c r="G357" s="47"/>
    </row>
    <row r="358" spans="2:7" ht="13.2">
      <c r="B358" s="47"/>
      <c r="C358" s="47"/>
      <c r="D358" s="162"/>
      <c r="E358" s="162"/>
      <c r="F358" s="47"/>
      <c r="G358" s="47"/>
    </row>
    <row r="359" spans="2:7" ht="13.2">
      <c r="B359" s="47"/>
      <c r="C359" s="47"/>
      <c r="D359" s="162"/>
      <c r="E359" s="162"/>
      <c r="F359" s="47"/>
      <c r="G359" s="47"/>
    </row>
    <row r="360" spans="2:7" ht="13.2">
      <c r="B360" s="47"/>
      <c r="C360" s="47"/>
      <c r="D360" s="162"/>
      <c r="E360" s="162"/>
      <c r="F360" s="47"/>
      <c r="G360" s="47"/>
    </row>
    <row r="361" spans="2:7" ht="13.2">
      <c r="B361" s="47"/>
      <c r="C361" s="47"/>
      <c r="D361" s="162"/>
      <c r="E361" s="162"/>
      <c r="F361" s="47"/>
      <c r="G361" s="47"/>
    </row>
    <row r="362" spans="2:7" ht="13.2">
      <c r="B362" s="47"/>
      <c r="C362" s="47"/>
      <c r="D362" s="162"/>
      <c r="E362" s="162"/>
      <c r="F362" s="47"/>
      <c r="G362" s="47"/>
    </row>
    <row r="363" spans="2:7" ht="13.2">
      <c r="B363" s="47"/>
      <c r="C363" s="47"/>
      <c r="D363" s="162"/>
      <c r="E363" s="162"/>
      <c r="F363" s="47"/>
      <c r="G363" s="47"/>
    </row>
    <row r="364" spans="2:7" ht="13.2">
      <c r="B364" s="47"/>
      <c r="C364" s="47"/>
      <c r="D364" s="162"/>
      <c r="E364" s="162"/>
      <c r="F364" s="47"/>
      <c r="G364" s="47"/>
    </row>
    <row r="365" spans="2:7" ht="13.2">
      <c r="B365" s="47"/>
      <c r="C365" s="47"/>
      <c r="D365" s="162"/>
      <c r="E365" s="162"/>
      <c r="F365" s="47"/>
      <c r="G365" s="47"/>
    </row>
    <row r="366" spans="2:7" ht="13.2">
      <c r="B366" s="47"/>
      <c r="C366" s="47"/>
      <c r="D366" s="162"/>
      <c r="E366" s="162"/>
      <c r="F366" s="47"/>
      <c r="G366" s="47"/>
    </row>
    <row r="367" spans="2:7" ht="13.2">
      <c r="B367" s="47"/>
      <c r="C367" s="47"/>
      <c r="D367" s="162"/>
      <c r="E367" s="162"/>
      <c r="F367" s="47"/>
      <c r="G367" s="47"/>
    </row>
    <row r="368" spans="2:7" ht="13.2">
      <c r="B368" s="47"/>
      <c r="C368" s="47"/>
      <c r="D368" s="162"/>
      <c r="E368" s="162"/>
      <c r="F368" s="47"/>
      <c r="G368" s="47"/>
    </row>
    <row r="369" spans="2:7" ht="13.2">
      <c r="B369" s="47"/>
      <c r="C369" s="47"/>
      <c r="D369" s="162"/>
      <c r="E369" s="162"/>
      <c r="F369" s="47"/>
      <c r="G369" s="47"/>
    </row>
    <row r="370" spans="2:7" ht="13.2">
      <c r="B370" s="47"/>
      <c r="C370" s="47"/>
      <c r="D370" s="162"/>
      <c r="E370" s="162"/>
      <c r="F370" s="47"/>
      <c r="G370" s="47"/>
    </row>
    <row r="371" spans="2:7" ht="13.2">
      <c r="B371" s="47"/>
      <c r="C371" s="47"/>
      <c r="D371" s="162"/>
      <c r="E371" s="162"/>
      <c r="F371" s="47"/>
      <c r="G371" s="47"/>
    </row>
    <row r="372" spans="2:7" ht="13.2">
      <c r="B372" s="47"/>
      <c r="C372" s="47"/>
      <c r="D372" s="162"/>
      <c r="E372" s="162"/>
      <c r="F372" s="47"/>
      <c r="G372" s="47"/>
    </row>
    <row r="373" spans="2:7" ht="13.2">
      <c r="B373" s="47"/>
      <c r="C373" s="47"/>
      <c r="D373" s="162"/>
      <c r="E373" s="162"/>
      <c r="F373" s="47"/>
      <c r="G373" s="47"/>
    </row>
    <row r="374" spans="2:7" ht="13.2">
      <c r="B374" s="47"/>
      <c r="C374" s="47"/>
      <c r="D374" s="162"/>
      <c r="E374" s="162"/>
      <c r="F374" s="47"/>
      <c r="G374" s="47"/>
    </row>
    <row r="375" spans="2:7" ht="13.2">
      <c r="B375" s="47"/>
      <c r="C375" s="47"/>
      <c r="D375" s="162"/>
      <c r="E375" s="162"/>
      <c r="F375" s="47"/>
      <c r="G375" s="47"/>
    </row>
    <row r="376" spans="2:7" ht="13.2">
      <c r="B376" s="47"/>
      <c r="C376" s="47"/>
      <c r="D376" s="162"/>
      <c r="E376" s="162"/>
      <c r="F376" s="47"/>
      <c r="G376" s="47"/>
    </row>
    <row r="377" spans="2:7" ht="13.2">
      <c r="B377" s="47"/>
      <c r="C377" s="47"/>
      <c r="D377" s="162"/>
      <c r="E377" s="162"/>
      <c r="F377" s="47"/>
      <c r="G377" s="47"/>
    </row>
    <row r="378" spans="2:7" ht="13.2">
      <c r="B378" s="47"/>
      <c r="C378" s="47"/>
      <c r="D378" s="162"/>
      <c r="E378" s="162"/>
      <c r="F378" s="47"/>
      <c r="G378" s="47"/>
    </row>
    <row r="379" spans="2:7" ht="13.2">
      <c r="B379" s="47"/>
      <c r="C379" s="47"/>
      <c r="D379" s="162"/>
      <c r="E379" s="162"/>
      <c r="F379" s="47"/>
      <c r="G379" s="47"/>
    </row>
    <row r="380" spans="2:7" ht="13.2">
      <c r="B380" s="47"/>
      <c r="C380" s="47"/>
      <c r="D380" s="162"/>
      <c r="E380" s="162"/>
      <c r="F380" s="47"/>
      <c r="G380" s="47"/>
    </row>
    <row r="381" spans="2:7" ht="13.2">
      <c r="B381" s="47"/>
      <c r="C381" s="47"/>
      <c r="D381" s="162"/>
      <c r="E381" s="162"/>
      <c r="F381" s="47"/>
      <c r="G381" s="47"/>
    </row>
    <row r="382" spans="2:7" ht="13.2">
      <c r="B382" s="47"/>
      <c r="C382" s="47"/>
      <c r="D382" s="162"/>
      <c r="E382" s="162"/>
      <c r="F382" s="47"/>
      <c r="G382" s="47"/>
    </row>
    <row r="383" spans="2:7" ht="13.2">
      <c r="B383" s="47"/>
      <c r="C383" s="47"/>
      <c r="D383" s="162"/>
      <c r="E383" s="162"/>
      <c r="F383" s="47"/>
      <c r="G383" s="47"/>
    </row>
    <row r="384" spans="2:7" ht="13.2">
      <c r="B384" s="47"/>
      <c r="C384" s="47"/>
      <c r="D384" s="162"/>
      <c r="E384" s="162"/>
      <c r="F384" s="47"/>
      <c r="G384" s="47"/>
    </row>
    <row r="385" spans="2:7" ht="13.2">
      <c r="B385" s="47"/>
      <c r="C385" s="47"/>
      <c r="D385" s="162"/>
      <c r="E385" s="162"/>
      <c r="F385" s="47"/>
      <c r="G385" s="47"/>
    </row>
    <row r="386" spans="2:7" ht="13.2">
      <c r="B386" s="47"/>
      <c r="C386" s="47"/>
      <c r="D386" s="162"/>
      <c r="E386" s="162"/>
      <c r="F386" s="47"/>
      <c r="G386" s="47"/>
    </row>
    <row r="387" spans="2:7" ht="13.2">
      <c r="B387" s="47"/>
      <c r="C387" s="47"/>
      <c r="D387" s="162"/>
      <c r="E387" s="162"/>
      <c r="F387" s="47"/>
      <c r="G387" s="47"/>
    </row>
    <row r="388" spans="2:7" ht="13.2">
      <c r="B388" s="47"/>
      <c r="C388" s="47"/>
      <c r="D388" s="162"/>
      <c r="E388" s="162"/>
      <c r="F388" s="47"/>
      <c r="G388" s="47"/>
    </row>
    <row r="389" spans="2:7" ht="13.2">
      <c r="B389" s="47"/>
      <c r="C389" s="47"/>
      <c r="D389" s="162"/>
      <c r="E389" s="162"/>
      <c r="F389" s="47"/>
      <c r="G389" s="47"/>
    </row>
    <row r="390" spans="2:7" ht="13.2">
      <c r="B390" s="47"/>
      <c r="C390" s="47"/>
      <c r="D390" s="162"/>
      <c r="E390" s="162"/>
      <c r="F390" s="47"/>
      <c r="G390" s="47"/>
    </row>
    <row r="391" spans="2:7" ht="13.2">
      <c r="B391" s="47"/>
      <c r="C391" s="47"/>
      <c r="D391" s="162"/>
      <c r="E391" s="162"/>
      <c r="F391" s="47"/>
      <c r="G391" s="47"/>
    </row>
    <row r="392" spans="2:7" ht="13.2">
      <c r="B392" s="47"/>
      <c r="C392" s="47"/>
      <c r="D392" s="162"/>
      <c r="E392" s="162"/>
      <c r="F392" s="47"/>
      <c r="G392" s="47"/>
    </row>
    <row r="393" spans="2:7" ht="13.2">
      <c r="B393" s="47"/>
      <c r="C393" s="47"/>
      <c r="D393" s="162"/>
      <c r="E393" s="162"/>
      <c r="F393" s="47"/>
      <c r="G393" s="47"/>
    </row>
    <row r="394" spans="2:7" ht="13.2">
      <c r="B394" s="47"/>
      <c r="C394" s="47"/>
      <c r="D394" s="162"/>
      <c r="E394" s="162"/>
      <c r="F394" s="47"/>
      <c r="G394" s="47"/>
    </row>
    <row r="395" spans="2:7" ht="13.2">
      <c r="B395" s="47"/>
      <c r="C395" s="47"/>
      <c r="D395" s="162"/>
      <c r="E395" s="162"/>
      <c r="F395" s="47"/>
      <c r="G395" s="47"/>
    </row>
    <row r="396" spans="2:7" ht="13.2">
      <c r="B396" s="47"/>
      <c r="C396" s="47"/>
      <c r="D396" s="162"/>
      <c r="E396" s="162"/>
      <c r="F396" s="47"/>
      <c r="G396" s="47"/>
    </row>
    <row r="397" spans="2:7" ht="13.2">
      <c r="B397" s="47"/>
      <c r="C397" s="47"/>
      <c r="D397" s="162"/>
      <c r="E397" s="162"/>
      <c r="F397" s="47"/>
      <c r="G397" s="47"/>
    </row>
    <row r="398" spans="2:7" ht="13.2">
      <c r="B398" s="47"/>
      <c r="C398" s="47"/>
      <c r="D398" s="162"/>
      <c r="E398" s="162"/>
      <c r="F398" s="47"/>
      <c r="G398" s="47"/>
    </row>
    <row r="399" spans="2:7" ht="13.2">
      <c r="B399" s="47"/>
      <c r="C399" s="47"/>
      <c r="D399" s="162"/>
      <c r="E399" s="162"/>
      <c r="F399" s="47"/>
      <c r="G399" s="47"/>
    </row>
    <row r="400" spans="2:7" ht="13.2">
      <c r="B400" s="47"/>
      <c r="C400" s="47"/>
      <c r="D400" s="162"/>
      <c r="E400" s="162"/>
      <c r="F400" s="47"/>
      <c r="G400" s="47"/>
    </row>
    <row r="401" spans="2:7" ht="13.2">
      <c r="B401" s="47"/>
      <c r="C401" s="47"/>
      <c r="D401" s="162"/>
      <c r="E401" s="162"/>
      <c r="F401" s="47"/>
      <c r="G401" s="47"/>
    </row>
    <row r="402" spans="2:7" ht="13.2">
      <c r="B402" s="47"/>
      <c r="C402" s="47"/>
      <c r="D402" s="162"/>
      <c r="E402" s="162"/>
      <c r="F402" s="47"/>
      <c r="G402" s="47"/>
    </row>
    <row r="403" spans="2:7" ht="13.2">
      <c r="B403" s="47"/>
      <c r="C403" s="47"/>
      <c r="D403" s="162"/>
      <c r="E403" s="162"/>
      <c r="F403" s="47"/>
      <c r="G403" s="47"/>
    </row>
    <row r="404" spans="2:7" ht="13.2">
      <c r="B404" s="47"/>
      <c r="C404" s="47"/>
      <c r="D404" s="162"/>
      <c r="E404" s="162"/>
      <c r="F404" s="47"/>
      <c r="G404" s="47"/>
    </row>
    <row r="405" spans="2:7" ht="13.2">
      <c r="B405" s="47"/>
      <c r="C405" s="47"/>
      <c r="D405" s="162"/>
      <c r="E405" s="162"/>
      <c r="F405" s="47"/>
      <c r="G405" s="47"/>
    </row>
    <row r="406" spans="2:7" ht="13.2">
      <c r="B406" s="47"/>
      <c r="C406" s="47"/>
      <c r="D406" s="162"/>
      <c r="E406" s="162"/>
      <c r="F406" s="47"/>
      <c r="G406" s="47"/>
    </row>
    <row r="407" spans="2:7" ht="13.2">
      <c r="B407" s="47"/>
      <c r="C407" s="47"/>
      <c r="D407" s="162"/>
      <c r="E407" s="162"/>
      <c r="F407" s="47"/>
      <c r="G407" s="47"/>
    </row>
    <row r="408" spans="2:7" ht="13.2">
      <c r="B408" s="47"/>
      <c r="C408" s="47"/>
      <c r="D408" s="162"/>
      <c r="E408" s="162"/>
      <c r="F408" s="47"/>
      <c r="G408" s="47"/>
    </row>
    <row r="409" spans="2:7" ht="13.2">
      <c r="B409" s="47"/>
      <c r="C409" s="47"/>
      <c r="D409" s="162"/>
      <c r="E409" s="162"/>
      <c r="F409" s="47"/>
      <c r="G409" s="47"/>
    </row>
    <row r="410" spans="2:7" ht="13.2">
      <c r="B410" s="47"/>
      <c r="C410" s="47"/>
      <c r="D410" s="162"/>
      <c r="E410" s="162"/>
      <c r="F410" s="47"/>
      <c r="G410" s="47"/>
    </row>
    <row r="411" spans="2:7" ht="13.2">
      <c r="B411" s="47"/>
      <c r="C411" s="47"/>
      <c r="D411" s="162"/>
      <c r="E411" s="162"/>
      <c r="F411" s="47"/>
      <c r="G411" s="47"/>
    </row>
    <row r="412" spans="2:7" ht="13.2">
      <c r="B412" s="47"/>
      <c r="C412" s="47"/>
      <c r="D412" s="162"/>
      <c r="E412" s="162"/>
      <c r="F412" s="47"/>
      <c r="G412" s="47"/>
    </row>
    <row r="413" spans="2:7" ht="13.2">
      <c r="B413" s="47"/>
      <c r="C413" s="47"/>
      <c r="D413" s="162"/>
      <c r="E413" s="162"/>
      <c r="F413" s="47"/>
      <c r="G413" s="47"/>
    </row>
    <row r="414" spans="2:7" ht="13.2">
      <c r="B414" s="47"/>
      <c r="C414" s="47"/>
      <c r="D414" s="162"/>
      <c r="E414" s="162"/>
      <c r="F414" s="47"/>
      <c r="G414" s="47"/>
    </row>
    <row r="415" spans="2:7" ht="13.2">
      <c r="B415" s="47"/>
      <c r="C415" s="47"/>
      <c r="D415" s="162"/>
      <c r="E415" s="162"/>
      <c r="F415" s="47"/>
      <c r="G415" s="47"/>
    </row>
    <row r="416" spans="2:7" ht="13.2">
      <c r="B416" s="47"/>
      <c r="C416" s="47"/>
      <c r="D416" s="162"/>
      <c r="E416" s="162"/>
      <c r="F416" s="47"/>
      <c r="G416" s="47"/>
    </row>
    <row r="417" spans="2:7" ht="13.2">
      <c r="B417" s="47"/>
      <c r="C417" s="47"/>
      <c r="D417" s="162"/>
      <c r="E417" s="162"/>
      <c r="F417" s="47"/>
      <c r="G417" s="47"/>
    </row>
    <row r="418" spans="2:7" ht="13.2">
      <c r="B418" s="47"/>
      <c r="C418" s="47"/>
      <c r="D418" s="162"/>
      <c r="E418" s="162"/>
      <c r="F418" s="47"/>
      <c r="G418" s="47"/>
    </row>
    <row r="419" spans="2:7" ht="13.2">
      <c r="B419" s="47"/>
      <c r="C419" s="47"/>
      <c r="D419" s="162"/>
      <c r="E419" s="162"/>
      <c r="F419" s="47"/>
      <c r="G419" s="47"/>
    </row>
    <row r="420" spans="2:7" ht="13.2">
      <c r="B420" s="47"/>
      <c r="C420" s="47"/>
      <c r="D420" s="162"/>
      <c r="E420" s="162"/>
      <c r="F420" s="47"/>
      <c r="G420" s="47"/>
    </row>
    <row r="421" spans="2:7" ht="13.2">
      <c r="B421" s="47"/>
      <c r="C421" s="47"/>
      <c r="D421" s="162"/>
      <c r="E421" s="162"/>
      <c r="F421" s="47"/>
      <c r="G421" s="47"/>
    </row>
    <row r="422" spans="2:7" ht="13.2">
      <c r="B422" s="47"/>
      <c r="C422" s="47"/>
      <c r="D422" s="162"/>
      <c r="E422" s="162"/>
      <c r="F422" s="47"/>
      <c r="G422" s="47"/>
    </row>
    <row r="423" spans="2:7" ht="13.2">
      <c r="B423" s="47"/>
      <c r="C423" s="47"/>
      <c r="D423" s="162"/>
      <c r="E423" s="162"/>
      <c r="F423" s="47"/>
      <c r="G423" s="47"/>
    </row>
    <row r="424" spans="2:7" ht="13.2">
      <c r="B424" s="47"/>
      <c r="C424" s="47"/>
      <c r="D424" s="162"/>
      <c r="E424" s="162"/>
      <c r="F424" s="47"/>
      <c r="G424" s="47"/>
    </row>
    <row r="425" spans="2:7" ht="13.2">
      <c r="B425" s="47"/>
      <c r="C425" s="47"/>
      <c r="D425" s="162"/>
      <c r="E425" s="162"/>
      <c r="F425" s="47"/>
      <c r="G425" s="47"/>
    </row>
    <row r="426" spans="2:7" ht="13.2">
      <c r="B426" s="47"/>
      <c r="C426" s="47"/>
      <c r="D426" s="162"/>
      <c r="E426" s="162"/>
      <c r="F426" s="47"/>
      <c r="G426" s="47"/>
    </row>
    <row r="427" spans="2:7" ht="13.2">
      <c r="B427" s="47"/>
      <c r="C427" s="47"/>
      <c r="D427" s="162"/>
      <c r="E427" s="162"/>
      <c r="F427" s="47"/>
      <c r="G427" s="47"/>
    </row>
    <row r="428" spans="2:7" ht="13.2">
      <c r="B428" s="47"/>
      <c r="C428" s="47"/>
      <c r="D428" s="162"/>
      <c r="E428" s="162"/>
      <c r="F428" s="47"/>
      <c r="G428" s="47"/>
    </row>
    <row r="429" spans="2:7" ht="13.2">
      <c r="B429" s="47"/>
      <c r="C429" s="47"/>
      <c r="D429" s="162"/>
      <c r="E429" s="162"/>
      <c r="F429" s="47"/>
      <c r="G429" s="47"/>
    </row>
    <row r="430" spans="2:7" ht="13.2">
      <c r="B430" s="47"/>
      <c r="C430" s="47"/>
      <c r="D430" s="162"/>
      <c r="E430" s="162"/>
      <c r="F430" s="47"/>
      <c r="G430" s="47"/>
    </row>
    <row r="431" spans="2:7" ht="13.2">
      <c r="B431" s="47"/>
      <c r="C431" s="47"/>
      <c r="D431" s="162"/>
      <c r="E431" s="162"/>
      <c r="F431" s="47"/>
      <c r="G431" s="47"/>
    </row>
    <row r="432" spans="2:7" ht="13.2">
      <c r="B432" s="47"/>
      <c r="C432" s="47"/>
      <c r="D432" s="162"/>
      <c r="E432" s="162"/>
      <c r="F432" s="47"/>
      <c r="G432" s="47"/>
    </row>
    <row r="433" spans="2:7" ht="13.2">
      <c r="B433" s="47"/>
      <c r="C433" s="47"/>
      <c r="D433" s="162"/>
      <c r="E433" s="162"/>
      <c r="F433" s="47"/>
      <c r="G433" s="47"/>
    </row>
    <row r="434" spans="2:7" ht="13.2">
      <c r="B434" s="47"/>
      <c r="C434" s="47"/>
      <c r="D434" s="162"/>
      <c r="E434" s="162"/>
      <c r="F434" s="47"/>
      <c r="G434" s="47"/>
    </row>
    <row r="435" spans="2:7" ht="13.2">
      <c r="B435" s="47"/>
      <c r="C435" s="47"/>
      <c r="D435" s="162"/>
      <c r="E435" s="162"/>
      <c r="F435" s="47"/>
      <c r="G435" s="47"/>
    </row>
    <row r="436" spans="2:7" ht="13.2">
      <c r="B436" s="47"/>
      <c r="C436" s="47"/>
      <c r="D436" s="162"/>
      <c r="E436" s="162"/>
      <c r="F436" s="47"/>
      <c r="G436" s="47"/>
    </row>
    <row r="437" spans="2:7" ht="13.2">
      <c r="B437" s="47"/>
      <c r="C437" s="47"/>
      <c r="D437" s="162"/>
      <c r="E437" s="162"/>
      <c r="F437" s="47"/>
      <c r="G437" s="47"/>
    </row>
    <row r="438" spans="2:7" ht="13.2">
      <c r="B438" s="47"/>
      <c r="C438" s="47"/>
      <c r="D438" s="162"/>
      <c r="E438" s="162"/>
      <c r="F438" s="47"/>
      <c r="G438" s="47"/>
    </row>
    <row r="439" spans="2:7" ht="13.2">
      <c r="B439" s="47"/>
      <c r="C439" s="47"/>
      <c r="D439" s="162"/>
      <c r="E439" s="162"/>
      <c r="F439" s="47"/>
      <c r="G439" s="47"/>
    </row>
    <row r="440" spans="2:7" ht="13.2">
      <c r="B440" s="47"/>
      <c r="C440" s="47"/>
      <c r="D440" s="162"/>
      <c r="E440" s="162"/>
      <c r="F440" s="47"/>
      <c r="G440" s="47"/>
    </row>
    <row r="441" spans="2:7" ht="13.2">
      <c r="B441" s="47"/>
      <c r="C441" s="47"/>
      <c r="D441" s="162"/>
      <c r="E441" s="162"/>
      <c r="F441" s="47"/>
      <c r="G441" s="47"/>
    </row>
    <row r="442" spans="2:7" ht="13.2">
      <c r="B442" s="47"/>
      <c r="C442" s="47"/>
      <c r="D442" s="162"/>
      <c r="E442" s="162"/>
      <c r="F442" s="47"/>
      <c r="G442" s="47"/>
    </row>
    <row r="443" spans="2:7" ht="13.2">
      <c r="B443" s="47"/>
      <c r="C443" s="47"/>
      <c r="D443" s="162"/>
      <c r="E443" s="162"/>
      <c r="F443" s="47"/>
      <c r="G443" s="47"/>
    </row>
    <row r="444" spans="2:7" ht="13.2">
      <c r="B444" s="47"/>
      <c r="C444" s="47"/>
      <c r="D444" s="162"/>
      <c r="E444" s="162"/>
      <c r="F444" s="47"/>
      <c r="G444" s="47"/>
    </row>
    <row r="445" spans="2:7" ht="13.2">
      <c r="B445" s="47"/>
      <c r="C445" s="47"/>
      <c r="D445" s="162"/>
      <c r="E445" s="162"/>
      <c r="F445" s="47"/>
      <c r="G445" s="47"/>
    </row>
    <row r="446" spans="2:7" ht="13.2">
      <c r="B446" s="47"/>
      <c r="C446" s="47"/>
      <c r="D446" s="162"/>
      <c r="E446" s="162"/>
      <c r="F446" s="47"/>
      <c r="G446" s="47"/>
    </row>
    <row r="447" spans="2:7" ht="13.2">
      <c r="B447" s="47"/>
      <c r="C447" s="47"/>
      <c r="D447" s="162"/>
      <c r="E447" s="162"/>
      <c r="F447" s="47"/>
      <c r="G447" s="47"/>
    </row>
    <row r="448" spans="2:7" ht="13.2">
      <c r="B448" s="47"/>
      <c r="C448" s="47"/>
      <c r="D448" s="162"/>
      <c r="E448" s="162"/>
      <c r="F448" s="47"/>
      <c r="G448" s="47"/>
    </row>
    <row r="449" spans="2:7" ht="13.2">
      <c r="B449" s="47"/>
      <c r="C449" s="47"/>
      <c r="D449" s="162"/>
      <c r="E449" s="162"/>
      <c r="F449" s="47"/>
      <c r="G449" s="47"/>
    </row>
    <row r="450" spans="2:7" ht="13.2">
      <c r="B450" s="47"/>
      <c r="C450" s="47"/>
      <c r="D450" s="162"/>
      <c r="E450" s="162"/>
      <c r="F450" s="47"/>
      <c r="G450" s="47"/>
    </row>
    <row r="451" spans="2:7" ht="13.2">
      <c r="B451" s="47"/>
      <c r="C451" s="47"/>
      <c r="D451" s="162"/>
      <c r="E451" s="162"/>
      <c r="F451" s="47"/>
      <c r="G451" s="47"/>
    </row>
    <row r="452" spans="2:7" ht="13.2">
      <c r="B452" s="47"/>
      <c r="C452" s="47"/>
      <c r="D452" s="162"/>
      <c r="E452" s="162"/>
      <c r="F452" s="47"/>
      <c r="G452" s="47"/>
    </row>
    <row r="453" spans="2:7" ht="13.2">
      <c r="B453" s="47"/>
      <c r="C453" s="47"/>
      <c r="D453" s="162"/>
      <c r="E453" s="162"/>
      <c r="F453" s="47"/>
      <c r="G453" s="47"/>
    </row>
    <row r="454" spans="2:7" ht="13.2">
      <c r="B454" s="47"/>
      <c r="C454" s="47"/>
      <c r="D454" s="162"/>
      <c r="E454" s="162"/>
      <c r="F454" s="47"/>
      <c r="G454" s="47"/>
    </row>
    <row r="455" spans="2:7" ht="13.2">
      <c r="B455" s="47"/>
      <c r="C455" s="47"/>
      <c r="D455" s="162"/>
      <c r="E455" s="162"/>
      <c r="F455" s="47"/>
      <c r="G455" s="47"/>
    </row>
    <row r="456" spans="2:7" ht="13.2">
      <c r="B456" s="47"/>
      <c r="C456" s="47"/>
      <c r="D456" s="162"/>
      <c r="E456" s="162"/>
      <c r="F456" s="47"/>
      <c r="G456" s="47"/>
    </row>
    <row r="457" spans="2:7" ht="13.2">
      <c r="B457" s="47"/>
      <c r="C457" s="47"/>
      <c r="D457" s="162"/>
      <c r="E457" s="162"/>
      <c r="F457" s="47"/>
      <c r="G457" s="47"/>
    </row>
    <row r="458" spans="2:7" ht="13.2">
      <c r="B458" s="47"/>
      <c r="C458" s="47"/>
      <c r="D458" s="162"/>
      <c r="E458" s="162"/>
      <c r="F458" s="47"/>
      <c r="G458" s="47"/>
    </row>
    <row r="459" spans="2:7" ht="13.2">
      <c r="B459" s="47"/>
      <c r="C459" s="47"/>
      <c r="D459" s="162"/>
      <c r="E459" s="162"/>
      <c r="F459" s="47"/>
      <c r="G459" s="47"/>
    </row>
    <row r="460" spans="2:7" ht="13.2">
      <c r="B460" s="47"/>
      <c r="C460" s="47"/>
      <c r="D460" s="162"/>
      <c r="E460" s="162"/>
      <c r="F460" s="47"/>
      <c r="G460" s="47"/>
    </row>
    <row r="461" spans="2:7" ht="13.2">
      <c r="B461" s="47"/>
      <c r="C461" s="47"/>
      <c r="D461" s="162"/>
      <c r="E461" s="162"/>
      <c r="F461" s="47"/>
      <c r="G461" s="47"/>
    </row>
    <row r="462" spans="2:7" ht="13.2">
      <c r="B462" s="47"/>
      <c r="C462" s="47"/>
      <c r="D462" s="162"/>
      <c r="E462" s="162"/>
      <c r="F462" s="47"/>
      <c r="G462" s="47"/>
    </row>
    <row r="463" spans="2:7" ht="13.2">
      <c r="B463" s="47"/>
      <c r="C463" s="47"/>
      <c r="D463" s="162"/>
      <c r="E463" s="162"/>
      <c r="F463" s="47"/>
      <c r="G463" s="47"/>
    </row>
    <row r="464" spans="2:7" ht="13.2">
      <c r="B464" s="47"/>
      <c r="C464" s="47"/>
      <c r="D464" s="162"/>
      <c r="E464" s="162"/>
      <c r="F464" s="47"/>
      <c r="G464" s="47"/>
    </row>
    <row r="465" spans="2:7" ht="13.2">
      <c r="B465" s="47"/>
      <c r="C465" s="47"/>
      <c r="D465" s="162"/>
      <c r="E465" s="162"/>
      <c r="F465" s="47"/>
      <c r="G465" s="47"/>
    </row>
    <row r="466" spans="2:7" ht="13.2">
      <c r="B466" s="47"/>
      <c r="C466" s="47"/>
      <c r="D466" s="162"/>
      <c r="E466" s="162"/>
      <c r="F466" s="47"/>
      <c r="G466" s="47"/>
    </row>
    <row r="467" spans="2:7" ht="13.2">
      <c r="B467" s="47"/>
      <c r="C467" s="47"/>
      <c r="D467" s="162"/>
      <c r="E467" s="162"/>
      <c r="F467" s="47"/>
      <c r="G467" s="47"/>
    </row>
    <row r="468" spans="2:7" ht="13.2">
      <c r="B468" s="47"/>
      <c r="C468" s="47"/>
      <c r="D468" s="162"/>
      <c r="E468" s="162"/>
      <c r="F468" s="47"/>
      <c r="G468" s="47"/>
    </row>
    <row r="469" spans="2:7" ht="13.2">
      <c r="B469" s="47"/>
      <c r="C469" s="47"/>
      <c r="D469" s="162"/>
      <c r="E469" s="162"/>
      <c r="F469" s="47"/>
      <c r="G469" s="47"/>
    </row>
    <row r="470" spans="2:7" ht="13.2">
      <c r="B470" s="47"/>
      <c r="C470" s="47"/>
      <c r="D470" s="162"/>
      <c r="E470" s="162"/>
      <c r="F470" s="47"/>
      <c r="G470" s="47"/>
    </row>
    <row r="471" spans="2:7" ht="13.2">
      <c r="B471" s="47"/>
      <c r="C471" s="47"/>
      <c r="D471" s="162"/>
      <c r="E471" s="162"/>
      <c r="F471" s="47"/>
      <c r="G471" s="47"/>
    </row>
    <row r="472" spans="2:7" ht="13.2">
      <c r="B472" s="47"/>
      <c r="C472" s="47"/>
      <c r="D472" s="162"/>
      <c r="E472" s="162"/>
      <c r="F472" s="47"/>
      <c r="G472" s="47"/>
    </row>
    <row r="473" spans="2:7" ht="13.2">
      <c r="B473" s="47"/>
      <c r="C473" s="47"/>
      <c r="D473" s="162"/>
      <c r="E473" s="162"/>
      <c r="F473" s="47"/>
      <c r="G473" s="47"/>
    </row>
    <row r="474" spans="2:7" ht="13.2">
      <c r="B474" s="47"/>
      <c r="C474" s="47"/>
      <c r="D474" s="162"/>
      <c r="E474" s="162"/>
      <c r="F474" s="47"/>
      <c r="G474" s="47"/>
    </row>
    <row r="475" spans="2:7" ht="13.2">
      <c r="B475" s="47"/>
      <c r="C475" s="47"/>
      <c r="D475" s="162"/>
      <c r="E475" s="162"/>
      <c r="F475" s="47"/>
      <c r="G475" s="47"/>
    </row>
    <row r="476" spans="2:7" ht="13.2">
      <c r="B476" s="47"/>
      <c r="C476" s="47"/>
      <c r="D476" s="162"/>
      <c r="E476" s="162"/>
      <c r="F476" s="47"/>
      <c r="G476" s="47"/>
    </row>
    <row r="477" spans="2:7" ht="13.2">
      <c r="B477" s="47"/>
      <c r="C477" s="47"/>
      <c r="D477" s="162"/>
      <c r="E477" s="162"/>
      <c r="F477" s="47"/>
      <c r="G477" s="47"/>
    </row>
    <row r="478" spans="2:7" ht="13.2">
      <c r="B478" s="47"/>
      <c r="C478" s="47"/>
      <c r="D478" s="162"/>
      <c r="E478" s="162"/>
      <c r="F478" s="47"/>
      <c r="G478" s="47"/>
    </row>
    <row r="479" spans="2:7" ht="13.2">
      <c r="B479" s="47"/>
      <c r="C479" s="47"/>
      <c r="D479" s="162"/>
      <c r="E479" s="162"/>
      <c r="F479" s="47"/>
      <c r="G479" s="47"/>
    </row>
    <row r="480" spans="2:7" ht="13.2">
      <c r="B480" s="47"/>
      <c r="C480" s="47"/>
      <c r="D480" s="162"/>
      <c r="E480" s="162"/>
      <c r="F480" s="47"/>
      <c r="G480" s="47"/>
    </row>
    <row r="481" spans="2:7" ht="13.2">
      <c r="B481" s="47"/>
      <c r="C481" s="47"/>
      <c r="D481" s="162"/>
      <c r="E481" s="162"/>
      <c r="F481" s="47"/>
      <c r="G481" s="47"/>
    </row>
    <row r="482" spans="2:7" ht="13.2">
      <c r="B482" s="47"/>
      <c r="C482" s="47"/>
      <c r="D482" s="162"/>
      <c r="E482" s="162"/>
      <c r="F482" s="47"/>
      <c r="G482" s="47"/>
    </row>
    <row r="483" spans="2:7" ht="13.2">
      <c r="B483" s="47"/>
      <c r="C483" s="47"/>
      <c r="D483" s="162"/>
      <c r="E483" s="162"/>
      <c r="F483" s="47"/>
      <c r="G483" s="47"/>
    </row>
    <row r="484" spans="2:7" ht="13.2">
      <c r="B484" s="47"/>
      <c r="C484" s="47"/>
      <c r="D484" s="162"/>
      <c r="E484" s="162"/>
      <c r="F484" s="47"/>
      <c r="G484" s="47"/>
    </row>
    <row r="485" spans="2:7" ht="13.2">
      <c r="B485" s="47"/>
      <c r="C485" s="47"/>
      <c r="D485" s="162"/>
      <c r="E485" s="162"/>
      <c r="F485" s="47"/>
      <c r="G485" s="47"/>
    </row>
    <row r="486" spans="2:7" ht="13.2">
      <c r="B486" s="47"/>
      <c r="C486" s="47"/>
      <c r="D486" s="162"/>
      <c r="E486" s="162"/>
      <c r="F486" s="47"/>
      <c r="G486" s="47"/>
    </row>
    <row r="487" spans="2:7" ht="13.2">
      <c r="B487" s="47"/>
      <c r="C487" s="47"/>
      <c r="D487" s="162"/>
      <c r="E487" s="162"/>
      <c r="F487" s="47"/>
      <c r="G487" s="47"/>
    </row>
    <row r="488" spans="2:7" ht="13.2">
      <c r="B488" s="47"/>
      <c r="C488" s="47"/>
      <c r="D488" s="162"/>
      <c r="E488" s="162"/>
      <c r="F488" s="47"/>
      <c r="G488" s="47"/>
    </row>
    <row r="489" spans="2:7" ht="13.2">
      <c r="B489" s="47"/>
      <c r="C489" s="47"/>
      <c r="D489" s="162"/>
      <c r="E489" s="162"/>
      <c r="F489" s="47"/>
      <c r="G489" s="47"/>
    </row>
    <row r="490" spans="2:7" ht="13.2">
      <c r="B490" s="47"/>
      <c r="C490" s="47"/>
      <c r="D490" s="162"/>
      <c r="E490" s="162"/>
      <c r="F490" s="47"/>
      <c r="G490" s="47"/>
    </row>
    <row r="491" spans="2:7" ht="13.2">
      <c r="B491" s="47"/>
      <c r="C491" s="47"/>
      <c r="D491" s="162"/>
      <c r="E491" s="162"/>
      <c r="F491" s="47"/>
      <c r="G491" s="47"/>
    </row>
    <row r="492" spans="2:7" ht="13.2">
      <c r="B492" s="47"/>
      <c r="C492" s="47"/>
      <c r="D492" s="162"/>
      <c r="E492" s="162"/>
      <c r="F492" s="47"/>
      <c r="G492" s="47"/>
    </row>
    <row r="493" spans="2:7" ht="13.2">
      <c r="B493" s="47"/>
      <c r="C493" s="47"/>
      <c r="D493" s="162"/>
      <c r="E493" s="162"/>
      <c r="F493" s="47"/>
      <c r="G493" s="47"/>
    </row>
    <row r="494" spans="2:7" ht="13.2">
      <c r="B494" s="47"/>
      <c r="C494" s="47"/>
      <c r="D494" s="162"/>
      <c r="E494" s="162"/>
      <c r="F494" s="47"/>
      <c r="G494" s="47"/>
    </row>
    <row r="495" spans="2:7" ht="13.2">
      <c r="B495" s="47"/>
      <c r="C495" s="47"/>
      <c r="D495" s="162"/>
      <c r="E495" s="162"/>
      <c r="F495" s="47"/>
      <c r="G495" s="47"/>
    </row>
    <row r="496" spans="2:7" ht="13.2">
      <c r="B496" s="47"/>
      <c r="C496" s="47"/>
      <c r="D496" s="162"/>
      <c r="E496" s="162"/>
      <c r="F496" s="47"/>
      <c r="G496" s="47"/>
    </row>
    <row r="497" spans="2:7" ht="13.2">
      <c r="B497" s="47"/>
      <c r="C497" s="47"/>
      <c r="D497" s="162"/>
      <c r="E497" s="162"/>
      <c r="F497" s="47"/>
      <c r="G497" s="47"/>
    </row>
    <row r="498" spans="2:7" ht="13.2">
      <c r="B498" s="47"/>
      <c r="C498" s="47"/>
      <c r="D498" s="162"/>
      <c r="E498" s="162"/>
      <c r="F498" s="47"/>
      <c r="G498" s="47"/>
    </row>
    <row r="499" spans="2:7" ht="13.2">
      <c r="B499" s="47"/>
      <c r="C499" s="47"/>
      <c r="D499" s="162"/>
      <c r="E499" s="162"/>
      <c r="F499" s="47"/>
      <c r="G499" s="47"/>
    </row>
    <row r="500" spans="2:7" ht="13.2">
      <c r="B500" s="47"/>
      <c r="C500" s="47"/>
      <c r="D500" s="162"/>
      <c r="E500" s="162"/>
      <c r="F500" s="47"/>
      <c r="G500" s="47"/>
    </row>
    <row r="501" spans="2:7" ht="13.2">
      <c r="B501" s="47"/>
      <c r="C501" s="47"/>
      <c r="D501" s="162"/>
      <c r="E501" s="162"/>
      <c r="F501" s="47"/>
      <c r="G501" s="47"/>
    </row>
    <row r="502" spans="2:7" ht="13.2">
      <c r="B502" s="47"/>
      <c r="C502" s="47"/>
      <c r="D502" s="162"/>
      <c r="E502" s="162"/>
      <c r="F502" s="47"/>
      <c r="G502" s="47"/>
    </row>
    <row r="503" spans="2:7" ht="13.2">
      <c r="B503" s="47"/>
      <c r="C503" s="47"/>
      <c r="D503" s="162"/>
      <c r="E503" s="162"/>
      <c r="F503" s="47"/>
      <c r="G503" s="47"/>
    </row>
    <row r="504" spans="2:7" ht="13.2">
      <c r="B504" s="47"/>
      <c r="C504" s="47"/>
      <c r="D504" s="162"/>
      <c r="E504" s="162"/>
      <c r="F504" s="47"/>
      <c r="G504" s="47"/>
    </row>
    <row r="505" spans="2:7" ht="13.2">
      <c r="B505" s="47"/>
      <c r="C505" s="47"/>
      <c r="D505" s="162"/>
      <c r="E505" s="162"/>
      <c r="F505" s="47"/>
      <c r="G505" s="47"/>
    </row>
    <row r="506" spans="2:7" ht="13.2">
      <c r="B506" s="47"/>
      <c r="C506" s="47"/>
      <c r="D506" s="162"/>
      <c r="E506" s="162"/>
      <c r="F506" s="47"/>
      <c r="G506" s="47"/>
    </row>
    <row r="507" spans="2:7" ht="13.2">
      <c r="B507" s="47"/>
      <c r="C507" s="47"/>
      <c r="D507" s="162"/>
      <c r="E507" s="162"/>
      <c r="F507" s="47"/>
      <c r="G507" s="47"/>
    </row>
    <row r="508" spans="2:7" ht="13.2">
      <c r="B508" s="47"/>
      <c r="C508" s="47"/>
      <c r="D508" s="162"/>
      <c r="E508" s="162"/>
      <c r="F508" s="47"/>
      <c r="G508" s="47"/>
    </row>
    <row r="509" spans="2:7" ht="13.2">
      <c r="B509" s="47"/>
      <c r="C509" s="47"/>
      <c r="D509" s="162"/>
      <c r="E509" s="162"/>
      <c r="F509" s="47"/>
      <c r="G509" s="47"/>
    </row>
    <row r="510" spans="2:7" ht="13.2">
      <c r="B510" s="47"/>
      <c r="C510" s="47"/>
      <c r="D510" s="162"/>
      <c r="E510" s="162"/>
      <c r="F510" s="47"/>
      <c r="G510" s="47"/>
    </row>
    <row r="511" spans="2:7" ht="13.2">
      <c r="B511" s="47"/>
      <c r="C511" s="47"/>
      <c r="D511" s="162"/>
      <c r="E511" s="162"/>
      <c r="F511" s="47"/>
      <c r="G511" s="47"/>
    </row>
    <row r="512" spans="2:7" ht="13.2">
      <c r="B512" s="47"/>
      <c r="C512" s="47"/>
      <c r="D512" s="162"/>
      <c r="E512" s="162"/>
      <c r="F512" s="47"/>
      <c r="G512" s="47"/>
    </row>
    <row r="513" spans="2:7" ht="13.2">
      <c r="B513" s="47"/>
      <c r="C513" s="47"/>
      <c r="D513" s="162"/>
      <c r="E513" s="162"/>
      <c r="F513" s="47"/>
      <c r="G513" s="47"/>
    </row>
    <row r="514" spans="2:7" ht="13.2">
      <c r="B514" s="47"/>
      <c r="C514" s="47"/>
      <c r="D514" s="162"/>
      <c r="E514" s="162"/>
      <c r="F514" s="47"/>
      <c r="G514" s="47"/>
    </row>
    <row r="515" spans="2:7" ht="13.2">
      <c r="B515" s="47"/>
      <c r="C515" s="47"/>
      <c r="D515" s="162"/>
      <c r="E515" s="162"/>
      <c r="F515" s="47"/>
      <c r="G515" s="47"/>
    </row>
    <row r="516" spans="2:7" ht="13.2">
      <c r="B516" s="47"/>
      <c r="C516" s="47"/>
      <c r="D516" s="162"/>
      <c r="E516" s="162"/>
      <c r="F516" s="47"/>
      <c r="G516" s="47"/>
    </row>
    <row r="517" spans="2:7" ht="13.2">
      <c r="B517" s="47"/>
      <c r="C517" s="47"/>
      <c r="D517" s="162"/>
      <c r="E517" s="162"/>
      <c r="F517" s="47"/>
      <c r="G517" s="47"/>
    </row>
    <row r="518" spans="2:7" ht="13.2">
      <c r="B518" s="47"/>
      <c r="C518" s="47"/>
      <c r="D518" s="162"/>
      <c r="E518" s="162"/>
      <c r="F518" s="47"/>
      <c r="G518" s="47"/>
    </row>
    <row r="519" spans="2:7" ht="13.2">
      <c r="B519" s="47"/>
      <c r="C519" s="47"/>
      <c r="D519" s="162"/>
      <c r="E519" s="162"/>
      <c r="F519" s="47"/>
      <c r="G519" s="47"/>
    </row>
    <row r="520" spans="2:7" ht="13.2">
      <c r="B520" s="47"/>
      <c r="C520" s="47"/>
      <c r="D520" s="162"/>
      <c r="E520" s="162"/>
      <c r="F520" s="47"/>
      <c r="G520" s="47"/>
    </row>
    <row r="521" spans="2:7" ht="13.2">
      <c r="B521" s="47"/>
      <c r="C521" s="47"/>
      <c r="D521" s="162"/>
      <c r="E521" s="162"/>
      <c r="F521" s="47"/>
      <c r="G521" s="47"/>
    </row>
    <row r="522" spans="2:7" ht="13.2">
      <c r="B522" s="47"/>
      <c r="C522" s="47"/>
      <c r="D522" s="162"/>
      <c r="E522" s="162"/>
      <c r="F522" s="47"/>
      <c r="G522" s="47"/>
    </row>
    <row r="523" spans="2:7" ht="13.2">
      <c r="B523" s="47"/>
      <c r="C523" s="47"/>
      <c r="D523" s="162"/>
      <c r="E523" s="162"/>
      <c r="F523" s="47"/>
      <c r="G523" s="47"/>
    </row>
    <row r="524" spans="2:7" ht="13.2">
      <c r="B524" s="47"/>
      <c r="C524" s="47"/>
      <c r="D524" s="162"/>
      <c r="E524" s="162"/>
      <c r="F524" s="47"/>
      <c r="G524" s="47"/>
    </row>
    <row r="525" spans="2:7" ht="13.2">
      <c r="B525" s="47"/>
      <c r="C525" s="47"/>
      <c r="D525" s="162"/>
      <c r="E525" s="162"/>
      <c r="F525" s="47"/>
      <c r="G525" s="47"/>
    </row>
    <row r="526" spans="2:7" ht="13.2">
      <c r="B526" s="47"/>
      <c r="C526" s="47"/>
      <c r="D526" s="162"/>
      <c r="E526" s="162"/>
      <c r="F526" s="47"/>
      <c r="G526" s="47"/>
    </row>
    <row r="527" spans="2:7" ht="13.2">
      <c r="B527" s="47"/>
      <c r="C527" s="47"/>
      <c r="D527" s="162"/>
      <c r="E527" s="162"/>
      <c r="F527" s="47"/>
      <c r="G527" s="47"/>
    </row>
    <row r="528" spans="2:7" ht="13.2">
      <c r="B528" s="47"/>
      <c r="C528" s="47"/>
      <c r="D528" s="162"/>
      <c r="E528" s="162"/>
      <c r="F528" s="47"/>
      <c r="G528" s="47"/>
    </row>
    <row r="529" spans="2:7" ht="13.2">
      <c r="B529" s="47"/>
      <c r="C529" s="47"/>
      <c r="D529" s="162"/>
      <c r="E529" s="162"/>
      <c r="F529" s="47"/>
      <c r="G529" s="47"/>
    </row>
    <row r="530" spans="2:7" ht="13.2">
      <c r="B530" s="47"/>
      <c r="C530" s="47"/>
      <c r="D530" s="162"/>
      <c r="E530" s="162"/>
      <c r="F530" s="47"/>
      <c r="G530" s="47"/>
    </row>
    <row r="531" spans="2:7" ht="13.2">
      <c r="B531" s="47"/>
      <c r="C531" s="47"/>
      <c r="D531" s="162"/>
      <c r="E531" s="162"/>
      <c r="F531" s="47"/>
      <c r="G531" s="47"/>
    </row>
    <row r="532" spans="2:7" ht="13.2">
      <c r="B532" s="47"/>
      <c r="C532" s="47"/>
      <c r="D532" s="162"/>
      <c r="E532" s="162"/>
      <c r="F532" s="47"/>
      <c r="G532" s="47"/>
    </row>
    <row r="533" spans="2:7" ht="13.2">
      <c r="B533" s="47"/>
      <c r="C533" s="47"/>
      <c r="D533" s="162"/>
      <c r="E533" s="162"/>
      <c r="F533" s="47"/>
      <c r="G533" s="47"/>
    </row>
    <row r="534" spans="2:7" ht="13.2">
      <c r="B534" s="47"/>
      <c r="C534" s="47"/>
      <c r="D534" s="162"/>
      <c r="E534" s="162"/>
      <c r="F534" s="47"/>
      <c r="G534" s="47"/>
    </row>
    <row r="535" spans="2:7" ht="13.2">
      <c r="B535" s="47"/>
      <c r="C535" s="47"/>
      <c r="D535" s="162"/>
      <c r="E535" s="162"/>
      <c r="F535" s="47"/>
      <c r="G535" s="47"/>
    </row>
    <row r="536" spans="2:7" ht="13.2">
      <c r="B536" s="47"/>
      <c r="C536" s="47"/>
      <c r="D536" s="162"/>
      <c r="E536" s="162"/>
      <c r="F536" s="47"/>
      <c r="G536" s="47"/>
    </row>
    <row r="537" spans="2:7" ht="13.2">
      <c r="B537" s="47"/>
      <c r="C537" s="47"/>
      <c r="D537" s="162"/>
      <c r="E537" s="162"/>
      <c r="F537" s="47"/>
      <c r="G537" s="47"/>
    </row>
    <row r="538" spans="2:7" ht="13.2">
      <c r="B538" s="47"/>
      <c r="C538" s="47"/>
      <c r="D538" s="162"/>
      <c r="E538" s="162"/>
      <c r="F538" s="47"/>
      <c r="G538" s="47"/>
    </row>
    <row r="539" spans="2:7" ht="13.2">
      <c r="B539" s="47"/>
      <c r="C539" s="47"/>
      <c r="D539" s="162"/>
      <c r="E539" s="162"/>
      <c r="F539" s="47"/>
      <c r="G539" s="47"/>
    </row>
    <row r="540" spans="2:7" ht="13.2">
      <c r="B540" s="47"/>
      <c r="C540" s="47"/>
      <c r="D540" s="162"/>
      <c r="E540" s="162"/>
      <c r="F540" s="47"/>
      <c r="G540" s="47"/>
    </row>
    <row r="541" spans="2:7" ht="13.2">
      <c r="B541" s="47"/>
      <c r="C541" s="47"/>
      <c r="D541" s="162"/>
      <c r="E541" s="162"/>
      <c r="F541" s="47"/>
      <c r="G541" s="47"/>
    </row>
    <row r="542" spans="2:7" ht="13.2">
      <c r="B542" s="47"/>
      <c r="C542" s="47"/>
      <c r="D542" s="162"/>
      <c r="E542" s="162"/>
      <c r="F542" s="47"/>
      <c r="G542" s="47"/>
    </row>
    <row r="543" spans="2:7" ht="13.2">
      <c r="B543" s="47"/>
      <c r="C543" s="47"/>
      <c r="D543" s="162"/>
      <c r="E543" s="162"/>
      <c r="F543" s="47"/>
      <c r="G543" s="47"/>
    </row>
    <row r="544" spans="2:7" ht="13.2">
      <c r="B544" s="47"/>
      <c r="C544" s="47"/>
      <c r="D544" s="162"/>
      <c r="E544" s="162"/>
      <c r="F544" s="47"/>
      <c r="G544" s="47"/>
    </row>
    <row r="545" spans="2:7" ht="13.2">
      <c r="B545" s="47"/>
      <c r="C545" s="47"/>
      <c r="D545" s="162"/>
      <c r="E545" s="162"/>
      <c r="F545" s="47"/>
      <c r="G545" s="47"/>
    </row>
    <row r="546" spans="2:7" ht="13.2">
      <c r="B546" s="47"/>
      <c r="C546" s="47"/>
      <c r="D546" s="162"/>
      <c r="E546" s="162"/>
      <c r="F546" s="47"/>
      <c r="G546" s="47"/>
    </row>
    <row r="547" spans="2:7" ht="13.2">
      <c r="B547" s="47"/>
      <c r="C547" s="47"/>
      <c r="D547" s="162"/>
      <c r="E547" s="162"/>
      <c r="F547" s="47"/>
      <c r="G547" s="47"/>
    </row>
    <row r="548" spans="2:7" ht="13.2">
      <c r="B548" s="47"/>
      <c r="C548" s="47"/>
      <c r="D548" s="162"/>
      <c r="E548" s="162"/>
      <c r="F548" s="47"/>
      <c r="G548" s="47"/>
    </row>
    <row r="549" spans="2:7" ht="13.2">
      <c r="B549" s="47"/>
      <c r="C549" s="47"/>
      <c r="D549" s="162"/>
      <c r="E549" s="162"/>
      <c r="F549" s="47"/>
      <c r="G549" s="47"/>
    </row>
    <row r="550" spans="2:7" ht="13.2">
      <c r="B550" s="47"/>
      <c r="C550" s="47"/>
      <c r="D550" s="162"/>
      <c r="E550" s="162"/>
      <c r="F550" s="47"/>
      <c r="G550" s="47"/>
    </row>
    <row r="551" spans="2:7" ht="13.2">
      <c r="B551" s="47"/>
      <c r="C551" s="47"/>
      <c r="D551" s="162"/>
      <c r="E551" s="162"/>
      <c r="F551" s="47"/>
      <c r="G551" s="47"/>
    </row>
    <row r="552" spans="2:7" ht="13.2">
      <c r="B552" s="47"/>
      <c r="C552" s="47"/>
      <c r="D552" s="162"/>
      <c r="E552" s="162"/>
      <c r="F552" s="47"/>
      <c r="G552" s="47"/>
    </row>
    <row r="553" spans="2:7" ht="13.2">
      <c r="B553" s="47"/>
      <c r="C553" s="47"/>
      <c r="D553" s="162"/>
      <c r="E553" s="162"/>
      <c r="F553" s="47"/>
      <c r="G553" s="47"/>
    </row>
    <row r="554" spans="2:7" ht="13.2">
      <c r="B554" s="47"/>
      <c r="C554" s="47"/>
      <c r="D554" s="162"/>
      <c r="E554" s="162"/>
      <c r="F554" s="47"/>
      <c r="G554" s="47"/>
    </row>
    <row r="555" spans="2:7" ht="13.2">
      <c r="B555" s="47"/>
      <c r="C555" s="47"/>
      <c r="D555" s="162"/>
      <c r="E555" s="162"/>
      <c r="F555" s="47"/>
      <c r="G555" s="47"/>
    </row>
    <row r="556" spans="2:7" ht="13.2">
      <c r="B556" s="47"/>
      <c r="C556" s="47"/>
      <c r="D556" s="162"/>
      <c r="E556" s="162"/>
      <c r="F556" s="47"/>
      <c r="G556" s="47"/>
    </row>
    <row r="557" spans="2:7" ht="13.2">
      <c r="B557" s="47"/>
      <c r="C557" s="47"/>
      <c r="D557" s="162"/>
      <c r="E557" s="162"/>
      <c r="F557" s="47"/>
      <c r="G557" s="47"/>
    </row>
    <row r="558" spans="2:7" ht="13.2">
      <c r="B558" s="47"/>
      <c r="C558" s="47"/>
      <c r="D558" s="162"/>
      <c r="E558" s="162"/>
      <c r="F558" s="47"/>
      <c r="G558" s="47"/>
    </row>
    <row r="559" spans="2:7" ht="13.2">
      <c r="B559" s="47"/>
      <c r="C559" s="47"/>
      <c r="D559" s="162"/>
      <c r="E559" s="162"/>
      <c r="F559" s="47"/>
      <c r="G559" s="47"/>
    </row>
    <row r="560" spans="2:7" ht="13.2">
      <c r="B560" s="47"/>
      <c r="C560" s="47"/>
      <c r="D560" s="162"/>
      <c r="E560" s="162"/>
      <c r="F560" s="47"/>
      <c r="G560" s="47"/>
    </row>
    <row r="561" spans="2:7" ht="13.2">
      <c r="B561" s="47"/>
      <c r="C561" s="47"/>
      <c r="D561" s="162"/>
      <c r="E561" s="162"/>
      <c r="F561" s="47"/>
      <c r="G561" s="47"/>
    </row>
    <row r="562" spans="2:7" ht="13.2">
      <c r="B562" s="47"/>
      <c r="C562" s="47"/>
      <c r="D562" s="162"/>
      <c r="E562" s="162"/>
      <c r="F562" s="47"/>
      <c r="G562" s="47"/>
    </row>
    <row r="563" spans="2:7" ht="13.2">
      <c r="B563" s="47"/>
      <c r="C563" s="47"/>
      <c r="D563" s="162"/>
      <c r="E563" s="162"/>
      <c r="F563" s="47"/>
      <c r="G563" s="47"/>
    </row>
    <row r="564" spans="2:7" ht="13.2">
      <c r="B564" s="47"/>
      <c r="C564" s="47"/>
      <c r="D564" s="162"/>
      <c r="E564" s="162"/>
      <c r="F564" s="47"/>
      <c r="G564" s="47"/>
    </row>
    <row r="565" spans="2:7" ht="13.2">
      <c r="B565" s="47"/>
      <c r="C565" s="47"/>
      <c r="D565" s="162"/>
      <c r="E565" s="162"/>
      <c r="F565" s="47"/>
      <c r="G565" s="47"/>
    </row>
    <row r="566" spans="2:7" ht="13.2">
      <c r="B566" s="47"/>
      <c r="C566" s="47"/>
      <c r="D566" s="162"/>
      <c r="E566" s="162"/>
      <c r="F566" s="47"/>
      <c r="G566" s="47"/>
    </row>
    <row r="567" spans="2:7" ht="13.2">
      <c r="B567" s="47"/>
      <c r="C567" s="47"/>
      <c r="D567" s="162"/>
      <c r="E567" s="162"/>
      <c r="F567" s="47"/>
      <c r="G567" s="47"/>
    </row>
    <row r="568" spans="2:7" ht="13.2">
      <c r="B568" s="47"/>
      <c r="C568" s="47"/>
      <c r="D568" s="162"/>
      <c r="E568" s="162"/>
      <c r="F568" s="47"/>
      <c r="G568" s="47"/>
    </row>
    <row r="569" spans="2:7" ht="13.2">
      <c r="B569" s="47"/>
      <c r="C569" s="47"/>
      <c r="D569" s="162"/>
      <c r="E569" s="162"/>
      <c r="F569" s="47"/>
      <c r="G569" s="47"/>
    </row>
    <row r="570" spans="2:7" ht="13.2">
      <c r="B570" s="47"/>
      <c r="C570" s="47"/>
      <c r="D570" s="162"/>
      <c r="E570" s="162"/>
      <c r="F570" s="47"/>
      <c r="G570" s="47"/>
    </row>
    <row r="571" spans="2:7" ht="13.2">
      <c r="B571" s="47"/>
      <c r="C571" s="47"/>
      <c r="D571" s="162"/>
      <c r="E571" s="162"/>
      <c r="F571" s="47"/>
      <c r="G571" s="47"/>
    </row>
    <row r="572" spans="2:7" ht="13.2">
      <c r="B572" s="47"/>
      <c r="C572" s="47"/>
      <c r="D572" s="162"/>
      <c r="E572" s="162"/>
      <c r="F572" s="47"/>
      <c r="G572" s="47"/>
    </row>
    <row r="573" spans="2:7" ht="13.2">
      <c r="B573" s="47"/>
      <c r="C573" s="47"/>
      <c r="D573" s="162"/>
      <c r="E573" s="162"/>
      <c r="F573" s="47"/>
      <c r="G573" s="47"/>
    </row>
    <row r="574" spans="2:7" ht="13.2">
      <c r="B574" s="47"/>
      <c r="C574" s="47"/>
      <c r="D574" s="162"/>
      <c r="E574" s="162"/>
      <c r="F574" s="47"/>
      <c r="G574" s="47"/>
    </row>
    <row r="575" spans="2:7" ht="13.2">
      <c r="B575" s="47"/>
      <c r="C575" s="47"/>
      <c r="D575" s="162"/>
      <c r="E575" s="162"/>
      <c r="F575" s="47"/>
      <c r="G575" s="47"/>
    </row>
    <row r="576" spans="2:7" ht="13.2">
      <c r="B576" s="47"/>
      <c r="C576" s="47"/>
      <c r="D576" s="162"/>
      <c r="E576" s="162"/>
      <c r="F576" s="47"/>
      <c r="G576" s="47"/>
    </row>
    <row r="577" spans="2:7" ht="13.2">
      <c r="B577" s="47"/>
      <c r="C577" s="47"/>
      <c r="D577" s="162"/>
      <c r="E577" s="162"/>
      <c r="F577" s="47"/>
      <c r="G577" s="47"/>
    </row>
    <row r="578" spans="2:7" ht="13.2">
      <c r="B578" s="47"/>
      <c r="C578" s="47"/>
      <c r="D578" s="162"/>
      <c r="E578" s="162"/>
      <c r="F578" s="47"/>
      <c r="G578" s="47"/>
    </row>
    <row r="579" spans="2:7" ht="13.2">
      <c r="B579" s="47"/>
      <c r="C579" s="47"/>
      <c r="D579" s="162"/>
      <c r="E579" s="162"/>
      <c r="F579" s="47"/>
      <c r="G579" s="47"/>
    </row>
    <row r="580" spans="2:7" ht="13.2">
      <c r="B580" s="47"/>
      <c r="C580" s="47"/>
      <c r="D580" s="162"/>
      <c r="E580" s="162"/>
      <c r="F580" s="47"/>
      <c r="G580" s="47"/>
    </row>
    <row r="581" spans="2:7" ht="13.2">
      <c r="B581" s="47"/>
      <c r="C581" s="47"/>
      <c r="D581" s="162"/>
      <c r="E581" s="162"/>
      <c r="F581" s="47"/>
      <c r="G581" s="47"/>
    </row>
    <row r="582" spans="2:7" ht="13.2">
      <c r="B582" s="47"/>
      <c r="C582" s="47"/>
      <c r="D582" s="162"/>
      <c r="E582" s="162"/>
      <c r="F582" s="47"/>
      <c r="G582" s="47"/>
    </row>
    <row r="583" spans="2:7" ht="13.2">
      <c r="B583" s="47"/>
      <c r="C583" s="47"/>
      <c r="D583" s="162"/>
      <c r="E583" s="162"/>
      <c r="F583" s="47"/>
      <c r="G583" s="47"/>
    </row>
    <row r="584" spans="2:7" ht="13.2">
      <c r="B584" s="47"/>
      <c r="C584" s="47"/>
      <c r="D584" s="162"/>
      <c r="E584" s="162"/>
      <c r="F584" s="47"/>
      <c r="G584" s="47"/>
    </row>
    <row r="585" spans="2:7" ht="13.2">
      <c r="B585" s="47"/>
      <c r="C585" s="47"/>
      <c r="D585" s="162"/>
      <c r="E585" s="162"/>
      <c r="F585" s="47"/>
      <c r="G585" s="47"/>
    </row>
    <row r="586" spans="2:7" ht="13.2">
      <c r="B586" s="47"/>
      <c r="C586" s="47"/>
      <c r="D586" s="162"/>
      <c r="E586" s="162"/>
      <c r="F586" s="47"/>
      <c r="G586" s="47"/>
    </row>
    <row r="587" spans="2:7" ht="13.2">
      <c r="B587" s="47"/>
      <c r="C587" s="47"/>
      <c r="D587" s="162"/>
      <c r="E587" s="162"/>
      <c r="F587" s="47"/>
      <c r="G587" s="47"/>
    </row>
    <row r="588" spans="2:7" ht="13.2">
      <c r="B588" s="47"/>
      <c r="C588" s="47"/>
      <c r="D588" s="162"/>
      <c r="E588" s="162"/>
      <c r="F588" s="47"/>
      <c r="G588" s="47"/>
    </row>
    <row r="589" spans="2:7" ht="13.2">
      <c r="B589" s="47"/>
      <c r="C589" s="47"/>
      <c r="D589" s="162"/>
      <c r="E589" s="162"/>
      <c r="F589" s="47"/>
      <c r="G589" s="47"/>
    </row>
    <row r="590" spans="2:7" ht="13.2">
      <c r="B590" s="47"/>
      <c r="C590" s="47"/>
      <c r="D590" s="162"/>
      <c r="E590" s="162"/>
      <c r="F590" s="47"/>
      <c r="G590" s="47"/>
    </row>
    <row r="591" spans="2:7" ht="13.2">
      <c r="B591" s="47"/>
      <c r="C591" s="47"/>
      <c r="D591" s="162"/>
      <c r="E591" s="162"/>
      <c r="F591" s="47"/>
      <c r="G591" s="47"/>
    </row>
    <row r="592" spans="2:7" ht="13.2">
      <c r="B592" s="47"/>
      <c r="C592" s="47"/>
      <c r="D592" s="162"/>
      <c r="E592" s="162"/>
      <c r="F592" s="47"/>
      <c r="G592" s="47"/>
    </row>
    <row r="593" spans="2:7" ht="13.2">
      <c r="B593" s="47"/>
      <c r="C593" s="47"/>
      <c r="D593" s="162"/>
      <c r="E593" s="162"/>
      <c r="F593" s="47"/>
      <c r="G593" s="47"/>
    </row>
    <row r="594" spans="2:7" ht="13.2">
      <c r="B594" s="47"/>
      <c r="C594" s="47"/>
      <c r="D594" s="162"/>
      <c r="E594" s="162"/>
      <c r="F594" s="47"/>
      <c r="G594" s="47"/>
    </row>
    <row r="595" spans="2:7" ht="13.2">
      <c r="B595" s="47"/>
      <c r="C595" s="47"/>
      <c r="D595" s="162"/>
      <c r="E595" s="162"/>
      <c r="F595" s="47"/>
      <c r="G595" s="47"/>
    </row>
    <row r="596" spans="2:7" ht="13.2">
      <c r="B596" s="47"/>
      <c r="C596" s="47"/>
      <c r="D596" s="162"/>
      <c r="E596" s="162"/>
      <c r="F596" s="47"/>
      <c r="G596" s="47"/>
    </row>
    <row r="597" spans="2:7" ht="13.2">
      <c r="B597" s="47"/>
      <c r="C597" s="47"/>
      <c r="D597" s="162"/>
      <c r="E597" s="162"/>
      <c r="F597" s="47"/>
      <c r="G597" s="47"/>
    </row>
    <row r="598" spans="2:7" ht="13.2">
      <c r="B598" s="47"/>
      <c r="C598" s="47"/>
      <c r="D598" s="162"/>
      <c r="E598" s="162"/>
      <c r="F598" s="47"/>
      <c r="G598" s="47"/>
    </row>
    <row r="599" spans="2:7" ht="13.2">
      <c r="B599" s="47"/>
      <c r="C599" s="47"/>
      <c r="D599" s="162"/>
      <c r="E599" s="162"/>
      <c r="F599" s="47"/>
      <c r="G599" s="47"/>
    </row>
    <row r="600" spans="2:7" ht="13.2">
      <c r="B600" s="47"/>
      <c r="C600" s="47"/>
      <c r="D600" s="162"/>
      <c r="E600" s="162"/>
      <c r="F600" s="47"/>
      <c r="G600" s="47"/>
    </row>
    <row r="601" spans="2:7" ht="13.2">
      <c r="B601" s="47"/>
      <c r="C601" s="47"/>
      <c r="D601" s="162"/>
      <c r="E601" s="162"/>
      <c r="F601" s="47"/>
      <c r="G601" s="47"/>
    </row>
    <row r="602" spans="2:7" ht="13.2">
      <c r="B602" s="47"/>
      <c r="C602" s="47"/>
      <c r="D602" s="162"/>
      <c r="E602" s="162"/>
      <c r="F602" s="47"/>
      <c r="G602" s="47"/>
    </row>
    <row r="603" spans="2:7" ht="13.2">
      <c r="B603" s="47"/>
      <c r="C603" s="47"/>
      <c r="D603" s="162"/>
      <c r="E603" s="162"/>
      <c r="F603" s="47"/>
      <c r="G603" s="47"/>
    </row>
    <row r="604" spans="2:7" ht="13.2">
      <c r="B604" s="47"/>
      <c r="C604" s="47"/>
      <c r="D604" s="162"/>
      <c r="E604" s="162"/>
      <c r="F604" s="47"/>
      <c r="G604" s="47"/>
    </row>
    <row r="605" spans="2:7" ht="13.2">
      <c r="B605" s="47"/>
      <c r="C605" s="47"/>
      <c r="D605" s="162"/>
      <c r="E605" s="162"/>
      <c r="F605" s="47"/>
      <c r="G605" s="47"/>
    </row>
    <row r="606" spans="2:7" ht="13.2">
      <c r="B606" s="47"/>
      <c r="C606" s="47"/>
      <c r="D606" s="162"/>
      <c r="E606" s="162"/>
      <c r="F606" s="47"/>
      <c r="G606" s="47"/>
    </row>
    <row r="607" spans="2:7" ht="13.2">
      <c r="B607" s="47"/>
      <c r="C607" s="47"/>
      <c r="D607" s="162"/>
      <c r="E607" s="162"/>
      <c r="F607" s="47"/>
      <c r="G607" s="47"/>
    </row>
    <row r="608" spans="2:7" ht="13.2">
      <c r="B608" s="47"/>
      <c r="C608" s="47"/>
      <c r="D608" s="162"/>
      <c r="E608" s="162"/>
      <c r="F608" s="47"/>
      <c r="G608" s="47"/>
    </row>
    <row r="609" spans="2:7" ht="13.2">
      <c r="B609" s="47"/>
      <c r="C609" s="47"/>
      <c r="D609" s="162"/>
      <c r="E609" s="162"/>
      <c r="F609" s="47"/>
      <c r="G609" s="47"/>
    </row>
    <row r="610" spans="2:7" ht="13.2">
      <c r="B610" s="47"/>
      <c r="C610" s="47"/>
      <c r="D610" s="162"/>
      <c r="E610" s="162"/>
      <c r="F610" s="47"/>
      <c r="G610" s="47"/>
    </row>
    <row r="611" spans="2:7" ht="13.2">
      <c r="B611" s="47"/>
      <c r="C611" s="47"/>
      <c r="D611" s="162"/>
      <c r="E611" s="162"/>
      <c r="F611" s="47"/>
      <c r="G611" s="47"/>
    </row>
    <row r="612" spans="2:7" ht="13.2">
      <c r="B612" s="47"/>
      <c r="C612" s="47"/>
      <c r="D612" s="162"/>
      <c r="E612" s="162"/>
      <c r="F612" s="47"/>
      <c r="G612" s="47"/>
    </row>
    <row r="613" spans="2:7" ht="13.2">
      <c r="B613" s="47"/>
      <c r="C613" s="47"/>
      <c r="D613" s="162"/>
      <c r="E613" s="162"/>
      <c r="F613" s="47"/>
      <c r="G613" s="47"/>
    </row>
    <row r="614" spans="2:7" ht="13.2">
      <c r="B614" s="47"/>
      <c r="C614" s="47"/>
      <c r="D614" s="162"/>
      <c r="E614" s="162"/>
      <c r="F614" s="47"/>
      <c r="G614" s="47"/>
    </row>
    <row r="615" spans="2:7" ht="13.2">
      <c r="B615" s="47"/>
      <c r="C615" s="47"/>
      <c r="D615" s="162"/>
      <c r="E615" s="162"/>
      <c r="F615" s="47"/>
      <c r="G615" s="47"/>
    </row>
    <row r="616" spans="2:7" ht="13.2">
      <c r="B616" s="47"/>
      <c r="C616" s="47"/>
      <c r="D616" s="162"/>
      <c r="E616" s="162"/>
      <c r="F616" s="47"/>
      <c r="G616" s="47"/>
    </row>
    <row r="617" spans="2:7" ht="13.2">
      <c r="B617" s="47"/>
      <c r="C617" s="47"/>
      <c r="D617" s="162"/>
      <c r="E617" s="162"/>
      <c r="F617" s="47"/>
      <c r="G617" s="47"/>
    </row>
    <row r="618" spans="2:7" ht="13.2">
      <c r="B618" s="47"/>
      <c r="C618" s="47"/>
      <c r="D618" s="162"/>
      <c r="E618" s="162"/>
      <c r="F618" s="47"/>
      <c r="G618" s="47"/>
    </row>
    <row r="619" spans="2:7" ht="13.2">
      <c r="B619" s="47"/>
      <c r="C619" s="47"/>
      <c r="D619" s="162"/>
      <c r="E619" s="162"/>
      <c r="F619" s="47"/>
      <c r="G619" s="47"/>
    </row>
    <row r="620" spans="2:7" ht="13.2">
      <c r="B620" s="47"/>
      <c r="C620" s="47"/>
      <c r="D620" s="162"/>
      <c r="E620" s="162"/>
      <c r="F620" s="47"/>
      <c r="G620" s="47"/>
    </row>
    <row r="621" spans="2:7" ht="13.2">
      <c r="B621" s="47"/>
      <c r="C621" s="47"/>
      <c r="D621" s="162"/>
      <c r="E621" s="162"/>
      <c r="F621" s="47"/>
      <c r="G621" s="47"/>
    </row>
    <row r="622" spans="2:7" ht="13.2">
      <c r="B622" s="47"/>
      <c r="C622" s="47"/>
      <c r="D622" s="162"/>
      <c r="E622" s="162"/>
      <c r="F622" s="47"/>
      <c r="G622" s="47"/>
    </row>
    <row r="623" spans="2:7" ht="13.2">
      <c r="B623" s="47"/>
      <c r="C623" s="47"/>
      <c r="D623" s="162"/>
      <c r="E623" s="162"/>
      <c r="F623" s="47"/>
      <c r="G623" s="47"/>
    </row>
    <row r="624" spans="2:7" ht="13.2">
      <c r="B624" s="47"/>
      <c r="C624" s="47"/>
      <c r="D624" s="162"/>
      <c r="E624" s="162"/>
      <c r="F624" s="47"/>
      <c r="G624" s="47"/>
    </row>
    <row r="625" spans="2:7" ht="13.2">
      <c r="B625" s="47"/>
      <c r="C625" s="47"/>
      <c r="D625" s="162"/>
      <c r="E625" s="162"/>
      <c r="F625" s="47"/>
      <c r="G625" s="47"/>
    </row>
    <row r="626" spans="2:7" ht="13.2">
      <c r="B626" s="47"/>
      <c r="C626" s="47"/>
      <c r="D626" s="162"/>
      <c r="E626" s="162"/>
      <c r="F626" s="47"/>
      <c r="G626" s="47"/>
    </row>
    <row r="627" spans="2:7" ht="13.2">
      <c r="B627" s="47"/>
      <c r="C627" s="47"/>
      <c r="D627" s="162"/>
      <c r="E627" s="162"/>
      <c r="F627" s="47"/>
      <c r="G627" s="47"/>
    </row>
    <row r="628" spans="2:7" ht="13.2">
      <c r="B628" s="47"/>
      <c r="C628" s="47"/>
      <c r="D628" s="162"/>
      <c r="E628" s="162"/>
      <c r="F628" s="47"/>
      <c r="G628" s="47"/>
    </row>
    <row r="629" spans="2:7" ht="13.2">
      <c r="B629" s="47"/>
      <c r="C629" s="47"/>
      <c r="D629" s="162"/>
      <c r="E629" s="162"/>
      <c r="F629" s="47"/>
      <c r="G629" s="47"/>
    </row>
    <row r="630" spans="2:7" ht="13.2">
      <c r="B630" s="47"/>
      <c r="C630" s="47"/>
      <c r="D630" s="162"/>
      <c r="E630" s="162"/>
      <c r="F630" s="47"/>
      <c r="G630" s="47"/>
    </row>
    <row r="631" spans="2:7" ht="13.2">
      <c r="B631" s="47"/>
      <c r="C631" s="47"/>
      <c r="D631" s="162"/>
      <c r="E631" s="162"/>
      <c r="F631" s="47"/>
      <c r="G631" s="47"/>
    </row>
    <row r="632" spans="2:7" ht="13.2">
      <c r="B632" s="47"/>
      <c r="C632" s="47"/>
      <c r="D632" s="162"/>
      <c r="E632" s="162"/>
      <c r="F632" s="47"/>
      <c r="G632" s="47"/>
    </row>
    <row r="633" spans="2:7" ht="13.2">
      <c r="B633" s="47"/>
      <c r="C633" s="47"/>
      <c r="D633" s="162"/>
      <c r="E633" s="162"/>
      <c r="F633" s="47"/>
      <c r="G633" s="47"/>
    </row>
    <row r="634" spans="2:7" ht="13.2">
      <c r="B634" s="47"/>
      <c r="C634" s="47"/>
      <c r="D634" s="162"/>
      <c r="E634" s="162"/>
      <c r="F634" s="47"/>
      <c r="G634" s="47"/>
    </row>
    <row r="635" spans="2:7" ht="13.2">
      <c r="B635" s="47"/>
      <c r="C635" s="47"/>
      <c r="D635" s="162"/>
      <c r="E635" s="162"/>
      <c r="F635" s="47"/>
      <c r="G635" s="47"/>
    </row>
    <row r="636" spans="2:7" ht="13.2">
      <c r="B636" s="47"/>
      <c r="C636" s="47"/>
      <c r="D636" s="162"/>
      <c r="E636" s="162"/>
      <c r="F636" s="47"/>
      <c r="G636" s="47"/>
    </row>
    <row r="637" spans="2:7" ht="13.2">
      <c r="B637" s="47"/>
      <c r="C637" s="47"/>
      <c r="D637" s="162"/>
      <c r="E637" s="162"/>
      <c r="F637" s="47"/>
      <c r="G637" s="47"/>
    </row>
    <row r="638" spans="2:7" ht="13.2">
      <c r="B638" s="47"/>
      <c r="C638" s="47"/>
      <c r="D638" s="162"/>
      <c r="E638" s="162"/>
      <c r="F638" s="47"/>
      <c r="G638" s="47"/>
    </row>
    <row r="639" spans="2:7" ht="13.2">
      <c r="B639" s="47"/>
      <c r="C639" s="47"/>
      <c r="D639" s="162"/>
      <c r="E639" s="162"/>
      <c r="F639" s="47"/>
      <c r="G639" s="47"/>
    </row>
    <row r="640" spans="2:7" ht="13.2">
      <c r="B640" s="47"/>
      <c r="C640" s="47"/>
      <c r="D640" s="162"/>
      <c r="E640" s="162"/>
      <c r="F640" s="47"/>
      <c r="G640" s="47"/>
    </row>
    <row r="641" spans="2:7" ht="13.2">
      <c r="B641" s="47"/>
      <c r="C641" s="47"/>
      <c r="D641" s="162"/>
      <c r="E641" s="162"/>
      <c r="F641" s="47"/>
      <c r="G641" s="47"/>
    </row>
    <row r="642" spans="2:7" ht="13.2">
      <c r="B642" s="47"/>
      <c r="C642" s="47"/>
      <c r="D642" s="162"/>
      <c r="E642" s="162"/>
      <c r="F642" s="47"/>
      <c r="G642" s="47"/>
    </row>
    <row r="643" spans="2:7" ht="13.2">
      <c r="B643" s="47"/>
      <c r="C643" s="47"/>
      <c r="D643" s="162"/>
      <c r="E643" s="162"/>
      <c r="F643" s="47"/>
      <c r="G643" s="47"/>
    </row>
    <row r="644" spans="2:7" ht="13.2">
      <c r="B644" s="47"/>
      <c r="C644" s="47"/>
      <c r="D644" s="162"/>
      <c r="E644" s="162"/>
      <c r="F644" s="47"/>
      <c r="G644" s="47"/>
    </row>
    <row r="645" spans="2:7" ht="13.2">
      <c r="B645" s="47"/>
      <c r="C645" s="47"/>
      <c r="D645" s="162"/>
      <c r="E645" s="162"/>
      <c r="F645" s="47"/>
      <c r="G645" s="47"/>
    </row>
    <row r="646" spans="2:7" ht="13.2">
      <c r="B646" s="47"/>
      <c r="C646" s="47"/>
      <c r="D646" s="162"/>
      <c r="E646" s="162"/>
      <c r="F646" s="47"/>
      <c r="G646" s="47"/>
    </row>
    <row r="647" spans="2:7" ht="13.2">
      <c r="B647" s="47"/>
      <c r="C647" s="47"/>
      <c r="D647" s="162"/>
      <c r="E647" s="162"/>
      <c r="F647" s="47"/>
      <c r="G647" s="47"/>
    </row>
    <row r="648" spans="2:7" ht="13.2">
      <c r="B648" s="47"/>
      <c r="C648" s="47"/>
      <c r="D648" s="162"/>
      <c r="E648" s="162"/>
      <c r="F648" s="47"/>
      <c r="G648" s="47"/>
    </row>
    <row r="649" spans="2:7" ht="13.2">
      <c r="B649" s="47"/>
      <c r="C649" s="47"/>
      <c r="D649" s="162"/>
      <c r="E649" s="162"/>
      <c r="F649" s="47"/>
      <c r="G649" s="47"/>
    </row>
    <row r="650" spans="2:7" ht="13.2">
      <c r="B650" s="47"/>
      <c r="C650" s="47"/>
      <c r="D650" s="162"/>
      <c r="E650" s="162"/>
      <c r="F650" s="47"/>
      <c r="G650" s="47"/>
    </row>
    <row r="651" spans="2:7" ht="13.2">
      <c r="B651" s="47"/>
      <c r="C651" s="47"/>
      <c r="D651" s="162"/>
      <c r="E651" s="162"/>
      <c r="F651" s="47"/>
      <c r="G651" s="47"/>
    </row>
    <row r="652" spans="2:7" ht="13.2">
      <c r="B652" s="47"/>
      <c r="C652" s="47"/>
      <c r="D652" s="162"/>
      <c r="E652" s="162"/>
      <c r="F652" s="47"/>
      <c r="G652" s="47"/>
    </row>
    <row r="653" spans="2:7" ht="13.2">
      <c r="B653" s="47"/>
      <c r="C653" s="47"/>
      <c r="D653" s="162"/>
      <c r="E653" s="162"/>
      <c r="F653" s="47"/>
      <c r="G653" s="47"/>
    </row>
    <row r="654" spans="2:7" ht="13.2">
      <c r="B654" s="47"/>
      <c r="C654" s="47"/>
      <c r="D654" s="162"/>
      <c r="E654" s="162"/>
      <c r="F654" s="47"/>
      <c r="G654" s="47"/>
    </row>
    <row r="655" spans="2:7" ht="13.2">
      <c r="B655" s="47"/>
      <c r="C655" s="47"/>
      <c r="D655" s="162"/>
      <c r="E655" s="162"/>
      <c r="F655" s="47"/>
      <c r="G655" s="47"/>
    </row>
    <row r="656" spans="2:7" ht="13.2">
      <c r="B656" s="47"/>
      <c r="C656" s="47"/>
      <c r="D656" s="162"/>
      <c r="E656" s="162"/>
      <c r="F656" s="47"/>
      <c r="G656" s="47"/>
    </row>
    <row r="657" spans="2:7" ht="13.2">
      <c r="B657" s="47"/>
      <c r="C657" s="47"/>
      <c r="D657" s="162"/>
      <c r="E657" s="162"/>
      <c r="F657" s="47"/>
      <c r="G657" s="47"/>
    </row>
    <row r="658" spans="2:7" ht="13.2">
      <c r="B658" s="47"/>
      <c r="C658" s="47"/>
      <c r="D658" s="162"/>
      <c r="E658" s="162"/>
      <c r="F658" s="47"/>
      <c r="G658" s="47"/>
    </row>
    <row r="659" spans="2:7" ht="13.2">
      <c r="B659" s="47"/>
      <c r="C659" s="47"/>
      <c r="D659" s="162"/>
      <c r="E659" s="162"/>
      <c r="F659" s="47"/>
      <c r="G659" s="47"/>
    </row>
    <row r="660" spans="2:7" ht="13.2">
      <c r="B660" s="47"/>
      <c r="C660" s="47"/>
      <c r="D660" s="162"/>
      <c r="E660" s="162"/>
      <c r="F660" s="47"/>
      <c r="G660" s="47"/>
    </row>
    <row r="661" spans="2:7" ht="13.2">
      <c r="B661" s="47"/>
      <c r="C661" s="47"/>
      <c r="D661" s="162"/>
      <c r="E661" s="162"/>
      <c r="F661" s="47"/>
      <c r="G661" s="47"/>
    </row>
    <row r="662" spans="2:7" ht="13.2">
      <c r="B662" s="47"/>
      <c r="C662" s="47"/>
      <c r="D662" s="162"/>
      <c r="E662" s="162"/>
      <c r="F662" s="47"/>
      <c r="G662" s="47"/>
    </row>
    <row r="663" spans="2:7" ht="13.2">
      <c r="B663" s="47"/>
      <c r="C663" s="47"/>
      <c r="D663" s="162"/>
      <c r="E663" s="162"/>
      <c r="F663" s="47"/>
      <c r="G663" s="47"/>
    </row>
    <row r="664" spans="2:7" ht="13.2">
      <c r="B664" s="47"/>
      <c r="C664" s="47"/>
      <c r="D664" s="162"/>
      <c r="E664" s="162"/>
      <c r="F664" s="47"/>
      <c r="G664" s="47"/>
    </row>
    <row r="665" spans="2:7" ht="13.2">
      <c r="B665" s="47"/>
      <c r="C665" s="47"/>
      <c r="D665" s="162"/>
      <c r="E665" s="162"/>
      <c r="F665" s="47"/>
      <c r="G665" s="47"/>
    </row>
    <row r="666" spans="2:7" ht="13.2">
      <c r="B666" s="47"/>
      <c r="C666" s="47"/>
      <c r="D666" s="162"/>
      <c r="E666" s="162"/>
      <c r="F666" s="47"/>
      <c r="G666" s="47"/>
    </row>
    <row r="667" spans="2:7" ht="13.2">
      <c r="B667" s="47"/>
      <c r="C667" s="47"/>
      <c r="D667" s="162"/>
      <c r="E667" s="162"/>
      <c r="F667" s="47"/>
      <c r="G667" s="47"/>
    </row>
    <row r="668" spans="2:7" ht="13.2">
      <c r="B668" s="47"/>
      <c r="C668" s="47"/>
      <c r="D668" s="162"/>
      <c r="E668" s="162"/>
      <c r="F668" s="47"/>
      <c r="G668" s="47"/>
    </row>
    <row r="669" spans="2:7" ht="13.2">
      <c r="B669" s="47"/>
      <c r="C669" s="47"/>
      <c r="D669" s="162"/>
      <c r="E669" s="162"/>
      <c r="F669" s="47"/>
      <c r="G669" s="47"/>
    </row>
    <row r="670" spans="2:7" ht="13.2">
      <c r="B670" s="47"/>
      <c r="C670" s="47"/>
      <c r="D670" s="162"/>
      <c r="E670" s="162"/>
      <c r="F670" s="47"/>
      <c r="G670" s="47"/>
    </row>
    <row r="671" spans="2:7" ht="13.2">
      <c r="B671" s="47"/>
      <c r="C671" s="47"/>
      <c r="D671" s="162"/>
      <c r="E671" s="162"/>
      <c r="F671" s="47"/>
      <c r="G671" s="47"/>
    </row>
    <row r="672" spans="2:7" ht="13.2">
      <c r="B672" s="47"/>
      <c r="C672" s="47"/>
      <c r="D672" s="162"/>
      <c r="E672" s="162"/>
      <c r="F672" s="47"/>
      <c r="G672" s="47"/>
    </row>
    <row r="673" spans="2:7" ht="13.2">
      <c r="B673" s="47"/>
      <c r="C673" s="47"/>
      <c r="D673" s="162"/>
      <c r="E673" s="162"/>
      <c r="F673" s="47"/>
      <c r="G673" s="47"/>
    </row>
    <row r="674" spans="2:7" ht="13.2">
      <c r="B674" s="47"/>
      <c r="C674" s="47"/>
      <c r="D674" s="162"/>
      <c r="E674" s="162"/>
      <c r="F674" s="47"/>
      <c r="G674" s="47"/>
    </row>
    <row r="675" spans="2:7" ht="13.2">
      <c r="B675" s="47"/>
      <c r="C675" s="47"/>
      <c r="D675" s="162"/>
      <c r="E675" s="162"/>
      <c r="F675" s="47"/>
      <c r="G675" s="47"/>
    </row>
    <row r="676" spans="2:7" ht="13.2">
      <c r="B676" s="47"/>
      <c r="C676" s="47"/>
      <c r="D676" s="162"/>
      <c r="E676" s="162"/>
      <c r="F676" s="47"/>
      <c r="G676" s="47"/>
    </row>
    <row r="677" spans="2:7" ht="13.2">
      <c r="B677" s="47"/>
      <c r="C677" s="47"/>
      <c r="D677" s="162"/>
      <c r="E677" s="162"/>
      <c r="F677" s="47"/>
      <c r="G677" s="47"/>
    </row>
    <row r="678" spans="2:7" ht="13.2">
      <c r="B678" s="47"/>
      <c r="C678" s="47"/>
      <c r="D678" s="162"/>
      <c r="E678" s="162"/>
      <c r="F678" s="47"/>
      <c r="G678" s="47"/>
    </row>
    <row r="679" spans="2:7" ht="13.2">
      <c r="B679" s="47"/>
      <c r="C679" s="47"/>
      <c r="D679" s="162"/>
      <c r="E679" s="162"/>
      <c r="F679" s="47"/>
      <c r="G679" s="47"/>
    </row>
    <row r="680" spans="2:7" ht="13.2">
      <c r="B680" s="47"/>
      <c r="C680" s="47"/>
      <c r="D680" s="162"/>
      <c r="E680" s="162"/>
      <c r="F680" s="47"/>
      <c r="G680" s="47"/>
    </row>
    <row r="681" spans="2:7" ht="13.2">
      <c r="B681" s="47"/>
      <c r="C681" s="47"/>
      <c r="D681" s="162"/>
      <c r="E681" s="162"/>
      <c r="F681" s="47"/>
      <c r="G681" s="47"/>
    </row>
    <row r="682" spans="2:7" ht="13.2">
      <c r="B682" s="47"/>
      <c r="C682" s="47"/>
      <c r="D682" s="162"/>
      <c r="E682" s="162"/>
      <c r="F682" s="47"/>
      <c r="G682" s="47"/>
    </row>
    <row r="683" spans="2:7" ht="13.2">
      <c r="B683" s="47"/>
      <c r="C683" s="47"/>
      <c r="D683" s="162"/>
      <c r="E683" s="162"/>
      <c r="F683" s="47"/>
      <c r="G683" s="47"/>
    </row>
    <row r="684" spans="2:7" ht="13.2">
      <c r="B684" s="47"/>
      <c r="C684" s="47"/>
      <c r="D684" s="162"/>
      <c r="E684" s="162"/>
      <c r="F684" s="47"/>
      <c r="G684" s="47"/>
    </row>
    <row r="685" spans="2:7" ht="13.2">
      <c r="B685" s="47"/>
      <c r="C685" s="47"/>
      <c r="D685" s="162"/>
      <c r="E685" s="162"/>
      <c r="F685" s="47"/>
      <c r="G685" s="47"/>
    </row>
    <row r="686" spans="2:7" ht="13.2">
      <c r="B686" s="47"/>
      <c r="C686" s="47"/>
      <c r="D686" s="162"/>
      <c r="E686" s="162"/>
      <c r="F686" s="47"/>
      <c r="G686" s="47"/>
    </row>
    <row r="687" spans="2:7" ht="13.2">
      <c r="B687" s="47"/>
      <c r="C687" s="47"/>
      <c r="D687" s="162"/>
      <c r="E687" s="162"/>
      <c r="F687" s="47"/>
      <c r="G687" s="47"/>
    </row>
    <row r="688" spans="2:7" ht="13.2">
      <c r="B688" s="47"/>
      <c r="C688" s="47"/>
      <c r="D688" s="162"/>
      <c r="E688" s="162"/>
      <c r="F688" s="47"/>
      <c r="G688" s="47"/>
    </row>
    <row r="689" spans="2:7" ht="13.2">
      <c r="B689" s="47"/>
      <c r="C689" s="47"/>
      <c r="D689" s="162"/>
      <c r="E689" s="162"/>
      <c r="F689" s="47"/>
      <c r="G689" s="47"/>
    </row>
    <row r="690" spans="2:7" ht="13.2">
      <c r="B690" s="47"/>
      <c r="C690" s="47"/>
      <c r="D690" s="162"/>
      <c r="E690" s="162"/>
      <c r="F690" s="47"/>
      <c r="G690" s="47"/>
    </row>
    <row r="691" spans="2:7" ht="13.2">
      <c r="B691" s="47"/>
      <c r="C691" s="47"/>
      <c r="D691" s="162"/>
      <c r="E691" s="162"/>
      <c r="F691" s="47"/>
      <c r="G691" s="47"/>
    </row>
    <row r="692" spans="2:7" ht="13.2">
      <c r="B692" s="47"/>
      <c r="C692" s="47"/>
      <c r="D692" s="162"/>
      <c r="E692" s="162"/>
      <c r="F692" s="47"/>
      <c r="G692" s="47"/>
    </row>
    <row r="693" spans="2:7" ht="13.2">
      <c r="B693" s="47"/>
      <c r="C693" s="47"/>
      <c r="D693" s="162"/>
      <c r="E693" s="162"/>
      <c r="F693" s="47"/>
      <c r="G693" s="47"/>
    </row>
    <row r="694" spans="2:7" ht="13.2">
      <c r="B694" s="47"/>
      <c r="C694" s="47"/>
      <c r="D694" s="162"/>
      <c r="E694" s="162"/>
      <c r="F694" s="47"/>
      <c r="G694" s="47"/>
    </row>
    <row r="695" spans="2:7" ht="13.2">
      <c r="B695" s="47"/>
      <c r="C695" s="47"/>
      <c r="D695" s="162"/>
      <c r="E695" s="162"/>
      <c r="F695" s="47"/>
      <c r="G695" s="47"/>
    </row>
    <row r="696" spans="2:7" ht="13.2">
      <c r="B696" s="47"/>
      <c r="C696" s="47"/>
      <c r="D696" s="162"/>
      <c r="E696" s="162"/>
      <c r="F696" s="47"/>
      <c r="G696" s="47"/>
    </row>
    <row r="697" spans="2:7" ht="13.2">
      <c r="B697" s="47"/>
      <c r="C697" s="47"/>
      <c r="D697" s="162"/>
      <c r="E697" s="162"/>
      <c r="F697" s="47"/>
      <c r="G697" s="47"/>
    </row>
    <row r="698" spans="2:7" ht="13.2">
      <c r="B698" s="47"/>
      <c r="C698" s="47"/>
      <c r="D698" s="162"/>
      <c r="E698" s="162"/>
      <c r="F698" s="47"/>
      <c r="G698" s="47"/>
    </row>
    <row r="699" spans="2:7" ht="13.2">
      <c r="B699" s="47"/>
      <c r="C699" s="47"/>
      <c r="D699" s="162"/>
      <c r="E699" s="162"/>
      <c r="F699" s="47"/>
      <c r="G699" s="47"/>
    </row>
    <row r="700" spans="2:7" ht="13.2">
      <c r="B700" s="47"/>
      <c r="C700" s="47"/>
      <c r="D700" s="162"/>
      <c r="E700" s="162"/>
      <c r="F700" s="47"/>
      <c r="G700" s="47"/>
    </row>
    <row r="701" spans="2:7" ht="13.2">
      <c r="B701" s="47"/>
      <c r="C701" s="47"/>
      <c r="D701" s="162"/>
      <c r="E701" s="162"/>
      <c r="F701" s="47"/>
      <c r="G701" s="47"/>
    </row>
    <row r="702" spans="2:7" ht="13.2">
      <c r="B702" s="47"/>
      <c r="C702" s="47"/>
      <c r="D702" s="162"/>
      <c r="E702" s="162"/>
      <c r="F702" s="47"/>
      <c r="G702" s="47"/>
    </row>
    <row r="703" spans="2:7" ht="13.2">
      <c r="B703" s="47"/>
      <c r="C703" s="47"/>
      <c r="D703" s="162"/>
      <c r="E703" s="162"/>
      <c r="F703" s="47"/>
      <c r="G703" s="47"/>
    </row>
    <row r="704" spans="2:7" ht="13.2">
      <c r="B704" s="47"/>
      <c r="C704" s="47"/>
      <c r="D704" s="162"/>
      <c r="E704" s="162"/>
      <c r="F704" s="47"/>
      <c r="G704" s="47"/>
    </row>
    <row r="705" spans="2:7" ht="13.2">
      <c r="B705" s="47"/>
      <c r="C705" s="47"/>
      <c r="D705" s="162"/>
      <c r="E705" s="162"/>
      <c r="F705" s="47"/>
      <c r="G705" s="47"/>
    </row>
    <row r="706" spans="2:7" ht="13.2">
      <c r="B706" s="47"/>
      <c r="C706" s="47"/>
      <c r="D706" s="162"/>
      <c r="E706" s="162"/>
      <c r="F706" s="47"/>
      <c r="G706" s="47"/>
    </row>
    <row r="707" spans="2:7" ht="13.2">
      <c r="B707" s="47"/>
      <c r="C707" s="47"/>
      <c r="D707" s="162"/>
      <c r="E707" s="162"/>
      <c r="F707" s="47"/>
      <c r="G707" s="47"/>
    </row>
    <row r="708" spans="2:7" ht="13.2">
      <c r="B708" s="47"/>
      <c r="C708" s="47"/>
      <c r="D708" s="162"/>
      <c r="E708" s="162"/>
      <c r="F708" s="47"/>
      <c r="G708" s="47"/>
    </row>
    <row r="709" spans="2:7" ht="13.2">
      <c r="B709" s="47"/>
      <c r="C709" s="47"/>
      <c r="D709" s="162"/>
      <c r="E709" s="162"/>
      <c r="F709" s="47"/>
      <c r="G709" s="47"/>
    </row>
    <row r="710" spans="2:7" ht="13.2">
      <c r="B710" s="47"/>
      <c r="C710" s="47"/>
      <c r="D710" s="162"/>
      <c r="E710" s="162"/>
      <c r="F710" s="47"/>
      <c r="G710" s="47"/>
    </row>
    <row r="711" spans="2:7" ht="13.2">
      <c r="B711" s="47"/>
      <c r="C711" s="47"/>
      <c r="D711" s="162"/>
      <c r="E711" s="162"/>
      <c r="F711" s="47"/>
      <c r="G711" s="47"/>
    </row>
    <row r="712" spans="2:7" ht="13.2">
      <c r="B712" s="47"/>
      <c r="C712" s="47"/>
      <c r="D712" s="162"/>
      <c r="E712" s="162"/>
      <c r="F712" s="47"/>
      <c r="G712" s="47"/>
    </row>
    <row r="713" spans="2:7" ht="13.2">
      <c r="B713" s="47"/>
      <c r="C713" s="47"/>
      <c r="D713" s="162"/>
      <c r="E713" s="162"/>
      <c r="F713" s="47"/>
      <c r="G713" s="47"/>
    </row>
    <row r="714" spans="2:7" ht="13.2">
      <c r="B714" s="47"/>
      <c r="C714" s="47"/>
      <c r="D714" s="162"/>
      <c r="E714" s="162"/>
      <c r="F714" s="47"/>
      <c r="G714" s="47"/>
    </row>
    <row r="715" spans="2:7" ht="13.2">
      <c r="B715" s="47"/>
      <c r="C715" s="47"/>
      <c r="D715" s="162"/>
      <c r="E715" s="162"/>
      <c r="F715" s="47"/>
      <c r="G715" s="47"/>
    </row>
    <row r="716" spans="2:7" ht="13.2">
      <c r="B716" s="47"/>
      <c r="C716" s="47"/>
      <c r="D716" s="162"/>
      <c r="E716" s="162"/>
      <c r="F716" s="47"/>
      <c r="G716" s="47"/>
    </row>
    <row r="717" spans="2:7" ht="13.2">
      <c r="B717" s="47"/>
      <c r="C717" s="47"/>
      <c r="D717" s="162"/>
      <c r="E717" s="162"/>
      <c r="F717" s="47"/>
      <c r="G717" s="47"/>
    </row>
    <row r="718" spans="2:7" ht="13.2">
      <c r="B718" s="47"/>
      <c r="C718" s="47"/>
      <c r="D718" s="162"/>
      <c r="E718" s="162"/>
      <c r="F718" s="47"/>
      <c r="G718" s="47"/>
    </row>
    <row r="719" spans="2:7" ht="13.2">
      <c r="B719" s="47"/>
      <c r="C719" s="47"/>
      <c r="D719" s="162"/>
      <c r="E719" s="162"/>
      <c r="F719" s="47"/>
      <c r="G719" s="47"/>
    </row>
    <row r="720" spans="2:7" ht="13.2">
      <c r="B720" s="47"/>
      <c r="C720" s="47"/>
      <c r="D720" s="162"/>
      <c r="E720" s="162"/>
      <c r="F720" s="47"/>
      <c r="G720" s="47"/>
    </row>
    <row r="721" spans="2:7" ht="13.2">
      <c r="B721" s="47"/>
      <c r="C721" s="47"/>
      <c r="D721" s="162"/>
      <c r="E721" s="162"/>
      <c r="F721" s="47"/>
      <c r="G721" s="47"/>
    </row>
    <row r="722" spans="2:7" ht="13.2">
      <c r="B722" s="47"/>
      <c r="C722" s="47"/>
      <c r="D722" s="162"/>
      <c r="E722" s="162"/>
      <c r="F722" s="47"/>
      <c r="G722" s="47"/>
    </row>
    <row r="723" spans="2:7" ht="13.2">
      <c r="B723" s="47"/>
      <c r="C723" s="47"/>
      <c r="D723" s="162"/>
      <c r="E723" s="162"/>
      <c r="F723" s="47"/>
      <c r="G723" s="47"/>
    </row>
    <row r="724" spans="2:7" ht="13.2">
      <c r="B724" s="47"/>
      <c r="C724" s="47"/>
      <c r="D724" s="162"/>
      <c r="E724" s="162"/>
      <c r="F724" s="47"/>
      <c r="G724" s="47"/>
    </row>
    <row r="725" spans="2:7" ht="13.2">
      <c r="B725" s="47"/>
      <c r="C725" s="47"/>
      <c r="D725" s="162"/>
      <c r="E725" s="162"/>
      <c r="F725" s="47"/>
      <c r="G725" s="47"/>
    </row>
    <row r="726" spans="2:7" ht="13.2">
      <c r="B726" s="47"/>
      <c r="C726" s="47"/>
      <c r="D726" s="162"/>
      <c r="E726" s="162"/>
      <c r="F726" s="47"/>
      <c r="G726" s="47"/>
    </row>
    <row r="727" spans="2:7" ht="13.2">
      <c r="B727" s="47"/>
      <c r="C727" s="47"/>
      <c r="D727" s="162"/>
      <c r="E727" s="162"/>
      <c r="F727" s="47"/>
      <c r="G727" s="47"/>
    </row>
    <row r="728" spans="2:7" ht="13.2">
      <c r="B728" s="47"/>
      <c r="C728" s="47"/>
      <c r="D728" s="162"/>
      <c r="E728" s="162"/>
      <c r="F728" s="47"/>
      <c r="G728" s="47"/>
    </row>
    <row r="729" spans="2:7" ht="13.2">
      <c r="B729" s="47"/>
      <c r="C729" s="47"/>
      <c r="D729" s="162"/>
      <c r="E729" s="162"/>
      <c r="F729" s="47"/>
      <c r="G729" s="47"/>
    </row>
    <row r="730" spans="2:7" ht="13.2">
      <c r="B730" s="47"/>
      <c r="C730" s="47"/>
      <c r="D730" s="162"/>
      <c r="E730" s="162"/>
      <c r="F730" s="47"/>
      <c r="G730" s="47"/>
    </row>
    <row r="731" spans="2:7" ht="13.2">
      <c r="B731" s="47"/>
      <c r="C731" s="47"/>
      <c r="D731" s="162"/>
      <c r="E731" s="162"/>
      <c r="F731" s="47"/>
      <c r="G731" s="47"/>
    </row>
    <row r="732" spans="2:7" ht="13.2">
      <c r="B732" s="47"/>
      <c r="C732" s="47"/>
      <c r="D732" s="162"/>
      <c r="E732" s="162"/>
      <c r="F732" s="47"/>
      <c r="G732" s="47"/>
    </row>
    <row r="733" spans="2:7" ht="13.2">
      <c r="B733" s="47"/>
      <c r="C733" s="47"/>
      <c r="D733" s="162"/>
      <c r="E733" s="162"/>
      <c r="F733" s="47"/>
      <c r="G733" s="47"/>
    </row>
    <row r="734" spans="2:7" ht="13.2">
      <c r="B734" s="47"/>
      <c r="C734" s="47"/>
      <c r="D734" s="162"/>
      <c r="E734" s="162"/>
      <c r="F734" s="47"/>
      <c r="G734" s="47"/>
    </row>
    <row r="735" spans="2:7" ht="13.2">
      <c r="B735" s="47"/>
      <c r="C735" s="47"/>
      <c r="D735" s="162"/>
      <c r="E735" s="162"/>
      <c r="F735" s="47"/>
      <c r="G735" s="47"/>
    </row>
    <row r="736" spans="2:7" ht="13.2">
      <c r="B736" s="47"/>
      <c r="C736" s="47"/>
      <c r="D736" s="162"/>
      <c r="E736" s="162"/>
      <c r="F736" s="47"/>
      <c r="G736" s="47"/>
    </row>
    <row r="737" spans="2:7" ht="13.2">
      <c r="B737" s="47"/>
      <c r="C737" s="47"/>
      <c r="D737" s="162"/>
      <c r="E737" s="162"/>
      <c r="F737" s="47"/>
      <c r="G737" s="47"/>
    </row>
    <row r="738" spans="2:7" ht="13.2">
      <c r="B738" s="47"/>
      <c r="C738" s="47"/>
      <c r="D738" s="162"/>
      <c r="E738" s="162"/>
      <c r="F738" s="47"/>
      <c r="G738" s="47"/>
    </row>
    <row r="739" spans="2:7" ht="13.2">
      <c r="B739" s="47"/>
      <c r="C739" s="47"/>
      <c r="D739" s="162"/>
      <c r="E739" s="162"/>
      <c r="F739" s="47"/>
      <c r="G739" s="47"/>
    </row>
    <row r="740" spans="2:7" ht="13.2">
      <c r="B740" s="47"/>
      <c r="C740" s="47"/>
      <c r="D740" s="162"/>
      <c r="E740" s="162"/>
      <c r="F740" s="47"/>
      <c r="G740" s="47"/>
    </row>
    <row r="741" spans="2:7" ht="13.2">
      <c r="B741" s="47"/>
      <c r="C741" s="47"/>
      <c r="D741" s="162"/>
      <c r="E741" s="162"/>
      <c r="F741" s="47"/>
      <c r="G741" s="47"/>
    </row>
    <row r="742" spans="2:7" ht="13.2">
      <c r="B742" s="47"/>
      <c r="C742" s="47"/>
      <c r="D742" s="162"/>
      <c r="E742" s="162"/>
      <c r="F742" s="47"/>
      <c r="G742" s="47"/>
    </row>
    <row r="743" spans="2:7" ht="13.2">
      <c r="B743" s="47"/>
      <c r="C743" s="47"/>
      <c r="D743" s="162"/>
      <c r="E743" s="162"/>
      <c r="F743" s="47"/>
      <c r="G743" s="47"/>
    </row>
    <row r="744" spans="2:7" ht="13.2">
      <c r="B744" s="47"/>
      <c r="C744" s="47"/>
      <c r="D744" s="162"/>
      <c r="E744" s="162"/>
      <c r="F744" s="47"/>
      <c r="G744" s="47"/>
    </row>
    <row r="745" spans="2:7" ht="13.2">
      <c r="B745" s="47"/>
      <c r="C745" s="47"/>
      <c r="D745" s="162"/>
      <c r="E745" s="162"/>
      <c r="F745" s="47"/>
      <c r="G745" s="47"/>
    </row>
    <row r="746" spans="2:7" ht="13.2">
      <c r="B746" s="47"/>
      <c r="C746" s="47"/>
      <c r="D746" s="162"/>
      <c r="E746" s="162"/>
      <c r="F746" s="47"/>
      <c r="G746" s="47"/>
    </row>
    <row r="747" spans="2:7" ht="13.2">
      <c r="B747" s="47"/>
      <c r="C747" s="47"/>
      <c r="D747" s="162"/>
      <c r="E747" s="162"/>
      <c r="F747" s="47"/>
      <c r="G747" s="47"/>
    </row>
    <row r="748" spans="2:7" ht="13.2">
      <c r="B748" s="47"/>
      <c r="C748" s="47"/>
      <c r="D748" s="162"/>
      <c r="E748" s="162"/>
      <c r="F748" s="47"/>
      <c r="G748" s="47"/>
    </row>
    <row r="749" spans="2:7" ht="13.2">
      <c r="B749" s="47"/>
      <c r="C749" s="47"/>
      <c r="D749" s="162"/>
      <c r="E749" s="162"/>
      <c r="F749" s="47"/>
      <c r="G749" s="47"/>
    </row>
    <row r="750" spans="2:7" ht="13.2">
      <c r="B750" s="47"/>
      <c r="C750" s="47"/>
      <c r="D750" s="162"/>
      <c r="E750" s="162"/>
      <c r="F750" s="47"/>
      <c r="G750" s="47"/>
    </row>
    <row r="751" spans="2:7" ht="13.2">
      <c r="B751" s="47"/>
      <c r="C751" s="47"/>
      <c r="D751" s="162"/>
      <c r="E751" s="162"/>
      <c r="F751" s="47"/>
      <c r="G751" s="47"/>
    </row>
    <row r="752" spans="2:7" ht="13.2">
      <c r="B752" s="47"/>
      <c r="C752" s="47"/>
      <c r="D752" s="162"/>
      <c r="E752" s="162"/>
      <c r="F752" s="47"/>
      <c r="G752" s="47"/>
    </row>
    <row r="753" spans="2:7" ht="13.2">
      <c r="B753" s="47"/>
      <c r="C753" s="47"/>
      <c r="D753" s="162"/>
      <c r="E753" s="162"/>
      <c r="F753" s="47"/>
      <c r="G753" s="47"/>
    </row>
    <row r="754" spans="2:7" ht="13.2">
      <c r="B754" s="47"/>
      <c r="C754" s="47"/>
      <c r="D754" s="162"/>
      <c r="E754" s="162"/>
      <c r="F754" s="47"/>
      <c r="G754" s="47"/>
    </row>
    <row r="755" spans="2:7" ht="13.2">
      <c r="B755" s="47"/>
      <c r="C755" s="47"/>
      <c r="D755" s="162"/>
      <c r="E755" s="162"/>
      <c r="F755" s="47"/>
      <c r="G755" s="47"/>
    </row>
    <row r="756" spans="2:7" ht="13.2">
      <c r="B756" s="47"/>
      <c r="C756" s="47"/>
      <c r="D756" s="162"/>
      <c r="E756" s="162"/>
      <c r="F756" s="47"/>
      <c r="G756" s="47"/>
    </row>
    <row r="757" spans="2:7" ht="13.2">
      <c r="B757" s="47"/>
      <c r="C757" s="47"/>
      <c r="D757" s="162"/>
      <c r="E757" s="162"/>
      <c r="F757" s="47"/>
      <c r="G757" s="47"/>
    </row>
    <row r="758" spans="2:7" ht="13.2">
      <c r="B758" s="47"/>
      <c r="C758" s="47"/>
      <c r="D758" s="162"/>
      <c r="E758" s="162"/>
      <c r="F758" s="47"/>
      <c r="G758" s="47"/>
    </row>
    <row r="759" spans="2:7" ht="13.2">
      <c r="B759" s="47"/>
      <c r="C759" s="47"/>
      <c r="D759" s="162"/>
      <c r="E759" s="162"/>
      <c r="F759" s="47"/>
      <c r="G759" s="47"/>
    </row>
    <row r="760" spans="2:7" ht="13.2">
      <c r="B760" s="47"/>
      <c r="C760" s="47"/>
      <c r="D760" s="162"/>
      <c r="E760" s="162"/>
      <c r="F760" s="47"/>
      <c r="G760" s="47"/>
    </row>
    <row r="761" spans="2:7" ht="13.2">
      <c r="B761" s="47"/>
      <c r="C761" s="47"/>
      <c r="D761" s="162"/>
      <c r="E761" s="162"/>
      <c r="F761" s="47"/>
      <c r="G761" s="47"/>
    </row>
    <row r="762" spans="2:7" ht="13.2">
      <c r="B762" s="47"/>
      <c r="C762" s="47"/>
      <c r="D762" s="162"/>
      <c r="E762" s="162"/>
      <c r="F762" s="47"/>
      <c r="G762" s="47"/>
    </row>
    <row r="763" spans="2:7" ht="13.2">
      <c r="B763" s="47"/>
      <c r="C763" s="47"/>
      <c r="D763" s="162"/>
      <c r="E763" s="162"/>
      <c r="F763" s="47"/>
      <c r="G763" s="47"/>
    </row>
    <row r="764" spans="2:7" ht="13.2">
      <c r="B764" s="47"/>
      <c r="C764" s="47"/>
      <c r="D764" s="162"/>
      <c r="E764" s="162"/>
      <c r="F764" s="47"/>
      <c r="G764" s="47"/>
    </row>
    <row r="765" spans="2:7" ht="13.2">
      <c r="B765" s="47"/>
      <c r="C765" s="47"/>
      <c r="D765" s="162"/>
      <c r="E765" s="162"/>
      <c r="F765" s="47"/>
      <c r="G765" s="47"/>
    </row>
    <row r="766" spans="2:7" ht="13.2">
      <c r="B766" s="47"/>
      <c r="C766" s="47"/>
      <c r="D766" s="162"/>
      <c r="E766" s="162"/>
      <c r="F766" s="47"/>
      <c r="G766" s="47"/>
    </row>
    <row r="767" spans="2:7" ht="13.2">
      <c r="B767" s="47"/>
      <c r="C767" s="47"/>
      <c r="D767" s="162"/>
      <c r="E767" s="162"/>
      <c r="F767" s="47"/>
      <c r="G767" s="47"/>
    </row>
    <row r="768" spans="2:7" ht="13.2">
      <c r="B768" s="47"/>
      <c r="C768" s="47"/>
      <c r="D768" s="162"/>
      <c r="E768" s="162"/>
      <c r="F768" s="47"/>
      <c r="G768" s="47"/>
    </row>
    <row r="769" spans="2:7" ht="13.2">
      <c r="B769" s="47"/>
      <c r="C769" s="47"/>
      <c r="D769" s="162"/>
      <c r="E769" s="162"/>
      <c r="F769" s="47"/>
      <c r="G769" s="47"/>
    </row>
    <row r="770" spans="2:7" ht="13.2">
      <c r="B770" s="47"/>
      <c r="C770" s="47"/>
      <c r="D770" s="162"/>
      <c r="E770" s="162"/>
      <c r="F770" s="47"/>
      <c r="G770" s="47"/>
    </row>
    <row r="771" spans="2:7" ht="13.2">
      <c r="B771" s="47"/>
      <c r="C771" s="47"/>
      <c r="D771" s="162"/>
      <c r="E771" s="162"/>
      <c r="F771" s="47"/>
      <c r="G771" s="47"/>
    </row>
    <row r="772" spans="2:7" ht="13.2">
      <c r="B772" s="47"/>
      <c r="C772" s="47"/>
      <c r="D772" s="162"/>
      <c r="E772" s="162"/>
      <c r="F772" s="47"/>
      <c r="G772" s="47"/>
    </row>
    <row r="773" spans="2:7" ht="13.2">
      <c r="B773" s="47"/>
      <c r="C773" s="47"/>
      <c r="D773" s="162"/>
      <c r="E773" s="162"/>
      <c r="F773" s="47"/>
      <c r="G773" s="47"/>
    </row>
    <row r="774" spans="2:7" ht="13.2">
      <c r="B774" s="47"/>
      <c r="C774" s="47"/>
      <c r="D774" s="162"/>
      <c r="E774" s="162"/>
      <c r="F774" s="47"/>
      <c r="G774" s="47"/>
    </row>
    <row r="775" spans="2:7" ht="13.2">
      <c r="B775" s="47"/>
      <c r="C775" s="47"/>
      <c r="D775" s="162"/>
      <c r="E775" s="162"/>
      <c r="F775" s="47"/>
      <c r="G775" s="47"/>
    </row>
    <row r="776" spans="2:7" ht="13.2">
      <c r="B776" s="47"/>
      <c r="C776" s="47"/>
      <c r="D776" s="162"/>
      <c r="E776" s="162"/>
      <c r="F776" s="47"/>
      <c r="G776" s="47"/>
    </row>
    <row r="777" spans="2:7" ht="13.2">
      <c r="B777" s="47"/>
      <c r="C777" s="47"/>
      <c r="D777" s="162"/>
      <c r="E777" s="162"/>
      <c r="F777" s="47"/>
      <c r="G777" s="47"/>
    </row>
    <row r="778" spans="2:7" ht="13.2">
      <c r="B778" s="47"/>
      <c r="C778" s="47"/>
      <c r="D778" s="162"/>
      <c r="E778" s="162"/>
      <c r="F778" s="47"/>
      <c r="G778" s="47"/>
    </row>
    <row r="779" spans="2:7" ht="13.2">
      <c r="B779" s="47"/>
      <c r="C779" s="47"/>
      <c r="D779" s="162"/>
      <c r="E779" s="162"/>
      <c r="F779" s="47"/>
      <c r="G779" s="47"/>
    </row>
    <row r="780" spans="2:7" ht="13.2">
      <c r="B780" s="47"/>
      <c r="C780" s="47"/>
      <c r="D780" s="162"/>
      <c r="E780" s="162"/>
      <c r="F780" s="47"/>
      <c r="G780" s="47"/>
    </row>
    <row r="781" spans="2:7" ht="13.2">
      <c r="B781" s="47"/>
      <c r="C781" s="47"/>
      <c r="D781" s="162"/>
      <c r="E781" s="162"/>
      <c r="F781" s="47"/>
      <c r="G781" s="47"/>
    </row>
    <row r="782" spans="2:7" ht="13.2">
      <c r="B782" s="47"/>
      <c r="C782" s="47"/>
      <c r="D782" s="162"/>
      <c r="E782" s="162"/>
      <c r="F782" s="47"/>
      <c r="G782" s="47"/>
    </row>
    <row r="783" spans="2:7" ht="13.2">
      <c r="B783" s="47"/>
      <c r="C783" s="47"/>
      <c r="D783" s="162"/>
      <c r="E783" s="162"/>
      <c r="F783" s="47"/>
      <c r="G783" s="47"/>
    </row>
    <row r="784" spans="2:7" ht="13.2">
      <c r="B784" s="47"/>
      <c r="C784" s="47"/>
      <c r="D784" s="162"/>
      <c r="E784" s="162"/>
      <c r="F784" s="47"/>
      <c r="G784" s="47"/>
    </row>
    <row r="785" spans="2:7" ht="13.2">
      <c r="B785" s="47"/>
      <c r="C785" s="47"/>
      <c r="D785" s="162"/>
      <c r="E785" s="162"/>
      <c r="F785" s="47"/>
      <c r="G785" s="47"/>
    </row>
    <row r="786" spans="2:7" ht="13.2">
      <c r="B786" s="47"/>
      <c r="C786" s="47"/>
      <c r="D786" s="162"/>
      <c r="E786" s="162"/>
      <c r="F786" s="47"/>
      <c r="G786" s="47"/>
    </row>
    <row r="787" spans="2:7" ht="13.2">
      <c r="B787" s="47"/>
      <c r="C787" s="47"/>
      <c r="D787" s="162"/>
      <c r="E787" s="162"/>
      <c r="F787" s="47"/>
      <c r="G787" s="47"/>
    </row>
    <row r="788" spans="2:7" ht="13.2">
      <c r="B788" s="47"/>
      <c r="C788" s="47"/>
      <c r="D788" s="162"/>
      <c r="E788" s="162"/>
      <c r="F788" s="47"/>
      <c r="G788" s="47"/>
    </row>
    <row r="789" spans="2:7" ht="13.2">
      <c r="B789" s="47"/>
      <c r="C789" s="47"/>
      <c r="D789" s="162"/>
      <c r="E789" s="162"/>
      <c r="F789" s="47"/>
      <c r="G789" s="47"/>
    </row>
    <row r="790" spans="2:7" ht="13.2">
      <c r="B790" s="47"/>
      <c r="C790" s="47"/>
      <c r="D790" s="162"/>
      <c r="E790" s="162"/>
      <c r="F790" s="47"/>
      <c r="G790" s="47"/>
    </row>
    <row r="791" spans="2:7" ht="13.2">
      <c r="B791" s="47"/>
      <c r="C791" s="47"/>
      <c r="D791" s="162"/>
      <c r="E791" s="162"/>
      <c r="F791" s="47"/>
      <c r="G791" s="47"/>
    </row>
    <row r="792" spans="2:7" ht="13.2">
      <c r="B792" s="47"/>
      <c r="C792" s="47"/>
      <c r="D792" s="162"/>
      <c r="E792" s="162"/>
      <c r="F792" s="47"/>
      <c r="G792" s="47"/>
    </row>
    <row r="793" spans="2:7" ht="13.2">
      <c r="B793" s="47"/>
      <c r="C793" s="47"/>
      <c r="D793" s="162"/>
      <c r="E793" s="162"/>
      <c r="F793" s="47"/>
      <c r="G793" s="47"/>
    </row>
    <row r="794" spans="2:7" ht="13.2">
      <c r="B794" s="47"/>
      <c r="C794" s="47"/>
      <c r="D794" s="162"/>
      <c r="E794" s="162"/>
      <c r="F794" s="47"/>
      <c r="G794" s="47"/>
    </row>
    <row r="795" spans="2:7" ht="13.2">
      <c r="B795" s="47"/>
      <c r="C795" s="47"/>
      <c r="D795" s="162"/>
      <c r="E795" s="162"/>
      <c r="F795" s="47"/>
      <c r="G795" s="47"/>
    </row>
    <row r="796" spans="2:7" ht="13.2">
      <c r="B796" s="47"/>
      <c r="C796" s="47"/>
      <c r="D796" s="162"/>
      <c r="E796" s="162"/>
      <c r="F796" s="47"/>
      <c r="G796" s="47"/>
    </row>
    <row r="797" spans="2:7" ht="13.2">
      <c r="B797" s="47"/>
      <c r="C797" s="47"/>
      <c r="D797" s="162"/>
      <c r="E797" s="162"/>
      <c r="F797" s="47"/>
      <c r="G797" s="47"/>
    </row>
    <row r="798" spans="2:7" ht="13.2">
      <c r="B798" s="47"/>
      <c r="C798" s="47"/>
      <c r="D798" s="162"/>
      <c r="E798" s="162"/>
      <c r="F798" s="47"/>
      <c r="G798" s="47"/>
    </row>
    <row r="799" spans="2:7" ht="13.2">
      <c r="B799" s="47"/>
      <c r="C799" s="47"/>
      <c r="D799" s="162"/>
      <c r="E799" s="162"/>
      <c r="F799" s="47"/>
      <c r="G799" s="47"/>
    </row>
    <row r="800" spans="2:7" ht="13.2">
      <c r="B800" s="47"/>
      <c r="C800" s="47"/>
      <c r="D800" s="162"/>
      <c r="E800" s="162"/>
      <c r="F800" s="47"/>
      <c r="G800" s="47"/>
    </row>
    <row r="801" spans="2:7" ht="13.2">
      <c r="B801" s="47"/>
      <c r="C801" s="47"/>
      <c r="D801" s="162"/>
      <c r="E801" s="162"/>
      <c r="F801" s="47"/>
      <c r="G801" s="47"/>
    </row>
    <row r="802" spans="2:7" ht="13.2">
      <c r="B802" s="47"/>
      <c r="C802" s="47"/>
      <c r="D802" s="162"/>
      <c r="E802" s="162"/>
      <c r="F802" s="47"/>
      <c r="G802" s="47"/>
    </row>
    <row r="803" spans="2:7" ht="13.2">
      <c r="B803" s="47"/>
      <c r="C803" s="47"/>
      <c r="D803" s="162"/>
      <c r="E803" s="162"/>
      <c r="F803" s="47"/>
      <c r="G803" s="47"/>
    </row>
    <row r="804" spans="2:7" ht="13.2">
      <c r="B804" s="47"/>
      <c r="C804" s="47"/>
      <c r="D804" s="162"/>
      <c r="E804" s="162"/>
      <c r="F804" s="47"/>
      <c r="G804" s="47"/>
    </row>
    <row r="805" spans="2:7" ht="13.2">
      <c r="B805" s="47"/>
      <c r="C805" s="47"/>
      <c r="D805" s="162"/>
      <c r="E805" s="162"/>
      <c r="F805" s="47"/>
      <c r="G805" s="47"/>
    </row>
    <row r="806" spans="2:7" ht="13.2">
      <c r="B806" s="47"/>
      <c r="C806" s="47"/>
      <c r="D806" s="162"/>
      <c r="E806" s="162"/>
      <c r="F806" s="47"/>
      <c r="G806" s="47"/>
    </row>
    <row r="807" spans="2:7" ht="13.2">
      <c r="B807" s="47"/>
      <c r="C807" s="47"/>
      <c r="D807" s="162"/>
      <c r="E807" s="162"/>
      <c r="F807" s="47"/>
      <c r="G807" s="47"/>
    </row>
    <row r="808" spans="2:7" ht="13.2">
      <c r="B808" s="47"/>
      <c r="C808" s="47"/>
      <c r="D808" s="162"/>
      <c r="E808" s="162"/>
      <c r="F808" s="47"/>
      <c r="G808" s="47"/>
    </row>
    <row r="809" spans="2:7" ht="13.2">
      <c r="B809" s="47"/>
      <c r="C809" s="47"/>
      <c r="D809" s="162"/>
      <c r="E809" s="162"/>
      <c r="F809" s="47"/>
      <c r="G809" s="47"/>
    </row>
    <row r="810" spans="2:7" ht="13.2">
      <c r="B810" s="47"/>
      <c r="C810" s="47"/>
      <c r="D810" s="162"/>
      <c r="E810" s="162"/>
      <c r="F810" s="47"/>
      <c r="G810" s="47"/>
    </row>
    <row r="811" spans="2:7" ht="13.2">
      <c r="B811" s="47"/>
      <c r="C811" s="47"/>
      <c r="D811" s="162"/>
      <c r="E811" s="162"/>
      <c r="F811" s="47"/>
      <c r="G811" s="47"/>
    </row>
    <row r="812" spans="2:7" ht="13.2">
      <c r="B812" s="47"/>
      <c r="C812" s="47"/>
      <c r="D812" s="162"/>
      <c r="E812" s="162"/>
      <c r="F812" s="47"/>
      <c r="G812" s="47"/>
    </row>
    <row r="813" spans="2:7" ht="13.2">
      <c r="B813" s="47"/>
      <c r="C813" s="47"/>
      <c r="D813" s="162"/>
      <c r="E813" s="162"/>
      <c r="F813" s="47"/>
      <c r="G813" s="47"/>
    </row>
    <row r="814" spans="2:7" ht="13.2">
      <c r="B814" s="47"/>
      <c r="C814" s="47"/>
      <c r="D814" s="162"/>
      <c r="E814" s="162"/>
      <c r="F814" s="47"/>
      <c r="G814" s="47"/>
    </row>
    <row r="815" spans="2:7" ht="13.2">
      <c r="B815" s="47"/>
      <c r="C815" s="47"/>
      <c r="D815" s="162"/>
      <c r="E815" s="162"/>
      <c r="F815" s="47"/>
      <c r="G815" s="47"/>
    </row>
    <row r="816" spans="2:7" ht="13.2">
      <c r="B816" s="47"/>
      <c r="C816" s="47"/>
      <c r="D816" s="162"/>
      <c r="E816" s="162"/>
      <c r="F816" s="47"/>
      <c r="G816" s="47"/>
    </row>
    <row r="817" spans="2:7" ht="13.2">
      <c r="B817" s="47"/>
      <c r="C817" s="47"/>
      <c r="D817" s="162"/>
      <c r="E817" s="162"/>
      <c r="F817" s="47"/>
      <c r="G817" s="47"/>
    </row>
    <row r="818" spans="2:7" ht="13.2">
      <c r="B818" s="47"/>
      <c r="C818" s="47"/>
      <c r="D818" s="162"/>
      <c r="E818" s="162"/>
      <c r="F818" s="47"/>
      <c r="G818" s="47"/>
    </row>
    <row r="819" spans="2:7" ht="13.2">
      <c r="B819" s="47"/>
      <c r="C819" s="47"/>
      <c r="D819" s="162"/>
      <c r="E819" s="162"/>
      <c r="F819" s="47"/>
      <c r="G819" s="47"/>
    </row>
    <row r="820" spans="2:7" ht="13.2">
      <c r="B820" s="47"/>
      <c r="C820" s="47"/>
      <c r="D820" s="162"/>
      <c r="E820" s="162"/>
      <c r="F820" s="47"/>
      <c r="G820" s="47"/>
    </row>
    <row r="821" spans="2:7" ht="13.2">
      <c r="B821" s="47"/>
      <c r="C821" s="47"/>
      <c r="D821" s="162"/>
      <c r="E821" s="162"/>
      <c r="F821" s="47"/>
      <c r="G821" s="47"/>
    </row>
    <row r="822" spans="2:7" ht="13.2">
      <c r="B822" s="47"/>
      <c r="C822" s="47"/>
      <c r="D822" s="162"/>
      <c r="E822" s="162"/>
      <c r="F822" s="47"/>
      <c r="G822" s="47"/>
    </row>
    <row r="823" spans="2:7" ht="13.2">
      <c r="B823" s="47"/>
      <c r="C823" s="47"/>
      <c r="D823" s="162"/>
      <c r="E823" s="162"/>
      <c r="F823" s="47"/>
      <c r="G823" s="47"/>
    </row>
    <row r="824" spans="2:7" ht="13.2">
      <c r="B824" s="47"/>
      <c r="C824" s="47"/>
      <c r="D824" s="162"/>
      <c r="E824" s="162"/>
      <c r="F824" s="47"/>
      <c r="G824" s="47"/>
    </row>
    <row r="825" spans="2:7" ht="13.2">
      <c r="B825" s="47"/>
      <c r="C825" s="47"/>
      <c r="D825" s="162"/>
      <c r="E825" s="162"/>
      <c r="F825" s="47"/>
      <c r="G825" s="47"/>
    </row>
    <row r="826" spans="2:7" ht="13.2">
      <c r="B826" s="47"/>
      <c r="C826" s="47"/>
      <c r="D826" s="162"/>
      <c r="E826" s="162"/>
      <c r="F826" s="47"/>
      <c r="G826" s="47"/>
    </row>
    <row r="827" spans="2:7" ht="13.2">
      <c r="B827" s="47"/>
      <c r="C827" s="47"/>
      <c r="D827" s="162"/>
      <c r="E827" s="162"/>
      <c r="F827" s="47"/>
      <c r="G827" s="47"/>
    </row>
    <row r="828" spans="2:7" ht="13.2">
      <c r="B828" s="47"/>
      <c r="C828" s="47"/>
      <c r="D828" s="162"/>
      <c r="E828" s="162"/>
      <c r="F828" s="47"/>
      <c r="G828" s="47"/>
    </row>
    <row r="829" spans="2:7" ht="13.2">
      <c r="B829" s="47"/>
      <c r="C829" s="47"/>
      <c r="D829" s="162"/>
      <c r="E829" s="162"/>
      <c r="F829" s="47"/>
      <c r="G829" s="47"/>
    </row>
    <row r="830" spans="2:7" ht="13.2">
      <c r="B830" s="47"/>
      <c r="C830" s="47"/>
      <c r="D830" s="162"/>
      <c r="E830" s="162"/>
      <c r="F830" s="47"/>
      <c r="G830" s="47"/>
    </row>
    <row r="831" spans="2:7" ht="13.2">
      <c r="B831" s="47"/>
      <c r="C831" s="47"/>
      <c r="D831" s="162"/>
      <c r="E831" s="162"/>
      <c r="F831" s="47"/>
      <c r="G831" s="47"/>
    </row>
    <row r="832" spans="2:7" ht="13.2">
      <c r="B832" s="47"/>
      <c r="C832" s="47"/>
      <c r="D832" s="162"/>
      <c r="E832" s="162"/>
      <c r="F832" s="47"/>
      <c r="G832" s="47"/>
    </row>
    <row r="833" spans="2:7" ht="13.2">
      <c r="B833" s="47"/>
      <c r="C833" s="47"/>
      <c r="D833" s="162"/>
      <c r="E833" s="162"/>
      <c r="F833" s="47"/>
      <c r="G833" s="47"/>
    </row>
    <row r="834" spans="2:7" ht="13.2">
      <c r="B834" s="47"/>
      <c r="C834" s="47"/>
      <c r="D834" s="162"/>
      <c r="E834" s="162"/>
      <c r="F834" s="47"/>
      <c r="G834" s="47"/>
    </row>
    <row r="835" spans="2:7" ht="13.2">
      <c r="B835" s="47"/>
      <c r="C835" s="47"/>
      <c r="D835" s="162"/>
      <c r="E835" s="162"/>
      <c r="F835" s="47"/>
      <c r="G835" s="47"/>
    </row>
    <row r="836" spans="2:7" ht="13.2">
      <c r="B836" s="47"/>
      <c r="C836" s="47"/>
      <c r="D836" s="162"/>
      <c r="E836" s="162"/>
      <c r="F836" s="47"/>
      <c r="G836" s="47"/>
    </row>
    <row r="837" spans="2:7" ht="13.2">
      <c r="B837" s="47"/>
      <c r="C837" s="47"/>
      <c r="D837" s="162"/>
      <c r="E837" s="162"/>
      <c r="F837" s="47"/>
      <c r="G837" s="47"/>
    </row>
    <row r="838" spans="2:7" ht="13.2">
      <c r="B838" s="47"/>
      <c r="C838" s="47"/>
      <c r="D838" s="162"/>
      <c r="E838" s="162"/>
      <c r="F838" s="47"/>
      <c r="G838" s="47"/>
    </row>
    <row r="839" spans="2:7" ht="13.2">
      <c r="B839" s="47"/>
      <c r="C839" s="47"/>
      <c r="D839" s="162"/>
      <c r="E839" s="162"/>
      <c r="F839" s="47"/>
      <c r="G839" s="47"/>
    </row>
    <row r="840" spans="2:7" ht="13.2">
      <c r="B840" s="47"/>
      <c r="C840" s="47"/>
      <c r="D840" s="162"/>
      <c r="E840" s="162"/>
      <c r="F840" s="47"/>
      <c r="G840" s="47"/>
    </row>
    <row r="841" spans="2:7" ht="13.2">
      <c r="B841" s="47"/>
      <c r="C841" s="47"/>
      <c r="D841" s="162"/>
      <c r="E841" s="162"/>
      <c r="F841" s="47"/>
      <c r="G841" s="47"/>
    </row>
    <row r="842" spans="2:7" ht="13.2">
      <c r="B842" s="47"/>
      <c r="C842" s="47"/>
      <c r="D842" s="162"/>
      <c r="E842" s="162"/>
      <c r="F842" s="47"/>
      <c r="G842" s="47"/>
    </row>
    <row r="843" spans="2:7" ht="13.2">
      <c r="B843" s="47"/>
      <c r="C843" s="47"/>
      <c r="D843" s="162"/>
      <c r="E843" s="162"/>
      <c r="F843" s="47"/>
      <c r="G843" s="47"/>
    </row>
    <row r="844" spans="2:7" ht="13.2">
      <c r="B844" s="47"/>
      <c r="C844" s="47"/>
      <c r="D844" s="162"/>
      <c r="E844" s="162"/>
      <c r="F844" s="47"/>
      <c r="G844" s="47"/>
    </row>
    <row r="845" spans="2:7" ht="13.2">
      <c r="B845" s="47"/>
      <c r="C845" s="47"/>
      <c r="D845" s="162"/>
      <c r="E845" s="162"/>
      <c r="F845" s="47"/>
      <c r="G845" s="47"/>
    </row>
    <row r="846" spans="2:7" ht="13.2">
      <c r="B846" s="47"/>
      <c r="C846" s="47"/>
      <c r="D846" s="162"/>
      <c r="E846" s="162"/>
      <c r="F846" s="47"/>
      <c r="G846" s="47"/>
    </row>
    <row r="847" spans="2:7" ht="13.2">
      <c r="B847" s="47"/>
      <c r="C847" s="47"/>
      <c r="D847" s="162"/>
      <c r="E847" s="162"/>
      <c r="F847" s="47"/>
      <c r="G847" s="47"/>
    </row>
    <row r="848" spans="2:7" ht="13.2">
      <c r="B848" s="47"/>
      <c r="C848" s="47"/>
      <c r="D848" s="162"/>
      <c r="E848" s="162"/>
      <c r="F848" s="47"/>
      <c r="G848" s="47"/>
    </row>
    <row r="849" spans="2:7" ht="13.2">
      <c r="B849" s="47"/>
      <c r="C849" s="47"/>
      <c r="D849" s="162"/>
      <c r="E849" s="162"/>
      <c r="F849" s="47"/>
      <c r="G849" s="47"/>
    </row>
    <row r="850" spans="2:7" ht="13.2">
      <c r="B850" s="47"/>
      <c r="C850" s="47"/>
      <c r="D850" s="162"/>
      <c r="E850" s="162"/>
      <c r="F850" s="47"/>
      <c r="G850" s="47"/>
    </row>
    <row r="851" spans="2:7" ht="13.2">
      <c r="B851" s="47"/>
      <c r="C851" s="47"/>
      <c r="D851" s="162"/>
      <c r="E851" s="162"/>
      <c r="F851" s="47"/>
      <c r="G851" s="47"/>
    </row>
    <row r="852" spans="2:7" ht="13.2">
      <c r="B852" s="47"/>
      <c r="C852" s="47"/>
      <c r="D852" s="162"/>
      <c r="E852" s="162"/>
      <c r="F852" s="47"/>
      <c r="G852" s="47"/>
    </row>
    <row r="853" spans="2:7" ht="13.2">
      <c r="B853" s="47"/>
      <c r="C853" s="47"/>
      <c r="D853" s="162"/>
      <c r="E853" s="162"/>
      <c r="F853" s="47"/>
      <c r="G853" s="47"/>
    </row>
    <row r="854" spans="2:7" ht="13.2">
      <c r="B854" s="47"/>
      <c r="C854" s="47"/>
      <c r="D854" s="162"/>
      <c r="E854" s="162"/>
      <c r="F854" s="47"/>
      <c r="G854" s="47"/>
    </row>
    <row r="855" spans="2:7" ht="13.2">
      <c r="B855" s="47"/>
      <c r="C855" s="47"/>
      <c r="D855" s="162"/>
      <c r="E855" s="162"/>
      <c r="F855" s="47"/>
      <c r="G855" s="47"/>
    </row>
    <row r="856" spans="2:7" ht="13.2">
      <c r="B856" s="47"/>
      <c r="C856" s="47"/>
      <c r="D856" s="162"/>
      <c r="E856" s="162"/>
      <c r="F856" s="47"/>
      <c r="G856" s="47"/>
    </row>
    <row r="857" spans="2:7" ht="13.2">
      <c r="B857" s="47"/>
      <c r="C857" s="47"/>
      <c r="D857" s="162"/>
      <c r="E857" s="162"/>
      <c r="F857" s="47"/>
      <c r="G857" s="47"/>
    </row>
    <row r="858" spans="2:7" ht="13.2">
      <c r="B858" s="47"/>
      <c r="C858" s="47"/>
      <c r="D858" s="162"/>
      <c r="E858" s="162"/>
      <c r="F858" s="47"/>
      <c r="G858" s="47"/>
    </row>
    <row r="859" spans="2:7" ht="13.2">
      <c r="B859" s="47"/>
      <c r="C859" s="47"/>
      <c r="D859" s="162"/>
      <c r="E859" s="162"/>
      <c r="F859" s="47"/>
      <c r="G859" s="47"/>
    </row>
    <row r="860" spans="2:7" ht="13.2">
      <c r="B860" s="47"/>
      <c r="C860" s="47"/>
      <c r="D860" s="162"/>
      <c r="E860" s="162"/>
      <c r="F860" s="47"/>
      <c r="G860" s="47"/>
    </row>
    <row r="861" spans="2:7" ht="13.2">
      <c r="B861" s="47"/>
      <c r="C861" s="47"/>
      <c r="D861" s="162"/>
      <c r="E861" s="162"/>
      <c r="F861" s="47"/>
      <c r="G861" s="47"/>
    </row>
    <row r="862" spans="2:7" ht="13.2">
      <c r="B862" s="47"/>
      <c r="C862" s="47"/>
      <c r="D862" s="162"/>
      <c r="E862" s="162"/>
      <c r="F862" s="47"/>
      <c r="G862" s="47"/>
    </row>
    <row r="863" spans="2:7" ht="13.2">
      <c r="B863" s="47"/>
      <c r="C863" s="47"/>
      <c r="D863" s="162"/>
      <c r="E863" s="162"/>
      <c r="F863" s="47"/>
      <c r="G863" s="47"/>
    </row>
    <row r="864" spans="2:7" ht="13.2">
      <c r="B864" s="47"/>
      <c r="C864" s="47"/>
      <c r="D864" s="162"/>
      <c r="E864" s="162"/>
      <c r="F864" s="47"/>
      <c r="G864" s="47"/>
    </row>
    <row r="865" spans="2:7" ht="13.2">
      <c r="B865" s="47"/>
      <c r="C865" s="47"/>
      <c r="D865" s="162"/>
      <c r="E865" s="162"/>
      <c r="F865" s="47"/>
      <c r="G865" s="47"/>
    </row>
    <row r="866" spans="2:7" ht="13.2">
      <c r="B866" s="47"/>
      <c r="C866" s="47"/>
      <c r="D866" s="162"/>
      <c r="E866" s="162"/>
      <c r="F866" s="47"/>
      <c r="G866" s="47"/>
    </row>
    <row r="867" spans="2:7" ht="13.2">
      <c r="B867" s="47"/>
      <c r="C867" s="47"/>
      <c r="D867" s="162"/>
      <c r="E867" s="162"/>
      <c r="F867" s="47"/>
      <c r="G867" s="47"/>
    </row>
    <row r="868" spans="2:7" ht="13.2">
      <c r="B868" s="47"/>
      <c r="C868" s="47"/>
      <c r="D868" s="162"/>
      <c r="E868" s="162"/>
      <c r="F868" s="47"/>
      <c r="G868" s="47"/>
    </row>
    <row r="869" spans="2:7" ht="13.2">
      <c r="B869" s="47"/>
      <c r="C869" s="47"/>
      <c r="D869" s="162"/>
      <c r="E869" s="162"/>
      <c r="F869" s="47"/>
      <c r="G869" s="47"/>
    </row>
    <row r="870" spans="2:7" ht="13.2">
      <c r="B870" s="47"/>
      <c r="C870" s="47"/>
      <c r="D870" s="162"/>
      <c r="E870" s="162"/>
      <c r="F870" s="47"/>
      <c r="G870" s="47"/>
    </row>
    <row r="871" spans="2:7" ht="13.2">
      <c r="B871" s="47"/>
      <c r="C871" s="47"/>
      <c r="D871" s="162"/>
      <c r="E871" s="162"/>
      <c r="F871" s="47"/>
      <c r="G871" s="47"/>
    </row>
    <row r="872" spans="2:7" ht="13.2">
      <c r="B872" s="47"/>
      <c r="C872" s="47"/>
      <c r="D872" s="162"/>
      <c r="E872" s="162"/>
      <c r="F872" s="47"/>
      <c r="G872" s="47"/>
    </row>
    <row r="873" spans="2:7" ht="13.2">
      <c r="B873" s="47"/>
      <c r="C873" s="47"/>
      <c r="D873" s="162"/>
      <c r="E873" s="162"/>
      <c r="F873" s="47"/>
      <c r="G873" s="47"/>
    </row>
    <row r="874" spans="2:7" ht="13.2">
      <c r="B874" s="47"/>
      <c r="C874" s="47"/>
      <c r="D874" s="162"/>
      <c r="E874" s="162"/>
      <c r="F874" s="47"/>
      <c r="G874" s="47"/>
    </row>
    <row r="875" spans="2:7" ht="13.2">
      <c r="B875" s="47"/>
      <c r="C875" s="47"/>
      <c r="D875" s="162"/>
      <c r="E875" s="162"/>
      <c r="F875" s="47"/>
      <c r="G875" s="47"/>
    </row>
    <row r="876" spans="2:7" ht="13.2">
      <c r="B876" s="47"/>
      <c r="C876" s="47"/>
      <c r="D876" s="162"/>
      <c r="E876" s="162"/>
      <c r="F876" s="47"/>
      <c r="G876" s="47"/>
    </row>
    <row r="877" spans="2:7" ht="13.2">
      <c r="B877" s="47"/>
      <c r="C877" s="47"/>
      <c r="D877" s="162"/>
      <c r="E877" s="162"/>
      <c r="F877" s="47"/>
      <c r="G877" s="47"/>
    </row>
    <row r="878" spans="2:7" ht="13.2">
      <c r="B878" s="47"/>
      <c r="C878" s="47"/>
      <c r="D878" s="162"/>
      <c r="E878" s="162"/>
      <c r="F878" s="47"/>
      <c r="G878" s="47"/>
    </row>
    <row r="879" spans="2:7" ht="13.2">
      <c r="B879" s="47"/>
      <c r="C879" s="47"/>
      <c r="D879" s="162"/>
      <c r="E879" s="162"/>
      <c r="F879" s="47"/>
      <c r="G879" s="47"/>
    </row>
    <row r="880" spans="2:7" ht="13.2">
      <c r="B880" s="47"/>
      <c r="C880" s="47"/>
      <c r="D880" s="162"/>
      <c r="E880" s="162"/>
      <c r="F880" s="47"/>
      <c r="G880" s="47"/>
    </row>
    <row r="881" spans="2:7" ht="13.2">
      <c r="B881" s="47"/>
      <c r="C881" s="47"/>
      <c r="D881" s="162"/>
      <c r="E881" s="162"/>
      <c r="F881" s="47"/>
      <c r="G881" s="47"/>
    </row>
    <row r="882" spans="2:7" ht="13.2">
      <c r="B882" s="47"/>
      <c r="C882" s="47"/>
      <c r="D882" s="162"/>
      <c r="E882" s="162"/>
      <c r="F882" s="47"/>
      <c r="G882" s="47"/>
    </row>
    <row r="883" spans="2:7" ht="13.2">
      <c r="B883" s="47"/>
      <c r="C883" s="47"/>
      <c r="D883" s="162"/>
      <c r="E883" s="162"/>
      <c r="F883" s="47"/>
      <c r="G883" s="47"/>
    </row>
    <row r="884" spans="2:7" ht="13.2">
      <c r="B884" s="47"/>
      <c r="C884" s="47"/>
      <c r="D884" s="162"/>
      <c r="E884" s="162"/>
      <c r="F884" s="47"/>
      <c r="G884" s="47"/>
    </row>
    <row r="885" spans="2:7" ht="13.2">
      <c r="B885" s="47"/>
      <c r="C885" s="47"/>
      <c r="D885" s="162"/>
      <c r="E885" s="162"/>
      <c r="F885" s="47"/>
      <c r="G885" s="47"/>
    </row>
    <row r="886" spans="2:7" ht="13.2">
      <c r="B886" s="47"/>
      <c r="C886" s="47"/>
      <c r="D886" s="162"/>
      <c r="E886" s="162"/>
      <c r="F886" s="47"/>
      <c r="G886" s="47"/>
    </row>
    <row r="887" spans="2:7" ht="13.2">
      <c r="B887" s="47"/>
      <c r="C887" s="47"/>
      <c r="D887" s="162"/>
      <c r="E887" s="162"/>
      <c r="F887" s="47"/>
      <c r="G887" s="47"/>
    </row>
    <row r="888" spans="2:7" ht="13.2">
      <c r="B888" s="47"/>
      <c r="C888" s="47"/>
      <c r="D888" s="162"/>
      <c r="E888" s="162"/>
      <c r="F888" s="47"/>
      <c r="G888" s="47"/>
    </row>
    <row r="889" spans="2:7" ht="13.2">
      <c r="B889" s="47"/>
      <c r="C889" s="47"/>
      <c r="D889" s="162"/>
      <c r="E889" s="162"/>
      <c r="F889" s="47"/>
      <c r="G889" s="47"/>
    </row>
    <row r="890" spans="2:7" ht="13.2">
      <c r="B890" s="47"/>
      <c r="C890" s="47"/>
      <c r="D890" s="162"/>
      <c r="E890" s="162"/>
      <c r="F890" s="47"/>
      <c r="G890" s="47"/>
    </row>
    <row r="891" spans="2:7" ht="13.2">
      <c r="B891" s="47"/>
      <c r="C891" s="47"/>
      <c r="D891" s="162"/>
      <c r="E891" s="162"/>
      <c r="F891" s="47"/>
      <c r="G891" s="47"/>
    </row>
    <row r="892" spans="2:7" ht="13.2">
      <c r="B892" s="47"/>
      <c r="C892" s="47"/>
      <c r="D892" s="162"/>
      <c r="E892" s="162"/>
      <c r="F892" s="47"/>
      <c r="G892" s="47"/>
    </row>
    <row r="893" spans="2:7" ht="13.2">
      <c r="B893" s="47"/>
      <c r="C893" s="47"/>
      <c r="D893" s="162"/>
      <c r="E893" s="162"/>
      <c r="F893" s="47"/>
      <c r="G893" s="47"/>
    </row>
    <row r="894" spans="2:7" ht="13.2">
      <c r="B894" s="47"/>
      <c r="C894" s="47"/>
      <c r="D894" s="162"/>
      <c r="E894" s="162"/>
      <c r="F894" s="47"/>
      <c r="G894" s="47"/>
    </row>
    <row r="895" spans="2:7" ht="13.2">
      <c r="B895" s="47"/>
      <c r="C895" s="47"/>
      <c r="D895" s="162"/>
      <c r="E895" s="162"/>
      <c r="F895" s="47"/>
      <c r="G895" s="47"/>
    </row>
    <row r="896" spans="2:7" ht="13.2">
      <c r="B896" s="47"/>
      <c r="C896" s="47"/>
      <c r="D896" s="162"/>
      <c r="E896" s="162"/>
      <c r="F896" s="47"/>
      <c r="G896" s="47"/>
    </row>
    <row r="897" spans="2:7" ht="13.2">
      <c r="B897" s="47"/>
      <c r="C897" s="47"/>
      <c r="D897" s="162"/>
      <c r="E897" s="162"/>
      <c r="F897" s="47"/>
      <c r="G897" s="47"/>
    </row>
    <row r="898" spans="2:7" ht="13.2">
      <c r="B898" s="47"/>
      <c r="C898" s="47"/>
      <c r="D898" s="162"/>
      <c r="E898" s="162"/>
      <c r="F898" s="47"/>
      <c r="G898" s="47"/>
    </row>
    <row r="899" spans="2:7" ht="13.2">
      <c r="B899" s="47"/>
      <c r="C899" s="47"/>
      <c r="D899" s="162"/>
      <c r="E899" s="162"/>
      <c r="F899" s="47"/>
      <c r="G899" s="47"/>
    </row>
    <row r="900" spans="2:7" ht="13.2">
      <c r="B900" s="47"/>
      <c r="C900" s="47"/>
      <c r="D900" s="162"/>
      <c r="E900" s="162"/>
      <c r="F900" s="47"/>
      <c r="G900" s="47"/>
    </row>
    <row r="901" spans="2:7" ht="13.2">
      <c r="B901" s="47"/>
      <c r="C901" s="47"/>
      <c r="D901" s="162"/>
      <c r="E901" s="162"/>
      <c r="F901" s="47"/>
      <c r="G901" s="47"/>
    </row>
    <row r="902" spans="2:7" ht="13.2">
      <c r="B902" s="47"/>
      <c r="C902" s="47"/>
      <c r="D902" s="162"/>
      <c r="E902" s="162"/>
      <c r="F902" s="47"/>
      <c r="G902" s="47"/>
    </row>
    <row r="903" spans="2:7" ht="13.2">
      <c r="B903" s="47"/>
      <c r="C903" s="47"/>
      <c r="D903" s="162"/>
      <c r="E903" s="162"/>
      <c r="F903" s="47"/>
      <c r="G903" s="47"/>
    </row>
    <row r="904" spans="2:7" ht="13.2">
      <c r="B904" s="47"/>
      <c r="C904" s="47"/>
      <c r="D904" s="162"/>
      <c r="E904" s="162"/>
      <c r="F904" s="47"/>
      <c r="G904" s="47"/>
    </row>
    <row r="905" spans="2:7" ht="13.2">
      <c r="B905" s="47"/>
      <c r="C905" s="47"/>
      <c r="D905" s="162"/>
      <c r="E905" s="162"/>
      <c r="F905" s="47"/>
      <c r="G905" s="47"/>
    </row>
    <row r="906" spans="2:7" ht="13.2">
      <c r="B906" s="47"/>
      <c r="C906" s="47"/>
      <c r="D906" s="162"/>
      <c r="E906" s="162"/>
      <c r="F906" s="47"/>
      <c r="G906" s="47"/>
    </row>
    <row r="907" spans="2:7" ht="13.2">
      <c r="B907" s="47"/>
      <c r="C907" s="47"/>
      <c r="D907" s="162"/>
      <c r="E907" s="162"/>
      <c r="F907" s="47"/>
      <c r="G907" s="47"/>
    </row>
    <row r="908" spans="2:7" ht="13.2">
      <c r="B908" s="47"/>
      <c r="C908" s="47"/>
      <c r="D908" s="162"/>
      <c r="E908" s="162"/>
      <c r="F908" s="47"/>
      <c r="G908" s="47"/>
    </row>
    <row r="909" spans="2:7" ht="13.2">
      <c r="B909" s="47"/>
      <c r="C909" s="47"/>
      <c r="D909" s="162"/>
      <c r="E909" s="162"/>
      <c r="F909" s="47"/>
      <c r="G909" s="47"/>
    </row>
    <row r="910" spans="2:7" ht="13.2">
      <c r="B910" s="47"/>
      <c r="C910" s="47"/>
      <c r="D910" s="162"/>
      <c r="E910" s="162"/>
      <c r="F910" s="47"/>
      <c r="G910" s="47"/>
    </row>
    <row r="911" spans="2:7" ht="13.2">
      <c r="B911" s="47"/>
      <c r="C911" s="47"/>
      <c r="D911" s="162"/>
      <c r="E911" s="162"/>
      <c r="F911" s="47"/>
      <c r="G911" s="47"/>
    </row>
    <row r="912" spans="2:7" ht="13.2">
      <c r="B912" s="47"/>
      <c r="C912" s="47"/>
      <c r="D912" s="162"/>
      <c r="E912" s="162"/>
      <c r="F912" s="47"/>
      <c r="G912" s="47"/>
    </row>
    <row r="913" spans="2:7" ht="13.2">
      <c r="B913" s="47"/>
      <c r="C913" s="47"/>
      <c r="D913" s="162"/>
      <c r="E913" s="162"/>
      <c r="F913" s="47"/>
      <c r="G913" s="47"/>
    </row>
    <row r="914" spans="2:7" ht="13.2">
      <c r="B914" s="47"/>
      <c r="C914" s="47"/>
      <c r="D914" s="162"/>
      <c r="E914" s="162"/>
      <c r="F914" s="47"/>
      <c r="G914" s="47"/>
    </row>
    <row r="915" spans="2:7" ht="13.2">
      <c r="B915" s="47"/>
      <c r="C915" s="47"/>
      <c r="D915" s="162"/>
      <c r="E915" s="162"/>
      <c r="F915" s="47"/>
      <c r="G915" s="47"/>
    </row>
    <row r="916" spans="2:7" ht="13.2">
      <c r="B916" s="47"/>
      <c r="C916" s="47"/>
      <c r="D916" s="162"/>
      <c r="E916" s="162"/>
      <c r="F916" s="47"/>
      <c r="G916" s="47"/>
    </row>
    <row r="917" spans="2:7" ht="13.2">
      <c r="B917" s="47"/>
      <c r="C917" s="47"/>
      <c r="D917" s="162"/>
      <c r="E917" s="162"/>
      <c r="F917" s="47"/>
      <c r="G917" s="47"/>
    </row>
    <row r="918" spans="2:7" ht="13.2">
      <c r="B918" s="47"/>
      <c r="C918" s="47"/>
      <c r="D918" s="162"/>
      <c r="E918" s="162"/>
      <c r="F918" s="47"/>
      <c r="G918" s="47"/>
    </row>
    <row r="919" spans="2:7" ht="13.2">
      <c r="B919" s="47"/>
      <c r="C919" s="47"/>
      <c r="D919" s="162"/>
      <c r="E919" s="162"/>
      <c r="F919" s="47"/>
      <c r="G919" s="47"/>
    </row>
    <row r="920" spans="2:7" ht="13.2">
      <c r="B920" s="47"/>
      <c r="C920" s="47"/>
      <c r="D920" s="162"/>
      <c r="E920" s="162"/>
      <c r="F920" s="47"/>
      <c r="G920" s="47"/>
    </row>
    <row r="921" spans="2:7" ht="13.2">
      <c r="B921" s="47"/>
      <c r="C921" s="47"/>
      <c r="D921" s="162"/>
      <c r="E921" s="162"/>
      <c r="F921" s="47"/>
      <c r="G921" s="47"/>
    </row>
    <row r="922" spans="2:7" ht="13.2">
      <c r="B922" s="47"/>
      <c r="C922" s="47"/>
      <c r="D922" s="162"/>
      <c r="E922" s="162"/>
      <c r="F922" s="47"/>
      <c r="G922" s="47"/>
    </row>
    <row r="923" spans="2:7" ht="13.2">
      <c r="B923" s="47"/>
      <c r="C923" s="47"/>
      <c r="D923" s="162"/>
      <c r="E923" s="162"/>
      <c r="F923" s="47"/>
      <c r="G923" s="47"/>
    </row>
    <row r="924" spans="2:7" ht="13.2">
      <c r="B924" s="47"/>
      <c r="C924" s="47"/>
      <c r="D924" s="162"/>
      <c r="E924" s="162"/>
      <c r="F924" s="47"/>
      <c r="G924" s="47"/>
    </row>
    <row r="925" spans="2:7" ht="13.2">
      <c r="B925" s="47"/>
      <c r="C925" s="47"/>
      <c r="D925" s="162"/>
      <c r="E925" s="162"/>
      <c r="F925" s="47"/>
      <c r="G925" s="47"/>
    </row>
    <row r="926" spans="2:7" ht="13.2">
      <c r="B926" s="47"/>
      <c r="C926" s="47"/>
      <c r="D926" s="162"/>
      <c r="E926" s="162"/>
      <c r="F926" s="47"/>
      <c r="G926" s="47"/>
    </row>
    <row r="927" spans="2:7" ht="13.2">
      <c r="B927" s="47"/>
      <c r="C927" s="47"/>
      <c r="D927" s="162"/>
      <c r="E927" s="162"/>
      <c r="F927" s="47"/>
      <c r="G927" s="47"/>
    </row>
    <row r="928" spans="2:7" ht="13.2">
      <c r="B928" s="47"/>
      <c r="C928" s="47"/>
      <c r="D928" s="162"/>
      <c r="E928" s="162"/>
      <c r="F928" s="47"/>
      <c r="G928" s="47"/>
    </row>
    <row r="929" spans="2:7" ht="13.2">
      <c r="B929" s="47"/>
      <c r="C929" s="47"/>
      <c r="D929" s="162"/>
      <c r="E929" s="162"/>
      <c r="F929" s="47"/>
      <c r="G929" s="47"/>
    </row>
    <row r="930" spans="2:7" ht="13.2">
      <c r="B930" s="47"/>
      <c r="C930" s="47"/>
      <c r="D930" s="162"/>
      <c r="E930" s="162"/>
      <c r="F930" s="47"/>
      <c r="G930" s="47"/>
    </row>
    <row r="931" spans="2:7" ht="13.2">
      <c r="B931" s="47"/>
      <c r="C931" s="47"/>
      <c r="D931" s="162"/>
      <c r="E931" s="162"/>
      <c r="F931" s="47"/>
      <c r="G931" s="47"/>
    </row>
    <row r="932" spans="2:7" ht="13.2">
      <c r="B932" s="47"/>
      <c r="C932" s="47"/>
      <c r="D932" s="162"/>
      <c r="E932" s="162"/>
      <c r="F932" s="47"/>
      <c r="G932" s="47"/>
    </row>
    <row r="933" spans="2:7" ht="13.2">
      <c r="B933" s="47"/>
      <c r="C933" s="47"/>
      <c r="D933" s="162"/>
      <c r="E933" s="162"/>
      <c r="F933" s="47"/>
      <c r="G933" s="47"/>
    </row>
    <row r="934" spans="2:7" ht="13.2">
      <c r="B934" s="47"/>
      <c r="C934" s="47"/>
      <c r="D934" s="162"/>
      <c r="E934" s="162"/>
      <c r="F934" s="47"/>
      <c r="G934" s="47"/>
    </row>
    <row r="935" spans="2:7" ht="13.2">
      <c r="B935" s="47"/>
      <c r="C935" s="47"/>
      <c r="D935" s="162"/>
      <c r="E935" s="162"/>
      <c r="F935" s="47"/>
      <c r="G935" s="47"/>
    </row>
    <row r="936" spans="2:7" ht="13.2">
      <c r="B936" s="47"/>
      <c r="C936" s="47"/>
      <c r="D936" s="162"/>
      <c r="E936" s="162"/>
      <c r="F936" s="47"/>
      <c r="G936" s="47"/>
    </row>
    <row r="937" spans="2:7" ht="13.2">
      <c r="B937" s="47"/>
      <c r="C937" s="47"/>
      <c r="D937" s="162"/>
      <c r="E937" s="162"/>
      <c r="F937" s="47"/>
      <c r="G937" s="47"/>
    </row>
    <row r="938" spans="2:7" ht="13.2">
      <c r="B938" s="47"/>
      <c r="C938" s="47"/>
      <c r="D938" s="162"/>
      <c r="E938" s="162"/>
      <c r="F938" s="47"/>
      <c r="G938" s="47"/>
    </row>
    <row r="939" spans="2:7" ht="13.2">
      <c r="B939" s="47"/>
      <c r="C939" s="47"/>
      <c r="D939" s="162"/>
      <c r="E939" s="162"/>
      <c r="F939" s="47"/>
      <c r="G939" s="47"/>
    </row>
    <row r="940" spans="2:7" ht="13.2">
      <c r="B940" s="47"/>
      <c r="C940" s="47"/>
      <c r="D940" s="162"/>
      <c r="E940" s="162"/>
      <c r="F940" s="47"/>
      <c r="G940" s="47"/>
    </row>
    <row r="941" spans="2:7" ht="13.2">
      <c r="B941" s="47"/>
      <c r="C941" s="47"/>
      <c r="D941" s="162"/>
      <c r="E941" s="162"/>
      <c r="F941" s="47"/>
      <c r="G941" s="47"/>
    </row>
    <row r="942" spans="2:7" ht="13.2">
      <c r="B942" s="47"/>
      <c r="C942" s="47"/>
      <c r="D942" s="162"/>
      <c r="E942" s="162"/>
      <c r="F942" s="47"/>
      <c r="G942" s="47"/>
    </row>
    <row r="943" spans="2:7" ht="13.2">
      <c r="B943" s="47"/>
      <c r="C943" s="47"/>
      <c r="D943" s="162"/>
      <c r="E943" s="162"/>
      <c r="F943" s="47"/>
      <c r="G943" s="47"/>
    </row>
    <row r="944" spans="2:7" ht="13.2">
      <c r="B944" s="47"/>
      <c r="C944" s="47"/>
      <c r="D944" s="162"/>
      <c r="E944" s="162"/>
      <c r="F944" s="47"/>
      <c r="G944" s="47"/>
    </row>
    <row r="945" spans="2:7" ht="13.2">
      <c r="B945" s="47"/>
      <c r="C945" s="47"/>
      <c r="D945" s="162"/>
      <c r="E945" s="162"/>
      <c r="F945" s="47"/>
      <c r="G945" s="47"/>
    </row>
    <row r="946" spans="2:7" ht="13.2">
      <c r="B946" s="47"/>
      <c r="C946" s="47"/>
      <c r="D946" s="162"/>
      <c r="E946" s="162"/>
      <c r="F946" s="47"/>
      <c r="G946" s="47"/>
    </row>
    <row r="947" spans="2:7" ht="13.2">
      <c r="B947" s="47"/>
      <c r="C947" s="47"/>
      <c r="D947" s="162"/>
      <c r="E947" s="162"/>
      <c r="F947" s="47"/>
      <c r="G947" s="47"/>
    </row>
    <row r="948" spans="2:7" ht="13.2">
      <c r="B948" s="47"/>
      <c r="C948" s="47"/>
      <c r="D948" s="162"/>
      <c r="E948" s="162"/>
      <c r="F948" s="47"/>
      <c r="G948" s="47"/>
    </row>
    <row r="949" spans="2:7" ht="13.2">
      <c r="B949" s="47"/>
      <c r="C949" s="47"/>
      <c r="D949" s="162"/>
      <c r="E949" s="162"/>
      <c r="F949" s="47"/>
      <c r="G949" s="47"/>
    </row>
    <row r="950" spans="2:7" ht="13.2">
      <c r="B950" s="47"/>
      <c r="C950" s="47"/>
      <c r="D950" s="162"/>
      <c r="E950" s="162"/>
      <c r="F950" s="47"/>
      <c r="G950" s="47"/>
    </row>
    <row r="951" spans="2:7" ht="13.2">
      <c r="B951" s="47"/>
      <c r="C951" s="47"/>
      <c r="D951" s="162"/>
      <c r="E951" s="162"/>
      <c r="F951" s="47"/>
      <c r="G951" s="47"/>
    </row>
    <row r="952" spans="2:7" ht="13.2">
      <c r="B952" s="47"/>
      <c r="C952" s="47"/>
      <c r="D952" s="162"/>
      <c r="E952" s="162"/>
      <c r="F952" s="47"/>
      <c r="G952" s="47"/>
    </row>
    <row r="953" spans="2:7" ht="13.2">
      <c r="B953" s="47"/>
      <c r="C953" s="47"/>
      <c r="D953" s="162"/>
      <c r="E953" s="162"/>
      <c r="F953" s="47"/>
      <c r="G953" s="47"/>
    </row>
    <row r="954" spans="2:7" ht="13.2">
      <c r="B954" s="47"/>
      <c r="C954" s="47"/>
      <c r="D954" s="162"/>
      <c r="E954" s="162"/>
      <c r="F954" s="47"/>
      <c r="G954" s="47"/>
    </row>
    <row r="955" spans="2:7" ht="13.2">
      <c r="B955" s="47"/>
      <c r="C955" s="47"/>
      <c r="D955" s="162"/>
      <c r="E955" s="162"/>
      <c r="F955" s="47"/>
      <c r="G955" s="47"/>
    </row>
    <row r="956" spans="2:7" ht="13.2">
      <c r="B956" s="47"/>
      <c r="C956" s="47"/>
      <c r="D956" s="162"/>
      <c r="E956" s="162"/>
      <c r="F956" s="47"/>
      <c r="G956" s="47"/>
    </row>
    <row r="957" spans="2:7" ht="13.2">
      <c r="B957" s="47"/>
      <c r="C957" s="47"/>
      <c r="D957" s="162"/>
      <c r="E957" s="162"/>
      <c r="F957" s="47"/>
      <c r="G957" s="47"/>
    </row>
    <row r="958" spans="2:7" ht="13.2">
      <c r="B958" s="47"/>
      <c r="C958" s="47"/>
      <c r="D958" s="162"/>
      <c r="E958" s="162"/>
      <c r="F958" s="47"/>
      <c r="G958" s="47"/>
    </row>
    <row r="959" spans="2:7" ht="13.2">
      <c r="B959" s="47"/>
      <c r="C959" s="47"/>
      <c r="D959" s="162"/>
      <c r="E959" s="162"/>
      <c r="F959" s="47"/>
      <c r="G959" s="47"/>
    </row>
    <row r="960" spans="2:7" ht="13.2">
      <c r="B960" s="47"/>
      <c r="C960" s="47"/>
      <c r="D960" s="162"/>
      <c r="E960" s="162"/>
      <c r="F960" s="47"/>
      <c r="G960" s="47"/>
    </row>
    <row r="961" spans="2:7" ht="13.2">
      <c r="B961" s="47"/>
      <c r="C961" s="47"/>
      <c r="D961" s="162"/>
      <c r="E961" s="162"/>
      <c r="F961" s="47"/>
      <c r="G961" s="47"/>
    </row>
    <row r="962" spans="2:7" ht="13.2">
      <c r="B962" s="47"/>
      <c r="C962" s="47"/>
      <c r="D962" s="162"/>
      <c r="E962" s="162"/>
      <c r="F962" s="47"/>
      <c r="G962" s="47"/>
    </row>
    <row r="963" spans="2:7" ht="13.2">
      <c r="B963" s="47"/>
      <c r="C963" s="47"/>
      <c r="D963" s="162"/>
      <c r="E963" s="162"/>
      <c r="F963" s="47"/>
      <c r="G963" s="47"/>
    </row>
    <row r="964" spans="2:7" ht="13.2">
      <c r="B964" s="47"/>
      <c r="C964" s="47"/>
      <c r="D964" s="162"/>
      <c r="E964" s="162"/>
      <c r="F964" s="47"/>
      <c r="G964" s="47"/>
    </row>
    <row r="965" spans="2:7" ht="13.2">
      <c r="B965" s="47"/>
      <c r="C965" s="47"/>
      <c r="D965" s="162"/>
      <c r="E965" s="162"/>
      <c r="F965" s="47"/>
      <c r="G965" s="47"/>
    </row>
    <row r="966" spans="2:7" ht="13.2">
      <c r="B966" s="47"/>
      <c r="C966" s="47"/>
      <c r="D966" s="162"/>
      <c r="E966" s="162"/>
      <c r="F966" s="47"/>
      <c r="G966" s="47"/>
    </row>
    <row r="967" spans="2:7" ht="13.2">
      <c r="B967" s="47"/>
      <c r="C967" s="47"/>
      <c r="D967" s="162"/>
      <c r="E967" s="162"/>
      <c r="F967" s="47"/>
      <c r="G967" s="47"/>
    </row>
    <row r="968" spans="2:7" ht="13.2">
      <c r="B968" s="47"/>
      <c r="C968" s="47"/>
      <c r="D968" s="162"/>
      <c r="E968" s="162"/>
      <c r="F968" s="47"/>
      <c r="G968" s="47"/>
    </row>
    <row r="969" spans="2:7" ht="13.2">
      <c r="B969" s="47"/>
      <c r="C969" s="47"/>
      <c r="D969" s="162"/>
      <c r="E969" s="162"/>
      <c r="F969" s="47"/>
      <c r="G969" s="47"/>
    </row>
    <row r="970" spans="2:7" ht="13.2">
      <c r="B970" s="47"/>
      <c r="C970" s="47"/>
      <c r="D970" s="162"/>
      <c r="E970" s="162"/>
      <c r="F970" s="47"/>
      <c r="G970" s="47"/>
    </row>
    <row r="971" spans="2:7" ht="13.2">
      <c r="B971" s="47"/>
      <c r="C971" s="47"/>
      <c r="D971" s="162"/>
      <c r="E971" s="162"/>
      <c r="F971" s="47"/>
      <c r="G971" s="47"/>
    </row>
    <row r="972" spans="2:7" ht="13.2">
      <c r="B972" s="47"/>
      <c r="C972" s="47"/>
      <c r="D972" s="162"/>
      <c r="E972" s="162"/>
      <c r="F972" s="47"/>
      <c r="G972" s="47"/>
    </row>
    <row r="973" spans="2:7" ht="13.2">
      <c r="B973" s="47"/>
      <c r="C973" s="47"/>
      <c r="D973" s="162"/>
      <c r="E973" s="162"/>
      <c r="F973" s="47"/>
      <c r="G973" s="47"/>
    </row>
    <row r="974" spans="2:7" ht="13.2">
      <c r="B974" s="47"/>
      <c r="C974" s="47"/>
      <c r="D974" s="162"/>
      <c r="E974" s="162"/>
      <c r="F974" s="47"/>
      <c r="G974" s="47"/>
    </row>
  </sheetData>
  <phoneticPr fontId="3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4:L24"/>
  <sheetViews>
    <sheetView showGridLines="0" topLeftCell="A7" zoomScale="78" workbookViewId="0">
      <selection activeCell="H11" sqref="H11"/>
    </sheetView>
  </sheetViews>
  <sheetFormatPr defaultColWidth="17" defaultRowHeight="20.399999999999999"/>
  <cols>
    <col min="1" max="3" width="17" style="209"/>
    <col min="4" max="4" width="17" style="205"/>
    <col min="5" max="5" width="17" style="206"/>
    <col min="6" max="6" width="21.6640625" style="206" customWidth="1"/>
    <col min="7" max="7" width="27.6640625" style="206" customWidth="1"/>
    <col min="8" max="12" width="17" style="209"/>
    <col min="13" max="13" width="23.33203125" style="209" customWidth="1"/>
    <col min="14" max="16384" width="17" style="209"/>
  </cols>
  <sheetData>
    <row r="4" spans="3:12">
      <c r="C4" s="208" t="s">
        <v>338</v>
      </c>
      <c r="D4" s="205" t="s">
        <v>316</v>
      </c>
      <c r="E4" s="206" t="s">
        <v>317</v>
      </c>
      <c r="F4" s="210" t="s">
        <v>340</v>
      </c>
      <c r="G4" s="206" t="s">
        <v>342</v>
      </c>
      <c r="I4" s="209" t="s">
        <v>53</v>
      </c>
      <c r="J4" s="209" t="s">
        <v>343</v>
      </c>
      <c r="K4" s="209" t="s">
        <v>339</v>
      </c>
      <c r="L4" s="209" t="s">
        <v>341</v>
      </c>
    </row>
    <row r="5" spans="3:12">
      <c r="C5" s="207" t="s">
        <v>318</v>
      </c>
      <c r="D5" s="205">
        <f t="shared" ref="D5:D24" ca="1" si="0">RANDBETWEEN(0,1)</f>
        <v>0</v>
      </c>
      <c r="E5" s="206">
        <f t="shared" ref="E5:E24" ca="1" si="1">RAND()</f>
        <v>0.37059872691708295</v>
      </c>
      <c r="F5" s="206">
        <f t="shared" ref="F5:F24" ca="1" si="2">-D5*LN(E5)</f>
        <v>0</v>
      </c>
      <c r="G5" s="206">
        <f t="shared" ref="G5:G24" ca="1" si="3">-(1-D5)*LN(1-E5)</f>
        <v>0.46298627166096701</v>
      </c>
      <c r="I5" s="209">
        <v>0</v>
      </c>
      <c r="J5" s="209">
        <v>0.65093155694235783</v>
      </c>
      <c r="K5" s="209">
        <v>0</v>
      </c>
      <c r="L5" s="209">
        <v>1.0524872640941225</v>
      </c>
    </row>
    <row r="6" spans="3:12">
      <c r="C6" s="207" t="s">
        <v>319</v>
      </c>
      <c r="D6" s="205">
        <f t="shared" ca="1" si="0"/>
        <v>0</v>
      </c>
      <c r="E6" s="206">
        <f t="shared" ca="1" si="1"/>
        <v>0.28476946231384748</v>
      </c>
      <c r="F6" s="206">
        <f t="shared" ca="1" si="2"/>
        <v>0</v>
      </c>
      <c r="G6" s="206">
        <f t="shared" ca="1" si="3"/>
        <v>0.33515035792733439</v>
      </c>
      <c r="I6" s="209">
        <v>0</v>
      </c>
      <c r="J6" s="209">
        <v>0.82873766203579324</v>
      </c>
      <c r="K6" s="209">
        <v>0</v>
      </c>
      <c r="L6" s="209">
        <v>1.7645587579287105</v>
      </c>
    </row>
    <row r="7" spans="3:12">
      <c r="C7" s="207" t="s">
        <v>320</v>
      </c>
      <c r="D7" s="205">
        <f t="shared" ca="1" si="0"/>
        <v>1</v>
      </c>
      <c r="E7" s="206">
        <f t="shared" ca="1" si="1"/>
        <v>0.96421921109180242</v>
      </c>
      <c r="F7" s="206">
        <f t="shared" ca="1" si="2"/>
        <v>3.6436612824325615E-2</v>
      </c>
      <c r="G7" s="206">
        <f t="shared" ca="1" si="3"/>
        <v>0</v>
      </c>
      <c r="I7" s="209">
        <v>0</v>
      </c>
      <c r="J7" s="209">
        <v>0.44536049905311881</v>
      </c>
      <c r="K7" s="209">
        <v>0</v>
      </c>
      <c r="L7" s="209">
        <v>0.58943692412675563</v>
      </c>
    </row>
    <row r="8" spans="3:12">
      <c r="C8" s="207" t="s">
        <v>321</v>
      </c>
      <c r="D8" s="205">
        <f t="shared" ca="1" si="0"/>
        <v>1</v>
      </c>
      <c r="E8" s="206">
        <f t="shared" ca="1" si="1"/>
        <v>0.43790934380343349</v>
      </c>
      <c r="F8" s="206">
        <f t="shared" ca="1" si="2"/>
        <v>0.8257433676462459</v>
      </c>
      <c r="G8" s="206">
        <f t="shared" ca="1" si="3"/>
        <v>0</v>
      </c>
      <c r="I8" s="209">
        <v>0</v>
      </c>
      <c r="J8" s="209">
        <v>0.90479147307203256</v>
      </c>
      <c r="K8" s="209">
        <v>0</v>
      </c>
      <c r="L8" s="209">
        <v>2.351685772624756</v>
      </c>
    </row>
    <row r="9" spans="3:12">
      <c r="C9" s="207" t="s">
        <v>322</v>
      </c>
      <c r="D9" s="205">
        <f t="shared" ca="1" si="0"/>
        <v>0</v>
      </c>
      <c r="E9" s="206">
        <f t="shared" ca="1" si="1"/>
        <v>0.50596326463809194</v>
      </c>
      <c r="F9" s="206">
        <f t="shared" ca="1" si="2"/>
        <v>0</v>
      </c>
      <c r="G9" s="206">
        <f t="shared" ca="1" si="3"/>
        <v>0.7051454014782258</v>
      </c>
      <c r="I9" s="209">
        <v>0</v>
      </c>
      <c r="J9" s="209">
        <v>0.73594026071645968</v>
      </c>
      <c r="K9" s="209">
        <v>0</v>
      </c>
      <c r="L9" s="209">
        <v>1.3315799162695217</v>
      </c>
    </row>
    <row r="10" spans="3:12">
      <c r="C10" s="207" t="s">
        <v>323</v>
      </c>
      <c r="D10" s="205">
        <f t="shared" ca="1" si="0"/>
        <v>1</v>
      </c>
      <c r="E10" s="206">
        <f t="shared" ca="1" si="1"/>
        <v>0.10625885439533733</v>
      </c>
      <c r="F10" s="206">
        <f t="shared" ca="1" si="2"/>
        <v>2.2418771391642918</v>
      </c>
      <c r="G10" s="206">
        <f t="shared" ca="1" si="3"/>
        <v>0</v>
      </c>
      <c r="I10" s="209">
        <v>0</v>
      </c>
      <c r="J10" s="209">
        <v>0.1404211589535872</v>
      </c>
      <c r="K10" s="209">
        <v>0</v>
      </c>
      <c r="L10" s="209">
        <v>0.15131272939991947</v>
      </c>
    </row>
    <row r="11" spans="3:12">
      <c r="C11" s="207" t="s">
        <v>324</v>
      </c>
      <c r="D11" s="205">
        <f t="shared" ca="1" si="0"/>
        <v>0</v>
      </c>
      <c r="E11" s="206">
        <f t="shared" ca="1" si="1"/>
        <v>0.28184569151113248</v>
      </c>
      <c r="F11" s="206">
        <f t="shared" ca="1" si="2"/>
        <v>0</v>
      </c>
      <c r="G11" s="206">
        <f t="shared" ca="1" si="3"/>
        <v>0.3310708186947901</v>
      </c>
      <c r="I11" s="209">
        <v>0</v>
      </c>
      <c r="J11" s="209">
        <v>0.62070042897056543</v>
      </c>
      <c r="K11" s="209">
        <v>0</v>
      </c>
      <c r="L11" s="209">
        <v>0.96942896124116729</v>
      </c>
    </row>
    <row r="12" spans="3:12">
      <c r="C12" s="207" t="s">
        <v>325</v>
      </c>
      <c r="D12" s="205">
        <f t="shared" ca="1" si="0"/>
        <v>1</v>
      </c>
      <c r="E12" s="206">
        <f t="shared" ca="1" si="1"/>
        <v>0.63722405564479234</v>
      </c>
      <c r="F12" s="206">
        <f t="shared" ca="1" si="2"/>
        <v>0.45063394954836522</v>
      </c>
      <c r="G12" s="206">
        <f t="shared" ca="1" si="3"/>
        <v>0</v>
      </c>
      <c r="I12" s="209">
        <v>0</v>
      </c>
      <c r="J12" s="209">
        <v>0.81290991792286582</v>
      </c>
      <c r="K12" s="209">
        <v>0</v>
      </c>
      <c r="L12" s="209">
        <v>1.6761650557808909</v>
      </c>
    </row>
    <row r="13" spans="3:12">
      <c r="C13" s="207" t="s">
        <v>326</v>
      </c>
      <c r="D13" s="205">
        <f t="shared" ca="1" si="0"/>
        <v>1</v>
      </c>
      <c r="E13" s="206">
        <f t="shared" ca="1" si="1"/>
        <v>0.68090745679885967</v>
      </c>
      <c r="F13" s="206">
        <f t="shared" ca="1" si="2"/>
        <v>0.38432887516698783</v>
      </c>
      <c r="G13" s="206">
        <f t="shared" ca="1" si="3"/>
        <v>0</v>
      </c>
      <c r="I13" s="209">
        <v>0</v>
      </c>
      <c r="J13" s="209">
        <v>0.49420241075943616</v>
      </c>
      <c r="K13" s="209">
        <v>0</v>
      </c>
      <c r="L13" s="209">
        <v>0.68161871098822824</v>
      </c>
    </row>
    <row r="14" spans="3:12">
      <c r="C14" s="207" t="s">
        <v>327</v>
      </c>
      <c r="D14" s="205">
        <f t="shared" ca="1" si="0"/>
        <v>1</v>
      </c>
      <c r="E14" s="206">
        <f t="shared" ca="1" si="1"/>
        <v>8.0846051738934555E-2</v>
      </c>
      <c r="F14" s="206">
        <f t="shared" ca="1" si="2"/>
        <v>2.5152085285493002</v>
      </c>
      <c r="G14" s="206">
        <f t="shared" ca="1" si="3"/>
        <v>0</v>
      </c>
      <c r="I14" s="209">
        <v>0</v>
      </c>
      <c r="J14" s="209">
        <v>0.75388067383402424</v>
      </c>
      <c r="K14" s="209">
        <v>0</v>
      </c>
      <c r="L14" s="209">
        <v>1.40193879494077</v>
      </c>
    </row>
    <row r="15" spans="3:12">
      <c r="C15" s="207" t="s">
        <v>328</v>
      </c>
      <c r="D15" s="205">
        <f t="shared" ca="1" si="0"/>
        <v>0</v>
      </c>
      <c r="E15" s="206">
        <f t="shared" ca="1" si="1"/>
        <v>9.4420934892057717E-3</v>
      </c>
      <c r="F15" s="206">
        <f t="shared" ca="1" si="2"/>
        <v>0</v>
      </c>
      <c r="G15" s="206">
        <f t="shared" ca="1" si="3"/>
        <v>9.4869526535284951E-3</v>
      </c>
      <c r="I15" s="209">
        <v>0</v>
      </c>
      <c r="J15" s="209">
        <v>0.94739346266493552</v>
      </c>
      <c r="K15" s="209">
        <v>0</v>
      </c>
      <c r="L15" s="209">
        <v>2.9449148830244942</v>
      </c>
    </row>
    <row r="16" spans="3:12">
      <c r="C16" s="207" t="s">
        <v>329</v>
      </c>
      <c r="D16" s="205">
        <f t="shared" ca="1" si="0"/>
        <v>0</v>
      </c>
      <c r="E16" s="206">
        <f t="shared" ca="1" si="1"/>
        <v>3.8092128413557469E-2</v>
      </c>
      <c r="F16" s="206">
        <f t="shared" ca="1" si="2"/>
        <v>0</v>
      </c>
      <c r="G16" s="206">
        <f t="shared" ca="1" si="3"/>
        <v>3.8836600484098781E-2</v>
      </c>
      <c r="I16" s="209">
        <v>0</v>
      </c>
      <c r="J16" s="209">
        <v>0.87781523057887623</v>
      </c>
      <c r="K16" s="209">
        <v>0</v>
      </c>
      <c r="L16" s="209">
        <v>2.1022208765007635</v>
      </c>
    </row>
    <row r="17" spans="3:12">
      <c r="C17" s="207" t="s">
        <v>330</v>
      </c>
      <c r="D17" s="205">
        <f t="shared" ca="1" si="0"/>
        <v>1</v>
      </c>
      <c r="E17" s="206">
        <f t="shared" ca="1" si="1"/>
        <v>0.19885811781226503</v>
      </c>
      <c r="F17" s="206">
        <f t="shared" ca="1" si="2"/>
        <v>1.6151636843635413</v>
      </c>
      <c r="G17" s="206">
        <f t="shared" ca="1" si="3"/>
        <v>0</v>
      </c>
      <c r="I17" s="209">
        <v>1</v>
      </c>
      <c r="J17" s="209">
        <v>0.59453479228313044</v>
      </c>
      <c r="K17" s="209">
        <v>0.51997604095881067</v>
      </c>
      <c r="L17" s="209">
        <v>0</v>
      </c>
    </row>
    <row r="18" spans="3:12">
      <c r="C18" s="207" t="s">
        <v>331</v>
      </c>
      <c r="D18" s="205">
        <f t="shared" ca="1" si="0"/>
        <v>0</v>
      </c>
      <c r="E18" s="206">
        <f t="shared" ca="1" si="1"/>
        <v>0.64537496495369273</v>
      </c>
      <c r="F18" s="206">
        <f t="shared" ca="1" si="2"/>
        <v>0</v>
      </c>
      <c r="G18" s="206">
        <f t="shared" ca="1" si="3"/>
        <v>1.0366942870267402</v>
      </c>
      <c r="I18" s="209">
        <v>1</v>
      </c>
      <c r="J18" s="209">
        <v>0.39985578008131895</v>
      </c>
      <c r="K18" s="209">
        <v>0.91665134668456327</v>
      </c>
      <c r="L18" s="209">
        <v>0</v>
      </c>
    </row>
    <row r="19" spans="3:12">
      <c r="C19" s="207" t="s">
        <v>332</v>
      </c>
      <c r="D19" s="205">
        <f t="shared" ca="1" si="0"/>
        <v>0</v>
      </c>
      <c r="E19" s="206">
        <f t="shared" ca="1" si="1"/>
        <v>6.8619901331428146E-3</v>
      </c>
      <c r="F19" s="206">
        <f t="shared" ca="1" si="2"/>
        <v>0</v>
      </c>
      <c r="G19" s="206">
        <f t="shared" ca="1" si="3"/>
        <v>6.8856418480917909E-3</v>
      </c>
      <c r="I19" s="209">
        <v>1</v>
      </c>
      <c r="J19" s="209">
        <v>0.99181288995754557</v>
      </c>
      <c r="K19" s="209">
        <v>8.2208084824736457E-3</v>
      </c>
      <c r="L19" s="209">
        <v>0</v>
      </c>
    </row>
    <row r="20" spans="3:12">
      <c r="C20" s="207" t="s">
        <v>333</v>
      </c>
      <c r="D20" s="205">
        <f t="shared" ca="1" si="0"/>
        <v>0</v>
      </c>
      <c r="E20" s="206">
        <f t="shared" ca="1" si="1"/>
        <v>0.32027959591021238</v>
      </c>
      <c r="F20" s="206">
        <f t="shared" ca="1" si="2"/>
        <v>0</v>
      </c>
      <c r="G20" s="206">
        <f t="shared" ca="1" si="3"/>
        <v>0.3860737358219295</v>
      </c>
      <c r="I20" s="209">
        <v>1</v>
      </c>
      <c r="J20" s="209">
        <v>8.821881088148753E-2</v>
      </c>
      <c r="K20" s="209">
        <v>2.4279350634090231</v>
      </c>
      <c r="L20" s="209">
        <v>0</v>
      </c>
    </row>
    <row r="21" spans="3:12">
      <c r="C21" s="207" t="s">
        <v>334</v>
      </c>
      <c r="D21" s="205">
        <f t="shared" ca="1" si="0"/>
        <v>1</v>
      </c>
      <c r="E21" s="206">
        <f t="shared" ca="1" si="1"/>
        <v>0.35313043952975365</v>
      </c>
      <c r="F21" s="206">
        <f t="shared" ca="1" si="2"/>
        <v>1.0409177732220083</v>
      </c>
      <c r="G21" s="206">
        <f t="shared" ca="1" si="3"/>
        <v>0</v>
      </c>
      <c r="I21" s="209">
        <v>1</v>
      </c>
      <c r="J21" s="209">
        <v>0.84824706739022182</v>
      </c>
      <c r="K21" s="209">
        <v>0.16458333257078611</v>
      </c>
      <c r="L21" s="209">
        <v>0</v>
      </c>
    </row>
    <row r="22" spans="3:12">
      <c r="C22" s="207" t="s">
        <v>335</v>
      </c>
      <c r="D22" s="205">
        <f t="shared" ca="1" si="0"/>
        <v>0</v>
      </c>
      <c r="E22" s="206">
        <f t="shared" ca="1" si="1"/>
        <v>3.4222630844532698E-2</v>
      </c>
      <c r="F22" s="206">
        <f t="shared" ca="1" si="2"/>
        <v>0</v>
      </c>
      <c r="G22" s="206">
        <f t="shared" ca="1" si="3"/>
        <v>3.4821938043919781E-2</v>
      </c>
      <c r="I22" s="209">
        <v>1</v>
      </c>
      <c r="J22" s="209">
        <v>0.12622839329087698</v>
      </c>
      <c r="K22" s="209">
        <v>2.0696623677236534</v>
      </c>
      <c r="L22" s="209">
        <v>0</v>
      </c>
    </row>
    <row r="23" spans="3:12">
      <c r="C23" s="207" t="s">
        <v>336</v>
      </c>
      <c r="D23" s="205">
        <f t="shared" ca="1" si="0"/>
        <v>0</v>
      </c>
      <c r="E23" s="206">
        <f t="shared" ca="1" si="1"/>
        <v>0.50956223600761619</v>
      </c>
      <c r="F23" s="206">
        <f t="shared" ca="1" si="2"/>
        <v>0</v>
      </c>
      <c r="G23" s="206">
        <f t="shared" ca="1" si="3"/>
        <v>0.71245689081522956</v>
      </c>
      <c r="I23" s="209">
        <v>1</v>
      </c>
      <c r="J23" s="209">
        <v>7.911591797990325E-2</v>
      </c>
      <c r="K23" s="209">
        <v>2.5368411857703315</v>
      </c>
      <c r="L23" s="209">
        <v>0</v>
      </c>
    </row>
    <row r="24" spans="3:12">
      <c r="C24" s="207" t="s">
        <v>337</v>
      </c>
      <c r="D24" s="205">
        <f t="shared" ca="1" si="0"/>
        <v>1</v>
      </c>
      <c r="E24" s="206">
        <f t="shared" ca="1" si="1"/>
        <v>6.3835740736288615E-2</v>
      </c>
      <c r="F24" s="206">
        <f t="shared" ca="1" si="2"/>
        <v>2.7514420458562796</v>
      </c>
      <c r="G24" s="206">
        <f t="shared" ca="1" si="3"/>
        <v>0</v>
      </c>
      <c r="I24" s="209">
        <v>1</v>
      </c>
      <c r="J24" s="209">
        <v>0.58437206760419635</v>
      </c>
      <c r="K24" s="209">
        <v>0.53721739695529014</v>
      </c>
      <c r="L24" s="209">
        <v>0</v>
      </c>
    </row>
  </sheetData>
  <autoFilter ref="I4:L4" xr:uid="{00000000-0009-0000-0000-00000F000000}">
    <sortState xmlns:xlrd2="http://schemas.microsoft.com/office/spreadsheetml/2017/richdata2" ref="I5:L24">
      <sortCondition ref="I4"/>
    </sortState>
  </autoFilter>
  <phoneticPr fontId="58" type="noConversion"/>
  <pageMargins left="0.7" right="0.7" top="0.75" bottom="0.75" header="0.3" footer="0.3"/>
  <drawing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925"/>
  <sheetViews>
    <sheetView showGridLines="0" topLeftCell="A11" workbookViewId="0">
      <selection activeCell="H26" sqref="H26"/>
    </sheetView>
  </sheetViews>
  <sheetFormatPr defaultColWidth="12.6640625" defaultRowHeight="13.2"/>
  <cols>
    <col min="1" max="1" width="15.33203125" customWidth="1"/>
    <col min="2" max="5" width="14.33203125" customWidth="1"/>
    <col min="6" max="6" width="18.33203125" customWidth="1"/>
    <col min="7" max="7" width="19.44140625" customWidth="1"/>
  </cols>
  <sheetData>
    <row r="1" spans="1:10" ht="13.8">
      <c r="B1" s="115"/>
      <c r="C1" s="116"/>
      <c r="D1" s="116"/>
      <c r="E1" s="116"/>
      <c r="F1" s="116"/>
      <c r="G1" s="116"/>
    </row>
    <row r="2" spans="1:10" ht="13.8">
      <c r="B2" s="115"/>
      <c r="C2" s="117"/>
      <c r="D2" s="117"/>
      <c r="E2" s="117"/>
      <c r="F2" s="117" t="s">
        <v>205</v>
      </c>
      <c r="G2" s="117" t="s">
        <v>206</v>
      </c>
      <c r="H2" s="118" t="s">
        <v>67</v>
      </c>
      <c r="I2" s="118" t="s">
        <v>207</v>
      </c>
      <c r="J2" s="118" t="s">
        <v>208</v>
      </c>
    </row>
    <row r="3" spans="1:10" ht="13.8">
      <c r="B3" s="118" t="s">
        <v>66</v>
      </c>
      <c r="C3" s="118" t="s">
        <v>67</v>
      </c>
      <c r="D3" s="118" t="s">
        <v>207</v>
      </c>
      <c r="E3" s="118" t="s">
        <v>208</v>
      </c>
      <c r="F3" s="119" t="s">
        <v>53</v>
      </c>
      <c r="G3" s="120" t="s">
        <v>209</v>
      </c>
      <c r="H3" s="4">
        <f>COVAR(B4:B14,C4:C14)</f>
        <v>100</v>
      </c>
      <c r="I3" s="4">
        <f>COVAR(B4:B14,D4:D14)</f>
        <v>10</v>
      </c>
      <c r="J3" s="4">
        <f>COVAR(B4:B14,E4:E14)</f>
        <v>110</v>
      </c>
    </row>
    <row r="4" spans="1:10" ht="13.8">
      <c r="B4" s="121">
        <v>-5</v>
      </c>
      <c r="C4" s="122">
        <f t="shared" ref="C4:C14" si="0">B4*10</f>
        <v>-50</v>
      </c>
      <c r="D4" s="122">
        <f t="shared" ref="D4:D14" si="1">B4+100</f>
        <v>95</v>
      </c>
      <c r="E4" s="122">
        <f t="shared" ref="E4:E14" si="2">C4+D4+200</f>
        <v>245</v>
      </c>
      <c r="F4" s="122">
        <v>0</v>
      </c>
      <c r="G4" s="123">
        <f t="shared" ref="G4:G14" si="3">$G$15+$G$16*B4</f>
        <v>-30</v>
      </c>
    </row>
    <row r="5" spans="1:10" ht="13.8">
      <c r="B5" s="121">
        <f t="shared" ref="B5:B14" si="4">B4+1</f>
        <v>-4</v>
      </c>
      <c r="C5" s="122">
        <f t="shared" si="0"/>
        <v>-40</v>
      </c>
      <c r="D5" s="122">
        <f t="shared" si="1"/>
        <v>96</v>
      </c>
      <c r="E5" s="122">
        <f t="shared" si="2"/>
        <v>256</v>
      </c>
      <c r="F5" s="122">
        <v>0</v>
      </c>
      <c r="G5" s="123">
        <f t="shared" si="3"/>
        <v>-24.5</v>
      </c>
    </row>
    <row r="6" spans="1:10" ht="13.8">
      <c r="B6" s="121">
        <f t="shared" si="4"/>
        <v>-3</v>
      </c>
      <c r="C6" s="122">
        <f t="shared" si="0"/>
        <v>-30</v>
      </c>
      <c r="D6" s="122">
        <f t="shared" si="1"/>
        <v>97</v>
      </c>
      <c r="E6" s="122">
        <f t="shared" si="2"/>
        <v>267</v>
      </c>
      <c r="F6" s="122">
        <v>0</v>
      </c>
      <c r="G6" s="123">
        <f t="shared" si="3"/>
        <v>-19</v>
      </c>
    </row>
    <row r="7" spans="1:10" ht="13.8">
      <c r="B7" s="121">
        <f t="shared" si="4"/>
        <v>-2</v>
      </c>
      <c r="C7" s="122">
        <f t="shared" si="0"/>
        <v>-20</v>
      </c>
      <c r="D7" s="122">
        <f t="shared" si="1"/>
        <v>98</v>
      </c>
      <c r="E7" s="122">
        <f t="shared" si="2"/>
        <v>278</v>
      </c>
      <c r="F7" s="122">
        <v>0</v>
      </c>
      <c r="G7" s="123">
        <f t="shared" si="3"/>
        <v>-13.5</v>
      </c>
    </row>
    <row r="8" spans="1:10" ht="13.8">
      <c r="B8" s="121">
        <f t="shared" si="4"/>
        <v>-1</v>
      </c>
      <c r="C8" s="122">
        <f t="shared" si="0"/>
        <v>-10</v>
      </c>
      <c r="D8" s="122">
        <f t="shared" si="1"/>
        <v>99</v>
      </c>
      <c r="E8" s="122">
        <f t="shared" si="2"/>
        <v>289</v>
      </c>
      <c r="F8" s="122">
        <v>0</v>
      </c>
      <c r="G8" s="123">
        <f t="shared" si="3"/>
        <v>-8</v>
      </c>
    </row>
    <row r="9" spans="1:10" ht="13.8">
      <c r="B9" s="121">
        <f t="shared" si="4"/>
        <v>0</v>
      </c>
      <c r="C9" s="122">
        <f t="shared" si="0"/>
        <v>0</v>
      </c>
      <c r="D9" s="122">
        <f t="shared" si="1"/>
        <v>100</v>
      </c>
      <c r="E9" s="122">
        <f t="shared" si="2"/>
        <v>300</v>
      </c>
      <c r="F9" s="122">
        <v>0</v>
      </c>
      <c r="G9" s="123">
        <f t="shared" si="3"/>
        <v>-2.5</v>
      </c>
    </row>
    <row r="10" spans="1:10" ht="13.8">
      <c r="B10" s="121">
        <f t="shared" si="4"/>
        <v>1</v>
      </c>
      <c r="C10" s="122">
        <f t="shared" si="0"/>
        <v>10</v>
      </c>
      <c r="D10" s="122">
        <f t="shared" si="1"/>
        <v>101</v>
      </c>
      <c r="E10" s="122">
        <f t="shared" si="2"/>
        <v>311</v>
      </c>
      <c r="F10" s="124">
        <v>1</v>
      </c>
      <c r="G10" s="123">
        <f t="shared" si="3"/>
        <v>3</v>
      </c>
    </row>
    <row r="11" spans="1:10" ht="13.8">
      <c r="B11" s="121">
        <f t="shared" si="4"/>
        <v>2</v>
      </c>
      <c r="C11" s="122">
        <f t="shared" si="0"/>
        <v>20</v>
      </c>
      <c r="D11" s="122">
        <f t="shared" si="1"/>
        <v>102</v>
      </c>
      <c r="E11" s="122">
        <f t="shared" si="2"/>
        <v>322</v>
      </c>
      <c r="F11" s="124">
        <v>1</v>
      </c>
      <c r="G11" s="123">
        <f t="shared" si="3"/>
        <v>8.5</v>
      </c>
    </row>
    <row r="12" spans="1:10" ht="13.8">
      <c r="B12" s="121">
        <f t="shared" si="4"/>
        <v>3</v>
      </c>
      <c r="C12" s="122">
        <f t="shared" si="0"/>
        <v>30</v>
      </c>
      <c r="D12" s="122">
        <f t="shared" si="1"/>
        <v>103</v>
      </c>
      <c r="E12" s="122">
        <f t="shared" si="2"/>
        <v>333</v>
      </c>
      <c r="F12" s="124">
        <v>1</v>
      </c>
      <c r="G12" s="123">
        <f t="shared" si="3"/>
        <v>14</v>
      </c>
    </row>
    <row r="13" spans="1:10" ht="13.8">
      <c r="B13" s="121">
        <f t="shared" si="4"/>
        <v>4</v>
      </c>
      <c r="C13" s="122">
        <f t="shared" si="0"/>
        <v>40</v>
      </c>
      <c r="D13" s="122">
        <f t="shared" si="1"/>
        <v>104</v>
      </c>
      <c r="E13" s="122">
        <f t="shared" si="2"/>
        <v>344</v>
      </c>
      <c r="F13" s="124">
        <v>1</v>
      </c>
      <c r="G13" s="123">
        <f t="shared" si="3"/>
        <v>19.5</v>
      </c>
    </row>
    <row r="14" spans="1:10" ht="13.8">
      <c r="B14" s="125">
        <f t="shared" si="4"/>
        <v>5</v>
      </c>
      <c r="C14" s="122">
        <f t="shared" si="0"/>
        <v>50</v>
      </c>
      <c r="D14" s="122">
        <f t="shared" si="1"/>
        <v>105</v>
      </c>
      <c r="E14" s="122">
        <f t="shared" si="2"/>
        <v>355</v>
      </c>
      <c r="F14" s="126">
        <v>1</v>
      </c>
      <c r="G14" s="123">
        <f t="shared" si="3"/>
        <v>25</v>
      </c>
    </row>
    <row r="15" spans="1:10" ht="13.8">
      <c r="A15" s="4" t="s">
        <v>210</v>
      </c>
      <c r="B15" s="115">
        <f t="shared" ref="B15:E15" si="5">AVERAGE(B4:B14)</f>
        <v>0</v>
      </c>
      <c r="C15" s="123">
        <f t="shared" si="5"/>
        <v>0</v>
      </c>
      <c r="D15" s="123">
        <f t="shared" si="5"/>
        <v>100</v>
      </c>
      <c r="E15" s="123">
        <f t="shared" si="5"/>
        <v>300</v>
      </c>
      <c r="F15" s="116" t="s">
        <v>100</v>
      </c>
      <c r="G15" s="116">
        <v>-2.5</v>
      </c>
    </row>
    <row r="16" spans="1:10" ht="13.8">
      <c r="A16" s="4" t="s">
        <v>211</v>
      </c>
      <c r="B16" s="115">
        <f t="shared" ref="B16:E16" si="6">STDEV(B4:B14)</f>
        <v>3.3166247903553998</v>
      </c>
      <c r="C16" s="115">
        <f t="shared" si="6"/>
        <v>33.166247903554002</v>
      </c>
      <c r="D16" s="115">
        <f t="shared" si="6"/>
        <v>3.3166247903553998</v>
      </c>
      <c r="E16" s="115">
        <f t="shared" si="6"/>
        <v>36.4828726939094</v>
      </c>
      <c r="F16" s="116" t="s">
        <v>102</v>
      </c>
      <c r="G16" s="127">
        <v>5.5</v>
      </c>
    </row>
    <row r="17" spans="1:17" ht="13.8">
      <c r="A17" s="4" t="s">
        <v>212</v>
      </c>
      <c r="B17" s="115">
        <f>STDEVP(B4:B14)</f>
        <v>3.1622776601683795</v>
      </c>
      <c r="C17" s="116"/>
      <c r="D17" s="116"/>
      <c r="E17" s="116"/>
      <c r="F17" s="116"/>
      <c r="G17" s="116"/>
    </row>
    <row r="18" spans="1:17" ht="13.8">
      <c r="B18" s="115"/>
      <c r="C18" s="128" t="s">
        <v>213</v>
      </c>
      <c r="D18" s="128"/>
      <c r="E18" s="129" t="s">
        <v>214</v>
      </c>
      <c r="F18" s="128"/>
      <c r="G18" s="128"/>
      <c r="H18" s="130"/>
      <c r="I18" s="130"/>
      <c r="J18" s="130"/>
      <c r="L18" s="4" t="s">
        <v>88</v>
      </c>
    </row>
    <row r="19" spans="1:17" ht="13.8">
      <c r="B19" s="115"/>
      <c r="C19" s="116"/>
      <c r="D19" s="116"/>
      <c r="E19" s="116"/>
      <c r="F19" s="116"/>
      <c r="G19" s="116"/>
    </row>
    <row r="20" spans="1:17" ht="15.75" customHeight="1">
      <c r="A20" s="131" t="s">
        <v>215</v>
      </c>
      <c r="B20" s="115"/>
      <c r="C20" s="116"/>
      <c r="D20" s="116"/>
      <c r="E20" s="116"/>
      <c r="F20" s="116"/>
      <c r="G20" s="116"/>
      <c r="H20" s="118" t="s">
        <v>67</v>
      </c>
      <c r="I20" s="118" t="s">
        <v>207</v>
      </c>
      <c r="J20" s="118" t="s">
        <v>208</v>
      </c>
      <c r="L20" s="132" t="s">
        <v>89</v>
      </c>
      <c r="M20" s="132"/>
    </row>
    <row r="21" spans="1:17" ht="13.8">
      <c r="B21" s="118" t="s">
        <v>216</v>
      </c>
      <c r="C21" s="118" t="s">
        <v>217</v>
      </c>
      <c r="D21" s="118" t="s">
        <v>218</v>
      </c>
      <c r="E21" s="118" t="s">
        <v>208</v>
      </c>
      <c r="F21" s="116"/>
      <c r="G21" s="116"/>
      <c r="H21" s="4">
        <f>COVAR(B22:B32,C22:C32)</f>
        <v>100</v>
      </c>
      <c r="I21" s="4">
        <f>COVAR(B22:B32,D22:D32)</f>
        <v>10</v>
      </c>
      <c r="J21" s="4">
        <f>COVAR(B22:B32,E22:E32)</f>
        <v>110</v>
      </c>
      <c r="L21" s="4" t="s">
        <v>219</v>
      </c>
      <c r="M21" s="4">
        <v>0</v>
      </c>
    </row>
    <row r="22" spans="1:17" ht="13.8">
      <c r="B22" s="121">
        <f t="shared" ref="B22:E32" si="7">B4-B$15</f>
        <v>-5</v>
      </c>
      <c r="C22" s="133">
        <f t="shared" si="7"/>
        <v>-50</v>
      </c>
      <c r="D22" s="133">
        <f t="shared" si="7"/>
        <v>-5</v>
      </c>
      <c r="E22" s="133">
        <f t="shared" si="7"/>
        <v>-55</v>
      </c>
      <c r="F22" s="116"/>
      <c r="G22" s="116"/>
      <c r="L22" s="4" t="s">
        <v>220</v>
      </c>
      <c r="M22" s="4">
        <v>0</v>
      </c>
    </row>
    <row r="23" spans="1:17" ht="13.8">
      <c r="B23" s="121">
        <f t="shared" si="7"/>
        <v>-4</v>
      </c>
      <c r="C23" s="133">
        <f t="shared" si="7"/>
        <v>-40</v>
      </c>
      <c r="D23" s="133">
        <f t="shared" si="7"/>
        <v>-4</v>
      </c>
      <c r="E23" s="133">
        <f t="shared" si="7"/>
        <v>-44</v>
      </c>
      <c r="F23" s="116"/>
      <c r="G23" s="116"/>
      <c r="L23" s="4" t="s">
        <v>221</v>
      </c>
      <c r="M23" s="4">
        <v>-0.66666666666666674</v>
      </c>
    </row>
    <row r="24" spans="1:17" ht="13.8">
      <c r="B24" s="121">
        <f t="shared" si="7"/>
        <v>-3</v>
      </c>
      <c r="C24" s="133">
        <f t="shared" si="7"/>
        <v>-30</v>
      </c>
      <c r="D24" s="133">
        <f t="shared" si="7"/>
        <v>-3</v>
      </c>
      <c r="E24" s="133">
        <f t="shared" si="7"/>
        <v>-33</v>
      </c>
      <c r="F24" s="116"/>
      <c r="G24" s="116"/>
      <c r="L24" s="4" t="s">
        <v>95</v>
      </c>
      <c r="M24" s="4">
        <v>0.67419986246324204</v>
      </c>
    </row>
    <row r="25" spans="1:17" ht="13.8">
      <c r="B25" s="121">
        <f t="shared" si="7"/>
        <v>-2</v>
      </c>
      <c r="C25" s="133">
        <f t="shared" si="7"/>
        <v>-20</v>
      </c>
      <c r="D25" s="133">
        <f t="shared" si="7"/>
        <v>-2</v>
      </c>
      <c r="E25" s="133">
        <f t="shared" si="7"/>
        <v>-22</v>
      </c>
      <c r="F25" s="116"/>
      <c r="G25" s="116"/>
      <c r="L25" s="34" t="s">
        <v>93</v>
      </c>
      <c r="M25" s="34">
        <v>11</v>
      </c>
    </row>
    <row r="26" spans="1:17" ht="13.8">
      <c r="B26" s="121">
        <f t="shared" si="7"/>
        <v>-1</v>
      </c>
      <c r="C26" s="133">
        <f t="shared" si="7"/>
        <v>-10</v>
      </c>
      <c r="D26" s="133">
        <f t="shared" si="7"/>
        <v>-1</v>
      </c>
      <c r="E26" s="133">
        <f t="shared" si="7"/>
        <v>-11</v>
      </c>
      <c r="F26" s="116"/>
      <c r="G26" s="116"/>
    </row>
    <row r="27" spans="1:17" ht="13.8">
      <c r="B27" s="121">
        <f t="shared" si="7"/>
        <v>0</v>
      </c>
      <c r="C27" s="133">
        <f t="shared" si="7"/>
        <v>0</v>
      </c>
      <c r="D27" s="133">
        <f t="shared" si="7"/>
        <v>0</v>
      </c>
      <c r="E27" s="133">
        <f t="shared" si="7"/>
        <v>0</v>
      </c>
      <c r="F27" s="116"/>
      <c r="G27" s="116"/>
      <c r="L27" s="4" t="s">
        <v>222</v>
      </c>
    </row>
    <row r="28" spans="1:17" ht="13.8">
      <c r="B28" s="121">
        <f t="shared" si="7"/>
        <v>1</v>
      </c>
      <c r="C28" s="133">
        <f t="shared" si="7"/>
        <v>10</v>
      </c>
      <c r="D28" s="133">
        <f t="shared" si="7"/>
        <v>1</v>
      </c>
      <c r="E28" s="133">
        <f t="shared" si="7"/>
        <v>11</v>
      </c>
      <c r="F28" s="116"/>
      <c r="G28" s="116"/>
      <c r="L28" s="132"/>
      <c r="M28" s="132" t="s">
        <v>223</v>
      </c>
      <c r="N28" s="132" t="s">
        <v>224</v>
      </c>
      <c r="O28" s="132" t="s">
        <v>225</v>
      </c>
      <c r="P28" s="132" t="s">
        <v>226</v>
      </c>
      <c r="Q28" s="132" t="s">
        <v>227</v>
      </c>
    </row>
    <row r="29" spans="1:17" ht="13.8">
      <c r="B29" s="121">
        <f t="shared" si="7"/>
        <v>2</v>
      </c>
      <c r="C29" s="133">
        <f t="shared" si="7"/>
        <v>20</v>
      </c>
      <c r="D29" s="133">
        <f t="shared" si="7"/>
        <v>2</v>
      </c>
      <c r="E29" s="133">
        <f t="shared" si="7"/>
        <v>22</v>
      </c>
      <c r="F29" s="116"/>
      <c r="G29" s="116"/>
      <c r="L29" s="4" t="s">
        <v>228</v>
      </c>
      <c r="M29" s="4">
        <v>4</v>
      </c>
      <c r="N29" s="4">
        <v>0</v>
      </c>
      <c r="O29" s="4">
        <v>0</v>
      </c>
      <c r="P29" s="4">
        <v>0</v>
      </c>
      <c r="Q29" s="4">
        <v>1</v>
      </c>
    </row>
    <row r="30" spans="1:17" ht="13.8">
      <c r="B30" s="121">
        <f t="shared" si="7"/>
        <v>3</v>
      </c>
      <c r="C30" s="133">
        <f t="shared" si="7"/>
        <v>30</v>
      </c>
      <c r="D30" s="133">
        <f t="shared" si="7"/>
        <v>3</v>
      </c>
      <c r="E30" s="133">
        <f t="shared" si="7"/>
        <v>33</v>
      </c>
      <c r="F30" s="116"/>
      <c r="G30" s="116"/>
      <c r="L30" s="4" t="s">
        <v>229</v>
      </c>
      <c r="M30" s="4">
        <v>6</v>
      </c>
      <c r="N30" s="4">
        <v>2.7272727272727266</v>
      </c>
      <c r="O30" s="4">
        <v>0.45454545454545442</v>
      </c>
    </row>
    <row r="31" spans="1:17" ht="13.8">
      <c r="B31" s="121">
        <f t="shared" si="7"/>
        <v>4</v>
      </c>
      <c r="C31" s="133">
        <f t="shared" si="7"/>
        <v>40</v>
      </c>
      <c r="D31" s="133">
        <f t="shared" si="7"/>
        <v>4</v>
      </c>
      <c r="E31" s="133">
        <f t="shared" si="7"/>
        <v>44</v>
      </c>
      <c r="F31" s="116"/>
      <c r="G31" s="116"/>
      <c r="L31" s="34" t="s">
        <v>188</v>
      </c>
      <c r="M31" s="34">
        <v>10</v>
      </c>
      <c r="N31" s="34">
        <v>2.7272727272727266</v>
      </c>
      <c r="O31" s="34"/>
      <c r="P31" s="34"/>
      <c r="Q31" s="34"/>
    </row>
    <row r="32" spans="1:17" ht="13.8">
      <c r="B32" s="121">
        <f t="shared" si="7"/>
        <v>5</v>
      </c>
      <c r="C32" s="133">
        <f t="shared" si="7"/>
        <v>50</v>
      </c>
      <c r="D32" s="133">
        <f t="shared" si="7"/>
        <v>5</v>
      </c>
      <c r="E32" s="133">
        <f t="shared" si="7"/>
        <v>55</v>
      </c>
      <c r="F32" s="116"/>
      <c r="G32" s="116"/>
    </row>
    <row r="33" spans="1:20" ht="13.8">
      <c r="A33" s="4" t="s">
        <v>210</v>
      </c>
      <c r="B33" s="115">
        <f t="shared" ref="B33:E33" si="8">AVERAGE(B22:B32)</f>
        <v>0</v>
      </c>
      <c r="C33" s="123">
        <f t="shared" si="8"/>
        <v>0</v>
      </c>
      <c r="D33" s="123">
        <f t="shared" si="8"/>
        <v>0</v>
      </c>
      <c r="E33" s="123">
        <f t="shared" si="8"/>
        <v>0</v>
      </c>
      <c r="F33" s="116"/>
      <c r="G33" s="116"/>
      <c r="L33" s="132"/>
      <c r="M33" s="132" t="s">
        <v>94</v>
      </c>
      <c r="N33" s="132" t="s">
        <v>95</v>
      </c>
      <c r="O33" s="132" t="s">
        <v>230</v>
      </c>
      <c r="P33" s="132" t="s">
        <v>96</v>
      </c>
      <c r="Q33" s="132" t="s">
        <v>98</v>
      </c>
      <c r="R33" s="132" t="s">
        <v>99</v>
      </c>
      <c r="S33" s="132" t="s">
        <v>98</v>
      </c>
      <c r="T33" s="132" t="s">
        <v>99</v>
      </c>
    </row>
    <row r="34" spans="1:20" ht="13.8">
      <c r="A34" s="4" t="s">
        <v>211</v>
      </c>
      <c r="B34" s="115">
        <f t="shared" ref="B34:E34" si="9">STDEV(B22:B32)</f>
        <v>3.3166247903553998</v>
      </c>
      <c r="C34" s="115">
        <f t="shared" si="9"/>
        <v>33.166247903554002</v>
      </c>
      <c r="D34" s="115">
        <f t="shared" si="9"/>
        <v>3.3166247903553998</v>
      </c>
      <c r="E34" s="115">
        <f t="shared" si="9"/>
        <v>36.4828726939094</v>
      </c>
      <c r="F34" s="116"/>
      <c r="G34" s="116"/>
      <c r="L34" s="4" t="s">
        <v>100</v>
      </c>
      <c r="M34" s="4">
        <v>0</v>
      </c>
      <c r="N34" s="4">
        <v>0</v>
      </c>
      <c r="O34" s="4" t="e">
        <v>#NUM!</v>
      </c>
      <c r="P34" s="4" t="e">
        <v>#NUM!</v>
      </c>
      <c r="Q34" s="4">
        <v>0</v>
      </c>
      <c r="R34" s="4">
        <v>0</v>
      </c>
      <c r="S34" s="4">
        <v>0</v>
      </c>
      <c r="T34" s="4">
        <v>0</v>
      </c>
    </row>
    <row r="35" spans="1:20" ht="13.8">
      <c r="B35" s="115"/>
      <c r="C35" s="116"/>
      <c r="D35" s="116"/>
      <c r="E35" s="116"/>
      <c r="F35" s="116"/>
      <c r="G35" s="116"/>
      <c r="L35" s="4" t="s">
        <v>102</v>
      </c>
      <c r="M35" s="4">
        <v>0</v>
      </c>
      <c r="N35" s="4">
        <v>0</v>
      </c>
      <c r="O35" s="4" t="e">
        <v>#NUM!</v>
      </c>
      <c r="P35" s="4" t="e">
        <v>#NUM!</v>
      </c>
      <c r="Q35" s="4">
        <v>0</v>
      </c>
      <c r="R35" s="4">
        <v>0</v>
      </c>
      <c r="S35" s="4">
        <v>0</v>
      </c>
      <c r="T35" s="4">
        <v>0</v>
      </c>
    </row>
    <row r="36" spans="1:20" ht="15.6">
      <c r="A36" s="131" t="s">
        <v>231</v>
      </c>
      <c r="B36" s="115"/>
      <c r="C36" s="116"/>
      <c r="D36" s="116"/>
      <c r="E36" s="116"/>
      <c r="F36" s="116"/>
      <c r="G36" s="116"/>
      <c r="H36" s="118" t="s">
        <v>67</v>
      </c>
      <c r="I36" s="118" t="s">
        <v>207</v>
      </c>
      <c r="J36" s="118" t="s">
        <v>208</v>
      </c>
      <c r="L36" s="4" t="s">
        <v>103</v>
      </c>
      <c r="M36" s="4">
        <v>0</v>
      </c>
      <c r="N36" s="4">
        <v>0</v>
      </c>
      <c r="O36" s="4" t="e">
        <v>#NUM!</v>
      </c>
      <c r="P36" s="4" t="e">
        <v>#NUM!</v>
      </c>
      <c r="Q36" s="4">
        <v>0</v>
      </c>
      <c r="R36" s="4">
        <v>0</v>
      </c>
      <c r="S36" s="4">
        <v>0</v>
      </c>
      <c r="T36" s="4">
        <v>0</v>
      </c>
    </row>
    <row r="37" spans="1:20" ht="13.8">
      <c r="B37" s="118" t="s">
        <v>66</v>
      </c>
      <c r="C37" s="118" t="s">
        <v>67</v>
      </c>
      <c r="D37" s="118" t="s">
        <v>207</v>
      </c>
      <c r="E37" s="118" t="s">
        <v>208</v>
      </c>
      <c r="F37" s="116"/>
      <c r="G37" s="116"/>
      <c r="H37" s="4">
        <f>COVAR(B38:B48,C38:C48)</f>
        <v>0.90909090909090895</v>
      </c>
      <c r="I37" s="4">
        <f>COVAR(B38:B48,D38:D48)</f>
        <v>0.90909090909090906</v>
      </c>
      <c r="J37" s="4">
        <f>COVAR(B38:B48,E38:E48)</f>
        <v>0.90909090909090906</v>
      </c>
      <c r="L37" s="4" t="s">
        <v>232</v>
      </c>
      <c r="M37" s="4">
        <v>0</v>
      </c>
      <c r="N37" s="4">
        <v>0</v>
      </c>
      <c r="O37" s="4" t="e">
        <v>#NUM!</v>
      </c>
      <c r="P37" s="4" t="e">
        <v>#NUM!</v>
      </c>
      <c r="Q37" s="4">
        <v>0</v>
      </c>
      <c r="R37" s="4">
        <v>0</v>
      </c>
      <c r="S37" s="4">
        <v>0</v>
      </c>
      <c r="T37" s="4">
        <v>0</v>
      </c>
    </row>
    <row r="38" spans="1:20" ht="13.8">
      <c r="B38" s="134">
        <f t="shared" ref="B38:E48" si="10">B22/B$34</f>
        <v>-1.507556722888818</v>
      </c>
      <c r="C38" s="134">
        <f t="shared" si="10"/>
        <v>-1.507556722888818</v>
      </c>
      <c r="D38" s="134">
        <f t="shared" si="10"/>
        <v>-1.507556722888818</v>
      </c>
      <c r="E38" s="134">
        <f t="shared" si="10"/>
        <v>-1.507556722888818</v>
      </c>
      <c r="F38" s="116"/>
      <c r="G38" s="116"/>
      <c r="L38" s="34" t="s">
        <v>233</v>
      </c>
      <c r="M38" s="34">
        <v>0</v>
      </c>
      <c r="N38" s="34">
        <v>0</v>
      </c>
      <c r="O38" s="34" t="e">
        <v>#NUM!</v>
      </c>
      <c r="P38" s="34" t="e">
        <v>#NUM!</v>
      </c>
      <c r="Q38" s="34">
        <v>0</v>
      </c>
      <c r="R38" s="34">
        <v>0</v>
      </c>
      <c r="S38" s="34">
        <v>0</v>
      </c>
      <c r="T38" s="34">
        <v>0</v>
      </c>
    </row>
    <row r="39" spans="1:20" ht="14.4">
      <c r="B39" s="134">
        <f t="shared" si="10"/>
        <v>-1.2060453783110545</v>
      </c>
      <c r="C39" s="134">
        <f t="shared" si="10"/>
        <v>-1.2060453783110543</v>
      </c>
      <c r="D39" s="134">
        <f t="shared" si="10"/>
        <v>-1.2060453783110545</v>
      </c>
      <c r="E39" s="134">
        <f t="shared" si="10"/>
        <v>-1.2060453783110545</v>
      </c>
      <c r="F39" s="135"/>
      <c r="G39" s="136" t="s">
        <v>234</v>
      </c>
      <c r="H39" s="137" t="s">
        <v>235</v>
      </c>
      <c r="I39" s="137" t="s">
        <v>236</v>
      </c>
      <c r="J39" s="137" t="s">
        <v>237</v>
      </c>
    </row>
    <row r="40" spans="1:20" ht="13.8">
      <c r="B40" s="134">
        <f t="shared" si="10"/>
        <v>-0.90453403373329089</v>
      </c>
      <c r="C40" s="134">
        <f t="shared" si="10"/>
        <v>-0.90453403373329078</v>
      </c>
      <c r="D40" s="134">
        <f t="shared" si="10"/>
        <v>-0.90453403373329089</v>
      </c>
      <c r="E40" s="134">
        <f t="shared" si="10"/>
        <v>-0.90453403373329089</v>
      </c>
      <c r="F40" s="116" t="s">
        <v>234</v>
      </c>
      <c r="G40" s="116">
        <v>0.90909090909090906</v>
      </c>
    </row>
    <row r="41" spans="1:20" ht="13.8">
      <c r="B41" s="134">
        <f t="shared" si="10"/>
        <v>-0.60302268915552726</v>
      </c>
      <c r="C41" s="134">
        <f t="shared" si="10"/>
        <v>-0.60302268915552715</v>
      </c>
      <c r="D41" s="134">
        <f t="shared" si="10"/>
        <v>-0.60302268915552726</v>
      </c>
      <c r="E41" s="134">
        <f t="shared" si="10"/>
        <v>-0.60302268915552726</v>
      </c>
      <c r="F41" s="116" t="s">
        <v>235</v>
      </c>
      <c r="G41" s="116">
        <v>0.90909090909090895</v>
      </c>
      <c r="H41" s="4">
        <v>0.90909090909090895</v>
      </c>
    </row>
    <row r="42" spans="1:20" ht="13.8">
      <c r="B42" s="134">
        <f t="shared" si="10"/>
        <v>-0.30151134457776363</v>
      </c>
      <c r="C42" s="134">
        <f t="shared" si="10"/>
        <v>-0.30151134457776357</v>
      </c>
      <c r="D42" s="134">
        <f t="shared" si="10"/>
        <v>-0.30151134457776363</v>
      </c>
      <c r="E42" s="134">
        <f t="shared" si="10"/>
        <v>-0.30151134457776363</v>
      </c>
      <c r="F42" s="116" t="s">
        <v>236</v>
      </c>
      <c r="G42" s="116">
        <v>0.90909090909090906</v>
      </c>
      <c r="H42" s="4">
        <v>0.90909090909090895</v>
      </c>
      <c r="I42" s="4">
        <v>0.90909090909090906</v>
      </c>
    </row>
    <row r="43" spans="1:20" ht="13.8">
      <c r="B43" s="134">
        <f t="shared" si="10"/>
        <v>0</v>
      </c>
      <c r="C43" s="134">
        <f t="shared" si="10"/>
        <v>0</v>
      </c>
      <c r="D43" s="134">
        <f t="shared" si="10"/>
        <v>0</v>
      </c>
      <c r="E43" s="134">
        <f t="shared" si="10"/>
        <v>0</v>
      </c>
      <c r="F43" s="127" t="s">
        <v>237</v>
      </c>
      <c r="G43" s="127">
        <v>0.90909090909090906</v>
      </c>
      <c r="H43" s="34">
        <v>0.90909090909090895</v>
      </c>
      <c r="I43" s="34">
        <v>0.90909090909090906</v>
      </c>
      <c r="J43" s="34">
        <v>0.90909090909090906</v>
      </c>
    </row>
    <row r="44" spans="1:20" ht="13.8">
      <c r="B44" s="134">
        <f t="shared" si="10"/>
        <v>0.30151134457776363</v>
      </c>
      <c r="C44" s="134">
        <f t="shared" si="10"/>
        <v>0.30151134457776357</v>
      </c>
      <c r="D44" s="134">
        <f t="shared" si="10"/>
        <v>0.30151134457776363</v>
      </c>
      <c r="E44" s="134">
        <f t="shared" si="10"/>
        <v>0.30151134457776363</v>
      </c>
      <c r="F44" s="116"/>
      <c r="G44" s="116"/>
    </row>
    <row r="45" spans="1:20" ht="13.8">
      <c r="B45" s="134">
        <f t="shared" si="10"/>
        <v>0.60302268915552726</v>
      </c>
      <c r="C45" s="134">
        <f t="shared" si="10"/>
        <v>0.60302268915552715</v>
      </c>
      <c r="D45" s="134">
        <f t="shared" si="10"/>
        <v>0.60302268915552726</v>
      </c>
      <c r="E45" s="134">
        <f t="shared" si="10"/>
        <v>0.60302268915552726</v>
      </c>
      <c r="F45" s="116"/>
      <c r="G45" s="116"/>
    </row>
    <row r="46" spans="1:20" ht="13.8">
      <c r="B46" s="134">
        <f t="shared" si="10"/>
        <v>0.90453403373329089</v>
      </c>
      <c r="C46" s="134">
        <f t="shared" si="10"/>
        <v>0.90453403373329078</v>
      </c>
      <c r="D46" s="134">
        <f t="shared" si="10"/>
        <v>0.90453403373329089</v>
      </c>
      <c r="E46" s="134">
        <f t="shared" si="10"/>
        <v>0.90453403373329089</v>
      </c>
      <c r="F46" s="116"/>
      <c r="G46" s="116"/>
    </row>
    <row r="47" spans="1:20" ht="13.8">
      <c r="B47" s="134">
        <f t="shared" si="10"/>
        <v>1.2060453783110545</v>
      </c>
      <c r="C47" s="134">
        <f t="shared" si="10"/>
        <v>1.2060453783110543</v>
      </c>
      <c r="D47" s="134">
        <f t="shared" si="10"/>
        <v>1.2060453783110545</v>
      </c>
      <c r="E47" s="134">
        <f t="shared" si="10"/>
        <v>1.2060453783110545</v>
      </c>
      <c r="F47" s="116"/>
      <c r="G47" s="116"/>
    </row>
    <row r="48" spans="1:20" ht="13.8">
      <c r="B48" s="134">
        <f t="shared" si="10"/>
        <v>1.507556722888818</v>
      </c>
      <c r="C48" s="134">
        <f t="shared" si="10"/>
        <v>1.507556722888818</v>
      </c>
      <c r="D48" s="134">
        <f t="shared" si="10"/>
        <v>1.507556722888818</v>
      </c>
      <c r="E48" s="134">
        <f t="shared" si="10"/>
        <v>1.507556722888818</v>
      </c>
      <c r="F48" s="116"/>
      <c r="G48" s="116"/>
    </row>
    <row r="49" spans="1:7" ht="13.8">
      <c r="A49" s="4" t="s">
        <v>210</v>
      </c>
      <c r="B49" s="138">
        <f t="shared" ref="B49:E49" si="11">AVERAGE(B38:B48)</f>
        <v>0</v>
      </c>
      <c r="C49" s="138">
        <f t="shared" si="11"/>
        <v>0</v>
      </c>
      <c r="D49" s="138">
        <f t="shared" si="11"/>
        <v>0</v>
      </c>
      <c r="E49" s="138">
        <f t="shared" si="11"/>
        <v>0</v>
      </c>
      <c r="F49" s="116"/>
      <c r="G49" s="116"/>
    </row>
    <row r="50" spans="1:7" ht="13.8">
      <c r="A50" s="4" t="s">
        <v>211</v>
      </c>
      <c r="B50" s="115">
        <f t="shared" ref="B50:E50" si="12">STDEV(B38:B48)</f>
        <v>1</v>
      </c>
      <c r="C50" s="115">
        <f t="shared" si="12"/>
        <v>0.99999999999999989</v>
      </c>
      <c r="D50" s="115">
        <f t="shared" si="12"/>
        <v>1</v>
      </c>
      <c r="E50" s="115">
        <f t="shared" si="12"/>
        <v>1</v>
      </c>
      <c r="F50" s="116"/>
      <c r="G50" s="116"/>
    </row>
    <row r="51" spans="1:7" ht="13.8">
      <c r="B51" s="115"/>
      <c r="C51" s="116"/>
      <c r="D51" s="116"/>
      <c r="E51" s="116"/>
      <c r="F51" s="116"/>
      <c r="G51" s="116"/>
    </row>
    <row r="52" spans="1:7" ht="15.6">
      <c r="A52" s="131" t="s">
        <v>238</v>
      </c>
      <c r="B52" s="115"/>
      <c r="C52" s="116"/>
      <c r="D52" s="116"/>
      <c r="E52" s="116"/>
      <c r="F52" s="116"/>
      <c r="G52" s="116"/>
    </row>
    <row r="53" spans="1:7" ht="13.8">
      <c r="B53" s="115"/>
      <c r="C53" s="116"/>
      <c r="D53" s="116"/>
      <c r="E53" s="116"/>
      <c r="F53" s="116"/>
      <c r="G53" s="116"/>
    </row>
    <row r="54" spans="1:7" ht="14.4">
      <c r="B54" s="139"/>
      <c r="C54" s="136" t="s">
        <v>234</v>
      </c>
      <c r="D54" s="136" t="s">
        <v>235</v>
      </c>
      <c r="E54" s="136" t="s">
        <v>236</v>
      </c>
      <c r="F54" s="136" t="s">
        <v>237</v>
      </c>
      <c r="G54" s="116"/>
    </row>
    <row r="55" spans="1:7" ht="13.8">
      <c r="B55" s="115" t="s">
        <v>234</v>
      </c>
      <c r="C55" s="116">
        <v>0.90909090909090906</v>
      </c>
      <c r="D55" s="116"/>
      <c r="E55" s="116"/>
      <c r="F55" s="116"/>
      <c r="G55" s="116"/>
    </row>
    <row r="56" spans="1:7" ht="13.8">
      <c r="B56" s="115" t="s">
        <v>235</v>
      </c>
      <c r="C56" s="116">
        <v>0.90909090909090895</v>
      </c>
      <c r="D56" s="116">
        <v>0.90909090909090895</v>
      </c>
      <c r="E56" s="116"/>
      <c r="F56" s="116"/>
      <c r="G56" s="116"/>
    </row>
    <row r="57" spans="1:7" ht="13.8">
      <c r="B57" s="115" t="s">
        <v>236</v>
      </c>
      <c r="C57" s="116">
        <v>0.90909090909090906</v>
      </c>
      <c r="D57" s="116">
        <v>0.90909090909090895</v>
      </c>
      <c r="E57" s="116">
        <v>0.90909090909090906</v>
      </c>
      <c r="F57" s="116"/>
      <c r="G57" s="116"/>
    </row>
    <row r="58" spans="1:7" ht="13.8">
      <c r="B58" s="140" t="s">
        <v>237</v>
      </c>
      <c r="C58" s="127">
        <v>0.90909090909090906</v>
      </c>
      <c r="D58" s="127">
        <v>0.90909090909090895</v>
      </c>
      <c r="E58" s="127">
        <v>0.90909090909090906</v>
      </c>
      <c r="F58" s="127">
        <v>0.90909090909090906</v>
      </c>
      <c r="G58" s="116"/>
    </row>
    <row r="59" spans="1:7" ht="13.8">
      <c r="B59" s="115"/>
      <c r="C59" s="116"/>
      <c r="D59" s="116"/>
      <c r="E59" s="116"/>
      <c r="F59" s="116"/>
      <c r="G59" s="116"/>
    </row>
    <row r="60" spans="1:7" ht="15.6">
      <c r="A60" s="131"/>
      <c r="B60" s="115"/>
      <c r="C60" s="116"/>
      <c r="D60" s="116"/>
      <c r="E60" s="116"/>
      <c r="F60" s="116"/>
      <c r="G60" s="116"/>
    </row>
    <row r="61" spans="1:7" ht="13.8">
      <c r="B61" s="115"/>
      <c r="C61" s="116"/>
      <c r="D61" s="116"/>
      <c r="E61" s="116"/>
      <c r="F61" s="116"/>
      <c r="G61" s="116"/>
    </row>
    <row r="62" spans="1:7" ht="13.8">
      <c r="B62" s="115"/>
      <c r="C62" s="116"/>
      <c r="D62" s="116"/>
      <c r="E62" s="116"/>
      <c r="F62" s="116"/>
      <c r="G62" s="116"/>
    </row>
    <row r="63" spans="1:7" ht="13.8">
      <c r="B63" s="115"/>
      <c r="C63" s="116"/>
      <c r="D63" s="116"/>
      <c r="E63" s="116"/>
      <c r="F63" s="116"/>
      <c r="G63" s="116"/>
    </row>
    <row r="64" spans="1:7" ht="13.8">
      <c r="B64" s="115"/>
      <c r="C64" s="116"/>
      <c r="D64" s="116"/>
      <c r="E64" s="116"/>
      <c r="F64" s="116"/>
      <c r="G64" s="116"/>
    </row>
    <row r="65" spans="2:7" ht="13.8">
      <c r="B65" s="115"/>
      <c r="C65" s="116"/>
      <c r="D65" s="116"/>
      <c r="E65" s="116"/>
      <c r="F65" s="116"/>
      <c r="G65" s="116"/>
    </row>
    <row r="66" spans="2:7" ht="13.8">
      <c r="B66" s="115"/>
      <c r="C66" s="116"/>
      <c r="D66" s="116"/>
      <c r="E66" s="116"/>
      <c r="F66" s="116"/>
    </row>
    <row r="67" spans="2:7" ht="13.8">
      <c r="B67" s="115"/>
      <c r="C67" s="116"/>
      <c r="D67" s="116"/>
      <c r="E67" s="116"/>
      <c r="F67" s="116"/>
      <c r="G67" s="116"/>
    </row>
    <row r="68" spans="2:7" ht="13.8">
      <c r="B68" s="115"/>
      <c r="C68" s="116"/>
      <c r="D68" s="116"/>
      <c r="E68" s="116"/>
      <c r="F68" s="116"/>
      <c r="G68" s="116"/>
    </row>
    <row r="69" spans="2:7" ht="13.8">
      <c r="B69" s="115"/>
      <c r="C69" s="116"/>
      <c r="D69" s="116"/>
      <c r="E69" s="116"/>
      <c r="F69" s="116"/>
      <c r="G69" s="116"/>
    </row>
    <row r="70" spans="2:7" ht="13.8">
      <c r="B70" s="115"/>
      <c r="C70" s="116"/>
      <c r="D70" s="116"/>
      <c r="E70" s="116"/>
      <c r="F70" s="116"/>
      <c r="G70" s="116"/>
    </row>
    <row r="71" spans="2:7" ht="13.8">
      <c r="B71" s="115"/>
      <c r="C71" s="116"/>
      <c r="D71" s="116"/>
      <c r="E71" s="116"/>
      <c r="F71" s="116"/>
      <c r="G71" s="116"/>
    </row>
    <row r="72" spans="2:7" ht="13.8">
      <c r="B72" s="115"/>
      <c r="C72" s="116"/>
      <c r="D72" s="116"/>
      <c r="E72" s="116"/>
      <c r="F72" s="116"/>
      <c r="G72" s="116"/>
    </row>
    <row r="73" spans="2:7" ht="13.8">
      <c r="B73" s="115"/>
      <c r="C73" s="116"/>
      <c r="D73" s="116"/>
      <c r="E73" s="116"/>
      <c r="F73" s="116"/>
      <c r="G73" s="116"/>
    </row>
    <row r="74" spans="2:7" ht="13.8">
      <c r="B74" s="115"/>
      <c r="C74" s="116"/>
      <c r="D74" s="116"/>
      <c r="E74" s="116"/>
      <c r="F74" s="116"/>
      <c r="G74" s="116"/>
    </row>
    <row r="75" spans="2:7" ht="13.8">
      <c r="B75" s="115"/>
      <c r="C75" s="116"/>
      <c r="D75" s="116"/>
      <c r="E75" s="116"/>
      <c r="F75" s="116"/>
      <c r="G75" s="116"/>
    </row>
    <row r="76" spans="2:7" ht="13.8">
      <c r="B76" s="115"/>
      <c r="C76" s="116"/>
      <c r="D76" s="116"/>
      <c r="E76" s="116"/>
      <c r="F76" s="116"/>
      <c r="G76" s="116"/>
    </row>
    <row r="77" spans="2:7" ht="13.8">
      <c r="B77" s="115"/>
      <c r="C77" s="116"/>
      <c r="D77" s="116"/>
      <c r="E77" s="116"/>
      <c r="F77" s="116"/>
      <c r="G77" s="116"/>
    </row>
    <row r="78" spans="2:7" ht="13.8">
      <c r="B78" s="115"/>
      <c r="C78" s="116"/>
      <c r="D78" s="116"/>
      <c r="E78" s="116"/>
      <c r="F78" s="116"/>
      <c r="G78" s="116"/>
    </row>
    <row r="79" spans="2:7" ht="13.8">
      <c r="B79" s="115"/>
      <c r="C79" s="116"/>
      <c r="D79" s="116"/>
      <c r="E79" s="116"/>
      <c r="F79" s="116"/>
      <c r="G79" s="116"/>
    </row>
    <row r="80" spans="2:7" ht="13.8">
      <c r="B80" s="115"/>
      <c r="C80" s="116"/>
      <c r="D80" s="116"/>
      <c r="E80" s="116"/>
      <c r="F80" s="116"/>
      <c r="G80" s="116"/>
    </row>
    <row r="81" spans="2:7" ht="13.8">
      <c r="B81" s="115"/>
      <c r="C81" s="116"/>
      <c r="D81" s="116"/>
      <c r="E81" s="116"/>
      <c r="F81" s="116"/>
      <c r="G81" s="116"/>
    </row>
    <row r="82" spans="2:7" ht="13.8">
      <c r="B82" s="115"/>
      <c r="C82" s="116"/>
      <c r="D82" s="116"/>
      <c r="E82" s="116"/>
      <c r="F82" s="116"/>
      <c r="G82" s="116"/>
    </row>
    <row r="83" spans="2:7" ht="13.8">
      <c r="B83" s="115"/>
      <c r="C83" s="116"/>
      <c r="D83" s="116"/>
      <c r="E83" s="116"/>
      <c r="F83" s="116"/>
      <c r="G83" s="116"/>
    </row>
    <row r="84" spans="2:7" ht="13.8">
      <c r="B84" s="115"/>
      <c r="C84" s="116"/>
      <c r="D84" s="116"/>
      <c r="E84" s="116"/>
      <c r="F84" s="116"/>
      <c r="G84" s="116"/>
    </row>
    <row r="85" spans="2:7" ht="13.8">
      <c r="B85" s="115"/>
      <c r="C85" s="116"/>
      <c r="D85" s="116"/>
      <c r="E85" s="116"/>
      <c r="F85" s="116"/>
      <c r="G85" s="116"/>
    </row>
    <row r="86" spans="2:7" ht="13.8">
      <c r="B86" s="115"/>
      <c r="C86" s="116"/>
      <c r="D86" s="116"/>
      <c r="E86" s="116"/>
      <c r="F86" s="116"/>
      <c r="G86" s="116"/>
    </row>
    <row r="87" spans="2:7" ht="13.8">
      <c r="B87" s="115"/>
      <c r="C87" s="116"/>
      <c r="D87" s="116"/>
      <c r="E87" s="116"/>
      <c r="F87" s="116"/>
      <c r="G87" s="116"/>
    </row>
    <row r="88" spans="2:7" ht="13.8">
      <c r="B88" s="115"/>
      <c r="C88" s="116"/>
      <c r="D88" s="116"/>
      <c r="E88" s="116"/>
      <c r="F88" s="116"/>
      <c r="G88" s="116"/>
    </row>
    <row r="89" spans="2:7" ht="13.8">
      <c r="B89" s="115"/>
      <c r="C89" s="116"/>
      <c r="D89" s="116"/>
      <c r="E89" s="116"/>
      <c r="F89" s="116"/>
      <c r="G89" s="116"/>
    </row>
    <row r="90" spans="2:7" ht="13.8">
      <c r="B90" s="115"/>
      <c r="C90" s="116"/>
      <c r="D90" s="116"/>
      <c r="E90" s="116"/>
      <c r="F90" s="116"/>
      <c r="G90" s="116"/>
    </row>
    <row r="91" spans="2:7" ht="13.8">
      <c r="B91" s="115"/>
      <c r="C91" s="116"/>
      <c r="D91" s="116"/>
      <c r="E91" s="116"/>
      <c r="F91" s="116"/>
      <c r="G91" s="116"/>
    </row>
    <row r="92" spans="2:7" ht="13.8">
      <c r="B92" s="115"/>
      <c r="C92" s="116"/>
      <c r="D92" s="116"/>
      <c r="E92" s="116"/>
      <c r="F92" s="116"/>
      <c r="G92" s="116"/>
    </row>
    <row r="93" spans="2:7" ht="13.8">
      <c r="B93" s="115"/>
      <c r="C93" s="116"/>
      <c r="D93" s="116"/>
      <c r="E93" s="116"/>
      <c r="F93" s="116"/>
      <c r="G93" s="116"/>
    </row>
    <row r="94" spans="2:7" ht="13.8">
      <c r="B94" s="115"/>
      <c r="C94" s="116"/>
      <c r="D94" s="116"/>
      <c r="E94" s="116"/>
      <c r="F94" s="116"/>
      <c r="G94" s="116"/>
    </row>
    <row r="95" spans="2:7" ht="13.8">
      <c r="B95" s="115"/>
      <c r="C95" s="116"/>
      <c r="D95" s="116"/>
      <c r="E95" s="116"/>
      <c r="F95" s="116"/>
      <c r="G95" s="116"/>
    </row>
    <row r="96" spans="2:7" ht="13.8">
      <c r="B96" s="115"/>
      <c r="C96" s="116"/>
      <c r="D96" s="116"/>
      <c r="E96" s="116"/>
      <c r="F96" s="116"/>
      <c r="G96" s="116"/>
    </row>
    <row r="97" spans="2:7" ht="13.8">
      <c r="B97" s="115"/>
      <c r="C97" s="116"/>
      <c r="D97" s="116"/>
      <c r="E97" s="116"/>
      <c r="F97" s="116"/>
      <c r="G97" s="116"/>
    </row>
    <row r="98" spans="2:7" ht="13.8">
      <c r="B98" s="115"/>
      <c r="C98" s="116"/>
      <c r="D98" s="116"/>
      <c r="E98" s="116"/>
      <c r="F98" s="116"/>
      <c r="G98" s="116"/>
    </row>
    <row r="99" spans="2:7" ht="13.8">
      <c r="B99" s="115"/>
      <c r="C99" s="116"/>
      <c r="D99" s="116"/>
      <c r="E99" s="116"/>
      <c r="F99" s="116"/>
      <c r="G99" s="116"/>
    </row>
    <row r="100" spans="2:7" ht="13.8">
      <c r="B100" s="115"/>
      <c r="C100" s="116"/>
      <c r="D100" s="116"/>
      <c r="E100" s="116"/>
      <c r="F100" s="116"/>
      <c r="G100" s="116"/>
    </row>
    <row r="101" spans="2:7" ht="13.8">
      <c r="B101" s="115"/>
      <c r="C101" s="116"/>
      <c r="D101" s="116"/>
      <c r="E101" s="116"/>
      <c r="F101" s="116"/>
      <c r="G101" s="116"/>
    </row>
    <row r="102" spans="2:7" ht="13.8">
      <c r="B102" s="115"/>
      <c r="C102" s="116"/>
      <c r="D102" s="116"/>
      <c r="E102" s="116"/>
      <c r="F102" s="116"/>
      <c r="G102" s="116"/>
    </row>
    <row r="103" spans="2:7" ht="13.8">
      <c r="B103" s="115"/>
      <c r="C103" s="116"/>
      <c r="D103" s="116"/>
      <c r="E103" s="116"/>
      <c r="F103" s="116"/>
      <c r="G103" s="116"/>
    </row>
    <row r="104" spans="2:7" ht="13.8">
      <c r="B104" s="115"/>
      <c r="C104" s="116"/>
      <c r="D104" s="116"/>
      <c r="E104" s="116"/>
      <c r="F104" s="116"/>
      <c r="G104" s="116"/>
    </row>
    <row r="105" spans="2:7" ht="13.8">
      <c r="B105" s="115"/>
      <c r="C105" s="116"/>
      <c r="D105" s="116"/>
      <c r="E105" s="116"/>
      <c r="F105" s="116"/>
      <c r="G105" s="116"/>
    </row>
    <row r="106" spans="2:7" ht="13.8">
      <c r="B106" s="115"/>
      <c r="C106" s="116"/>
      <c r="D106" s="116"/>
      <c r="E106" s="116"/>
      <c r="F106" s="116"/>
      <c r="G106" s="116"/>
    </row>
    <row r="107" spans="2:7" ht="13.8">
      <c r="B107" s="115"/>
      <c r="C107" s="116"/>
      <c r="D107" s="116"/>
      <c r="E107" s="116"/>
      <c r="F107" s="116"/>
      <c r="G107" s="116"/>
    </row>
    <row r="108" spans="2:7" ht="13.8">
      <c r="B108" s="115"/>
      <c r="C108" s="116"/>
      <c r="D108" s="116"/>
      <c r="E108" s="116"/>
      <c r="F108" s="116"/>
      <c r="G108" s="116"/>
    </row>
    <row r="109" spans="2:7" ht="13.8">
      <c r="B109" s="115"/>
      <c r="C109" s="116"/>
      <c r="D109" s="116"/>
      <c r="E109" s="116"/>
      <c r="F109" s="116"/>
      <c r="G109" s="116"/>
    </row>
    <row r="110" spans="2:7" ht="13.8">
      <c r="B110" s="115"/>
      <c r="C110" s="116"/>
      <c r="D110" s="116"/>
      <c r="E110" s="116"/>
      <c r="F110" s="116"/>
      <c r="G110" s="116"/>
    </row>
    <row r="111" spans="2:7" ht="13.8">
      <c r="B111" s="115"/>
      <c r="C111" s="116"/>
      <c r="D111" s="116"/>
      <c r="E111" s="116"/>
      <c r="F111" s="116"/>
      <c r="G111" s="116"/>
    </row>
    <row r="112" spans="2:7" ht="13.8">
      <c r="B112" s="115"/>
      <c r="C112" s="116"/>
      <c r="D112" s="116"/>
      <c r="E112" s="116"/>
      <c r="F112" s="116"/>
      <c r="G112" s="116"/>
    </row>
    <row r="113" spans="2:7" ht="13.8">
      <c r="B113" s="115"/>
      <c r="C113" s="116"/>
      <c r="D113" s="116"/>
      <c r="E113" s="116"/>
      <c r="F113" s="116"/>
      <c r="G113" s="116"/>
    </row>
    <row r="114" spans="2:7" ht="13.8">
      <c r="B114" s="115"/>
      <c r="C114" s="116"/>
      <c r="D114" s="116"/>
      <c r="E114" s="116"/>
      <c r="F114" s="116"/>
      <c r="G114" s="116"/>
    </row>
    <row r="115" spans="2:7" ht="13.8">
      <c r="B115" s="115"/>
      <c r="C115" s="116"/>
      <c r="D115" s="116"/>
      <c r="E115" s="116"/>
      <c r="F115" s="116"/>
      <c r="G115" s="116"/>
    </row>
    <row r="116" spans="2:7" ht="13.8">
      <c r="B116" s="115"/>
      <c r="C116" s="116"/>
      <c r="D116" s="116"/>
      <c r="E116" s="116"/>
      <c r="F116" s="116"/>
      <c r="G116" s="116"/>
    </row>
    <row r="117" spans="2:7" ht="13.8">
      <c r="B117" s="115"/>
      <c r="C117" s="116"/>
      <c r="D117" s="116"/>
      <c r="E117" s="116"/>
      <c r="F117" s="116"/>
      <c r="G117" s="116"/>
    </row>
    <row r="118" spans="2:7" ht="13.8">
      <c r="B118" s="115"/>
      <c r="C118" s="116"/>
      <c r="D118" s="116"/>
      <c r="E118" s="116"/>
      <c r="F118" s="116"/>
      <c r="G118" s="116"/>
    </row>
    <row r="119" spans="2:7" ht="13.8">
      <c r="B119" s="115"/>
      <c r="C119" s="116"/>
      <c r="D119" s="116"/>
      <c r="E119" s="116"/>
      <c r="F119" s="116"/>
      <c r="G119" s="116"/>
    </row>
    <row r="120" spans="2:7" ht="13.8">
      <c r="B120" s="115"/>
      <c r="C120" s="116"/>
      <c r="D120" s="116"/>
      <c r="E120" s="116"/>
      <c r="F120" s="116"/>
      <c r="G120" s="116"/>
    </row>
    <row r="121" spans="2:7" ht="13.8">
      <c r="B121" s="115"/>
      <c r="C121" s="116"/>
      <c r="D121" s="116"/>
      <c r="E121" s="116"/>
      <c r="F121" s="116"/>
      <c r="G121" s="116"/>
    </row>
    <row r="122" spans="2:7" ht="13.8">
      <c r="B122" s="115"/>
      <c r="C122" s="116"/>
      <c r="D122" s="116"/>
      <c r="E122" s="116"/>
      <c r="F122" s="116"/>
      <c r="G122" s="116"/>
    </row>
    <row r="123" spans="2:7" ht="13.8">
      <c r="B123" s="115"/>
      <c r="C123" s="116"/>
      <c r="D123" s="116"/>
      <c r="E123" s="116"/>
      <c r="F123" s="116"/>
      <c r="G123" s="116"/>
    </row>
    <row r="124" spans="2:7" ht="13.8">
      <c r="B124" s="115"/>
      <c r="C124" s="116"/>
      <c r="D124" s="116"/>
      <c r="E124" s="116"/>
      <c r="F124" s="116"/>
      <c r="G124" s="116"/>
    </row>
    <row r="125" spans="2:7" ht="13.8">
      <c r="B125" s="115"/>
      <c r="C125" s="116"/>
      <c r="D125" s="116"/>
      <c r="E125" s="116"/>
      <c r="F125" s="116"/>
      <c r="G125" s="116"/>
    </row>
    <row r="126" spans="2:7" ht="13.8">
      <c r="B126" s="115"/>
      <c r="C126" s="116"/>
      <c r="D126" s="116"/>
      <c r="E126" s="116"/>
      <c r="F126" s="116"/>
      <c r="G126" s="116"/>
    </row>
    <row r="127" spans="2:7" ht="13.8">
      <c r="B127" s="115"/>
      <c r="C127" s="116"/>
      <c r="D127" s="116"/>
      <c r="E127" s="116"/>
      <c r="F127" s="116"/>
      <c r="G127" s="116"/>
    </row>
    <row r="128" spans="2:7" ht="13.8">
      <c r="B128" s="115"/>
      <c r="C128" s="116"/>
      <c r="D128" s="116"/>
      <c r="E128" s="116"/>
      <c r="F128" s="116"/>
      <c r="G128" s="116"/>
    </row>
    <row r="129" spans="2:7" ht="13.8">
      <c r="B129" s="115"/>
      <c r="C129" s="116"/>
      <c r="D129" s="116"/>
      <c r="E129" s="116"/>
      <c r="F129" s="116"/>
      <c r="G129" s="116"/>
    </row>
    <row r="130" spans="2:7" ht="13.8">
      <c r="B130" s="115"/>
      <c r="C130" s="116"/>
      <c r="D130" s="116"/>
      <c r="E130" s="116"/>
      <c r="F130" s="116"/>
      <c r="G130" s="116"/>
    </row>
    <row r="131" spans="2:7" ht="13.8">
      <c r="B131" s="115"/>
      <c r="C131" s="116"/>
      <c r="D131" s="116"/>
      <c r="E131" s="116"/>
      <c r="F131" s="116"/>
      <c r="G131" s="116"/>
    </row>
    <row r="132" spans="2:7" ht="13.8">
      <c r="B132" s="115"/>
      <c r="C132" s="116"/>
      <c r="D132" s="116"/>
      <c r="E132" s="116"/>
      <c r="F132" s="116"/>
      <c r="G132" s="116"/>
    </row>
    <row r="133" spans="2:7" ht="13.8">
      <c r="B133" s="115"/>
      <c r="C133" s="116"/>
      <c r="D133" s="116"/>
      <c r="E133" s="116"/>
      <c r="F133" s="116"/>
      <c r="G133" s="116"/>
    </row>
    <row r="134" spans="2:7" ht="13.8">
      <c r="B134" s="115"/>
      <c r="C134" s="116"/>
      <c r="D134" s="116"/>
      <c r="E134" s="116"/>
      <c r="F134" s="116"/>
      <c r="G134" s="116"/>
    </row>
    <row r="135" spans="2:7" ht="13.8">
      <c r="B135" s="115"/>
      <c r="C135" s="116"/>
      <c r="D135" s="116"/>
      <c r="E135" s="116"/>
      <c r="F135" s="116"/>
      <c r="G135" s="116"/>
    </row>
    <row r="136" spans="2:7" ht="13.8">
      <c r="B136" s="115"/>
      <c r="C136" s="116"/>
      <c r="D136" s="116"/>
      <c r="E136" s="116"/>
      <c r="F136" s="116"/>
      <c r="G136" s="116"/>
    </row>
    <row r="137" spans="2:7" ht="13.8">
      <c r="B137" s="115"/>
      <c r="C137" s="116"/>
      <c r="D137" s="116"/>
      <c r="E137" s="116"/>
      <c r="F137" s="116"/>
      <c r="G137" s="116"/>
    </row>
    <row r="138" spans="2:7" ht="13.8">
      <c r="B138" s="115"/>
      <c r="C138" s="116"/>
      <c r="D138" s="116"/>
      <c r="E138" s="116"/>
      <c r="F138" s="116"/>
      <c r="G138" s="116"/>
    </row>
    <row r="139" spans="2:7" ht="13.8">
      <c r="B139" s="115"/>
      <c r="C139" s="116"/>
      <c r="D139" s="116"/>
      <c r="E139" s="116"/>
      <c r="F139" s="116"/>
      <c r="G139" s="116"/>
    </row>
    <row r="140" spans="2:7" ht="13.8">
      <c r="B140" s="115"/>
      <c r="C140" s="116"/>
      <c r="D140" s="116"/>
      <c r="E140" s="116"/>
      <c r="F140" s="116"/>
      <c r="G140" s="116"/>
    </row>
    <row r="141" spans="2:7" ht="13.8">
      <c r="B141" s="115"/>
      <c r="C141" s="116"/>
      <c r="D141" s="116"/>
      <c r="E141" s="116"/>
      <c r="F141" s="116"/>
      <c r="G141" s="116"/>
    </row>
    <row r="142" spans="2:7" ht="13.8">
      <c r="B142" s="115"/>
      <c r="C142" s="116"/>
      <c r="D142" s="116"/>
      <c r="E142" s="116"/>
      <c r="F142" s="116"/>
      <c r="G142" s="116"/>
    </row>
    <row r="143" spans="2:7" ht="13.8">
      <c r="B143" s="115"/>
      <c r="C143" s="116"/>
      <c r="D143" s="116"/>
      <c r="E143" s="116"/>
      <c r="F143" s="116"/>
      <c r="G143" s="116"/>
    </row>
    <row r="144" spans="2:7" ht="13.8">
      <c r="B144" s="115"/>
      <c r="C144" s="116"/>
      <c r="D144" s="116"/>
      <c r="E144" s="116"/>
      <c r="F144" s="116"/>
      <c r="G144" s="116"/>
    </row>
    <row r="145" spans="2:7" ht="13.8">
      <c r="B145" s="115"/>
      <c r="C145" s="116"/>
      <c r="D145" s="116"/>
      <c r="E145" s="116"/>
      <c r="F145" s="116"/>
      <c r="G145" s="116"/>
    </row>
    <row r="146" spans="2:7" ht="13.8">
      <c r="B146" s="115"/>
      <c r="C146" s="116"/>
      <c r="D146" s="116"/>
      <c r="E146" s="116"/>
      <c r="F146" s="116"/>
      <c r="G146" s="116"/>
    </row>
    <row r="147" spans="2:7" ht="13.8">
      <c r="B147" s="115"/>
      <c r="C147" s="116"/>
      <c r="D147" s="116"/>
      <c r="E147" s="116"/>
      <c r="F147" s="116"/>
      <c r="G147" s="116"/>
    </row>
    <row r="148" spans="2:7" ht="13.8">
      <c r="B148" s="115"/>
      <c r="C148" s="116"/>
      <c r="D148" s="116"/>
      <c r="E148" s="116"/>
      <c r="F148" s="116"/>
      <c r="G148" s="116"/>
    </row>
    <row r="149" spans="2:7" ht="13.8">
      <c r="B149" s="115"/>
      <c r="C149" s="116"/>
      <c r="D149" s="116"/>
      <c r="E149" s="116"/>
      <c r="F149" s="116"/>
      <c r="G149" s="116"/>
    </row>
    <row r="150" spans="2:7" ht="13.8">
      <c r="B150" s="115"/>
      <c r="C150" s="116"/>
      <c r="D150" s="116"/>
      <c r="E150" s="116"/>
      <c r="F150" s="116"/>
      <c r="G150" s="116"/>
    </row>
    <row r="151" spans="2:7" ht="13.8">
      <c r="B151" s="115"/>
      <c r="C151" s="116"/>
      <c r="D151" s="116"/>
      <c r="E151" s="116"/>
      <c r="F151" s="116"/>
      <c r="G151" s="116"/>
    </row>
    <row r="152" spans="2:7" ht="13.8">
      <c r="B152" s="115"/>
      <c r="C152" s="116"/>
      <c r="D152" s="116"/>
      <c r="E152" s="116"/>
      <c r="F152" s="116"/>
      <c r="G152" s="116"/>
    </row>
    <row r="153" spans="2:7" ht="13.8">
      <c r="B153" s="115"/>
      <c r="C153" s="116"/>
      <c r="D153" s="116"/>
      <c r="E153" s="116"/>
      <c r="F153" s="116"/>
      <c r="G153" s="116"/>
    </row>
    <row r="154" spans="2:7" ht="13.8">
      <c r="B154" s="115"/>
      <c r="C154" s="116"/>
      <c r="D154" s="116"/>
      <c r="E154" s="116"/>
      <c r="F154" s="116"/>
      <c r="G154" s="116"/>
    </row>
    <row r="155" spans="2:7" ht="13.8">
      <c r="B155" s="115"/>
      <c r="C155" s="116"/>
      <c r="D155" s="116"/>
      <c r="E155" s="116"/>
      <c r="F155" s="116"/>
      <c r="G155" s="116"/>
    </row>
    <row r="156" spans="2:7" ht="13.8">
      <c r="B156" s="115"/>
      <c r="C156" s="116"/>
      <c r="D156" s="116"/>
      <c r="E156" s="116"/>
      <c r="F156" s="116"/>
      <c r="G156" s="116"/>
    </row>
    <row r="157" spans="2:7" ht="13.8">
      <c r="B157" s="115"/>
      <c r="C157" s="116"/>
      <c r="D157" s="116"/>
      <c r="E157" s="116"/>
      <c r="F157" s="116"/>
      <c r="G157" s="116"/>
    </row>
    <row r="158" spans="2:7" ht="13.8">
      <c r="B158" s="115"/>
      <c r="C158" s="116"/>
      <c r="D158" s="116"/>
      <c r="E158" s="116"/>
      <c r="F158" s="116"/>
      <c r="G158" s="116"/>
    </row>
    <row r="159" spans="2:7" ht="13.8">
      <c r="B159" s="115"/>
      <c r="C159" s="116"/>
      <c r="D159" s="116"/>
      <c r="E159" s="116"/>
      <c r="F159" s="116"/>
      <c r="G159" s="116"/>
    </row>
    <row r="160" spans="2:7" ht="13.8">
      <c r="B160" s="115"/>
      <c r="C160" s="116"/>
      <c r="D160" s="116"/>
      <c r="E160" s="116"/>
      <c r="F160" s="116"/>
      <c r="G160" s="116"/>
    </row>
    <row r="161" spans="2:7" ht="13.8">
      <c r="B161" s="115"/>
      <c r="C161" s="116"/>
      <c r="D161" s="116"/>
      <c r="E161" s="116"/>
      <c r="F161" s="116"/>
      <c r="G161" s="116"/>
    </row>
    <row r="162" spans="2:7" ht="13.8">
      <c r="B162" s="115"/>
      <c r="C162" s="116"/>
      <c r="D162" s="116"/>
      <c r="E162" s="116"/>
      <c r="F162" s="116"/>
      <c r="G162" s="116"/>
    </row>
    <row r="163" spans="2:7" ht="13.8">
      <c r="B163" s="115"/>
      <c r="C163" s="116"/>
      <c r="D163" s="116"/>
      <c r="E163" s="116"/>
      <c r="F163" s="116"/>
      <c r="G163" s="116"/>
    </row>
    <row r="164" spans="2:7" ht="13.8">
      <c r="B164" s="115"/>
      <c r="C164" s="116"/>
      <c r="D164" s="116"/>
      <c r="E164" s="116"/>
      <c r="F164" s="116"/>
      <c r="G164" s="116"/>
    </row>
    <row r="165" spans="2:7" ht="13.8">
      <c r="B165" s="115"/>
      <c r="C165" s="116"/>
      <c r="D165" s="116"/>
      <c r="E165" s="116"/>
      <c r="F165" s="116"/>
      <c r="G165" s="116"/>
    </row>
    <row r="166" spans="2:7" ht="13.8">
      <c r="B166" s="115"/>
      <c r="C166" s="116"/>
      <c r="D166" s="116"/>
      <c r="E166" s="116"/>
      <c r="F166" s="116"/>
      <c r="G166" s="116"/>
    </row>
    <row r="167" spans="2:7" ht="13.8">
      <c r="B167" s="115"/>
      <c r="C167" s="116"/>
      <c r="D167" s="116"/>
      <c r="E167" s="116"/>
      <c r="F167" s="116"/>
      <c r="G167" s="116"/>
    </row>
    <row r="168" spans="2:7" ht="13.8">
      <c r="B168" s="115"/>
      <c r="C168" s="116"/>
      <c r="D168" s="116"/>
      <c r="E168" s="116"/>
      <c r="F168" s="116"/>
      <c r="G168" s="116"/>
    </row>
    <row r="169" spans="2:7" ht="13.8">
      <c r="B169" s="115"/>
      <c r="C169" s="116"/>
      <c r="D169" s="116"/>
      <c r="E169" s="116"/>
      <c r="F169" s="116"/>
      <c r="G169" s="116"/>
    </row>
    <row r="170" spans="2:7" ht="13.8">
      <c r="B170" s="115"/>
      <c r="C170" s="116"/>
      <c r="D170" s="116"/>
      <c r="E170" s="116"/>
      <c r="F170" s="116"/>
      <c r="G170" s="116"/>
    </row>
    <row r="171" spans="2:7" ht="13.8">
      <c r="B171" s="115"/>
      <c r="C171" s="116"/>
      <c r="D171" s="116"/>
      <c r="E171" s="116"/>
      <c r="F171" s="116"/>
      <c r="G171" s="116"/>
    </row>
    <row r="172" spans="2:7" ht="13.8">
      <c r="B172" s="115"/>
      <c r="C172" s="116"/>
      <c r="D172" s="116"/>
      <c r="E172" s="116"/>
      <c r="F172" s="116"/>
      <c r="G172" s="116"/>
    </row>
    <row r="173" spans="2:7" ht="13.8">
      <c r="B173" s="115"/>
      <c r="C173" s="116"/>
      <c r="D173" s="116"/>
      <c r="E173" s="116"/>
      <c r="F173" s="116"/>
      <c r="G173" s="116"/>
    </row>
    <row r="174" spans="2:7" ht="13.8">
      <c r="B174" s="115"/>
      <c r="C174" s="116"/>
      <c r="D174" s="116"/>
      <c r="E174" s="116"/>
      <c r="F174" s="116"/>
      <c r="G174" s="116"/>
    </row>
    <row r="175" spans="2:7" ht="13.8">
      <c r="B175" s="115"/>
      <c r="C175" s="116"/>
      <c r="D175" s="116"/>
      <c r="E175" s="116"/>
      <c r="F175" s="116"/>
      <c r="G175" s="116"/>
    </row>
    <row r="176" spans="2:7" ht="13.8">
      <c r="B176" s="115"/>
      <c r="C176" s="116"/>
      <c r="D176" s="116"/>
      <c r="E176" s="116"/>
      <c r="F176" s="116"/>
      <c r="G176" s="116"/>
    </row>
    <row r="177" spans="2:7" ht="13.8">
      <c r="B177" s="115"/>
      <c r="C177" s="116"/>
      <c r="D177" s="116"/>
      <c r="E177" s="116"/>
      <c r="F177" s="116"/>
      <c r="G177" s="116"/>
    </row>
    <row r="178" spans="2:7" ht="13.8">
      <c r="B178" s="115"/>
      <c r="C178" s="116"/>
      <c r="D178" s="116"/>
      <c r="E178" s="116"/>
      <c r="F178" s="116"/>
      <c r="G178" s="116"/>
    </row>
    <row r="179" spans="2:7" ht="13.8">
      <c r="B179" s="115"/>
      <c r="C179" s="116"/>
      <c r="D179" s="116"/>
      <c r="E179" s="116"/>
      <c r="F179" s="116"/>
      <c r="G179" s="116"/>
    </row>
    <row r="180" spans="2:7" ht="13.8">
      <c r="B180" s="115"/>
      <c r="C180" s="116"/>
      <c r="D180" s="116"/>
      <c r="E180" s="116"/>
      <c r="F180" s="116"/>
      <c r="G180" s="116"/>
    </row>
    <row r="181" spans="2:7" ht="13.8">
      <c r="B181" s="115"/>
      <c r="C181" s="116"/>
      <c r="D181" s="116"/>
      <c r="E181" s="116"/>
      <c r="F181" s="116"/>
      <c r="G181" s="116"/>
    </row>
    <row r="182" spans="2:7" ht="13.8">
      <c r="B182" s="115"/>
      <c r="C182" s="116"/>
      <c r="D182" s="116"/>
      <c r="E182" s="116"/>
      <c r="F182" s="116"/>
      <c r="G182" s="116"/>
    </row>
    <row r="183" spans="2:7" ht="13.8">
      <c r="B183" s="115"/>
      <c r="C183" s="116"/>
      <c r="D183" s="116"/>
      <c r="E183" s="116"/>
      <c r="F183" s="116"/>
      <c r="G183" s="116"/>
    </row>
    <row r="184" spans="2:7" ht="13.8">
      <c r="B184" s="115"/>
      <c r="C184" s="116"/>
      <c r="D184" s="116"/>
      <c r="E184" s="116"/>
      <c r="F184" s="116"/>
      <c r="G184" s="116"/>
    </row>
    <row r="185" spans="2:7" ht="13.8">
      <c r="B185" s="115"/>
      <c r="C185" s="116"/>
      <c r="D185" s="116"/>
      <c r="E185" s="116"/>
      <c r="F185" s="116"/>
      <c r="G185" s="116"/>
    </row>
    <row r="186" spans="2:7" ht="13.8">
      <c r="B186" s="115"/>
      <c r="C186" s="116"/>
      <c r="D186" s="116"/>
      <c r="E186" s="116"/>
      <c r="F186" s="116"/>
      <c r="G186" s="116"/>
    </row>
    <row r="187" spans="2:7" ht="13.8">
      <c r="B187" s="115"/>
      <c r="C187" s="116"/>
      <c r="D187" s="116"/>
      <c r="E187" s="116"/>
      <c r="F187" s="116"/>
      <c r="G187" s="116"/>
    </row>
    <row r="188" spans="2:7" ht="13.8">
      <c r="B188" s="115"/>
      <c r="C188" s="116"/>
      <c r="D188" s="116"/>
      <c r="E188" s="116"/>
      <c r="F188" s="116"/>
      <c r="G188" s="116"/>
    </row>
    <row r="189" spans="2:7" ht="13.8">
      <c r="B189" s="115"/>
      <c r="C189" s="116"/>
      <c r="D189" s="116"/>
      <c r="E189" s="116"/>
      <c r="F189" s="116"/>
      <c r="G189" s="116"/>
    </row>
    <row r="190" spans="2:7" ht="13.8">
      <c r="B190" s="115"/>
      <c r="C190" s="116"/>
      <c r="D190" s="116"/>
      <c r="E190" s="116"/>
      <c r="F190" s="116"/>
      <c r="G190" s="116"/>
    </row>
    <row r="191" spans="2:7" ht="13.8">
      <c r="B191" s="115"/>
      <c r="C191" s="116"/>
      <c r="D191" s="116"/>
      <c r="E191" s="116"/>
      <c r="F191" s="116"/>
      <c r="G191" s="116"/>
    </row>
    <row r="192" spans="2:7" ht="13.8">
      <c r="B192" s="115"/>
      <c r="C192" s="116"/>
      <c r="D192" s="116"/>
      <c r="E192" s="116"/>
      <c r="F192" s="116"/>
      <c r="G192" s="116"/>
    </row>
    <row r="193" spans="2:7" ht="13.8">
      <c r="B193" s="115"/>
      <c r="C193" s="116"/>
      <c r="D193" s="116"/>
      <c r="E193" s="116"/>
      <c r="F193" s="116"/>
      <c r="G193" s="116"/>
    </row>
    <row r="194" spans="2:7" ht="13.8">
      <c r="B194" s="115"/>
      <c r="C194" s="116"/>
      <c r="D194" s="116"/>
      <c r="E194" s="116"/>
      <c r="F194" s="116"/>
      <c r="G194" s="116"/>
    </row>
    <row r="195" spans="2:7" ht="13.8">
      <c r="B195" s="115"/>
      <c r="C195" s="116"/>
      <c r="D195" s="116"/>
      <c r="E195" s="116"/>
      <c r="F195" s="116"/>
      <c r="G195" s="116"/>
    </row>
    <row r="196" spans="2:7" ht="13.8">
      <c r="B196" s="115"/>
      <c r="C196" s="116"/>
      <c r="D196" s="116"/>
      <c r="E196" s="116"/>
      <c r="F196" s="116"/>
      <c r="G196" s="116"/>
    </row>
    <row r="197" spans="2:7" ht="13.8">
      <c r="B197" s="115"/>
      <c r="C197" s="116"/>
      <c r="D197" s="116"/>
      <c r="E197" s="116"/>
      <c r="F197" s="116"/>
      <c r="G197" s="116"/>
    </row>
    <row r="198" spans="2:7" ht="13.8">
      <c r="B198" s="115"/>
      <c r="C198" s="116"/>
      <c r="D198" s="116"/>
      <c r="E198" s="116"/>
      <c r="F198" s="116"/>
      <c r="G198" s="116"/>
    </row>
    <row r="199" spans="2:7" ht="13.8">
      <c r="B199" s="115"/>
      <c r="C199" s="116"/>
      <c r="D199" s="116"/>
      <c r="E199" s="116"/>
      <c r="F199" s="116"/>
      <c r="G199" s="116"/>
    </row>
    <row r="200" spans="2:7" ht="13.8">
      <c r="B200" s="115"/>
      <c r="C200" s="116"/>
      <c r="D200" s="116"/>
      <c r="E200" s="116"/>
      <c r="F200" s="116"/>
      <c r="G200" s="116"/>
    </row>
    <row r="201" spans="2:7" ht="13.8">
      <c r="B201" s="115"/>
      <c r="C201" s="116"/>
      <c r="D201" s="116"/>
      <c r="E201" s="116"/>
      <c r="F201" s="116"/>
      <c r="G201" s="116"/>
    </row>
    <row r="202" spans="2:7" ht="13.8">
      <c r="B202" s="115"/>
      <c r="C202" s="116"/>
      <c r="D202" s="116"/>
      <c r="E202" s="116"/>
      <c r="F202" s="116"/>
      <c r="G202" s="116"/>
    </row>
    <row r="203" spans="2:7" ht="13.8">
      <c r="B203" s="115"/>
      <c r="C203" s="116"/>
      <c r="D203" s="116"/>
      <c r="E203" s="116"/>
      <c r="F203" s="116"/>
      <c r="G203" s="116"/>
    </row>
    <row r="204" spans="2:7" ht="13.8">
      <c r="B204" s="115"/>
      <c r="C204" s="116"/>
      <c r="D204" s="116"/>
      <c r="E204" s="116"/>
      <c r="F204" s="116"/>
      <c r="G204" s="116"/>
    </row>
    <row r="205" spans="2:7" ht="13.8">
      <c r="B205" s="115"/>
      <c r="C205" s="116"/>
      <c r="D205" s="116"/>
      <c r="E205" s="116"/>
      <c r="F205" s="116"/>
      <c r="G205" s="116"/>
    </row>
    <row r="206" spans="2:7" ht="13.8">
      <c r="B206" s="115"/>
      <c r="C206" s="116"/>
      <c r="D206" s="116"/>
      <c r="E206" s="116"/>
      <c r="F206" s="116"/>
      <c r="G206" s="116"/>
    </row>
    <row r="207" spans="2:7" ht="13.8">
      <c r="B207" s="115"/>
      <c r="C207" s="116"/>
      <c r="D207" s="116"/>
      <c r="E207" s="116"/>
      <c r="F207" s="116"/>
      <c r="G207" s="116"/>
    </row>
    <row r="208" spans="2:7" ht="13.8">
      <c r="B208" s="115"/>
      <c r="C208" s="116"/>
      <c r="D208" s="116"/>
      <c r="E208" s="116"/>
      <c r="F208" s="116"/>
      <c r="G208" s="116"/>
    </row>
    <row r="209" spans="2:7" ht="13.8">
      <c r="B209" s="115"/>
      <c r="C209" s="116"/>
      <c r="D209" s="116"/>
      <c r="E209" s="116"/>
      <c r="F209" s="116"/>
      <c r="G209" s="116"/>
    </row>
    <row r="210" spans="2:7" ht="13.8">
      <c r="B210" s="115"/>
      <c r="C210" s="116"/>
      <c r="D210" s="116"/>
      <c r="E210" s="116"/>
      <c r="F210" s="116"/>
      <c r="G210" s="116"/>
    </row>
    <row r="211" spans="2:7" ht="13.8">
      <c r="B211" s="115"/>
      <c r="C211" s="116"/>
      <c r="D211" s="116"/>
      <c r="E211" s="116"/>
      <c r="F211" s="116"/>
      <c r="G211" s="116"/>
    </row>
    <row r="212" spans="2:7" ht="13.8">
      <c r="B212" s="115"/>
      <c r="C212" s="116"/>
      <c r="D212" s="116"/>
      <c r="E212" s="116"/>
      <c r="F212" s="116"/>
      <c r="G212" s="116"/>
    </row>
    <row r="213" spans="2:7" ht="13.8">
      <c r="B213" s="115"/>
      <c r="C213" s="116"/>
      <c r="D213" s="116"/>
      <c r="E213" s="116"/>
      <c r="F213" s="116"/>
      <c r="G213" s="116"/>
    </row>
    <row r="214" spans="2:7" ht="13.8">
      <c r="B214" s="115"/>
      <c r="C214" s="116"/>
      <c r="D214" s="116"/>
      <c r="E214" s="116"/>
      <c r="F214" s="116"/>
      <c r="G214" s="116"/>
    </row>
    <row r="215" spans="2:7" ht="13.8">
      <c r="B215" s="115"/>
      <c r="C215" s="116"/>
      <c r="D215" s="116"/>
      <c r="E215" s="116"/>
      <c r="F215" s="116"/>
      <c r="G215" s="116"/>
    </row>
    <row r="216" spans="2:7" ht="13.8">
      <c r="B216" s="115"/>
      <c r="C216" s="116"/>
      <c r="D216" s="116"/>
      <c r="E216" s="116"/>
      <c r="F216" s="116"/>
      <c r="G216" s="116"/>
    </row>
    <row r="217" spans="2:7" ht="13.8">
      <c r="B217" s="115"/>
      <c r="C217" s="116"/>
      <c r="D217" s="116"/>
      <c r="E217" s="116"/>
      <c r="F217" s="116"/>
      <c r="G217" s="116"/>
    </row>
    <row r="218" spans="2:7" ht="13.8">
      <c r="B218" s="115"/>
      <c r="C218" s="116"/>
      <c r="D218" s="116"/>
      <c r="E218" s="116"/>
      <c r="F218" s="116"/>
      <c r="G218" s="116"/>
    </row>
    <row r="219" spans="2:7" ht="13.8">
      <c r="B219" s="115"/>
      <c r="C219" s="116"/>
      <c r="D219" s="116"/>
      <c r="E219" s="116"/>
      <c r="F219" s="116"/>
      <c r="G219" s="116"/>
    </row>
    <row r="220" spans="2:7" ht="13.8">
      <c r="B220" s="115"/>
      <c r="C220" s="116"/>
      <c r="D220" s="116"/>
      <c r="E220" s="116"/>
      <c r="F220" s="116"/>
      <c r="G220" s="116"/>
    </row>
    <row r="221" spans="2:7" ht="13.8">
      <c r="B221" s="115"/>
      <c r="C221" s="116"/>
      <c r="D221" s="116"/>
      <c r="E221" s="116"/>
      <c r="F221" s="116"/>
      <c r="G221" s="116"/>
    </row>
    <row r="222" spans="2:7" ht="13.8">
      <c r="B222" s="115"/>
      <c r="C222" s="116"/>
      <c r="D222" s="116"/>
      <c r="E222" s="116"/>
      <c r="F222" s="116"/>
      <c r="G222" s="116"/>
    </row>
    <row r="223" spans="2:7" ht="13.8">
      <c r="B223" s="115"/>
      <c r="C223" s="116"/>
      <c r="D223" s="116"/>
      <c r="E223" s="116"/>
      <c r="F223" s="116"/>
      <c r="G223" s="116"/>
    </row>
    <row r="224" spans="2:7" ht="13.8">
      <c r="B224" s="115"/>
      <c r="C224" s="116"/>
      <c r="D224" s="116"/>
      <c r="E224" s="116"/>
      <c r="F224" s="116"/>
      <c r="G224" s="116"/>
    </row>
    <row r="225" spans="2:7" ht="13.8">
      <c r="B225" s="115"/>
      <c r="C225" s="116"/>
      <c r="D225" s="116"/>
      <c r="E225" s="116"/>
      <c r="F225" s="116"/>
      <c r="G225" s="116"/>
    </row>
    <row r="226" spans="2:7" ht="13.8">
      <c r="B226" s="115"/>
      <c r="C226" s="116"/>
      <c r="D226" s="116"/>
      <c r="E226" s="116"/>
      <c r="F226" s="116"/>
      <c r="G226" s="116"/>
    </row>
    <row r="227" spans="2:7" ht="13.8">
      <c r="B227" s="115"/>
      <c r="C227" s="116"/>
      <c r="D227" s="116"/>
      <c r="E227" s="116"/>
      <c r="F227" s="116"/>
      <c r="G227" s="116"/>
    </row>
    <row r="228" spans="2:7" ht="13.8">
      <c r="B228" s="115"/>
      <c r="C228" s="116"/>
      <c r="D228" s="116"/>
      <c r="E228" s="116"/>
      <c r="F228" s="116"/>
      <c r="G228" s="116"/>
    </row>
    <row r="229" spans="2:7" ht="13.8">
      <c r="B229" s="115"/>
      <c r="C229" s="116"/>
      <c r="D229" s="116"/>
      <c r="E229" s="116"/>
      <c r="F229" s="116"/>
      <c r="G229" s="116"/>
    </row>
    <row r="230" spans="2:7" ht="13.8">
      <c r="B230" s="115"/>
      <c r="C230" s="116"/>
      <c r="D230" s="116"/>
      <c r="E230" s="116"/>
      <c r="F230" s="116"/>
      <c r="G230" s="116"/>
    </row>
    <row r="231" spans="2:7" ht="13.8">
      <c r="B231" s="115"/>
      <c r="C231" s="116"/>
      <c r="D231" s="116"/>
      <c r="E231" s="116"/>
      <c r="F231" s="116"/>
      <c r="G231" s="116"/>
    </row>
    <row r="232" spans="2:7" ht="13.8">
      <c r="B232" s="115"/>
      <c r="C232" s="116"/>
      <c r="D232" s="116"/>
      <c r="E232" s="116"/>
      <c r="F232" s="116"/>
      <c r="G232" s="116"/>
    </row>
    <row r="233" spans="2:7" ht="13.8">
      <c r="B233" s="115"/>
      <c r="C233" s="116"/>
      <c r="D233" s="116"/>
      <c r="E233" s="116"/>
      <c r="F233" s="116"/>
      <c r="G233" s="116"/>
    </row>
    <row r="234" spans="2:7" ht="13.8">
      <c r="B234" s="115"/>
      <c r="C234" s="116"/>
      <c r="D234" s="116"/>
      <c r="E234" s="116"/>
      <c r="F234" s="116"/>
      <c r="G234" s="116"/>
    </row>
    <row r="235" spans="2:7" ht="13.8">
      <c r="B235" s="115"/>
      <c r="C235" s="116"/>
      <c r="D235" s="116"/>
      <c r="E235" s="116"/>
      <c r="F235" s="116"/>
      <c r="G235" s="116"/>
    </row>
    <row r="236" spans="2:7" ht="13.8">
      <c r="B236" s="115"/>
      <c r="C236" s="116"/>
      <c r="D236" s="116"/>
      <c r="E236" s="116"/>
      <c r="F236" s="116"/>
      <c r="G236" s="116"/>
    </row>
    <row r="237" spans="2:7" ht="13.8">
      <c r="B237" s="115"/>
      <c r="C237" s="116"/>
      <c r="D237" s="116"/>
      <c r="E237" s="116"/>
      <c r="F237" s="116"/>
      <c r="G237" s="116"/>
    </row>
    <row r="238" spans="2:7" ht="13.8">
      <c r="B238" s="115"/>
      <c r="C238" s="116"/>
      <c r="D238" s="116"/>
      <c r="E238" s="116"/>
      <c r="F238" s="116"/>
      <c r="G238" s="116"/>
    </row>
    <row r="239" spans="2:7" ht="13.8">
      <c r="B239" s="115"/>
      <c r="C239" s="116"/>
      <c r="D239" s="116"/>
      <c r="E239" s="116"/>
      <c r="F239" s="116"/>
      <c r="G239" s="116"/>
    </row>
    <row r="240" spans="2:7" ht="13.8">
      <c r="B240" s="115"/>
      <c r="C240" s="116"/>
      <c r="D240" s="116"/>
      <c r="E240" s="116"/>
      <c r="F240" s="116"/>
      <c r="G240" s="116"/>
    </row>
    <row r="241" spans="2:7" ht="13.8">
      <c r="B241" s="115"/>
      <c r="C241" s="116"/>
      <c r="D241" s="116"/>
      <c r="E241" s="116"/>
      <c r="F241" s="116"/>
      <c r="G241" s="116"/>
    </row>
    <row r="242" spans="2:7" ht="13.8">
      <c r="B242" s="115"/>
      <c r="C242" s="116"/>
      <c r="D242" s="116"/>
      <c r="E242" s="116"/>
      <c r="F242" s="116"/>
      <c r="G242" s="116"/>
    </row>
    <row r="243" spans="2:7" ht="13.8">
      <c r="B243" s="115"/>
      <c r="C243" s="116"/>
      <c r="D243" s="116"/>
      <c r="E243" s="116"/>
      <c r="F243" s="116"/>
      <c r="G243" s="116"/>
    </row>
    <row r="244" spans="2:7" ht="13.8">
      <c r="B244" s="115"/>
      <c r="C244" s="116"/>
      <c r="D244" s="116"/>
      <c r="E244" s="116"/>
      <c r="F244" s="116"/>
      <c r="G244" s="116"/>
    </row>
    <row r="245" spans="2:7" ht="13.8">
      <c r="B245" s="115"/>
      <c r="C245" s="116"/>
      <c r="D245" s="116"/>
      <c r="E245" s="116"/>
      <c r="F245" s="116"/>
      <c r="G245" s="116"/>
    </row>
    <row r="246" spans="2:7" ht="13.8">
      <c r="B246" s="115"/>
      <c r="C246" s="116"/>
      <c r="D246" s="116"/>
      <c r="E246" s="116"/>
      <c r="F246" s="116"/>
      <c r="G246" s="116"/>
    </row>
    <row r="247" spans="2:7" ht="13.8">
      <c r="B247" s="115"/>
      <c r="C247" s="116"/>
      <c r="D247" s="116"/>
      <c r="E247" s="116"/>
      <c r="F247" s="116"/>
      <c r="G247" s="116"/>
    </row>
    <row r="248" spans="2:7" ht="13.8">
      <c r="B248" s="115"/>
      <c r="C248" s="116"/>
      <c r="D248" s="116"/>
      <c r="E248" s="116"/>
      <c r="F248" s="116"/>
      <c r="G248" s="116"/>
    </row>
    <row r="249" spans="2:7" ht="13.8">
      <c r="B249" s="115"/>
      <c r="C249" s="116"/>
      <c r="D249" s="116"/>
      <c r="E249" s="116"/>
      <c r="F249" s="116"/>
      <c r="G249" s="116"/>
    </row>
    <row r="250" spans="2:7" ht="13.8">
      <c r="B250" s="115"/>
      <c r="C250" s="116"/>
      <c r="D250" s="116"/>
      <c r="E250" s="116"/>
      <c r="F250" s="116"/>
      <c r="G250" s="116"/>
    </row>
    <row r="251" spans="2:7" ht="13.8">
      <c r="B251" s="115"/>
      <c r="C251" s="116"/>
      <c r="D251" s="116"/>
      <c r="E251" s="116"/>
      <c r="F251" s="116"/>
      <c r="G251" s="116"/>
    </row>
    <row r="252" spans="2:7" ht="13.8">
      <c r="B252" s="115"/>
      <c r="C252" s="116"/>
      <c r="D252" s="116"/>
      <c r="E252" s="116"/>
      <c r="F252" s="116"/>
      <c r="G252" s="116"/>
    </row>
    <row r="253" spans="2:7" ht="13.8">
      <c r="B253" s="115"/>
      <c r="C253" s="116"/>
      <c r="D253" s="116"/>
      <c r="E253" s="116"/>
      <c r="F253" s="116"/>
      <c r="G253" s="116"/>
    </row>
    <row r="254" spans="2:7" ht="13.8">
      <c r="B254" s="115"/>
      <c r="C254" s="116"/>
      <c r="D254" s="116"/>
      <c r="E254" s="116"/>
      <c r="F254" s="116"/>
      <c r="G254" s="116"/>
    </row>
    <row r="255" spans="2:7" ht="13.8">
      <c r="B255" s="115"/>
      <c r="C255" s="116"/>
      <c r="D255" s="116"/>
      <c r="E255" s="116"/>
      <c r="F255" s="116"/>
      <c r="G255" s="116"/>
    </row>
    <row r="256" spans="2:7" ht="13.8">
      <c r="B256" s="115"/>
      <c r="C256" s="116"/>
      <c r="D256" s="116"/>
      <c r="E256" s="116"/>
      <c r="F256" s="116"/>
      <c r="G256" s="116"/>
    </row>
    <row r="257" spans="2:7" ht="13.8">
      <c r="B257" s="115"/>
      <c r="C257" s="116"/>
      <c r="D257" s="116"/>
      <c r="E257" s="116"/>
      <c r="F257" s="116"/>
      <c r="G257" s="116"/>
    </row>
    <row r="258" spans="2:7" ht="13.8">
      <c r="B258" s="115"/>
      <c r="C258" s="116"/>
      <c r="D258" s="116"/>
      <c r="E258" s="116"/>
      <c r="F258" s="116"/>
      <c r="G258" s="116"/>
    </row>
    <row r="259" spans="2:7" ht="13.8">
      <c r="B259" s="115"/>
      <c r="C259" s="116"/>
      <c r="D259" s="116"/>
      <c r="E259" s="116"/>
      <c r="F259" s="116"/>
      <c r="G259" s="116"/>
    </row>
    <row r="260" spans="2:7" ht="13.8">
      <c r="B260" s="115"/>
      <c r="C260" s="116"/>
      <c r="D260" s="116"/>
      <c r="E260" s="116"/>
      <c r="F260" s="116"/>
      <c r="G260" s="116"/>
    </row>
    <row r="261" spans="2:7" ht="13.8">
      <c r="B261" s="115"/>
      <c r="C261" s="116"/>
      <c r="D261" s="116"/>
      <c r="E261" s="116"/>
      <c r="F261" s="116"/>
      <c r="G261" s="116"/>
    </row>
    <row r="262" spans="2:7" ht="13.8">
      <c r="B262" s="115"/>
      <c r="C262" s="116"/>
      <c r="D262" s="116"/>
      <c r="E262" s="116"/>
      <c r="F262" s="116"/>
      <c r="G262" s="116"/>
    </row>
    <row r="263" spans="2:7" ht="13.8">
      <c r="B263" s="115"/>
      <c r="C263" s="116"/>
      <c r="D263" s="116"/>
      <c r="E263" s="116"/>
      <c r="F263" s="116"/>
      <c r="G263" s="116"/>
    </row>
    <row r="264" spans="2:7" ht="13.8">
      <c r="B264" s="115"/>
      <c r="C264" s="116"/>
      <c r="D264" s="116"/>
      <c r="E264" s="116"/>
      <c r="F264" s="116"/>
      <c r="G264" s="116"/>
    </row>
    <row r="265" spans="2:7" ht="13.8">
      <c r="B265" s="115"/>
      <c r="C265" s="116"/>
      <c r="D265" s="116"/>
      <c r="E265" s="116"/>
      <c r="F265" s="116"/>
      <c r="G265" s="116"/>
    </row>
    <row r="266" spans="2:7" ht="13.8">
      <c r="B266" s="115"/>
      <c r="C266" s="116"/>
      <c r="D266" s="116"/>
      <c r="E266" s="116"/>
      <c r="F266" s="116"/>
      <c r="G266" s="116"/>
    </row>
    <row r="267" spans="2:7" ht="13.8">
      <c r="B267" s="115"/>
      <c r="C267" s="116"/>
      <c r="D267" s="116"/>
      <c r="E267" s="116"/>
      <c r="F267" s="116"/>
      <c r="G267" s="116"/>
    </row>
    <row r="268" spans="2:7" ht="13.8">
      <c r="B268" s="115"/>
      <c r="C268" s="116"/>
      <c r="D268" s="116"/>
      <c r="E268" s="116"/>
      <c r="F268" s="116"/>
      <c r="G268" s="116"/>
    </row>
    <row r="269" spans="2:7" ht="13.8">
      <c r="B269" s="115"/>
      <c r="C269" s="116"/>
      <c r="D269" s="116"/>
      <c r="E269" s="116"/>
      <c r="F269" s="116"/>
      <c r="G269" s="116"/>
    </row>
    <row r="270" spans="2:7" ht="13.8">
      <c r="B270" s="115"/>
      <c r="C270" s="116"/>
      <c r="D270" s="116"/>
      <c r="E270" s="116"/>
      <c r="F270" s="116"/>
      <c r="G270" s="116"/>
    </row>
    <row r="271" spans="2:7" ht="13.8">
      <c r="B271" s="115"/>
      <c r="C271" s="116"/>
      <c r="D271" s="116"/>
      <c r="E271" s="116"/>
      <c r="F271" s="116"/>
      <c r="G271" s="116"/>
    </row>
    <row r="272" spans="2:7" ht="13.8">
      <c r="B272" s="115"/>
      <c r="C272" s="116"/>
      <c r="D272" s="116"/>
      <c r="E272" s="116"/>
      <c r="F272" s="116"/>
      <c r="G272" s="116"/>
    </row>
    <row r="273" spans="2:7" ht="13.8">
      <c r="B273" s="115"/>
      <c r="C273" s="116"/>
      <c r="D273" s="116"/>
      <c r="E273" s="116"/>
      <c r="F273" s="116"/>
      <c r="G273" s="116"/>
    </row>
    <row r="274" spans="2:7" ht="13.8">
      <c r="B274" s="115"/>
      <c r="C274" s="116"/>
      <c r="D274" s="116"/>
      <c r="E274" s="116"/>
      <c r="F274" s="116"/>
      <c r="G274" s="116"/>
    </row>
    <row r="275" spans="2:7" ht="13.8">
      <c r="B275" s="115"/>
      <c r="C275" s="116"/>
      <c r="D275" s="116"/>
      <c r="E275" s="116"/>
      <c r="F275" s="116"/>
      <c r="G275" s="116"/>
    </row>
    <row r="276" spans="2:7" ht="13.8">
      <c r="B276" s="115"/>
      <c r="C276" s="116"/>
      <c r="D276" s="116"/>
      <c r="E276" s="116"/>
      <c r="F276" s="116"/>
      <c r="G276" s="116"/>
    </row>
    <row r="277" spans="2:7" ht="13.8">
      <c r="B277" s="115"/>
      <c r="C277" s="116"/>
      <c r="D277" s="116"/>
      <c r="E277" s="116"/>
      <c r="F277" s="116"/>
      <c r="G277" s="116"/>
    </row>
    <row r="278" spans="2:7" ht="13.8">
      <c r="B278" s="115"/>
      <c r="C278" s="116"/>
      <c r="D278" s="116"/>
      <c r="E278" s="116"/>
      <c r="F278" s="116"/>
      <c r="G278" s="116"/>
    </row>
    <row r="279" spans="2:7" ht="13.8">
      <c r="B279" s="115"/>
      <c r="C279" s="116"/>
      <c r="D279" s="116"/>
      <c r="E279" s="116"/>
      <c r="F279" s="116"/>
      <c r="G279" s="116"/>
    </row>
    <row r="280" spans="2:7" ht="13.8">
      <c r="B280" s="115"/>
      <c r="C280" s="116"/>
      <c r="D280" s="116"/>
      <c r="E280" s="116"/>
      <c r="F280" s="116"/>
      <c r="G280" s="116"/>
    </row>
    <row r="281" spans="2:7" ht="13.8">
      <c r="B281" s="115"/>
      <c r="C281" s="116"/>
      <c r="D281" s="116"/>
      <c r="E281" s="116"/>
      <c r="F281" s="116"/>
      <c r="G281" s="116"/>
    </row>
    <row r="282" spans="2:7" ht="13.8">
      <c r="B282" s="115"/>
      <c r="C282" s="116"/>
      <c r="D282" s="116"/>
      <c r="E282" s="116"/>
      <c r="F282" s="116"/>
      <c r="G282" s="116"/>
    </row>
    <row r="283" spans="2:7" ht="13.8">
      <c r="B283" s="115"/>
      <c r="C283" s="116"/>
      <c r="D283" s="116"/>
      <c r="E283" s="116"/>
      <c r="F283" s="116"/>
      <c r="G283" s="116"/>
    </row>
    <row r="284" spans="2:7" ht="13.8">
      <c r="B284" s="115"/>
      <c r="C284" s="116"/>
      <c r="D284" s="116"/>
      <c r="E284" s="116"/>
      <c r="F284" s="116"/>
      <c r="G284" s="116"/>
    </row>
    <row r="285" spans="2:7" ht="13.8">
      <c r="B285" s="115"/>
      <c r="C285" s="116"/>
      <c r="D285" s="116"/>
      <c r="E285" s="116"/>
      <c r="F285" s="116"/>
      <c r="G285" s="116"/>
    </row>
    <row r="286" spans="2:7" ht="13.8">
      <c r="B286" s="115"/>
      <c r="C286" s="116"/>
      <c r="D286" s="116"/>
      <c r="E286" s="116"/>
      <c r="F286" s="116"/>
      <c r="G286" s="116"/>
    </row>
    <row r="287" spans="2:7" ht="13.8">
      <c r="B287" s="115"/>
      <c r="C287" s="116"/>
      <c r="D287" s="116"/>
      <c r="E287" s="116"/>
      <c r="F287" s="116"/>
      <c r="G287" s="116"/>
    </row>
    <row r="288" spans="2:7" ht="13.8">
      <c r="B288" s="115"/>
      <c r="C288" s="116"/>
      <c r="D288" s="116"/>
      <c r="E288" s="116"/>
      <c r="F288" s="116"/>
      <c r="G288" s="116"/>
    </row>
    <row r="289" spans="2:7" ht="13.8">
      <c r="B289" s="115"/>
      <c r="C289" s="116"/>
      <c r="D289" s="116"/>
      <c r="E289" s="116"/>
      <c r="F289" s="116"/>
      <c r="G289" s="116"/>
    </row>
    <row r="290" spans="2:7" ht="13.8">
      <c r="B290" s="115"/>
      <c r="C290" s="116"/>
      <c r="D290" s="116"/>
      <c r="E290" s="116"/>
      <c r="F290" s="116"/>
      <c r="G290" s="116"/>
    </row>
    <row r="291" spans="2:7" ht="13.8">
      <c r="B291" s="115"/>
      <c r="C291" s="116"/>
      <c r="D291" s="116"/>
      <c r="E291" s="116"/>
      <c r="F291" s="116"/>
      <c r="G291" s="116"/>
    </row>
    <row r="292" spans="2:7" ht="13.8">
      <c r="B292" s="115"/>
      <c r="C292" s="116"/>
      <c r="D292" s="116"/>
      <c r="E292" s="116"/>
      <c r="F292" s="116"/>
      <c r="G292" s="116"/>
    </row>
    <row r="293" spans="2:7" ht="13.8">
      <c r="B293" s="115"/>
      <c r="C293" s="116"/>
      <c r="D293" s="116"/>
      <c r="E293" s="116"/>
      <c r="F293" s="116"/>
      <c r="G293" s="116"/>
    </row>
    <row r="294" spans="2:7" ht="13.8">
      <c r="B294" s="115"/>
      <c r="C294" s="116"/>
      <c r="D294" s="116"/>
      <c r="E294" s="116"/>
      <c r="F294" s="116"/>
      <c r="G294" s="116"/>
    </row>
    <row r="295" spans="2:7" ht="13.8">
      <c r="B295" s="115"/>
      <c r="C295" s="116"/>
      <c r="D295" s="116"/>
      <c r="E295" s="116"/>
      <c r="F295" s="116"/>
      <c r="G295" s="116"/>
    </row>
    <row r="296" spans="2:7" ht="13.8">
      <c r="B296" s="115"/>
      <c r="C296" s="116"/>
      <c r="D296" s="116"/>
      <c r="E296" s="116"/>
      <c r="F296" s="116"/>
      <c r="G296" s="116"/>
    </row>
    <row r="297" spans="2:7" ht="13.8">
      <c r="B297" s="115"/>
      <c r="C297" s="116"/>
      <c r="D297" s="116"/>
      <c r="E297" s="116"/>
      <c r="F297" s="116"/>
      <c r="G297" s="116"/>
    </row>
    <row r="298" spans="2:7" ht="13.8">
      <c r="B298" s="115"/>
      <c r="C298" s="116"/>
      <c r="D298" s="116"/>
      <c r="E298" s="116"/>
      <c r="F298" s="116"/>
      <c r="G298" s="116"/>
    </row>
    <row r="299" spans="2:7" ht="13.8">
      <c r="B299" s="115"/>
      <c r="C299" s="116"/>
      <c r="D299" s="116"/>
      <c r="E299" s="116"/>
      <c r="F299" s="116"/>
      <c r="G299" s="116"/>
    </row>
    <row r="300" spans="2:7" ht="13.8">
      <c r="B300" s="115"/>
      <c r="C300" s="116"/>
      <c r="D300" s="116"/>
      <c r="E300" s="116"/>
      <c r="F300" s="116"/>
      <c r="G300" s="116"/>
    </row>
    <row r="301" spans="2:7" ht="13.8">
      <c r="B301" s="115"/>
      <c r="C301" s="116"/>
      <c r="D301" s="116"/>
      <c r="E301" s="116"/>
      <c r="F301" s="116"/>
      <c r="G301" s="116"/>
    </row>
    <row r="302" spans="2:7" ht="13.8">
      <c r="B302" s="115"/>
      <c r="C302" s="116"/>
      <c r="D302" s="116"/>
      <c r="E302" s="116"/>
      <c r="F302" s="116"/>
      <c r="G302" s="116"/>
    </row>
    <row r="303" spans="2:7" ht="13.8">
      <c r="B303" s="115"/>
      <c r="C303" s="116"/>
      <c r="D303" s="116"/>
      <c r="E303" s="116"/>
      <c r="F303" s="116"/>
      <c r="G303" s="116"/>
    </row>
    <row r="304" spans="2:7" ht="13.8">
      <c r="B304" s="115"/>
      <c r="C304" s="116"/>
      <c r="D304" s="116"/>
      <c r="E304" s="116"/>
      <c r="F304" s="116"/>
      <c r="G304" s="116"/>
    </row>
    <row r="305" spans="2:7" ht="13.8">
      <c r="B305" s="115"/>
      <c r="C305" s="116"/>
      <c r="D305" s="116"/>
      <c r="E305" s="116"/>
      <c r="F305" s="116"/>
      <c r="G305" s="116"/>
    </row>
    <row r="306" spans="2:7" ht="13.8">
      <c r="B306" s="115"/>
      <c r="C306" s="116"/>
      <c r="D306" s="116"/>
      <c r="E306" s="116"/>
      <c r="F306" s="116"/>
      <c r="G306" s="116"/>
    </row>
    <row r="307" spans="2:7" ht="13.8">
      <c r="B307" s="115"/>
      <c r="C307" s="116"/>
      <c r="D307" s="116"/>
      <c r="E307" s="116"/>
      <c r="F307" s="116"/>
      <c r="G307" s="116"/>
    </row>
    <row r="308" spans="2:7" ht="13.8">
      <c r="B308" s="115"/>
      <c r="C308" s="116"/>
      <c r="D308" s="116"/>
      <c r="E308" s="116"/>
      <c r="F308" s="116"/>
      <c r="G308" s="116"/>
    </row>
    <row r="309" spans="2:7" ht="13.8">
      <c r="B309" s="115"/>
      <c r="C309" s="116"/>
      <c r="D309" s="116"/>
      <c r="E309" s="116"/>
      <c r="F309" s="116"/>
      <c r="G309" s="116"/>
    </row>
    <row r="310" spans="2:7" ht="13.8">
      <c r="B310" s="115"/>
      <c r="C310" s="116"/>
      <c r="D310" s="116"/>
      <c r="E310" s="116"/>
      <c r="F310" s="116"/>
      <c r="G310" s="116"/>
    </row>
    <row r="311" spans="2:7" ht="13.8">
      <c r="B311" s="115"/>
      <c r="C311" s="116"/>
      <c r="D311" s="116"/>
      <c r="E311" s="116"/>
      <c r="F311" s="116"/>
      <c r="G311" s="116"/>
    </row>
    <row r="312" spans="2:7" ht="13.8">
      <c r="B312" s="115"/>
      <c r="C312" s="116"/>
      <c r="D312" s="116"/>
      <c r="E312" s="116"/>
      <c r="F312" s="116"/>
      <c r="G312" s="116"/>
    </row>
    <row r="313" spans="2:7" ht="13.8">
      <c r="B313" s="115"/>
      <c r="C313" s="116"/>
      <c r="D313" s="116"/>
      <c r="E313" s="116"/>
      <c r="F313" s="116"/>
      <c r="G313" s="116"/>
    </row>
    <row r="314" spans="2:7" ht="13.8">
      <c r="B314" s="115"/>
      <c r="C314" s="116"/>
      <c r="D314" s="116"/>
      <c r="E314" s="116"/>
      <c r="F314" s="116"/>
      <c r="G314" s="116"/>
    </row>
    <row r="315" spans="2:7" ht="13.8">
      <c r="B315" s="115"/>
      <c r="C315" s="116"/>
      <c r="D315" s="116"/>
      <c r="E315" s="116"/>
      <c r="F315" s="116"/>
      <c r="G315" s="116"/>
    </row>
    <row r="316" spans="2:7" ht="13.8">
      <c r="B316" s="115"/>
      <c r="C316" s="116"/>
      <c r="D316" s="116"/>
      <c r="E316" s="116"/>
      <c r="F316" s="116"/>
      <c r="G316" s="116"/>
    </row>
    <row r="317" spans="2:7" ht="13.8">
      <c r="B317" s="115"/>
      <c r="C317" s="116"/>
      <c r="D317" s="116"/>
      <c r="E317" s="116"/>
      <c r="F317" s="116"/>
      <c r="G317" s="116"/>
    </row>
    <row r="318" spans="2:7" ht="13.8">
      <c r="B318" s="115"/>
      <c r="C318" s="116"/>
      <c r="D318" s="116"/>
      <c r="E318" s="116"/>
      <c r="F318" s="116"/>
      <c r="G318" s="116"/>
    </row>
    <row r="319" spans="2:7" ht="13.8">
      <c r="B319" s="115"/>
      <c r="C319" s="116"/>
      <c r="D319" s="116"/>
      <c r="E319" s="116"/>
      <c r="F319" s="116"/>
      <c r="G319" s="116"/>
    </row>
    <row r="320" spans="2:7" ht="13.8">
      <c r="B320" s="115"/>
      <c r="C320" s="116"/>
      <c r="D320" s="116"/>
      <c r="E320" s="116"/>
      <c r="F320" s="116"/>
      <c r="G320" s="116"/>
    </row>
    <row r="321" spans="2:7" ht="13.8">
      <c r="B321" s="115"/>
      <c r="C321" s="116"/>
      <c r="D321" s="116"/>
      <c r="E321" s="116"/>
      <c r="F321" s="116"/>
      <c r="G321" s="116"/>
    </row>
    <row r="322" spans="2:7" ht="13.8">
      <c r="B322" s="115"/>
      <c r="C322" s="116"/>
      <c r="D322" s="116"/>
      <c r="E322" s="116"/>
      <c r="F322" s="116"/>
      <c r="G322" s="116"/>
    </row>
    <row r="323" spans="2:7" ht="13.8">
      <c r="B323" s="115"/>
      <c r="C323" s="116"/>
      <c r="D323" s="116"/>
      <c r="E323" s="116"/>
      <c r="F323" s="116"/>
      <c r="G323" s="116"/>
    </row>
    <row r="324" spans="2:7" ht="13.8">
      <c r="B324" s="115"/>
      <c r="C324" s="116"/>
      <c r="D324" s="116"/>
      <c r="E324" s="116"/>
      <c r="F324" s="116"/>
      <c r="G324" s="116"/>
    </row>
    <row r="325" spans="2:7" ht="13.8">
      <c r="B325" s="115"/>
      <c r="C325" s="116"/>
      <c r="D325" s="116"/>
      <c r="E325" s="116"/>
      <c r="F325" s="116"/>
      <c r="G325" s="116"/>
    </row>
    <row r="326" spans="2:7" ht="13.8">
      <c r="B326" s="115"/>
      <c r="C326" s="116"/>
      <c r="D326" s="116"/>
      <c r="E326" s="116"/>
      <c r="F326" s="116"/>
      <c r="G326" s="116"/>
    </row>
    <row r="327" spans="2:7" ht="13.8">
      <c r="B327" s="115"/>
      <c r="C327" s="116"/>
      <c r="D327" s="116"/>
      <c r="E327" s="116"/>
      <c r="F327" s="116"/>
      <c r="G327" s="116"/>
    </row>
    <row r="328" spans="2:7" ht="13.8">
      <c r="B328" s="115"/>
      <c r="C328" s="116"/>
      <c r="D328" s="116"/>
      <c r="E328" s="116"/>
      <c r="F328" s="116"/>
      <c r="G328" s="116"/>
    </row>
    <row r="329" spans="2:7" ht="13.8">
      <c r="B329" s="115"/>
      <c r="C329" s="116"/>
      <c r="D329" s="116"/>
      <c r="E329" s="116"/>
      <c r="F329" s="116"/>
      <c r="G329" s="116"/>
    </row>
    <row r="330" spans="2:7" ht="13.8">
      <c r="B330" s="115"/>
      <c r="C330" s="116"/>
      <c r="D330" s="116"/>
      <c r="E330" s="116"/>
      <c r="F330" s="116"/>
      <c r="G330" s="116"/>
    </row>
    <row r="331" spans="2:7" ht="13.8">
      <c r="B331" s="115"/>
      <c r="C331" s="116"/>
      <c r="D331" s="116"/>
      <c r="E331" s="116"/>
      <c r="F331" s="116"/>
      <c r="G331" s="116"/>
    </row>
    <row r="332" spans="2:7" ht="13.8">
      <c r="B332" s="115"/>
      <c r="C332" s="116"/>
      <c r="D332" s="116"/>
      <c r="E332" s="116"/>
      <c r="F332" s="116"/>
      <c r="G332" s="116"/>
    </row>
    <row r="333" spans="2:7" ht="13.8">
      <c r="B333" s="115"/>
      <c r="C333" s="116"/>
      <c r="D333" s="116"/>
      <c r="E333" s="116"/>
      <c r="F333" s="116"/>
      <c r="G333" s="116"/>
    </row>
    <row r="334" spans="2:7" ht="13.8">
      <c r="B334" s="115"/>
      <c r="C334" s="116"/>
      <c r="D334" s="116"/>
      <c r="E334" s="116"/>
      <c r="F334" s="116"/>
      <c r="G334" s="116"/>
    </row>
    <row r="335" spans="2:7" ht="13.8">
      <c r="B335" s="115"/>
      <c r="C335" s="116"/>
      <c r="D335" s="116"/>
      <c r="E335" s="116"/>
      <c r="F335" s="116"/>
      <c r="G335" s="116"/>
    </row>
    <row r="336" spans="2:7" ht="13.8">
      <c r="B336" s="115"/>
      <c r="C336" s="116"/>
      <c r="D336" s="116"/>
      <c r="E336" s="116"/>
      <c r="F336" s="116"/>
      <c r="G336" s="116"/>
    </row>
    <row r="337" spans="2:7" ht="13.8">
      <c r="B337" s="115"/>
      <c r="C337" s="116"/>
      <c r="D337" s="116"/>
      <c r="E337" s="116"/>
      <c r="F337" s="116"/>
      <c r="G337" s="116"/>
    </row>
    <row r="338" spans="2:7" ht="13.8">
      <c r="B338" s="115"/>
      <c r="C338" s="116"/>
      <c r="D338" s="116"/>
      <c r="E338" s="116"/>
      <c r="F338" s="116"/>
      <c r="G338" s="116"/>
    </row>
    <row r="339" spans="2:7" ht="13.8">
      <c r="B339" s="115"/>
      <c r="C339" s="116"/>
      <c r="D339" s="116"/>
      <c r="E339" s="116"/>
      <c r="F339" s="116"/>
      <c r="G339" s="116"/>
    </row>
    <row r="340" spans="2:7" ht="13.8">
      <c r="B340" s="115"/>
      <c r="C340" s="116"/>
      <c r="D340" s="116"/>
      <c r="E340" s="116"/>
      <c r="F340" s="116"/>
      <c r="G340" s="116"/>
    </row>
    <row r="341" spans="2:7" ht="13.8">
      <c r="B341" s="115"/>
      <c r="C341" s="116"/>
      <c r="D341" s="116"/>
      <c r="E341" s="116"/>
      <c r="F341" s="116"/>
      <c r="G341" s="116"/>
    </row>
    <row r="342" spans="2:7" ht="13.8">
      <c r="B342" s="115"/>
      <c r="C342" s="116"/>
      <c r="D342" s="116"/>
      <c r="E342" s="116"/>
      <c r="F342" s="116"/>
      <c r="G342" s="116"/>
    </row>
    <row r="343" spans="2:7" ht="13.8">
      <c r="B343" s="115"/>
      <c r="C343" s="116"/>
      <c r="D343" s="116"/>
      <c r="E343" s="116"/>
      <c r="F343" s="116"/>
      <c r="G343" s="116"/>
    </row>
    <row r="344" spans="2:7" ht="13.8">
      <c r="B344" s="115"/>
      <c r="C344" s="116"/>
      <c r="D344" s="116"/>
      <c r="E344" s="116"/>
      <c r="F344" s="116"/>
      <c r="G344" s="116"/>
    </row>
    <row r="345" spans="2:7" ht="13.8">
      <c r="B345" s="115"/>
      <c r="C345" s="116"/>
      <c r="D345" s="116"/>
      <c r="E345" s="116"/>
      <c r="F345" s="116"/>
      <c r="G345" s="116"/>
    </row>
    <row r="346" spans="2:7" ht="13.8">
      <c r="B346" s="115"/>
      <c r="C346" s="116"/>
      <c r="D346" s="116"/>
      <c r="E346" s="116"/>
      <c r="F346" s="116"/>
      <c r="G346" s="116"/>
    </row>
    <row r="347" spans="2:7" ht="13.8">
      <c r="B347" s="115"/>
      <c r="C347" s="116"/>
      <c r="D347" s="116"/>
      <c r="E347" s="116"/>
      <c r="F347" s="116"/>
      <c r="G347" s="116"/>
    </row>
    <row r="348" spans="2:7" ht="13.8">
      <c r="B348" s="115"/>
      <c r="C348" s="116"/>
      <c r="D348" s="116"/>
      <c r="E348" s="116"/>
      <c r="F348" s="116"/>
      <c r="G348" s="116"/>
    </row>
    <row r="349" spans="2:7" ht="13.8">
      <c r="B349" s="115"/>
      <c r="C349" s="116"/>
      <c r="D349" s="116"/>
      <c r="E349" s="116"/>
      <c r="F349" s="116"/>
      <c r="G349" s="116"/>
    </row>
    <row r="350" spans="2:7" ht="13.8">
      <c r="B350" s="115"/>
      <c r="C350" s="116"/>
      <c r="D350" s="116"/>
      <c r="E350" s="116"/>
      <c r="F350" s="116"/>
      <c r="G350" s="116"/>
    </row>
    <row r="351" spans="2:7" ht="13.8">
      <c r="B351" s="115"/>
      <c r="C351" s="116"/>
      <c r="D351" s="116"/>
      <c r="E351" s="116"/>
      <c r="F351" s="116"/>
      <c r="G351" s="116"/>
    </row>
    <row r="352" spans="2:7" ht="13.8">
      <c r="B352" s="115"/>
      <c r="C352" s="116"/>
      <c r="D352" s="116"/>
      <c r="E352" s="116"/>
      <c r="F352" s="116"/>
      <c r="G352" s="116"/>
    </row>
    <row r="353" spans="2:7" ht="13.8">
      <c r="B353" s="115"/>
      <c r="C353" s="116"/>
      <c r="D353" s="116"/>
      <c r="E353" s="116"/>
      <c r="F353" s="116"/>
      <c r="G353" s="116"/>
    </row>
    <row r="354" spans="2:7" ht="13.8">
      <c r="B354" s="115"/>
      <c r="C354" s="116"/>
      <c r="D354" s="116"/>
      <c r="E354" s="116"/>
      <c r="F354" s="116"/>
      <c r="G354" s="116"/>
    </row>
    <row r="355" spans="2:7" ht="13.8">
      <c r="B355" s="115"/>
      <c r="C355" s="116"/>
      <c r="D355" s="116"/>
      <c r="E355" s="116"/>
      <c r="F355" s="116"/>
      <c r="G355" s="116"/>
    </row>
    <row r="356" spans="2:7" ht="13.8">
      <c r="B356" s="115"/>
      <c r="C356" s="116"/>
      <c r="D356" s="116"/>
      <c r="E356" s="116"/>
      <c r="F356" s="116"/>
      <c r="G356" s="116"/>
    </row>
    <row r="357" spans="2:7" ht="13.8">
      <c r="B357" s="115"/>
      <c r="C357" s="116"/>
      <c r="D357" s="116"/>
      <c r="E357" s="116"/>
      <c r="F357" s="116"/>
      <c r="G357" s="116"/>
    </row>
    <row r="358" spans="2:7" ht="13.8">
      <c r="B358" s="115"/>
      <c r="C358" s="116"/>
      <c r="D358" s="116"/>
      <c r="E358" s="116"/>
      <c r="F358" s="116"/>
      <c r="G358" s="116"/>
    </row>
    <row r="359" spans="2:7" ht="13.8">
      <c r="B359" s="115"/>
      <c r="C359" s="116"/>
      <c r="D359" s="116"/>
      <c r="E359" s="116"/>
      <c r="F359" s="116"/>
      <c r="G359" s="116"/>
    </row>
    <row r="360" spans="2:7" ht="13.8">
      <c r="B360" s="115"/>
      <c r="C360" s="116"/>
      <c r="D360" s="116"/>
      <c r="E360" s="116"/>
      <c r="F360" s="116"/>
      <c r="G360" s="116"/>
    </row>
    <row r="361" spans="2:7" ht="13.8">
      <c r="B361" s="115"/>
      <c r="C361" s="116"/>
      <c r="D361" s="116"/>
      <c r="E361" s="116"/>
      <c r="F361" s="116"/>
      <c r="G361" s="116"/>
    </row>
    <row r="362" spans="2:7" ht="13.8">
      <c r="B362" s="115"/>
      <c r="C362" s="116"/>
      <c r="D362" s="116"/>
      <c r="E362" s="116"/>
      <c r="F362" s="116"/>
      <c r="G362" s="116"/>
    </row>
    <row r="363" spans="2:7" ht="13.8">
      <c r="B363" s="115"/>
      <c r="C363" s="116"/>
      <c r="D363" s="116"/>
      <c r="E363" s="116"/>
      <c r="F363" s="116"/>
      <c r="G363" s="116"/>
    </row>
    <row r="364" spans="2:7" ht="13.8">
      <c r="B364" s="115"/>
      <c r="C364" s="116"/>
      <c r="D364" s="116"/>
      <c r="E364" s="116"/>
      <c r="F364" s="116"/>
      <c r="G364" s="116"/>
    </row>
    <row r="365" spans="2:7" ht="13.8">
      <c r="B365" s="115"/>
      <c r="C365" s="116"/>
      <c r="D365" s="116"/>
      <c r="E365" s="116"/>
      <c r="F365" s="116"/>
      <c r="G365" s="116"/>
    </row>
    <row r="366" spans="2:7" ht="13.8">
      <c r="B366" s="115"/>
      <c r="C366" s="116"/>
      <c r="D366" s="116"/>
      <c r="E366" s="116"/>
      <c r="F366" s="116"/>
      <c r="G366" s="116"/>
    </row>
    <row r="367" spans="2:7" ht="13.8">
      <c r="B367" s="115"/>
      <c r="C367" s="116"/>
      <c r="D367" s="116"/>
      <c r="E367" s="116"/>
      <c r="F367" s="116"/>
      <c r="G367" s="116"/>
    </row>
    <row r="368" spans="2:7" ht="13.8">
      <c r="B368" s="115"/>
      <c r="C368" s="116"/>
      <c r="D368" s="116"/>
      <c r="E368" s="116"/>
      <c r="F368" s="116"/>
      <c r="G368" s="116"/>
    </row>
    <row r="369" spans="2:7" ht="13.8">
      <c r="B369" s="115"/>
      <c r="C369" s="116"/>
      <c r="D369" s="116"/>
      <c r="E369" s="116"/>
      <c r="F369" s="116"/>
      <c r="G369" s="116"/>
    </row>
    <row r="370" spans="2:7" ht="13.8">
      <c r="B370" s="115"/>
      <c r="C370" s="116"/>
      <c r="D370" s="116"/>
      <c r="E370" s="116"/>
      <c r="F370" s="116"/>
      <c r="G370" s="116"/>
    </row>
    <row r="371" spans="2:7" ht="13.8">
      <c r="B371" s="115"/>
      <c r="C371" s="116"/>
      <c r="D371" s="116"/>
      <c r="E371" s="116"/>
      <c r="F371" s="116"/>
      <c r="G371" s="116"/>
    </row>
    <row r="372" spans="2:7" ht="13.8">
      <c r="B372" s="115"/>
      <c r="C372" s="116"/>
      <c r="D372" s="116"/>
      <c r="E372" s="116"/>
      <c r="F372" s="116"/>
      <c r="G372" s="116"/>
    </row>
    <row r="373" spans="2:7" ht="13.8">
      <c r="B373" s="115"/>
      <c r="C373" s="116"/>
      <c r="D373" s="116"/>
      <c r="E373" s="116"/>
      <c r="F373" s="116"/>
      <c r="G373" s="116"/>
    </row>
    <row r="374" spans="2:7" ht="13.8">
      <c r="B374" s="115"/>
      <c r="C374" s="116"/>
      <c r="D374" s="116"/>
      <c r="E374" s="116"/>
      <c r="F374" s="116"/>
      <c r="G374" s="116"/>
    </row>
    <row r="375" spans="2:7" ht="13.8">
      <c r="B375" s="115"/>
      <c r="C375" s="116"/>
      <c r="D375" s="116"/>
      <c r="E375" s="116"/>
      <c r="F375" s="116"/>
      <c r="G375" s="116"/>
    </row>
    <row r="376" spans="2:7" ht="13.8">
      <c r="B376" s="115"/>
      <c r="C376" s="116"/>
      <c r="D376" s="116"/>
      <c r="E376" s="116"/>
      <c r="F376" s="116"/>
      <c r="G376" s="116"/>
    </row>
    <row r="377" spans="2:7" ht="13.8">
      <c r="B377" s="115"/>
      <c r="C377" s="116"/>
      <c r="D377" s="116"/>
      <c r="E377" s="116"/>
      <c r="F377" s="116"/>
      <c r="G377" s="116"/>
    </row>
    <row r="378" spans="2:7" ht="13.8">
      <c r="B378" s="115"/>
      <c r="C378" s="116"/>
      <c r="D378" s="116"/>
      <c r="E378" s="116"/>
      <c r="F378" s="116"/>
      <c r="G378" s="116"/>
    </row>
    <row r="379" spans="2:7" ht="13.8">
      <c r="B379" s="115"/>
      <c r="C379" s="116"/>
      <c r="D379" s="116"/>
      <c r="E379" s="116"/>
      <c r="F379" s="116"/>
      <c r="G379" s="116"/>
    </row>
    <row r="380" spans="2:7" ht="13.8">
      <c r="B380" s="115"/>
      <c r="C380" s="116"/>
      <c r="D380" s="116"/>
      <c r="E380" s="116"/>
      <c r="F380" s="116"/>
      <c r="G380" s="116"/>
    </row>
    <row r="381" spans="2:7" ht="13.8">
      <c r="B381" s="115"/>
      <c r="C381" s="116"/>
      <c r="D381" s="116"/>
      <c r="E381" s="116"/>
      <c r="F381" s="116"/>
      <c r="G381" s="116"/>
    </row>
    <row r="382" spans="2:7" ht="13.8">
      <c r="B382" s="115"/>
      <c r="C382" s="116"/>
      <c r="D382" s="116"/>
      <c r="E382" s="116"/>
      <c r="F382" s="116"/>
      <c r="G382" s="116"/>
    </row>
    <row r="383" spans="2:7" ht="13.8">
      <c r="B383" s="115"/>
      <c r="C383" s="116"/>
      <c r="D383" s="116"/>
      <c r="E383" s="116"/>
      <c r="F383" s="116"/>
      <c r="G383" s="116"/>
    </row>
    <row r="384" spans="2:7" ht="13.8">
      <c r="B384" s="115"/>
      <c r="C384" s="116"/>
      <c r="D384" s="116"/>
      <c r="E384" s="116"/>
      <c r="F384" s="116"/>
      <c r="G384" s="116"/>
    </row>
    <row r="385" spans="2:7" ht="13.8">
      <c r="B385" s="115"/>
      <c r="C385" s="116"/>
      <c r="D385" s="116"/>
      <c r="E385" s="116"/>
      <c r="F385" s="116"/>
      <c r="G385" s="116"/>
    </row>
    <row r="386" spans="2:7" ht="13.8">
      <c r="B386" s="115"/>
      <c r="C386" s="116"/>
      <c r="D386" s="116"/>
      <c r="E386" s="116"/>
      <c r="F386" s="116"/>
      <c r="G386" s="116"/>
    </row>
    <row r="387" spans="2:7" ht="13.8">
      <c r="B387" s="115"/>
      <c r="C387" s="116"/>
      <c r="D387" s="116"/>
      <c r="E387" s="116"/>
      <c r="F387" s="116"/>
      <c r="G387" s="116"/>
    </row>
    <row r="388" spans="2:7" ht="13.8">
      <c r="B388" s="115"/>
      <c r="C388" s="116"/>
      <c r="D388" s="116"/>
      <c r="E388" s="116"/>
      <c r="F388" s="116"/>
      <c r="G388" s="116"/>
    </row>
    <row r="389" spans="2:7" ht="13.8">
      <c r="B389" s="115"/>
      <c r="C389" s="116"/>
      <c r="D389" s="116"/>
      <c r="E389" s="116"/>
      <c r="F389" s="116"/>
      <c r="G389" s="116"/>
    </row>
    <row r="390" spans="2:7" ht="13.8">
      <c r="B390" s="115"/>
      <c r="C390" s="116"/>
      <c r="D390" s="116"/>
      <c r="E390" s="116"/>
      <c r="F390" s="116"/>
      <c r="G390" s="116"/>
    </row>
    <row r="391" spans="2:7" ht="13.8">
      <c r="B391" s="115"/>
      <c r="C391" s="116"/>
      <c r="D391" s="116"/>
      <c r="E391" s="116"/>
      <c r="F391" s="116"/>
      <c r="G391" s="116"/>
    </row>
    <row r="392" spans="2:7" ht="13.8">
      <c r="B392" s="115"/>
      <c r="C392" s="116"/>
      <c r="D392" s="116"/>
      <c r="E392" s="116"/>
      <c r="F392" s="116"/>
      <c r="G392" s="116"/>
    </row>
    <row r="393" spans="2:7" ht="13.8">
      <c r="B393" s="115"/>
      <c r="C393" s="116"/>
      <c r="D393" s="116"/>
      <c r="E393" s="116"/>
      <c r="F393" s="116"/>
      <c r="G393" s="116"/>
    </row>
    <row r="394" spans="2:7" ht="13.8">
      <c r="B394" s="115"/>
      <c r="C394" s="116"/>
      <c r="D394" s="116"/>
      <c r="E394" s="116"/>
      <c r="F394" s="116"/>
      <c r="G394" s="116"/>
    </row>
    <row r="395" spans="2:7" ht="13.8">
      <c r="B395" s="115"/>
      <c r="C395" s="116"/>
      <c r="D395" s="116"/>
      <c r="E395" s="116"/>
      <c r="F395" s="116"/>
      <c r="G395" s="116"/>
    </row>
    <row r="396" spans="2:7" ht="13.8">
      <c r="B396" s="115"/>
      <c r="C396" s="116"/>
      <c r="D396" s="116"/>
      <c r="E396" s="116"/>
      <c r="F396" s="116"/>
      <c r="G396" s="116"/>
    </row>
    <row r="397" spans="2:7" ht="13.8">
      <c r="B397" s="115"/>
      <c r="C397" s="116"/>
      <c r="D397" s="116"/>
      <c r="E397" s="116"/>
      <c r="F397" s="116"/>
      <c r="G397" s="116"/>
    </row>
    <row r="398" spans="2:7" ht="13.8">
      <c r="B398" s="115"/>
      <c r="C398" s="116"/>
      <c r="D398" s="116"/>
      <c r="E398" s="116"/>
      <c r="F398" s="116"/>
      <c r="G398" s="116"/>
    </row>
    <row r="399" spans="2:7" ht="13.8">
      <c r="B399" s="115"/>
      <c r="C399" s="116"/>
      <c r="D399" s="116"/>
      <c r="E399" s="116"/>
      <c r="F399" s="116"/>
      <c r="G399" s="116"/>
    </row>
    <row r="400" spans="2:7" ht="13.8">
      <c r="B400" s="115"/>
      <c r="C400" s="116"/>
      <c r="D400" s="116"/>
      <c r="E400" s="116"/>
      <c r="F400" s="116"/>
      <c r="G400" s="116"/>
    </row>
    <row r="401" spans="2:7" ht="13.8">
      <c r="B401" s="115"/>
      <c r="C401" s="116"/>
      <c r="D401" s="116"/>
      <c r="E401" s="116"/>
      <c r="F401" s="116"/>
      <c r="G401" s="116"/>
    </row>
    <row r="402" spans="2:7" ht="13.8">
      <c r="B402" s="115"/>
      <c r="C402" s="116"/>
      <c r="D402" s="116"/>
      <c r="E402" s="116"/>
      <c r="F402" s="116"/>
      <c r="G402" s="116"/>
    </row>
    <row r="403" spans="2:7" ht="13.8">
      <c r="B403" s="115"/>
      <c r="C403" s="116"/>
      <c r="D403" s="116"/>
      <c r="E403" s="116"/>
      <c r="F403" s="116"/>
      <c r="G403" s="116"/>
    </row>
    <row r="404" spans="2:7" ht="13.8">
      <c r="B404" s="115"/>
      <c r="C404" s="116"/>
      <c r="D404" s="116"/>
      <c r="E404" s="116"/>
      <c r="F404" s="116"/>
      <c r="G404" s="116"/>
    </row>
    <row r="405" spans="2:7" ht="13.8">
      <c r="B405" s="115"/>
      <c r="C405" s="116"/>
      <c r="D405" s="116"/>
      <c r="E405" s="116"/>
      <c r="F405" s="116"/>
      <c r="G405" s="116"/>
    </row>
    <row r="406" spans="2:7" ht="13.8">
      <c r="B406" s="115"/>
      <c r="C406" s="116"/>
      <c r="D406" s="116"/>
      <c r="E406" s="116"/>
      <c r="F406" s="116"/>
      <c r="G406" s="116"/>
    </row>
    <row r="407" spans="2:7" ht="13.8">
      <c r="B407" s="115"/>
      <c r="C407" s="116"/>
      <c r="D407" s="116"/>
      <c r="E407" s="116"/>
      <c r="F407" s="116"/>
      <c r="G407" s="116"/>
    </row>
    <row r="408" spans="2:7" ht="13.8">
      <c r="B408" s="115"/>
      <c r="C408" s="116"/>
      <c r="D408" s="116"/>
      <c r="E408" s="116"/>
      <c r="F408" s="116"/>
      <c r="G408" s="116"/>
    </row>
    <row r="409" spans="2:7" ht="13.8">
      <c r="B409" s="115"/>
      <c r="C409" s="116"/>
      <c r="D409" s="116"/>
      <c r="E409" s="116"/>
      <c r="F409" s="116"/>
      <c r="G409" s="116"/>
    </row>
    <row r="410" spans="2:7" ht="13.8">
      <c r="B410" s="115"/>
      <c r="C410" s="116"/>
      <c r="D410" s="116"/>
      <c r="E410" s="116"/>
      <c r="F410" s="116"/>
      <c r="G410" s="116"/>
    </row>
    <row r="411" spans="2:7" ht="13.8">
      <c r="B411" s="115"/>
      <c r="C411" s="116"/>
      <c r="D411" s="116"/>
      <c r="E411" s="116"/>
      <c r="F411" s="116"/>
      <c r="G411" s="116"/>
    </row>
    <row r="412" spans="2:7" ht="13.8">
      <c r="B412" s="115"/>
      <c r="C412" s="116"/>
      <c r="D412" s="116"/>
      <c r="E412" s="116"/>
      <c r="F412" s="116"/>
      <c r="G412" s="116"/>
    </row>
    <row r="413" spans="2:7" ht="13.8">
      <c r="B413" s="115"/>
      <c r="C413" s="116"/>
      <c r="D413" s="116"/>
      <c r="E413" s="116"/>
      <c r="F413" s="116"/>
      <c r="G413" s="116"/>
    </row>
    <row r="414" spans="2:7" ht="13.8">
      <c r="B414" s="115"/>
      <c r="C414" s="116"/>
      <c r="D414" s="116"/>
      <c r="E414" s="116"/>
      <c r="F414" s="116"/>
      <c r="G414" s="116"/>
    </row>
    <row r="415" spans="2:7" ht="13.8">
      <c r="B415" s="115"/>
      <c r="C415" s="116"/>
      <c r="D415" s="116"/>
      <c r="E415" s="116"/>
      <c r="F415" s="116"/>
      <c r="G415" s="116"/>
    </row>
    <row r="416" spans="2:7" ht="13.8">
      <c r="B416" s="115"/>
      <c r="C416" s="116"/>
      <c r="D416" s="116"/>
      <c r="E416" s="116"/>
      <c r="F416" s="116"/>
      <c r="G416" s="116"/>
    </row>
    <row r="417" spans="2:7" ht="13.8">
      <c r="B417" s="115"/>
      <c r="C417" s="116"/>
      <c r="D417" s="116"/>
      <c r="E417" s="116"/>
      <c r="F417" s="116"/>
      <c r="G417" s="116"/>
    </row>
    <row r="418" spans="2:7" ht="13.8">
      <c r="B418" s="115"/>
      <c r="C418" s="116"/>
      <c r="D418" s="116"/>
      <c r="E418" s="116"/>
      <c r="F418" s="116"/>
      <c r="G418" s="116"/>
    </row>
    <row r="419" spans="2:7" ht="13.8">
      <c r="B419" s="115"/>
      <c r="C419" s="116"/>
      <c r="D419" s="116"/>
      <c r="E419" s="116"/>
      <c r="F419" s="116"/>
      <c r="G419" s="116"/>
    </row>
    <row r="420" spans="2:7" ht="13.8">
      <c r="B420" s="115"/>
      <c r="C420" s="116"/>
      <c r="D420" s="116"/>
      <c r="E420" s="116"/>
      <c r="F420" s="116"/>
      <c r="G420" s="116"/>
    </row>
    <row r="421" spans="2:7" ht="13.8">
      <c r="B421" s="115"/>
      <c r="C421" s="116"/>
      <c r="D421" s="116"/>
      <c r="E421" s="116"/>
      <c r="F421" s="116"/>
      <c r="G421" s="116"/>
    </row>
    <row r="422" spans="2:7" ht="13.8">
      <c r="B422" s="115"/>
      <c r="C422" s="116"/>
      <c r="D422" s="116"/>
      <c r="E422" s="116"/>
      <c r="F422" s="116"/>
      <c r="G422" s="116"/>
    </row>
    <row r="423" spans="2:7" ht="13.8">
      <c r="B423" s="115"/>
      <c r="C423" s="116"/>
      <c r="D423" s="116"/>
      <c r="E423" s="116"/>
      <c r="F423" s="116"/>
      <c r="G423" s="116"/>
    </row>
    <row r="424" spans="2:7" ht="13.8">
      <c r="B424" s="115"/>
      <c r="C424" s="116"/>
      <c r="D424" s="116"/>
      <c r="E424" s="116"/>
      <c r="F424" s="116"/>
      <c r="G424" s="116"/>
    </row>
    <row r="425" spans="2:7" ht="13.8">
      <c r="B425" s="115"/>
      <c r="C425" s="116"/>
      <c r="D425" s="116"/>
      <c r="E425" s="116"/>
      <c r="F425" s="116"/>
      <c r="G425" s="116"/>
    </row>
    <row r="426" spans="2:7" ht="13.8">
      <c r="B426" s="115"/>
      <c r="C426" s="116"/>
      <c r="D426" s="116"/>
      <c r="E426" s="116"/>
      <c r="F426" s="116"/>
      <c r="G426" s="116"/>
    </row>
    <row r="427" spans="2:7" ht="13.8">
      <c r="B427" s="115"/>
      <c r="C427" s="116"/>
      <c r="D427" s="116"/>
      <c r="E427" s="116"/>
      <c r="F427" s="116"/>
      <c r="G427" s="116"/>
    </row>
    <row r="428" spans="2:7" ht="13.8">
      <c r="B428" s="115"/>
      <c r="C428" s="116"/>
      <c r="D428" s="116"/>
      <c r="E428" s="116"/>
      <c r="F428" s="116"/>
      <c r="G428" s="116"/>
    </row>
    <row r="429" spans="2:7" ht="13.8">
      <c r="B429" s="115"/>
      <c r="C429" s="116"/>
      <c r="D429" s="116"/>
      <c r="E429" s="116"/>
      <c r="F429" s="116"/>
      <c r="G429" s="116"/>
    </row>
    <row r="430" spans="2:7" ht="13.8">
      <c r="B430" s="115"/>
      <c r="C430" s="116"/>
      <c r="D430" s="116"/>
      <c r="E430" s="116"/>
      <c r="F430" s="116"/>
      <c r="G430" s="116"/>
    </row>
    <row r="431" spans="2:7" ht="13.8">
      <c r="B431" s="115"/>
      <c r="C431" s="116"/>
      <c r="D431" s="116"/>
      <c r="E431" s="116"/>
      <c r="F431" s="116"/>
      <c r="G431" s="116"/>
    </row>
    <row r="432" spans="2:7" ht="13.8">
      <c r="B432" s="115"/>
      <c r="C432" s="116"/>
      <c r="D432" s="116"/>
      <c r="E432" s="116"/>
      <c r="F432" s="116"/>
      <c r="G432" s="116"/>
    </row>
    <row r="433" spans="2:7" ht="13.8">
      <c r="B433" s="115"/>
      <c r="C433" s="116"/>
      <c r="D433" s="116"/>
      <c r="E433" s="116"/>
      <c r="F433" s="116"/>
      <c r="G433" s="116"/>
    </row>
    <row r="434" spans="2:7" ht="13.8">
      <c r="B434" s="115"/>
      <c r="C434" s="116"/>
      <c r="D434" s="116"/>
      <c r="E434" s="116"/>
      <c r="F434" s="116"/>
      <c r="G434" s="116"/>
    </row>
    <row r="435" spans="2:7" ht="13.8">
      <c r="B435" s="115"/>
      <c r="C435" s="116"/>
      <c r="D435" s="116"/>
      <c r="E435" s="116"/>
      <c r="F435" s="116"/>
      <c r="G435" s="116"/>
    </row>
    <row r="436" spans="2:7" ht="13.8">
      <c r="B436" s="115"/>
      <c r="C436" s="116"/>
      <c r="D436" s="116"/>
      <c r="E436" s="116"/>
      <c r="F436" s="116"/>
      <c r="G436" s="116"/>
    </row>
    <row r="437" spans="2:7" ht="13.8">
      <c r="B437" s="115"/>
      <c r="C437" s="116"/>
      <c r="D437" s="116"/>
      <c r="E437" s="116"/>
      <c r="F437" s="116"/>
      <c r="G437" s="116"/>
    </row>
    <row r="438" spans="2:7" ht="13.8">
      <c r="B438" s="115"/>
      <c r="C438" s="116"/>
      <c r="D438" s="116"/>
      <c r="E438" s="116"/>
      <c r="F438" s="116"/>
      <c r="G438" s="116"/>
    </row>
    <row r="439" spans="2:7" ht="13.8">
      <c r="B439" s="115"/>
      <c r="C439" s="116"/>
      <c r="D439" s="116"/>
      <c r="E439" s="116"/>
      <c r="F439" s="116"/>
      <c r="G439" s="116"/>
    </row>
    <row r="440" spans="2:7" ht="13.8">
      <c r="B440" s="115"/>
      <c r="C440" s="116"/>
      <c r="D440" s="116"/>
      <c r="E440" s="116"/>
      <c r="F440" s="116"/>
      <c r="G440" s="116"/>
    </row>
    <row r="441" spans="2:7" ht="13.8">
      <c r="B441" s="115"/>
      <c r="C441" s="116"/>
      <c r="D441" s="116"/>
      <c r="E441" s="116"/>
      <c r="F441" s="116"/>
      <c r="G441" s="116"/>
    </row>
    <row r="442" spans="2:7" ht="13.8">
      <c r="B442" s="115"/>
      <c r="C442" s="116"/>
      <c r="D442" s="116"/>
      <c r="E442" s="116"/>
      <c r="F442" s="116"/>
      <c r="G442" s="116"/>
    </row>
    <row r="443" spans="2:7" ht="13.8">
      <c r="B443" s="115"/>
      <c r="C443" s="116"/>
      <c r="D443" s="116"/>
      <c r="E443" s="116"/>
      <c r="F443" s="116"/>
      <c r="G443" s="116"/>
    </row>
    <row r="444" spans="2:7" ht="13.8">
      <c r="B444" s="115"/>
      <c r="C444" s="116"/>
      <c r="D444" s="116"/>
      <c r="E444" s="116"/>
      <c r="F444" s="116"/>
      <c r="G444" s="116"/>
    </row>
    <row r="445" spans="2:7" ht="13.8">
      <c r="B445" s="115"/>
      <c r="C445" s="116"/>
      <c r="D445" s="116"/>
      <c r="E445" s="116"/>
      <c r="F445" s="116"/>
      <c r="G445" s="116"/>
    </row>
    <row r="446" spans="2:7" ht="13.8">
      <c r="B446" s="115"/>
      <c r="C446" s="116"/>
      <c r="D446" s="116"/>
      <c r="E446" s="116"/>
      <c r="F446" s="116"/>
      <c r="G446" s="116"/>
    </row>
    <row r="447" spans="2:7" ht="13.8">
      <c r="B447" s="115"/>
      <c r="C447" s="116"/>
      <c r="D447" s="116"/>
      <c r="E447" s="116"/>
      <c r="F447" s="116"/>
      <c r="G447" s="116"/>
    </row>
    <row r="448" spans="2:7" ht="13.8">
      <c r="B448" s="115"/>
      <c r="C448" s="116"/>
      <c r="D448" s="116"/>
      <c r="E448" s="116"/>
      <c r="F448" s="116"/>
      <c r="G448" s="116"/>
    </row>
    <row r="449" spans="2:7" ht="13.8">
      <c r="B449" s="115"/>
      <c r="C449" s="116"/>
      <c r="D449" s="116"/>
      <c r="E449" s="116"/>
      <c r="F449" s="116"/>
      <c r="G449" s="116"/>
    </row>
    <row r="450" spans="2:7" ht="13.8">
      <c r="B450" s="115"/>
      <c r="C450" s="116"/>
      <c r="D450" s="116"/>
      <c r="E450" s="116"/>
      <c r="F450" s="116"/>
      <c r="G450" s="116"/>
    </row>
    <row r="451" spans="2:7" ht="13.8">
      <c r="B451" s="115"/>
      <c r="C451" s="116"/>
      <c r="D451" s="116"/>
      <c r="E451" s="116"/>
      <c r="F451" s="116"/>
      <c r="G451" s="116"/>
    </row>
    <row r="452" spans="2:7" ht="13.8">
      <c r="B452" s="115"/>
      <c r="C452" s="116"/>
      <c r="D452" s="116"/>
      <c r="E452" s="116"/>
      <c r="F452" s="116"/>
      <c r="G452" s="116"/>
    </row>
    <row r="453" spans="2:7" ht="13.8">
      <c r="B453" s="115"/>
      <c r="C453" s="116"/>
      <c r="D453" s="116"/>
      <c r="E453" s="116"/>
      <c r="F453" s="116"/>
      <c r="G453" s="116"/>
    </row>
    <row r="454" spans="2:7" ht="13.8">
      <c r="B454" s="115"/>
      <c r="C454" s="116"/>
      <c r="D454" s="116"/>
      <c r="E454" s="116"/>
      <c r="F454" s="116"/>
      <c r="G454" s="116"/>
    </row>
    <row r="455" spans="2:7" ht="13.8">
      <c r="B455" s="115"/>
      <c r="C455" s="116"/>
      <c r="D455" s="116"/>
      <c r="E455" s="116"/>
      <c r="F455" s="116"/>
      <c r="G455" s="116"/>
    </row>
    <row r="456" spans="2:7" ht="13.8">
      <c r="B456" s="115"/>
      <c r="C456" s="116"/>
      <c r="D456" s="116"/>
      <c r="E456" s="116"/>
      <c r="F456" s="116"/>
      <c r="G456" s="116"/>
    </row>
    <row r="457" spans="2:7" ht="13.8">
      <c r="B457" s="115"/>
      <c r="C457" s="116"/>
      <c r="D457" s="116"/>
      <c r="E457" s="116"/>
      <c r="F457" s="116"/>
      <c r="G457" s="116"/>
    </row>
    <row r="458" spans="2:7" ht="13.8">
      <c r="B458" s="115"/>
      <c r="C458" s="116"/>
      <c r="D458" s="116"/>
      <c r="E458" s="116"/>
      <c r="F458" s="116"/>
      <c r="G458" s="116"/>
    </row>
    <row r="459" spans="2:7" ht="13.8">
      <c r="B459" s="115"/>
      <c r="C459" s="116"/>
      <c r="D459" s="116"/>
      <c r="E459" s="116"/>
      <c r="F459" s="116"/>
      <c r="G459" s="116"/>
    </row>
    <row r="460" spans="2:7" ht="13.8">
      <c r="B460" s="115"/>
      <c r="C460" s="116"/>
      <c r="D460" s="116"/>
      <c r="E460" s="116"/>
      <c r="F460" s="116"/>
      <c r="G460" s="116"/>
    </row>
    <row r="461" spans="2:7" ht="13.8">
      <c r="B461" s="115"/>
      <c r="C461" s="116"/>
      <c r="D461" s="116"/>
      <c r="E461" s="116"/>
      <c r="F461" s="116"/>
      <c r="G461" s="116"/>
    </row>
    <row r="462" spans="2:7" ht="13.8">
      <c r="B462" s="115"/>
      <c r="C462" s="116"/>
      <c r="D462" s="116"/>
      <c r="E462" s="116"/>
      <c r="F462" s="116"/>
      <c r="G462" s="116"/>
    </row>
    <row r="463" spans="2:7" ht="13.8">
      <c r="B463" s="115"/>
      <c r="C463" s="116"/>
      <c r="D463" s="116"/>
      <c r="E463" s="116"/>
      <c r="F463" s="116"/>
      <c r="G463" s="116"/>
    </row>
    <row r="464" spans="2:7" ht="13.8">
      <c r="B464" s="115"/>
      <c r="C464" s="116"/>
      <c r="D464" s="116"/>
      <c r="E464" s="116"/>
      <c r="F464" s="116"/>
      <c r="G464" s="116"/>
    </row>
    <row r="465" spans="2:7" ht="13.8">
      <c r="B465" s="115"/>
      <c r="C465" s="116"/>
      <c r="D465" s="116"/>
      <c r="E465" s="116"/>
      <c r="F465" s="116"/>
      <c r="G465" s="116"/>
    </row>
    <row r="466" spans="2:7" ht="13.8">
      <c r="B466" s="115"/>
      <c r="C466" s="116"/>
      <c r="D466" s="116"/>
      <c r="E466" s="116"/>
      <c r="F466" s="116"/>
      <c r="G466" s="116"/>
    </row>
    <row r="467" spans="2:7" ht="13.8">
      <c r="B467" s="115"/>
      <c r="C467" s="116"/>
      <c r="D467" s="116"/>
      <c r="E467" s="116"/>
      <c r="F467" s="116"/>
      <c r="G467" s="116"/>
    </row>
    <row r="468" spans="2:7" ht="13.8">
      <c r="B468" s="115"/>
      <c r="C468" s="116"/>
      <c r="D468" s="116"/>
      <c r="E468" s="116"/>
      <c r="F468" s="116"/>
      <c r="G468" s="116"/>
    </row>
    <row r="469" spans="2:7" ht="13.8">
      <c r="B469" s="115"/>
      <c r="C469" s="116"/>
      <c r="D469" s="116"/>
      <c r="E469" s="116"/>
      <c r="F469" s="116"/>
      <c r="G469" s="116"/>
    </row>
    <row r="470" spans="2:7" ht="13.8">
      <c r="B470" s="115"/>
      <c r="C470" s="116"/>
      <c r="D470" s="116"/>
      <c r="E470" s="116"/>
      <c r="F470" s="116"/>
      <c r="G470" s="116"/>
    </row>
    <row r="471" spans="2:7" ht="13.8">
      <c r="B471" s="115"/>
      <c r="C471" s="116"/>
      <c r="D471" s="116"/>
      <c r="E471" s="116"/>
      <c r="F471" s="116"/>
      <c r="G471" s="116"/>
    </row>
    <row r="472" spans="2:7" ht="13.8">
      <c r="B472" s="115"/>
      <c r="C472" s="116"/>
      <c r="D472" s="116"/>
      <c r="E472" s="116"/>
      <c r="F472" s="116"/>
      <c r="G472" s="116"/>
    </row>
    <row r="473" spans="2:7" ht="13.8">
      <c r="B473" s="115"/>
      <c r="C473" s="116"/>
      <c r="D473" s="116"/>
      <c r="E473" s="116"/>
      <c r="F473" s="116"/>
      <c r="G473" s="116"/>
    </row>
    <row r="474" spans="2:7" ht="13.8">
      <c r="B474" s="115"/>
      <c r="C474" s="116"/>
      <c r="D474" s="116"/>
      <c r="E474" s="116"/>
      <c r="F474" s="116"/>
      <c r="G474" s="116"/>
    </row>
    <row r="475" spans="2:7" ht="13.8">
      <c r="B475" s="115"/>
      <c r="C475" s="116"/>
      <c r="D475" s="116"/>
      <c r="E475" s="116"/>
      <c r="F475" s="116"/>
      <c r="G475" s="116"/>
    </row>
    <row r="476" spans="2:7" ht="13.8">
      <c r="B476" s="115"/>
      <c r="C476" s="116"/>
      <c r="D476" s="116"/>
      <c r="E476" s="116"/>
      <c r="F476" s="116"/>
      <c r="G476" s="116"/>
    </row>
    <row r="477" spans="2:7" ht="13.8">
      <c r="B477" s="115"/>
      <c r="C477" s="116"/>
      <c r="D477" s="116"/>
      <c r="E477" s="116"/>
      <c r="F477" s="116"/>
      <c r="G477" s="116"/>
    </row>
    <row r="478" spans="2:7" ht="13.8">
      <c r="B478" s="115"/>
      <c r="C478" s="116"/>
      <c r="D478" s="116"/>
      <c r="E478" s="116"/>
      <c r="F478" s="116"/>
      <c r="G478" s="116"/>
    </row>
    <row r="479" spans="2:7" ht="13.8">
      <c r="B479" s="115"/>
      <c r="C479" s="116"/>
      <c r="D479" s="116"/>
      <c r="E479" s="116"/>
      <c r="F479" s="116"/>
      <c r="G479" s="116"/>
    </row>
    <row r="480" spans="2:7" ht="13.8">
      <c r="B480" s="115"/>
      <c r="C480" s="116"/>
      <c r="D480" s="116"/>
      <c r="E480" s="116"/>
      <c r="F480" s="116"/>
      <c r="G480" s="116"/>
    </row>
    <row r="481" spans="2:7" ht="13.8">
      <c r="B481" s="115"/>
      <c r="C481" s="116"/>
      <c r="D481" s="116"/>
      <c r="E481" s="116"/>
      <c r="F481" s="116"/>
      <c r="G481" s="116"/>
    </row>
    <row r="482" spans="2:7" ht="13.8">
      <c r="B482" s="115"/>
      <c r="C482" s="116"/>
      <c r="D482" s="116"/>
      <c r="E482" s="116"/>
      <c r="F482" s="116"/>
      <c r="G482" s="116"/>
    </row>
    <row r="483" spans="2:7" ht="13.8">
      <c r="B483" s="115"/>
      <c r="C483" s="116"/>
      <c r="D483" s="116"/>
      <c r="E483" s="116"/>
      <c r="F483" s="116"/>
      <c r="G483" s="116"/>
    </row>
    <row r="484" spans="2:7" ht="13.8">
      <c r="B484" s="115"/>
      <c r="C484" s="116"/>
      <c r="D484" s="116"/>
      <c r="E484" s="116"/>
      <c r="F484" s="116"/>
      <c r="G484" s="116"/>
    </row>
    <row r="485" spans="2:7" ht="13.8">
      <c r="B485" s="115"/>
      <c r="C485" s="116"/>
      <c r="D485" s="116"/>
      <c r="E485" s="116"/>
      <c r="F485" s="116"/>
      <c r="G485" s="116"/>
    </row>
    <row r="486" spans="2:7" ht="13.8">
      <c r="B486" s="115"/>
      <c r="C486" s="116"/>
      <c r="D486" s="116"/>
      <c r="E486" s="116"/>
      <c r="F486" s="116"/>
      <c r="G486" s="116"/>
    </row>
    <row r="487" spans="2:7" ht="13.8">
      <c r="B487" s="115"/>
      <c r="C487" s="116"/>
      <c r="D487" s="116"/>
      <c r="E487" s="116"/>
      <c r="F487" s="116"/>
      <c r="G487" s="116"/>
    </row>
    <row r="488" spans="2:7" ht="13.8">
      <c r="B488" s="115"/>
      <c r="C488" s="116"/>
      <c r="D488" s="116"/>
      <c r="E488" s="116"/>
      <c r="F488" s="116"/>
      <c r="G488" s="116"/>
    </row>
    <row r="489" spans="2:7" ht="13.8">
      <c r="B489" s="115"/>
      <c r="C489" s="116"/>
      <c r="D489" s="116"/>
      <c r="E489" s="116"/>
      <c r="F489" s="116"/>
      <c r="G489" s="116"/>
    </row>
    <row r="490" spans="2:7" ht="13.8">
      <c r="B490" s="115"/>
      <c r="C490" s="116"/>
      <c r="D490" s="116"/>
      <c r="E490" s="116"/>
      <c r="F490" s="116"/>
      <c r="G490" s="116"/>
    </row>
    <row r="491" spans="2:7" ht="13.8">
      <c r="B491" s="115"/>
      <c r="C491" s="116"/>
      <c r="D491" s="116"/>
      <c r="E491" s="116"/>
      <c r="F491" s="116"/>
      <c r="G491" s="116"/>
    </row>
    <row r="492" spans="2:7" ht="13.8">
      <c r="B492" s="115"/>
      <c r="C492" s="116"/>
      <c r="D492" s="116"/>
      <c r="E492" s="116"/>
      <c r="F492" s="116"/>
      <c r="G492" s="116"/>
    </row>
    <row r="493" spans="2:7" ht="13.8">
      <c r="B493" s="115"/>
      <c r="C493" s="116"/>
      <c r="D493" s="116"/>
      <c r="E493" s="116"/>
      <c r="F493" s="116"/>
      <c r="G493" s="116"/>
    </row>
    <row r="494" spans="2:7" ht="13.8">
      <c r="B494" s="115"/>
      <c r="C494" s="116"/>
      <c r="D494" s="116"/>
      <c r="E494" s="116"/>
      <c r="F494" s="116"/>
      <c r="G494" s="116"/>
    </row>
    <row r="495" spans="2:7" ht="13.8">
      <c r="B495" s="115"/>
      <c r="C495" s="116"/>
      <c r="D495" s="116"/>
      <c r="E495" s="116"/>
      <c r="F495" s="116"/>
      <c r="G495" s="116"/>
    </row>
    <row r="496" spans="2:7" ht="13.8">
      <c r="B496" s="115"/>
      <c r="C496" s="116"/>
      <c r="D496" s="116"/>
      <c r="E496" s="116"/>
      <c r="F496" s="116"/>
      <c r="G496" s="116"/>
    </row>
    <row r="497" spans="2:7" ht="13.8">
      <c r="B497" s="115"/>
      <c r="C497" s="116"/>
      <c r="D497" s="116"/>
      <c r="E497" s="116"/>
      <c r="F497" s="116"/>
      <c r="G497" s="116"/>
    </row>
    <row r="498" spans="2:7" ht="13.8">
      <c r="B498" s="115"/>
      <c r="C498" s="116"/>
      <c r="D498" s="116"/>
      <c r="E498" s="116"/>
      <c r="F498" s="116"/>
      <c r="G498" s="116"/>
    </row>
    <row r="499" spans="2:7" ht="13.8">
      <c r="B499" s="115"/>
      <c r="C499" s="116"/>
      <c r="D499" s="116"/>
      <c r="E499" s="116"/>
      <c r="F499" s="116"/>
      <c r="G499" s="116"/>
    </row>
    <row r="500" spans="2:7" ht="13.8">
      <c r="B500" s="115"/>
      <c r="C500" s="116"/>
      <c r="D500" s="116"/>
      <c r="E500" s="116"/>
      <c r="F500" s="116"/>
      <c r="G500" s="116"/>
    </row>
    <row r="501" spans="2:7" ht="13.8">
      <c r="B501" s="115"/>
      <c r="C501" s="116"/>
      <c r="D501" s="116"/>
      <c r="E501" s="116"/>
      <c r="F501" s="116"/>
      <c r="G501" s="116"/>
    </row>
    <row r="502" spans="2:7" ht="13.8">
      <c r="B502" s="115"/>
      <c r="C502" s="116"/>
      <c r="D502" s="116"/>
      <c r="E502" s="116"/>
      <c r="F502" s="116"/>
      <c r="G502" s="116"/>
    </row>
    <row r="503" spans="2:7" ht="13.8">
      <c r="B503" s="115"/>
      <c r="C503" s="116"/>
      <c r="D503" s="116"/>
      <c r="E503" s="116"/>
      <c r="F503" s="116"/>
      <c r="G503" s="116"/>
    </row>
    <row r="504" spans="2:7" ht="13.8">
      <c r="B504" s="115"/>
      <c r="C504" s="116"/>
      <c r="D504" s="116"/>
      <c r="E504" s="116"/>
      <c r="F504" s="116"/>
      <c r="G504" s="116"/>
    </row>
    <row r="505" spans="2:7" ht="13.8">
      <c r="B505" s="115"/>
      <c r="C505" s="116"/>
      <c r="D505" s="116"/>
      <c r="E505" s="116"/>
      <c r="F505" s="116"/>
      <c r="G505" s="116"/>
    </row>
    <row r="506" spans="2:7" ht="13.8">
      <c r="B506" s="115"/>
      <c r="C506" s="116"/>
      <c r="D506" s="116"/>
      <c r="E506" s="116"/>
      <c r="F506" s="116"/>
      <c r="G506" s="116"/>
    </row>
    <row r="507" spans="2:7" ht="13.8">
      <c r="B507" s="115"/>
      <c r="C507" s="116"/>
      <c r="D507" s="116"/>
      <c r="E507" s="116"/>
      <c r="F507" s="116"/>
      <c r="G507" s="116"/>
    </row>
    <row r="508" spans="2:7" ht="13.8">
      <c r="B508" s="115"/>
      <c r="C508" s="116"/>
      <c r="D508" s="116"/>
      <c r="E508" s="116"/>
      <c r="F508" s="116"/>
      <c r="G508" s="116"/>
    </row>
    <row r="509" spans="2:7" ht="13.8">
      <c r="B509" s="115"/>
      <c r="C509" s="116"/>
      <c r="D509" s="116"/>
      <c r="E509" s="116"/>
      <c r="F509" s="116"/>
      <c r="G509" s="116"/>
    </row>
    <row r="510" spans="2:7" ht="13.8">
      <c r="B510" s="115"/>
      <c r="C510" s="116"/>
      <c r="D510" s="116"/>
      <c r="E510" s="116"/>
      <c r="F510" s="116"/>
      <c r="G510" s="116"/>
    </row>
    <row r="511" spans="2:7" ht="13.8">
      <c r="B511" s="115"/>
      <c r="C511" s="116"/>
      <c r="D511" s="116"/>
      <c r="E511" s="116"/>
      <c r="F511" s="116"/>
      <c r="G511" s="116"/>
    </row>
    <row r="512" spans="2:7" ht="13.8">
      <c r="B512" s="115"/>
      <c r="C512" s="116"/>
      <c r="D512" s="116"/>
      <c r="E512" s="116"/>
      <c r="F512" s="116"/>
      <c r="G512" s="116"/>
    </row>
    <row r="513" spans="2:7" ht="13.8">
      <c r="B513" s="115"/>
      <c r="C513" s="116"/>
      <c r="D513" s="116"/>
      <c r="E513" s="116"/>
      <c r="F513" s="116"/>
      <c r="G513" s="116"/>
    </row>
    <row r="514" spans="2:7" ht="13.8">
      <c r="B514" s="115"/>
      <c r="C514" s="116"/>
      <c r="D514" s="116"/>
      <c r="E514" s="116"/>
      <c r="F514" s="116"/>
      <c r="G514" s="116"/>
    </row>
    <row r="515" spans="2:7" ht="13.8">
      <c r="B515" s="115"/>
      <c r="C515" s="116"/>
      <c r="D515" s="116"/>
      <c r="E515" s="116"/>
      <c r="F515" s="116"/>
      <c r="G515" s="116"/>
    </row>
    <row r="516" spans="2:7" ht="13.8">
      <c r="B516" s="115"/>
      <c r="C516" s="116"/>
      <c r="D516" s="116"/>
      <c r="E516" s="116"/>
      <c r="F516" s="116"/>
      <c r="G516" s="116"/>
    </row>
    <row r="517" spans="2:7" ht="13.8">
      <c r="B517" s="115"/>
      <c r="C517" s="116"/>
      <c r="D517" s="116"/>
      <c r="E517" s="116"/>
      <c r="F517" s="116"/>
      <c r="G517" s="116"/>
    </row>
    <row r="518" spans="2:7" ht="13.8">
      <c r="B518" s="115"/>
      <c r="C518" s="116"/>
      <c r="D518" s="116"/>
      <c r="E518" s="116"/>
      <c r="F518" s="116"/>
      <c r="G518" s="116"/>
    </row>
    <row r="519" spans="2:7" ht="13.8">
      <c r="B519" s="115"/>
      <c r="C519" s="116"/>
      <c r="D519" s="116"/>
      <c r="E519" s="116"/>
      <c r="F519" s="116"/>
      <c r="G519" s="116"/>
    </row>
    <row r="520" spans="2:7" ht="13.8">
      <c r="B520" s="115"/>
      <c r="C520" s="116"/>
      <c r="D520" s="116"/>
      <c r="E520" s="116"/>
      <c r="F520" s="116"/>
      <c r="G520" s="116"/>
    </row>
    <row r="521" spans="2:7" ht="13.8">
      <c r="B521" s="115"/>
      <c r="C521" s="116"/>
      <c r="D521" s="116"/>
      <c r="E521" s="116"/>
      <c r="F521" s="116"/>
      <c r="G521" s="116"/>
    </row>
    <row r="522" spans="2:7" ht="13.8">
      <c r="B522" s="115"/>
      <c r="C522" s="116"/>
      <c r="D522" s="116"/>
      <c r="E522" s="116"/>
      <c r="F522" s="116"/>
      <c r="G522" s="116"/>
    </row>
    <row r="523" spans="2:7" ht="13.8">
      <c r="B523" s="115"/>
      <c r="C523" s="116"/>
      <c r="D523" s="116"/>
      <c r="E523" s="116"/>
      <c r="F523" s="116"/>
      <c r="G523" s="116"/>
    </row>
    <row r="524" spans="2:7" ht="13.8">
      <c r="B524" s="115"/>
      <c r="C524" s="116"/>
      <c r="D524" s="116"/>
      <c r="E524" s="116"/>
      <c r="F524" s="116"/>
      <c r="G524" s="116"/>
    </row>
    <row r="525" spans="2:7" ht="13.8">
      <c r="B525" s="115"/>
      <c r="C525" s="116"/>
      <c r="D525" s="116"/>
      <c r="E525" s="116"/>
      <c r="F525" s="116"/>
      <c r="G525" s="116"/>
    </row>
    <row r="526" spans="2:7" ht="13.8">
      <c r="B526" s="115"/>
      <c r="C526" s="116"/>
      <c r="D526" s="116"/>
      <c r="E526" s="116"/>
      <c r="F526" s="116"/>
      <c r="G526" s="116"/>
    </row>
    <row r="527" spans="2:7" ht="13.8">
      <c r="B527" s="115"/>
      <c r="C527" s="116"/>
      <c r="D527" s="116"/>
      <c r="E527" s="116"/>
      <c r="F527" s="116"/>
      <c r="G527" s="116"/>
    </row>
    <row r="528" spans="2:7" ht="13.8">
      <c r="B528" s="115"/>
      <c r="C528" s="116"/>
      <c r="D528" s="116"/>
      <c r="E528" s="116"/>
      <c r="F528" s="116"/>
      <c r="G528" s="116"/>
    </row>
    <row r="529" spans="2:7" ht="13.8">
      <c r="B529" s="115"/>
      <c r="C529" s="116"/>
      <c r="D529" s="116"/>
      <c r="E529" s="116"/>
      <c r="F529" s="116"/>
      <c r="G529" s="116"/>
    </row>
    <row r="530" spans="2:7" ht="13.8">
      <c r="B530" s="115"/>
      <c r="C530" s="116"/>
      <c r="D530" s="116"/>
      <c r="E530" s="116"/>
      <c r="F530" s="116"/>
      <c r="G530" s="116"/>
    </row>
    <row r="531" spans="2:7" ht="13.8">
      <c r="B531" s="115"/>
      <c r="C531" s="116"/>
      <c r="D531" s="116"/>
      <c r="E531" s="116"/>
      <c r="F531" s="116"/>
      <c r="G531" s="116"/>
    </row>
    <row r="532" spans="2:7" ht="13.8">
      <c r="B532" s="115"/>
      <c r="C532" s="116"/>
      <c r="D532" s="116"/>
      <c r="E532" s="116"/>
      <c r="F532" s="116"/>
      <c r="G532" s="116"/>
    </row>
    <row r="533" spans="2:7" ht="13.8">
      <c r="B533" s="115"/>
      <c r="C533" s="116"/>
      <c r="D533" s="116"/>
      <c r="E533" s="116"/>
      <c r="F533" s="116"/>
      <c r="G533" s="116"/>
    </row>
    <row r="534" spans="2:7" ht="13.8">
      <c r="B534" s="115"/>
      <c r="C534" s="116"/>
      <c r="D534" s="116"/>
      <c r="E534" s="116"/>
      <c r="F534" s="116"/>
      <c r="G534" s="116"/>
    </row>
    <row r="535" spans="2:7" ht="13.8">
      <c r="B535" s="115"/>
      <c r="C535" s="116"/>
      <c r="D535" s="116"/>
      <c r="E535" s="116"/>
      <c r="F535" s="116"/>
      <c r="G535" s="116"/>
    </row>
    <row r="536" spans="2:7" ht="13.8">
      <c r="B536" s="115"/>
      <c r="C536" s="116"/>
      <c r="D536" s="116"/>
      <c r="E536" s="116"/>
      <c r="F536" s="116"/>
      <c r="G536" s="116"/>
    </row>
    <row r="537" spans="2:7" ht="13.8">
      <c r="B537" s="115"/>
      <c r="C537" s="116"/>
      <c r="D537" s="116"/>
      <c r="E537" s="116"/>
      <c r="F537" s="116"/>
      <c r="G537" s="116"/>
    </row>
    <row r="538" spans="2:7" ht="13.8">
      <c r="B538" s="115"/>
      <c r="C538" s="116"/>
      <c r="D538" s="116"/>
      <c r="E538" s="116"/>
      <c r="F538" s="116"/>
      <c r="G538" s="116"/>
    </row>
    <row r="539" spans="2:7" ht="13.8">
      <c r="B539" s="115"/>
      <c r="C539" s="116"/>
      <c r="D539" s="116"/>
      <c r="E539" s="116"/>
      <c r="F539" s="116"/>
      <c r="G539" s="116"/>
    </row>
    <row r="540" spans="2:7" ht="13.8">
      <c r="B540" s="115"/>
      <c r="C540" s="116"/>
      <c r="D540" s="116"/>
      <c r="E540" s="116"/>
      <c r="F540" s="116"/>
      <c r="G540" s="116"/>
    </row>
    <row r="541" spans="2:7" ht="13.8">
      <c r="B541" s="115"/>
      <c r="C541" s="116"/>
      <c r="D541" s="116"/>
      <c r="E541" s="116"/>
      <c r="F541" s="116"/>
      <c r="G541" s="116"/>
    </row>
    <row r="542" spans="2:7" ht="13.8">
      <c r="B542" s="115"/>
      <c r="C542" s="116"/>
      <c r="D542" s="116"/>
      <c r="E542" s="116"/>
      <c r="F542" s="116"/>
      <c r="G542" s="116"/>
    </row>
    <row r="543" spans="2:7" ht="13.8">
      <c r="B543" s="115"/>
      <c r="C543" s="116"/>
      <c r="D543" s="116"/>
      <c r="E543" s="116"/>
      <c r="F543" s="116"/>
      <c r="G543" s="116"/>
    </row>
    <row r="544" spans="2:7" ht="13.8">
      <c r="B544" s="115"/>
      <c r="C544" s="116"/>
      <c r="D544" s="116"/>
      <c r="E544" s="116"/>
      <c r="F544" s="116"/>
      <c r="G544" s="116"/>
    </row>
    <row r="545" spans="2:7" ht="13.8">
      <c r="B545" s="115"/>
      <c r="C545" s="116"/>
      <c r="D545" s="116"/>
      <c r="E545" s="116"/>
      <c r="F545" s="116"/>
      <c r="G545" s="116"/>
    </row>
    <row r="546" spans="2:7" ht="13.8">
      <c r="B546" s="115"/>
      <c r="C546" s="116"/>
      <c r="D546" s="116"/>
      <c r="E546" s="116"/>
      <c r="F546" s="116"/>
      <c r="G546" s="116"/>
    </row>
    <row r="547" spans="2:7" ht="13.8">
      <c r="B547" s="115"/>
      <c r="C547" s="116"/>
      <c r="D547" s="116"/>
      <c r="E547" s="116"/>
      <c r="F547" s="116"/>
      <c r="G547" s="116"/>
    </row>
    <row r="548" spans="2:7" ht="13.8">
      <c r="B548" s="115"/>
      <c r="C548" s="116"/>
      <c r="D548" s="116"/>
      <c r="E548" s="116"/>
      <c r="F548" s="116"/>
      <c r="G548" s="116"/>
    </row>
    <row r="549" spans="2:7" ht="13.8">
      <c r="B549" s="115"/>
      <c r="C549" s="116"/>
      <c r="D549" s="116"/>
      <c r="E549" s="116"/>
      <c r="F549" s="116"/>
      <c r="G549" s="116"/>
    </row>
    <row r="550" spans="2:7" ht="13.8">
      <c r="B550" s="115"/>
      <c r="C550" s="116"/>
      <c r="D550" s="116"/>
      <c r="E550" s="116"/>
      <c r="F550" s="116"/>
      <c r="G550" s="116"/>
    </row>
    <row r="551" spans="2:7" ht="13.8">
      <c r="B551" s="115"/>
      <c r="C551" s="116"/>
      <c r="D551" s="116"/>
      <c r="E551" s="116"/>
      <c r="F551" s="116"/>
      <c r="G551" s="116"/>
    </row>
    <row r="552" spans="2:7" ht="13.8">
      <c r="B552" s="115"/>
      <c r="C552" s="116"/>
      <c r="D552" s="116"/>
      <c r="E552" s="116"/>
      <c r="F552" s="116"/>
      <c r="G552" s="116"/>
    </row>
    <row r="553" spans="2:7" ht="13.8">
      <c r="B553" s="115"/>
      <c r="C553" s="116"/>
      <c r="D553" s="116"/>
      <c r="E553" s="116"/>
      <c r="F553" s="116"/>
      <c r="G553" s="116"/>
    </row>
    <row r="554" spans="2:7" ht="13.8">
      <c r="B554" s="115"/>
      <c r="C554" s="116"/>
      <c r="D554" s="116"/>
      <c r="E554" s="116"/>
      <c r="F554" s="116"/>
      <c r="G554" s="116"/>
    </row>
    <row r="555" spans="2:7" ht="13.8">
      <c r="B555" s="115"/>
      <c r="C555" s="116"/>
      <c r="D555" s="116"/>
      <c r="E555" s="116"/>
      <c r="F555" s="116"/>
      <c r="G555" s="116"/>
    </row>
    <row r="556" spans="2:7" ht="13.8">
      <c r="B556" s="115"/>
      <c r="C556" s="116"/>
      <c r="D556" s="116"/>
      <c r="E556" s="116"/>
      <c r="F556" s="116"/>
      <c r="G556" s="116"/>
    </row>
    <row r="557" spans="2:7" ht="13.8">
      <c r="B557" s="115"/>
      <c r="C557" s="116"/>
      <c r="D557" s="116"/>
      <c r="E557" s="116"/>
      <c r="F557" s="116"/>
      <c r="G557" s="116"/>
    </row>
    <row r="558" spans="2:7" ht="13.8">
      <c r="B558" s="115"/>
      <c r="C558" s="116"/>
      <c r="D558" s="116"/>
      <c r="E558" s="116"/>
      <c r="F558" s="116"/>
      <c r="G558" s="116"/>
    </row>
    <row r="559" spans="2:7" ht="13.8">
      <c r="B559" s="115"/>
      <c r="C559" s="116"/>
      <c r="D559" s="116"/>
      <c r="E559" s="116"/>
      <c r="F559" s="116"/>
      <c r="G559" s="116"/>
    </row>
    <row r="560" spans="2:7" ht="13.8">
      <c r="B560" s="115"/>
      <c r="C560" s="116"/>
      <c r="D560" s="116"/>
      <c r="E560" s="116"/>
      <c r="F560" s="116"/>
      <c r="G560" s="116"/>
    </row>
    <row r="561" spans="2:7" ht="13.8">
      <c r="B561" s="115"/>
      <c r="C561" s="116"/>
      <c r="D561" s="116"/>
      <c r="E561" s="116"/>
      <c r="F561" s="116"/>
      <c r="G561" s="116"/>
    </row>
    <row r="562" spans="2:7" ht="13.8">
      <c r="B562" s="115"/>
      <c r="C562" s="116"/>
      <c r="D562" s="116"/>
      <c r="E562" s="116"/>
      <c r="F562" s="116"/>
      <c r="G562" s="116"/>
    </row>
    <row r="563" spans="2:7" ht="13.8">
      <c r="B563" s="115"/>
      <c r="C563" s="116"/>
      <c r="D563" s="116"/>
      <c r="E563" s="116"/>
      <c r="F563" s="116"/>
      <c r="G563" s="116"/>
    </row>
    <row r="564" spans="2:7" ht="13.8">
      <c r="B564" s="115"/>
      <c r="C564" s="116"/>
      <c r="D564" s="116"/>
      <c r="E564" s="116"/>
      <c r="F564" s="116"/>
      <c r="G564" s="116"/>
    </row>
    <row r="565" spans="2:7" ht="13.8">
      <c r="B565" s="115"/>
      <c r="C565" s="116"/>
      <c r="D565" s="116"/>
      <c r="E565" s="116"/>
      <c r="F565" s="116"/>
      <c r="G565" s="116"/>
    </row>
    <row r="566" spans="2:7" ht="13.8">
      <c r="B566" s="115"/>
      <c r="C566" s="116"/>
      <c r="D566" s="116"/>
      <c r="E566" s="116"/>
      <c r="F566" s="116"/>
      <c r="G566" s="116"/>
    </row>
    <row r="567" spans="2:7" ht="13.8">
      <c r="B567" s="115"/>
      <c r="C567" s="116"/>
      <c r="D567" s="116"/>
      <c r="E567" s="116"/>
      <c r="F567" s="116"/>
      <c r="G567" s="116"/>
    </row>
    <row r="568" spans="2:7" ht="13.8">
      <c r="B568" s="115"/>
      <c r="C568" s="116"/>
      <c r="D568" s="116"/>
      <c r="E568" s="116"/>
      <c r="F568" s="116"/>
      <c r="G568" s="116"/>
    </row>
    <row r="569" spans="2:7" ht="13.8">
      <c r="B569" s="115"/>
      <c r="C569" s="116"/>
      <c r="D569" s="116"/>
      <c r="E569" s="116"/>
      <c r="F569" s="116"/>
      <c r="G569" s="116"/>
    </row>
    <row r="570" spans="2:7" ht="13.8">
      <c r="B570" s="115"/>
      <c r="C570" s="116"/>
      <c r="D570" s="116"/>
      <c r="E570" s="116"/>
      <c r="F570" s="116"/>
      <c r="G570" s="116"/>
    </row>
    <row r="571" spans="2:7" ht="13.8">
      <c r="B571" s="115"/>
      <c r="C571" s="116"/>
      <c r="D571" s="116"/>
      <c r="E571" s="116"/>
      <c r="F571" s="116"/>
      <c r="G571" s="116"/>
    </row>
    <row r="572" spans="2:7" ht="13.8">
      <c r="B572" s="115"/>
      <c r="C572" s="116"/>
      <c r="D572" s="116"/>
      <c r="E572" s="116"/>
      <c r="F572" s="116"/>
      <c r="G572" s="116"/>
    </row>
    <row r="573" spans="2:7" ht="13.8">
      <c r="B573" s="115"/>
      <c r="C573" s="116"/>
      <c r="D573" s="116"/>
      <c r="E573" s="116"/>
      <c r="F573" s="116"/>
      <c r="G573" s="116"/>
    </row>
    <row r="574" spans="2:7" ht="13.8">
      <c r="B574" s="115"/>
      <c r="C574" s="116"/>
      <c r="D574" s="116"/>
      <c r="E574" s="116"/>
      <c r="F574" s="116"/>
      <c r="G574" s="116"/>
    </row>
    <row r="575" spans="2:7" ht="13.8">
      <c r="B575" s="115"/>
      <c r="C575" s="116"/>
      <c r="D575" s="116"/>
      <c r="E575" s="116"/>
      <c r="F575" s="116"/>
      <c r="G575" s="116"/>
    </row>
    <row r="576" spans="2:7" ht="13.8">
      <c r="B576" s="115"/>
      <c r="C576" s="116"/>
      <c r="D576" s="116"/>
      <c r="E576" s="116"/>
      <c r="F576" s="116"/>
      <c r="G576" s="116"/>
    </row>
    <row r="577" spans="2:7" ht="13.8">
      <c r="B577" s="115"/>
      <c r="C577" s="116"/>
      <c r="D577" s="116"/>
      <c r="E577" s="116"/>
      <c r="F577" s="116"/>
      <c r="G577" s="116"/>
    </row>
    <row r="578" spans="2:7" ht="13.8">
      <c r="B578" s="115"/>
      <c r="C578" s="116"/>
      <c r="D578" s="116"/>
      <c r="E578" s="116"/>
      <c r="F578" s="116"/>
      <c r="G578" s="116"/>
    </row>
    <row r="579" spans="2:7" ht="13.8">
      <c r="B579" s="115"/>
      <c r="C579" s="116"/>
      <c r="D579" s="116"/>
      <c r="E579" s="116"/>
      <c r="F579" s="116"/>
      <c r="G579" s="116"/>
    </row>
    <row r="580" spans="2:7" ht="13.8">
      <c r="B580" s="115"/>
      <c r="C580" s="116"/>
      <c r="D580" s="116"/>
      <c r="E580" s="116"/>
      <c r="F580" s="116"/>
      <c r="G580" s="116"/>
    </row>
    <row r="581" spans="2:7" ht="13.8">
      <c r="B581" s="115"/>
      <c r="C581" s="116"/>
      <c r="D581" s="116"/>
      <c r="E581" s="116"/>
      <c r="F581" s="116"/>
      <c r="G581" s="116"/>
    </row>
    <row r="582" spans="2:7" ht="13.8">
      <c r="B582" s="115"/>
      <c r="C582" s="116"/>
      <c r="D582" s="116"/>
      <c r="E582" s="116"/>
      <c r="F582" s="116"/>
      <c r="G582" s="116"/>
    </row>
    <row r="583" spans="2:7" ht="13.8">
      <c r="B583" s="115"/>
      <c r="C583" s="116"/>
      <c r="D583" s="116"/>
      <c r="E583" s="116"/>
      <c r="F583" s="116"/>
      <c r="G583" s="116"/>
    </row>
    <row r="584" spans="2:7" ht="13.8">
      <c r="B584" s="115"/>
      <c r="C584" s="116"/>
      <c r="D584" s="116"/>
      <c r="E584" s="116"/>
      <c r="F584" s="116"/>
      <c r="G584" s="116"/>
    </row>
    <row r="585" spans="2:7" ht="13.8">
      <c r="B585" s="115"/>
      <c r="C585" s="116"/>
      <c r="D585" s="116"/>
      <c r="E585" s="116"/>
      <c r="F585" s="116"/>
      <c r="G585" s="116"/>
    </row>
    <row r="586" spans="2:7" ht="13.8">
      <c r="B586" s="115"/>
      <c r="C586" s="116"/>
      <c r="D586" s="116"/>
      <c r="E586" s="116"/>
      <c r="F586" s="116"/>
      <c r="G586" s="116"/>
    </row>
    <row r="587" spans="2:7" ht="13.8">
      <c r="B587" s="115"/>
      <c r="C587" s="116"/>
      <c r="D587" s="116"/>
      <c r="E587" s="116"/>
      <c r="F587" s="116"/>
      <c r="G587" s="116"/>
    </row>
    <row r="588" spans="2:7" ht="13.8">
      <c r="B588" s="115"/>
      <c r="C588" s="116"/>
      <c r="D588" s="116"/>
      <c r="E588" s="116"/>
      <c r="F588" s="116"/>
      <c r="G588" s="116"/>
    </row>
    <row r="589" spans="2:7" ht="13.8">
      <c r="B589" s="115"/>
      <c r="C589" s="116"/>
      <c r="D589" s="116"/>
      <c r="E589" s="116"/>
      <c r="F589" s="116"/>
      <c r="G589" s="116"/>
    </row>
    <row r="590" spans="2:7" ht="13.8">
      <c r="B590" s="115"/>
      <c r="C590" s="116"/>
      <c r="D590" s="116"/>
      <c r="E590" s="116"/>
      <c r="F590" s="116"/>
      <c r="G590" s="116"/>
    </row>
    <row r="591" spans="2:7" ht="13.8">
      <c r="B591" s="115"/>
      <c r="C591" s="116"/>
      <c r="D591" s="116"/>
      <c r="E591" s="116"/>
      <c r="F591" s="116"/>
      <c r="G591" s="116"/>
    </row>
    <row r="592" spans="2:7" ht="13.8">
      <c r="B592" s="115"/>
      <c r="C592" s="116"/>
      <c r="D592" s="116"/>
      <c r="E592" s="116"/>
      <c r="F592" s="116"/>
      <c r="G592" s="116"/>
    </row>
    <row r="593" spans="2:7" ht="13.8">
      <c r="B593" s="115"/>
      <c r="C593" s="116"/>
      <c r="D593" s="116"/>
      <c r="E593" s="116"/>
      <c r="F593" s="116"/>
      <c r="G593" s="116"/>
    </row>
    <row r="594" spans="2:7" ht="13.8">
      <c r="B594" s="115"/>
      <c r="C594" s="116"/>
      <c r="D594" s="116"/>
      <c r="E594" s="116"/>
      <c r="F594" s="116"/>
      <c r="G594" s="116"/>
    </row>
    <row r="595" spans="2:7" ht="13.8">
      <c r="B595" s="115"/>
      <c r="C595" s="116"/>
      <c r="D595" s="116"/>
      <c r="E595" s="116"/>
      <c r="F595" s="116"/>
      <c r="G595" s="116"/>
    </row>
    <row r="596" spans="2:7" ht="13.8">
      <c r="B596" s="115"/>
      <c r="C596" s="116"/>
      <c r="D596" s="116"/>
      <c r="E596" s="116"/>
      <c r="F596" s="116"/>
      <c r="G596" s="116"/>
    </row>
    <row r="597" spans="2:7" ht="13.8">
      <c r="B597" s="115"/>
      <c r="C597" s="116"/>
      <c r="D597" s="116"/>
      <c r="E597" s="116"/>
      <c r="F597" s="116"/>
      <c r="G597" s="116"/>
    </row>
    <row r="598" spans="2:7" ht="13.8">
      <c r="B598" s="115"/>
      <c r="C598" s="116"/>
      <c r="D598" s="116"/>
      <c r="E598" s="116"/>
      <c r="F598" s="116"/>
      <c r="G598" s="116"/>
    </row>
    <row r="599" spans="2:7" ht="13.8">
      <c r="B599" s="115"/>
      <c r="C599" s="116"/>
      <c r="D599" s="116"/>
      <c r="E599" s="116"/>
      <c r="F599" s="116"/>
      <c r="G599" s="116"/>
    </row>
    <row r="600" spans="2:7" ht="13.8">
      <c r="B600" s="115"/>
      <c r="C600" s="116"/>
      <c r="D600" s="116"/>
      <c r="E600" s="116"/>
      <c r="F600" s="116"/>
      <c r="G600" s="116"/>
    </row>
    <row r="601" spans="2:7" ht="13.8">
      <c r="B601" s="115"/>
      <c r="C601" s="116"/>
      <c r="D601" s="116"/>
      <c r="E601" s="116"/>
      <c r="F601" s="116"/>
      <c r="G601" s="116"/>
    </row>
    <row r="602" spans="2:7" ht="13.8">
      <c r="B602" s="115"/>
      <c r="C602" s="116"/>
      <c r="D602" s="116"/>
      <c r="E602" s="116"/>
      <c r="F602" s="116"/>
      <c r="G602" s="116"/>
    </row>
    <row r="603" spans="2:7" ht="13.8">
      <c r="B603" s="115"/>
      <c r="C603" s="116"/>
      <c r="D603" s="116"/>
      <c r="E603" s="116"/>
      <c r="F603" s="116"/>
      <c r="G603" s="116"/>
    </row>
    <row r="604" spans="2:7" ht="13.8">
      <c r="B604" s="115"/>
      <c r="C604" s="116"/>
      <c r="D604" s="116"/>
      <c r="E604" s="116"/>
      <c r="F604" s="116"/>
      <c r="G604" s="116"/>
    </row>
    <row r="605" spans="2:7" ht="13.8">
      <c r="B605" s="115"/>
      <c r="C605" s="116"/>
      <c r="D605" s="116"/>
      <c r="E605" s="116"/>
      <c r="F605" s="116"/>
      <c r="G605" s="116"/>
    </row>
    <row r="606" spans="2:7" ht="13.8">
      <c r="B606" s="115"/>
      <c r="C606" s="116"/>
      <c r="D606" s="116"/>
      <c r="E606" s="116"/>
      <c r="F606" s="116"/>
      <c r="G606" s="116"/>
    </row>
    <row r="607" spans="2:7" ht="13.8">
      <c r="B607" s="115"/>
      <c r="C607" s="116"/>
      <c r="D607" s="116"/>
      <c r="E607" s="116"/>
      <c r="F607" s="116"/>
      <c r="G607" s="116"/>
    </row>
    <row r="608" spans="2:7" ht="13.8">
      <c r="B608" s="115"/>
      <c r="C608" s="116"/>
      <c r="D608" s="116"/>
      <c r="E608" s="116"/>
      <c r="F608" s="116"/>
      <c r="G608" s="116"/>
    </row>
    <row r="609" spans="2:7" ht="13.8">
      <c r="B609" s="115"/>
      <c r="C609" s="116"/>
      <c r="D609" s="116"/>
      <c r="E609" s="116"/>
      <c r="F609" s="116"/>
      <c r="G609" s="116"/>
    </row>
    <row r="610" spans="2:7" ht="13.8">
      <c r="B610" s="115"/>
      <c r="C610" s="116"/>
      <c r="D610" s="116"/>
      <c r="E610" s="116"/>
      <c r="F610" s="116"/>
      <c r="G610" s="116"/>
    </row>
    <row r="611" spans="2:7" ht="13.8">
      <c r="B611" s="115"/>
      <c r="C611" s="116"/>
      <c r="D611" s="116"/>
      <c r="E611" s="116"/>
      <c r="F611" s="116"/>
      <c r="G611" s="116"/>
    </row>
    <row r="612" spans="2:7" ht="13.8">
      <c r="B612" s="115"/>
      <c r="C612" s="116"/>
      <c r="D612" s="116"/>
      <c r="E612" s="116"/>
      <c r="F612" s="116"/>
      <c r="G612" s="116"/>
    </row>
    <row r="613" spans="2:7" ht="13.8">
      <c r="B613" s="115"/>
      <c r="C613" s="116"/>
      <c r="D613" s="116"/>
      <c r="E613" s="116"/>
      <c r="F613" s="116"/>
      <c r="G613" s="116"/>
    </row>
    <row r="614" spans="2:7" ht="13.8">
      <c r="B614" s="115"/>
      <c r="C614" s="116"/>
      <c r="D614" s="116"/>
      <c r="E614" s="116"/>
      <c r="F614" s="116"/>
      <c r="G614" s="116"/>
    </row>
    <row r="615" spans="2:7" ht="13.8">
      <c r="B615" s="115"/>
      <c r="C615" s="116"/>
      <c r="D615" s="116"/>
      <c r="E615" s="116"/>
      <c r="F615" s="116"/>
      <c r="G615" s="116"/>
    </row>
    <row r="616" spans="2:7" ht="13.8">
      <c r="B616" s="115"/>
      <c r="C616" s="116"/>
      <c r="D616" s="116"/>
      <c r="E616" s="116"/>
      <c r="F616" s="116"/>
      <c r="G616" s="116"/>
    </row>
    <row r="617" spans="2:7" ht="13.8">
      <c r="B617" s="115"/>
      <c r="C617" s="116"/>
      <c r="D617" s="116"/>
      <c r="E617" s="116"/>
      <c r="F617" s="116"/>
      <c r="G617" s="116"/>
    </row>
    <row r="618" spans="2:7" ht="13.8">
      <c r="B618" s="115"/>
      <c r="C618" s="116"/>
      <c r="D618" s="116"/>
      <c r="E618" s="116"/>
      <c r="F618" s="116"/>
      <c r="G618" s="116"/>
    </row>
    <row r="619" spans="2:7" ht="13.8">
      <c r="B619" s="115"/>
      <c r="C619" s="116"/>
      <c r="D619" s="116"/>
      <c r="E619" s="116"/>
      <c r="F619" s="116"/>
      <c r="G619" s="116"/>
    </row>
    <row r="620" spans="2:7" ht="13.8">
      <c r="B620" s="115"/>
      <c r="C620" s="116"/>
      <c r="D620" s="116"/>
      <c r="E620" s="116"/>
      <c r="F620" s="116"/>
      <c r="G620" s="116"/>
    </row>
    <row r="621" spans="2:7" ht="13.8">
      <c r="B621" s="115"/>
      <c r="C621" s="116"/>
      <c r="D621" s="116"/>
      <c r="E621" s="116"/>
      <c r="F621" s="116"/>
      <c r="G621" s="116"/>
    </row>
    <row r="622" spans="2:7" ht="13.8">
      <c r="B622" s="115"/>
      <c r="C622" s="116"/>
      <c r="D622" s="116"/>
      <c r="E622" s="116"/>
      <c r="F622" s="116"/>
      <c r="G622" s="116"/>
    </row>
    <row r="623" spans="2:7" ht="13.8">
      <c r="B623" s="115"/>
      <c r="C623" s="116"/>
      <c r="D623" s="116"/>
      <c r="E623" s="116"/>
      <c r="F623" s="116"/>
      <c r="G623" s="116"/>
    </row>
    <row r="624" spans="2:7" ht="13.8">
      <c r="B624" s="115"/>
      <c r="C624" s="116"/>
      <c r="D624" s="116"/>
      <c r="E624" s="116"/>
      <c r="F624" s="116"/>
      <c r="G624" s="116"/>
    </row>
    <row r="625" spans="2:7" ht="13.8">
      <c r="B625" s="115"/>
      <c r="C625" s="116"/>
      <c r="D625" s="116"/>
      <c r="E625" s="116"/>
      <c r="F625" s="116"/>
      <c r="G625" s="116"/>
    </row>
    <row r="626" spans="2:7" ht="13.8">
      <c r="B626" s="115"/>
      <c r="C626" s="116"/>
      <c r="D626" s="116"/>
      <c r="E626" s="116"/>
      <c r="F626" s="116"/>
      <c r="G626" s="116"/>
    </row>
    <row r="627" spans="2:7" ht="13.8">
      <c r="B627" s="115"/>
      <c r="C627" s="116"/>
      <c r="D627" s="116"/>
      <c r="E627" s="116"/>
      <c r="F627" s="116"/>
      <c r="G627" s="116"/>
    </row>
    <row r="628" spans="2:7" ht="13.8">
      <c r="B628" s="115"/>
      <c r="C628" s="116"/>
      <c r="D628" s="116"/>
      <c r="E628" s="116"/>
      <c r="F628" s="116"/>
      <c r="G628" s="116"/>
    </row>
    <row r="629" spans="2:7" ht="13.8">
      <c r="B629" s="115"/>
      <c r="C629" s="116"/>
      <c r="D629" s="116"/>
      <c r="E629" s="116"/>
      <c r="F629" s="116"/>
      <c r="G629" s="116"/>
    </row>
    <row r="630" spans="2:7" ht="13.8">
      <c r="B630" s="115"/>
      <c r="C630" s="116"/>
      <c r="D630" s="116"/>
      <c r="E630" s="116"/>
      <c r="F630" s="116"/>
      <c r="G630" s="116"/>
    </row>
    <row r="631" spans="2:7" ht="13.8">
      <c r="B631" s="115"/>
      <c r="C631" s="116"/>
      <c r="D631" s="116"/>
      <c r="E631" s="116"/>
      <c r="F631" s="116"/>
      <c r="G631" s="116"/>
    </row>
    <row r="632" spans="2:7" ht="13.8">
      <c r="B632" s="115"/>
      <c r="C632" s="116"/>
      <c r="D632" s="116"/>
      <c r="E632" s="116"/>
      <c r="F632" s="116"/>
      <c r="G632" s="116"/>
    </row>
    <row r="633" spans="2:7" ht="13.8">
      <c r="B633" s="115"/>
      <c r="C633" s="116"/>
      <c r="D633" s="116"/>
      <c r="E633" s="116"/>
      <c r="F633" s="116"/>
      <c r="G633" s="116"/>
    </row>
    <row r="634" spans="2:7" ht="13.8">
      <c r="B634" s="115"/>
      <c r="C634" s="116"/>
      <c r="D634" s="116"/>
      <c r="E634" s="116"/>
      <c r="F634" s="116"/>
      <c r="G634" s="116"/>
    </row>
    <row r="635" spans="2:7" ht="13.8">
      <c r="B635" s="115"/>
      <c r="C635" s="116"/>
      <c r="D635" s="116"/>
      <c r="E635" s="116"/>
      <c r="F635" s="116"/>
      <c r="G635" s="116"/>
    </row>
    <row r="636" spans="2:7" ht="13.8">
      <c r="B636" s="115"/>
      <c r="C636" s="116"/>
      <c r="D636" s="116"/>
      <c r="E636" s="116"/>
      <c r="F636" s="116"/>
      <c r="G636" s="116"/>
    </row>
    <row r="637" spans="2:7" ht="13.8">
      <c r="B637" s="115"/>
      <c r="C637" s="116"/>
      <c r="D637" s="116"/>
      <c r="E637" s="116"/>
      <c r="F637" s="116"/>
      <c r="G637" s="116"/>
    </row>
    <row r="638" spans="2:7" ht="13.8">
      <c r="B638" s="115"/>
      <c r="C638" s="116"/>
      <c r="D638" s="116"/>
      <c r="E638" s="116"/>
      <c r="F638" s="116"/>
      <c r="G638" s="116"/>
    </row>
    <row r="639" spans="2:7" ht="13.8">
      <c r="B639" s="115"/>
      <c r="C639" s="116"/>
      <c r="D639" s="116"/>
      <c r="E639" s="116"/>
      <c r="F639" s="116"/>
      <c r="G639" s="116"/>
    </row>
    <row r="640" spans="2:7" ht="13.8">
      <c r="B640" s="115"/>
      <c r="C640" s="116"/>
      <c r="D640" s="116"/>
      <c r="E640" s="116"/>
      <c r="F640" s="116"/>
      <c r="G640" s="116"/>
    </row>
    <row r="641" spans="2:7" ht="13.8">
      <c r="B641" s="115"/>
      <c r="C641" s="116"/>
      <c r="D641" s="116"/>
      <c r="E641" s="116"/>
      <c r="F641" s="116"/>
      <c r="G641" s="116"/>
    </row>
    <row r="642" spans="2:7" ht="13.8">
      <c r="B642" s="115"/>
      <c r="C642" s="116"/>
      <c r="D642" s="116"/>
      <c r="E642" s="116"/>
      <c r="F642" s="116"/>
      <c r="G642" s="116"/>
    </row>
    <row r="643" spans="2:7" ht="13.8">
      <c r="B643" s="115"/>
      <c r="C643" s="116"/>
      <c r="D643" s="116"/>
      <c r="E643" s="116"/>
      <c r="F643" s="116"/>
      <c r="G643" s="116"/>
    </row>
    <row r="644" spans="2:7" ht="13.8">
      <c r="B644" s="115"/>
      <c r="C644" s="116"/>
      <c r="D644" s="116"/>
      <c r="E644" s="116"/>
      <c r="F644" s="116"/>
      <c r="G644" s="116"/>
    </row>
    <row r="645" spans="2:7" ht="13.8">
      <c r="B645" s="115"/>
      <c r="C645" s="116"/>
      <c r="D645" s="116"/>
      <c r="E645" s="116"/>
      <c r="F645" s="116"/>
      <c r="G645" s="116"/>
    </row>
    <row r="646" spans="2:7" ht="13.8">
      <c r="B646" s="115"/>
      <c r="C646" s="116"/>
      <c r="D646" s="116"/>
      <c r="E646" s="116"/>
      <c r="F646" s="116"/>
      <c r="G646" s="116"/>
    </row>
    <row r="647" spans="2:7" ht="13.8">
      <c r="B647" s="115"/>
      <c r="C647" s="116"/>
      <c r="D647" s="116"/>
      <c r="E647" s="116"/>
      <c r="F647" s="116"/>
      <c r="G647" s="116"/>
    </row>
    <row r="648" spans="2:7" ht="13.8">
      <c r="B648" s="115"/>
      <c r="C648" s="116"/>
      <c r="D648" s="116"/>
      <c r="E648" s="116"/>
      <c r="F648" s="116"/>
      <c r="G648" s="116"/>
    </row>
    <row r="649" spans="2:7" ht="13.8">
      <c r="B649" s="115"/>
      <c r="C649" s="116"/>
      <c r="D649" s="116"/>
      <c r="E649" s="116"/>
      <c r="F649" s="116"/>
      <c r="G649" s="116"/>
    </row>
    <row r="650" spans="2:7" ht="13.8">
      <c r="B650" s="115"/>
      <c r="C650" s="116"/>
      <c r="D650" s="116"/>
      <c r="E650" s="116"/>
      <c r="F650" s="116"/>
      <c r="G650" s="116"/>
    </row>
    <row r="651" spans="2:7" ht="13.8">
      <c r="B651" s="115"/>
      <c r="C651" s="116"/>
      <c r="D651" s="116"/>
      <c r="E651" s="116"/>
      <c r="F651" s="116"/>
      <c r="G651" s="116"/>
    </row>
    <row r="652" spans="2:7" ht="13.8">
      <c r="B652" s="115"/>
      <c r="C652" s="116"/>
      <c r="D652" s="116"/>
      <c r="E652" s="116"/>
      <c r="F652" s="116"/>
      <c r="G652" s="116"/>
    </row>
    <row r="653" spans="2:7" ht="13.8">
      <c r="B653" s="115"/>
      <c r="C653" s="116"/>
      <c r="D653" s="116"/>
      <c r="E653" s="116"/>
      <c r="F653" s="116"/>
      <c r="G653" s="116"/>
    </row>
    <row r="654" spans="2:7" ht="13.8">
      <c r="B654" s="115"/>
      <c r="C654" s="116"/>
      <c r="D654" s="116"/>
      <c r="E654" s="116"/>
      <c r="F654" s="116"/>
      <c r="G654" s="116"/>
    </row>
    <row r="655" spans="2:7" ht="13.8">
      <c r="B655" s="115"/>
      <c r="C655" s="116"/>
      <c r="D655" s="116"/>
      <c r="E655" s="116"/>
      <c r="F655" s="116"/>
      <c r="G655" s="116"/>
    </row>
    <row r="656" spans="2:7" ht="13.8">
      <c r="B656" s="115"/>
      <c r="C656" s="116"/>
      <c r="D656" s="116"/>
      <c r="E656" s="116"/>
      <c r="F656" s="116"/>
      <c r="G656" s="116"/>
    </row>
    <row r="657" spans="2:7" ht="13.8">
      <c r="B657" s="115"/>
      <c r="C657" s="116"/>
      <c r="D657" s="116"/>
      <c r="E657" s="116"/>
      <c r="F657" s="116"/>
      <c r="G657" s="116"/>
    </row>
    <row r="658" spans="2:7" ht="13.8">
      <c r="B658" s="115"/>
      <c r="C658" s="116"/>
      <c r="D658" s="116"/>
      <c r="E658" s="116"/>
      <c r="F658" s="116"/>
      <c r="G658" s="116"/>
    </row>
    <row r="659" spans="2:7" ht="13.8">
      <c r="B659" s="115"/>
      <c r="C659" s="116"/>
      <c r="D659" s="116"/>
      <c r="E659" s="116"/>
      <c r="F659" s="116"/>
      <c r="G659" s="116"/>
    </row>
    <row r="660" spans="2:7" ht="13.8">
      <c r="B660" s="115"/>
      <c r="C660" s="116"/>
      <c r="D660" s="116"/>
      <c r="E660" s="116"/>
      <c r="F660" s="116"/>
      <c r="G660" s="116"/>
    </row>
    <row r="661" spans="2:7" ht="13.8">
      <c r="B661" s="115"/>
      <c r="C661" s="116"/>
      <c r="D661" s="116"/>
      <c r="E661" s="116"/>
      <c r="F661" s="116"/>
      <c r="G661" s="116"/>
    </row>
    <row r="662" spans="2:7" ht="13.8">
      <c r="B662" s="115"/>
      <c r="C662" s="116"/>
      <c r="D662" s="116"/>
      <c r="E662" s="116"/>
      <c r="F662" s="116"/>
      <c r="G662" s="116"/>
    </row>
    <row r="663" spans="2:7" ht="13.8">
      <c r="B663" s="115"/>
      <c r="C663" s="116"/>
      <c r="D663" s="116"/>
      <c r="E663" s="116"/>
      <c r="F663" s="116"/>
      <c r="G663" s="116"/>
    </row>
    <row r="664" spans="2:7" ht="13.8">
      <c r="B664" s="115"/>
      <c r="C664" s="116"/>
      <c r="D664" s="116"/>
      <c r="E664" s="116"/>
      <c r="F664" s="116"/>
      <c r="G664" s="116"/>
    </row>
    <row r="665" spans="2:7" ht="13.8">
      <c r="B665" s="115"/>
      <c r="C665" s="116"/>
      <c r="D665" s="116"/>
      <c r="E665" s="116"/>
      <c r="F665" s="116"/>
      <c r="G665" s="116"/>
    </row>
    <row r="666" spans="2:7" ht="13.8">
      <c r="B666" s="115"/>
      <c r="C666" s="116"/>
      <c r="D666" s="116"/>
      <c r="E666" s="116"/>
      <c r="F666" s="116"/>
      <c r="G666" s="116"/>
    </row>
    <row r="667" spans="2:7" ht="13.8">
      <c r="B667" s="115"/>
      <c r="C667" s="116"/>
      <c r="D667" s="116"/>
      <c r="E667" s="116"/>
      <c r="F667" s="116"/>
      <c r="G667" s="116"/>
    </row>
    <row r="668" spans="2:7" ht="13.8">
      <c r="B668" s="115"/>
      <c r="C668" s="116"/>
      <c r="D668" s="116"/>
      <c r="E668" s="116"/>
      <c r="F668" s="116"/>
      <c r="G668" s="116"/>
    </row>
    <row r="669" spans="2:7" ht="13.8">
      <c r="B669" s="115"/>
      <c r="C669" s="116"/>
      <c r="D669" s="116"/>
      <c r="E669" s="116"/>
      <c r="F669" s="116"/>
      <c r="G669" s="116"/>
    </row>
    <row r="670" spans="2:7" ht="13.8">
      <c r="B670" s="115"/>
      <c r="C670" s="116"/>
      <c r="D670" s="116"/>
      <c r="E670" s="116"/>
      <c r="F670" s="116"/>
      <c r="G670" s="116"/>
    </row>
    <row r="671" spans="2:7" ht="13.8">
      <c r="B671" s="115"/>
      <c r="C671" s="116"/>
      <c r="D671" s="116"/>
      <c r="E671" s="116"/>
      <c r="F671" s="116"/>
      <c r="G671" s="116"/>
    </row>
    <row r="672" spans="2:7" ht="13.8">
      <c r="B672" s="115"/>
      <c r="C672" s="116"/>
      <c r="D672" s="116"/>
      <c r="E672" s="116"/>
      <c r="F672" s="116"/>
      <c r="G672" s="116"/>
    </row>
    <row r="673" spans="2:7" ht="13.8">
      <c r="B673" s="115"/>
      <c r="C673" s="116"/>
      <c r="D673" s="116"/>
      <c r="E673" s="116"/>
      <c r="F673" s="116"/>
      <c r="G673" s="116"/>
    </row>
    <row r="674" spans="2:7" ht="13.8">
      <c r="B674" s="115"/>
      <c r="C674" s="116"/>
      <c r="D674" s="116"/>
      <c r="E674" s="116"/>
      <c r="F674" s="116"/>
      <c r="G674" s="116"/>
    </row>
    <row r="675" spans="2:7" ht="13.8">
      <c r="B675" s="115"/>
      <c r="C675" s="116"/>
      <c r="D675" s="116"/>
      <c r="E675" s="116"/>
      <c r="F675" s="116"/>
      <c r="G675" s="116"/>
    </row>
    <row r="676" spans="2:7" ht="13.8">
      <c r="B676" s="115"/>
      <c r="C676" s="116"/>
      <c r="D676" s="116"/>
      <c r="E676" s="116"/>
      <c r="F676" s="116"/>
      <c r="G676" s="116"/>
    </row>
    <row r="677" spans="2:7" ht="13.8">
      <c r="B677" s="115"/>
      <c r="C677" s="116"/>
      <c r="D677" s="116"/>
      <c r="E677" s="116"/>
      <c r="F677" s="116"/>
      <c r="G677" s="116"/>
    </row>
    <row r="678" spans="2:7" ht="13.8">
      <c r="B678" s="115"/>
      <c r="C678" s="116"/>
      <c r="D678" s="116"/>
      <c r="E678" s="116"/>
      <c r="F678" s="116"/>
      <c r="G678" s="116"/>
    </row>
    <row r="679" spans="2:7" ht="13.8">
      <c r="B679" s="115"/>
      <c r="C679" s="116"/>
      <c r="D679" s="116"/>
      <c r="E679" s="116"/>
      <c r="F679" s="116"/>
      <c r="G679" s="116"/>
    </row>
    <row r="680" spans="2:7" ht="13.8">
      <c r="B680" s="115"/>
      <c r="C680" s="116"/>
      <c r="D680" s="116"/>
      <c r="E680" s="116"/>
      <c r="F680" s="116"/>
      <c r="G680" s="116"/>
    </row>
    <row r="681" spans="2:7" ht="13.8">
      <c r="B681" s="115"/>
      <c r="C681" s="116"/>
      <c r="D681" s="116"/>
      <c r="E681" s="116"/>
      <c r="F681" s="116"/>
      <c r="G681" s="116"/>
    </row>
    <row r="682" spans="2:7" ht="13.8">
      <c r="B682" s="115"/>
      <c r="C682" s="116"/>
      <c r="D682" s="116"/>
      <c r="E682" s="116"/>
      <c r="F682" s="116"/>
      <c r="G682" s="116"/>
    </row>
    <row r="683" spans="2:7" ht="13.8">
      <c r="B683" s="115"/>
      <c r="C683" s="116"/>
      <c r="D683" s="116"/>
      <c r="E683" s="116"/>
      <c r="F683" s="116"/>
      <c r="G683" s="116"/>
    </row>
    <row r="684" spans="2:7" ht="13.8">
      <c r="B684" s="115"/>
      <c r="C684" s="116"/>
      <c r="D684" s="116"/>
      <c r="E684" s="116"/>
      <c r="F684" s="116"/>
      <c r="G684" s="116"/>
    </row>
    <row r="685" spans="2:7" ht="13.8">
      <c r="B685" s="115"/>
      <c r="C685" s="116"/>
      <c r="D685" s="116"/>
      <c r="E685" s="116"/>
      <c r="F685" s="116"/>
      <c r="G685" s="116"/>
    </row>
    <row r="686" spans="2:7" ht="13.8">
      <c r="B686" s="115"/>
      <c r="C686" s="116"/>
      <c r="D686" s="116"/>
      <c r="E686" s="116"/>
      <c r="F686" s="116"/>
      <c r="G686" s="116"/>
    </row>
    <row r="687" spans="2:7" ht="13.8">
      <c r="B687" s="115"/>
      <c r="C687" s="116"/>
      <c r="D687" s="116"/>
      <c r="E687" s="116"/>
      <c r="F687" s="116"/>
      <c r="G687" s="116"/>
    </row>
    <row r="688" spans="2:7" ht="13.8">
      <c r="B688" s="115"/>
      <c r="C688" s="116"/>
      <c r="D688" s="116"/>
      <c r="E688" s="116"/>
      <c r="F688" s="116"/>
      <c r="G688" s="116"/>
    </row>
    <row r="689" spans="2:7" ht="13.8">
      <c r="B689" s="115"/>
      <c r="C689" s="116"/>
      <c r="D689" s="116"/>
      <c r="E689" s="116"/>
      <c r="F689" s="116"/>
      <c r="G689" s="116"/>
    </row>
    <row r="690" spans="2:7" ht="13.8">
      <c r="B690" s="115"/>
      <c r="C690" s="116"/>
      <c r="D690" s="116"/>
      <c r="E690" s="116"/>
      <c r="F690" s="116"/>
      <c r="G690" s="116"/>
    </row>
    <row r="691" spans="2:7" ht="13.8">
      <c r="B691" s="115"/>
      <c r="C691" s="116"/>
      <c r="D691" s="116"/>
      <c r="E691" s="116"/>
      <c r="F691" s="116"/>
      <c r="G691" s="116"/>
    </row>
    <row r="692" spans="2:7" ht="13.8">
      <c r="B692" s="115"/>
      <c r="C692" s="116"/>
      <c r="D692" s="116"/>
      <c r="E692" s="116"/>
      <c r="F692" s="116"/>
      <c r="G692" s="116"/>
    </row>
    <row r="693" spans="2:7" ht="13.8">
      <c r="B693" s="115"/>
      <c r="C693" s="116"/>
      <c r="D693" s="116"/>
      <c r="E693" s="116"/>
      <c r="F693" s="116"/>
      <c r="G693" s="116"/>
    </row>
    <row r="694" spans="2:7" ht="13.8">
      <c r="B694" s="115"/>
      <c r="C694" s="116"/>
      <c r="D694" s="116"/>
      <c r="E694" s="116"/>
      <c r="F694" s="116"/>
      <c r="G694" s="116"/>
    </row>
    <row r="695" spans="2:7" ht="13.8">
      <c r="B695" s="115"/>
      <c r="C695" s="116"/>
      <c r="D695" s="116"/>
      <c r="E695" s="116"/>
      <c r="F695" s="116"/>
      <c r="G695" s="116"/>
    </row>
    <row r="696" spans="2:7" ht="13.8">
      <c r="B696" s="115"/>
      <c r="C696" s="116"/>
      <c r="D696" s="116"/>
      <c r="E696" s="116"/>
      <c r="F696" s="116"/>
      <c r="G696" s="116"/>
    </row>
    <row r="697" spans="2:7" ht="13.8">
      <c r="B697" s="115"/>
      <c r="C697" s="116"/>
      <c r="D697" s="116"/>
      <c r="E697" s="116"/>
      <c r="F697" s="116"/>
      <c r="G697" s="116"/>
    </row>
    <row r="698" spans="2:7" ht="13.8">
      <c r="B698" s="115"/>
      <c r="C698" s="116"/>
      <c r="D698" s="116"/>
      <c r="E698" s="116"/>
      <c r="F698" s="116"/>
      <c r="G698" s="116"/>
    </row>
    <row r="699" spans="2:7" ht="13.8">
      <c r="B699" s="115"/>
      <c r="C699" s="116"/>
      <c r="D699" s="116"/>
      <c r="E699" s="116"/>
      <c r="F699" s="116"/>
      <c r="G699" s="116"/>
    </row>
    <row r="700" spans="2:7" ht="13.8">
      <c r="B700" s="115"/>
      <c r="C700" s="116"/>
      <c r="D700" s="116"/>
      <c r="E700" s="116"/>
      <c r="F700" s="116"/>
      <c r="G700" s="116"/>
    </row>
    <row r="701" spans="2:7" ht="13.8">
      <c r="B701" s="115"/>
      <c r="C701" s="116"/>
      <c r="D701" s="116"/>
      <c r="E701" s="116"/>
      <c r="F701" s="116"/>
      <c r="G701" s="116"/>
    </row>
    <row r="702" spans="2:7" ht="13.8">
      <c r="B702" s="115"/>
      <c r="C702" s="116"/>
      <c r="D702" s="116"/>
      <c r="E702" s="116"/>
      <c r="F702" s="116"/>
      <c r="G702" s="116"/>
    </row>
    <row r="703" spans="2:7" ht="13.8">
      <c r="B703" s="115"/>
      <c r="C703" s="116"/>
      <c r="D703" s="116"/>
      <c r="E703" s="116"/>
      <c r="F703" s="116"/>
      <c r="G703" s="116"/>
    </row>
    <row r="704" spans="2:7" ht="13.8">
      <c r="B704" s="115"/>
      <c r="C704" s="116"/>
      <c r="D704" s="116"/>
      <c r="E704" s="116"/>
      <c r="F704" s="116"/>
      <c r="G704" s="116"/>
    </row>
    <row r="705" spans="2:7" ht="13.8">
      <c r="B705" s="115"/>
      <c r="C705" s="116"/>
      <c r="D705" s="116"/>
      <c r="E705" s="116"/>
      <c r="F705" s="116"/>
      <c r="G705" s="116"/>
    </row>
    <row r="706" spans="2:7" ht="13.8">
      <c r="B706" s="115"/>
      <c r="C706" s="116"/>
      <c r="D706" s="116"/>
      <c r="E706" s="116"/>
      <c r="F706" s="116"/>
      <c r="G706" s="116"/>
    </row>
    <row r="707" spans="2:7" ht="13.8">
      <c r="B707" s="115"/>
      <c r="C707" s="116"/>
      <c r="D707" s="116"/>
      <c r="E707" s="116"/>
      <c r="F707" s="116"/>
      <c r="G707" s="116"/>
    </row>
    <row r="708" spans="2:7" ht="13.8">
      <c r="B708" s="115"/>
      <c r="C708" s="116"/>
      <c r="D708" s="116"/>
      <c r="E708" s="116"/>
      <c r="F708" s="116"/>
      <c r="G708" s="116"/>
    </row>
    <row r="709" spans="2:7" ht="13.8">
      <c r="B709" s="115"/>
      <c r="C709" s="116"/>
      <c r="D709" s="116"/>
      <c r="E709" s="116"/>
      <c r="F709" s="116"/>
      <c r="G709" s="116"/>
    </row>
    <row r="710" spans="2:7" ht="13.8">
      <c r="B710" s="115"/>
      <c r="C710" s="116"/>
      <c r="D710" s="116"/>
      <c r="E710" s="116"/>
      <c r="F710" s="116"/>
      <c r="G710" s="116"/>
    </row>
    <row r="711" spans="2:7" ht="13.8">
      <c r="B711" s="115"/>
      <c r="C711" s="116"/>
      <c r="D711" s="116"/>
      <c r="E711" s="116"/>
      <c r="F711" s="116"/>
      <c r="G711" s="116"/>
    </row>
    <row r="712" spans="2:7" ht="13.8">
      <c r="B712" s="115"/>
      <c r="C712" s="116"/>
      <c r="D712" s="116"/>
      <c r="E712" s="116"/>
      <c r="F712" s="116"/>
      <c r="G712" s="116"/>
    </row>
    <row r="713" spans="2:7" ht="13.8">
      <c r="B713" s="115"/>
      <c r="C713" s="116"/>
      <c r="D713" s="116"/>
      <c r="E713" s="116"/>
      <c r="F713" s="116"/>
      <c r="G713" s="116"/>
    </row>
    <row r="714" spans="2:7" ht="13.8">
      <c r="B714" s="115"/>
      <c r="C714" s="116"/>
      <c r="D714" s="116"/>
      <c r="E714" s="116"/>
      <c r="F714" s="116"/>
      <c r="G714" s="116"/>
    </row>
    <row r="715" spans="2:7" ht="13.8">
      <c r="B715" s="115"/>
      <c r="C715" s="116"/>
      <c r="D715" s="116"/>
      <c r="E715" s="116"/>
      <c r="F715" s="116"/>
      <c r="G715" s="116"/>
    </row>
    <row r="716" spans="2:7" ht="13.8">
      <c r="B716" s="115"/>
      <c r="C716" s="116"/>
      <c r="D716" s="116"/>
      <c r="E716" s="116"/>
      <c r="F716" s="116"/>
      <c r="G716" s="116"/>
    </row>
    <row r="717" spans="2:7" ht="13.8">
      <c r="B717" s="115"/>
      <c r="C717" s="116"/>
      <c r="D717" s="116"/>
      <c r="E717" s="116"/>
      <c r="F717" s="116"/>
      <c r="G717" s="116"/>
    </row>
    <row r="718" spans="2:7" ht="13.8">
      <c r="B718" s="115"/>
      <c r="C718" s="116"/>
      <c r="D718" s="116"/>
      <c r="E718" s="116"/>
      <c r="F718" s="116"/>
      <c r="G718" s="116"/>
    </row>
    <row r="719" spans="2:7" ht="13.8">
      <c r="B719" s="115"/>
      <c r="C719" s="116"/>
      <c r="D719" s="116"/>
      <c r="E719" s="116"/>
      <c r="F719" s="116"/>
      <c r="G719" s="116"/>
    </row>
    <row r="720" spans="2:7" ht="13.8">
      <c r="B720" s="115"/>
      <c r="C720" s="116"/>
      <c r="D720" s="116"/>
      <c r="E720" s="116"/>
      <c r="F720" s="116"/>
      <c r="G720" s="116"/>
    </row>
    <row r="721" spans="2:7" ht="13.8">
      <c r="B721" s="115"/>
      <c r="C721" s="116"/>
      <c r="D721" s="116"/>
      <c r="E721" s="116"/>
      <c r="F721" s="116"/>
      <c r="G721" s="116"/>
    </row>
    <row r="722" spans="2:7" ht="13.8">
      <c r="B722" s="115"/>
      <c r="C722" s="116"/>
      <c r="D722" s="116"/>
      <c r="E722" s="116"/>
      <c r="F722" s="116"/>
      <c r="G722" s="116"/>
    </row>
    <row r="723" spans="2:7" ht="13.8">
      <c r="B723" s="115"/>
      <c r="C723" s="116"/>
      <c r="D723" s="116"/>
      <c r="E723" s="116"/>
      <c r="F723" s="116"/>
      <c r="G723" s="116"/>
    </row>
    <row r="724" spans="2:7" ht="13.8">
      <c r="B724" s="115"/>
      <c r="C724" s="116"/>
      <c r="D724" s="116"/>
      <c r="E724" s="116"/>
      <c r="F724" s="116"/>
      <c r="G724" s="116"/>
    </row>
    <row r="725" spans="2:7" ht="13.8">
      <c r="B725" s="115"/>
      <c r="C725" s="116"/>
      <c r="D725" s="116"/>
      <c r="E725" s="116"/>
      <c r="F725" s="116"/>
      <c r="G725" s="116"/>
    </row>
    <row r="726" spans="2:7" ht="13.8">
      <c r="B726" s="115"/>
      <c r="C726" s="116"/>
      <c r="D726" s="116"/>
      <c r="E726" s="116"/>
      <c r="F726" s="116"/>
      <c r="G726" s="116"/>
    </row>
    <row r="727" spans="2:7" ht="13.8">
      <c r="B727" s="115"/>
      <c r="C727" s="116"/>
      <c r="D727" s="116"/>
      <c r="E727" s="116"/>
      <c r="F727" s="116"/>
      <c r="G727" s="116"/>
    </row>
    <row r="728" spans="2:7" ht="13.8">
      <c r="B728" s="115"/>
      <c r="C728" s="116"/>
      <c r="D728" s="116"/>
      <c r="E728" s="116"/>
      <c r="F728" s="116"/>
      <c r="G728" s="116"/>
    </row>
    <row r="729" spans="2:7" ht="13.8">
      <c r="B729" s="115"/>
      <c r="C729" s="116"/>
      <c r="D729" s="116"/>
      <c r="E729" s="116"/>
      <c r="F729" s="116"/>
      <c r="G729" s="116"/>
    </row>
    <row r="730" spans="2:7" ht="13.8">
      <c r="B730" s="115"/>
      <c r="C730" s="116"/>
      <c r="D730" s="116"/>
      <c r="E730" s="116"/>
      <c r="F730" s="116"/>
      <c r="G730" s="116"/>
    </row>
    <row r="731" spans="2:7" ht="13.8">
      <c r="B731" s="115"/>
      <c r="C731" s="116"/>
      <c r="D731" s="116"/>
      <c r="E731" s="116"/>
      <c r="F731" s="116"/>
      <c r="G731" s="116"/>
    </row>
    <row r="732" spans="2:7" ht="13.8">
      <c r="B732" s="115"/>
      <c r="C732" s="116"/>
      <c r="D732" s="116"/>
      <c r="E732" s="116"/>
      <c r="F732" s="116"/>
      <c r="G732" s="116"/>
    </row>
    <row r="733" spans="2:7" ht="13.8">
      <c r="B733" s="115"/>
      <c r="C733" s="116"/>
      <c r="D733" s="116"/>
      <c r="E733" s="116"/>
      <c r="F733" s="116"/>
      <c r="G733" s="116"/>
    </row>
    <row r="734" spans="2:7" ht="13.8">
      <c r="B734" s="115"/>
      <c r="C734" s="116"/>
      <c r="D734" s="116"/>
      <c r="E734" s="116"/>
      <c r="F734" s="116"/>
      <c r="G734" s="116"/>
    </row>
    <row r="735" spans="2:7" ht="13.8">
      <c r="B735" s="115"/>
      <c r="C735" s="116"/>
      <c r="D735" s="116"/>
      <c r="E735" s="116"/>
      <c r="F735" s="116"/>
      <c r="G735" s="116"/>
    </row>
    <row r="736" spans="2:7" ht="13.8">
      <c r="B736" s="115"/>
      <c r="C736" s="116"/>
      <c r="D736" s="116"/>
      <c r="E736" s="116"/>
      <c r="F736" s="116"/>
      <c r="G736" s="116"/>
    </row>
    <row r="737" spans="2:7" ht="13.8">
      <c r="B737" s="115"/>
      <c r="C737" s="116"/>
      <c r="D737" s="116"/>
      <c r="E737" s="116"/>
      <c r="F737" s="116"/>
      <c r="G737" s="116"/>
    </row>
    <row r="738" spans="2:7" ht="13.8">
      <c r="B738" s="115"/>
      <c r="C738" s="116"/>
      <c r="D738" s="116"/>
      <c r="E738" s="116"/>
      <c r="F738" s="116"/>
      <c r="G738" s="116"/>
    </row>
    <row r="739" spans="2:7" ht="13.8">
      <c r="B739" s="115"/>
      <c r="C739" s="116"/>
      <c r="D739" s="116"/>
      <c r="E739" s="116"/>
      <c r="F739" s="116"/>
      <c r="G739" s="116"/>
    </row>
    <row r="740" spans="2:7" ht="13.8">
      <c r="B740" s="115"/>
      <c r="C740" s="116"/>
      <c r="D740" s="116"/>
      <c r="E740" s="116"/>
      <c r="F740" s="116"/>
      <c r="G740" s="116"/>
    </row>
    <row r="741" spans="2:7" ht="13.8">
      <c r="B741" s="115"/>
      <c r="C741" s="116"/>
      <c r="D741" s="116"/>
      <c r="E741" s="116"/>
      <c r="F741" s="116"/>
      <c r="G741" s="116"/>
    </row>
    <row r="742" spans="2:7" ht="13.8">
      <c r="B742" s="115"/>
      <c r="C742" s="116"/>
      <c r="D742" s="116"/>
      <c r="E742" s="116"/>
      <c r="F742" s="116"/>
      <c r="G742" s="116"/>
    </row>
    <row r="743" spans="2:7" ht="13.8">
      <c r="B743" s="115"/>
      <c r="C743" s="116"/>
      <c r="D743" s="116"/>
      <c r="E743" s="116"/>
      <c r="F743" s="116"/>
      <c r="G743" s="116"/>
    </row>
    <row r="744" spans="2:7" ht="13.8">
      <c r="B744" s="115"/>
      <c r="C744" s="116"/>
      <c r="D744" s="116"/>
      <c r="E744" s="116"/>
      <c r="F744" s="116"/>
      <c r="G744" s="116"/>
    </row>
    <row r="745" spans="2:7" ht="13.8">
      <c r="B745" s="115"/>
      <c r="C745" s="116"/>
      <c r="D745" s="116"/>
      <c r="E745" s="116"/>
      <c r="F745" s="116"/>
      <c r="G745" s="116"/>
    </row>
    <row r="746" spans="2:7" ht="13.8">
      <c r="B746" s="115"/>
      <c r="C746" s="116"/>
      <c r="D746" s="116"/>
      <c r="E746" s="116"/>
      <c r="F746" s="116"/>
      <c r="G746" s="116"/>
    </row>
    <row r="747" spans="2:7" ht="13.8">
      <c r="B747" s="115"/>
      <c r="C747" s="116"/>
      <c r="D747" s="116"/>
      <c r="E747" s="116"/>
      <c r="F747" s="116"/>
      <c r="G747" s="116"/>
    </row>
    <row r="748" spans="2:7" ht="13.8">
      <c r="B748" s="115"/>
      <c r="C748" s="116"/>
      <c r="D748" s="116"/>
      <c r="E748" s="116"/>
      <c r="F748" s="116"/>
      <c r="G748" s="116"/>
    </row>
    <row r="749" spans="2:7" ht="13.8">
      <c r="B749" s="115"/>
      <c r="C749" s="116"/>
      <c r="D749" s="116"/>
      <c r="E749" s="116"/>
      <c r="F749" s="116"/>
      <c r="G749" s="116"/>
    </row>
    <row r="750" spans="2:7" ht="13.8">
      <c r="B750" s="115"/>
      <c r="C750" s="116"/>
      <c r="D750" s="116"/>
      <c r="E750" s="116"/>
      <c r="F750" s="116"/>
      <c r="G750" s="116"/>
    </row>
    <row r="751" spans="2:7" ht="13.8">
      <c r="B751" s="115"/>
      <c r="C751" s="116"/>
      <c r="D751" s="116"/>
      <c r="E751" s="116"/>
      <c r="F751" s="116"/>
      <c r="G751" s="116"/>
    </row>
    <row r="752" spans="2:7" ht="13.8">
      <c r="B752" s="115"/>
      <c r="C752" s="116"/>
      <c r="D752" s="116"/>
      <c r="E752" s="116"/>
      <c r="F752" s="116"/>
      <c r="G752" s="116"/>
    </row>
    <row r="753" spans="2:7" ht="13.8">
      <c r="B753" s="115"/>
      <c r="C753" s="116"/>
      <c r="D753" s="116"/>
      <c r="E753" s="116"/>
      <c r="F753" s="116"/>
      <c r="G753" s="116"/>
    </row>
    <row r="754" spans="2:7" ht="13.8">
      <c r="B754" s="115"/>
      <c r="C754" s="116"/>
      <c r="D754" s="116"/>
      <c r="E754" s="116"/>
      <c r="F754" s="116"/>
      <c r="G754" s="116"/>
    </row>
    <row r="755" spans="2:7" ht="13.8">
      <c r="B755" s="115"/>
      <c r="C755" s="116"/>
      <c r="D755" s="116"/>
      <c r="E755" s="116"/>
      <c r="F755" s="116"/>
      <c r="G755" s="116"/>
    </row>
    <row r="756" spans="2:7" ht="13.8">
      <c r="B756" s="115"/>
      <c r="C756" s="116"/>
      <c r="D756" s="116"/>
      <c r="E756" s="116"/>
      <c r="F756" s="116"/>
      <c r="G756" s="116"/>
    </row>
    <row r="757" spans="2:7" ht="13.8">
      <c r="B757" s="115"/>
      <c r="C757" s="116"/>
      <c r="D757" s="116"/>
      <c r="E757" s="116"/>
      <c r="F757" s="116"/>
      <c r="G757" s="116"/>
    </row>
    <row r="758" spans="2:7" ht="13.8">
      <c r="B758" s="115"/>
      <c r="C758" s="116"/>
      <c r="D758" s="116"/>
      <c r="E758" s="116"/>
      <c r="F758" s="116"/>
      <c r="G758" s="116"/>
    </row>
    <row r="759" spans="2:7" ht="13.8">
      <c r="B759" s="115"/>
      <c r="C759" s="116"/>
      <c r="D759" s="116"/>
      <c r="E759" s="116"/>
      <c r="F759" s="116"/>
      <c r="G759" s="116"/>
    </row>
    <row r="760" spans="2:7" ht="13.8">
      <c r="B760" s="115"/>
      <c r="C760" s="116"/>
      <c r="D760" s="116"/>
      <c r="E760" s="116"/>
      <c r="F760" s="116"/>
      <c r="G760" s="116"/>
    </row>
    <row r="761" spans="2:7" ht="13.8">
      <c r="B761" s="115"/>
      <c r="C761" s="116"/>
      <c r="D761" s="116"/>
      <c r="E761" s="116"/>
      <c r="F761" s="116"/>
      <c r="G761" s="116"/>
    </row>
    <row r="762" spans="2:7" ht="13.8">
      <c r="B762" s="115"/>
      <c r="C762" s="116"/>
      <c r="D762" s="116"/>
      <c r="E762" s="116"/>
      <c r="F762" s="116"/>
      <c r="G762" s="116"/>
    </row>
    <row r="763" spans="2:7" ht="13.8">
      <c r="B763" s="115"/>
      <c r="C763" s="116"/>
      <c r="D763" s="116"/>
      <c r="E763" s="116"/>
      <c r="F763" s="116"/>
      <c r="G763" s="116"/>
    </row>
    <row r="764" spans="2:7" ht="13.8">
      <c r="B764" s="115"/>
      <c r="C764" s="116"/>
      <c r="D764" s="116"/>
      <c r="E764" s="116"/>
      <c r="F764" s="116"/>
      <c r="G764" s="116"/>
    </row>
    <row r="765" spans="2:7" ht="13.8">
      <c r="B765" s="115"/>
      <c r="C765" s="116"/>
      <c r="D765" s="116"/>
      <c r="E765" s="116"/>
      <c r="F765" s="116"/>
      <c r="G765" s="116"/>
    </row>
    <row r="766" spans="2:7" ht="13.8">
      <c r="B766" s="115"/>
      <c r="C766" s="116"/>
      <c r="D766" s="116"/>
      <c r="E766" s="116"/>
      <c r="F766" s="116"/>
      <c r="G766" s="116"/>
    </row>
    <row r="767" spans="2:7" ht="13.8">
      <c r="B767" s="115"/>
      <c r="C767" s="116"/>
      <c r="D767" s="116"/>
      <c r="E767" s="116"/>
      <c r="F767" s="116"/>
      <c r="G767" s="116"/>
    </row>
    <row r="768" spans="2:7" ht="13.8">
      <c r="B768" s="115"/>
      <c r="C768" s="116"/>
      <c r="D768" s="116"/>
      <c r="E768" s="116"/>
      <c r="F768" s="116"/>
      <c r="G768" s="116"/>
    </row>
    <row r="769" spans="2:7" ht="13.8">
      <c r="B769" s="115"/>
      <c r="C769" s="116"/>
      <c r="D769" s="116"/>
      <c r="E769" s="116"/>
      <c r="F769" s="116"/>
      <c r="G769" s="116"/>
    </row>
    <row r="770" spans="2:7" ht="13.8">
      <c r="B770" s="115"/>
      <c r="C770" s="116"/>
      <c r="D770" s="116"/>
      <c r="E770" s="116"/>
      <c r="F770" s="116"/>
      <c r="G770" s="116"/>
    </row>
    <row r="771" spans="2:7" ht="13.8">
      <c r="B771" s="115"/>
      <c r="C771" s="116"/>
      <c r="D771" s="116"/>
      <c r="E771" s="116"/>
      <c r="F771" s="116"/>
      <c r="G771" s="116"/>
    </row>
    <row r="772" spans="2:7" ht="13.8">
      <c r="B772" s="115"/>
      <c r="C772" s="116"/>
      <c r="D772" s="116"/>
      <c r="E772" s="116"/>
      <c r="F772" s="116"/>
      <c r="G772" s="116"/>
    </row>
    <row r="773" spans="2:7" ht="13.8">
      <c r="B773" s="115"/>
      <c r="C773" s="116"/>
      <c r="D773" s="116"/>
      <c r="E773" s="116"/>
      <c r="F773" s="116"/>
      <c r="G773" s="116"/>
    </row>
    <row r="774" spans="2:7" ht="13.8">
      <c r="B774" s="115"/>
      <c r="C774" s="116"/>
      <c r="D774" s="116"/>
      <c r="E774" s="116"/>
      <c r="F774" s="116"/>
      <c r="G774" s="116"/>
    </row>
    <row r="775" spans="2:7" ht="13.8">
      <c r="B775" s="115"/>
      <c r="C775" s="116"/>
      <c r="D775" s="116"/>
      <c r="E775" s="116"/>
      <c r="F775" s="116"/>
      <c r="G775" s="116"/>
    </row>
    <row r="776" spans="2:7" ht="13.8">
      <c r="B776" s="115"/>
      <c r="C776" s="116"/>
      <c r="D776" s="116"/>
      <c r="E776" s="116"/>
      <c r="F776" s="116"/>
      <c r="G776" s="116"/>
    </row>
    <row r="777" spans="2:7" ht="13.8">
      <c r="B777" s="115"/>
      <c r="C777" s="116"/>
      <c r="D777" s="116"/>
      <c r="E777" s="116"/>
      <c r="F777" s="116"/>
      <c r="G777" s="116"/>
    </row>
    <row r="778" spans="2:7" ht="13.8">
      <c r="B778" s="115"/>
      <c r="C778" s="116"/>
      <c r="D778" s="116"/>
      <c r="E778" s="116"/>
      <c r="F778" s="116"/>
      <c r="G778" s="116"/>
    </row>
    <row r="779" spans="2:7" ht="13.8">
      <c r="B779" s="115"/>
      <c r="C779" s="116"/>
      <c r="D779" s="116"/>
      <c r="E779" s="116"/>
      <c r="F779" s="116"/>
      <c r="G779" s="116"/>
    </row>
    <row r="780" spans="2:7" ht="13.8">
      <c r="B780" s="115"/>
      <c r="C780" s="116"/>
      <c r="D780" s="116"/>
      <c r="E780" s="116"/>
      <c r="F780" s="116"/>
      <c r="G780" s="116"/>
    </row>
    <row r="781" spans="2:7" ht="13.8">
      <c r="B781" s="115"/>
      <c r="C781" s="116"/>
      <c r="D781" s="116"/>
      <c r="E781" s="116"/>
      <c r="F781" s="116"/>
      <c r="G781" s="116"/>
    </row>
    <row r="782" spans="2:7" ht="13.8">
      <c r="B782" s="115"/>
      <c r="C782" s="116"/>
      <c r="D782" s="116"/>
      <c r="E782" s="116"/>
      <c r="F782" s="116"/>
      <c r="G782" s="116"/>
    </row>
    <row r="783" spans="2:7" ht="13.8">
      <c r="B783" s="115"/>
      <c r="C783" s="116"/>
      <c r="D783" s="116"/>
      <c r="E783" s="116"/>
      <c r="F783" s="116"/>
      <c r="G783" s="116"/>
    </row>
    <row r="784" spans="2:7" ht="13.8">
      <c r="B784" s="115"/>
      <c r="C784" s="116"/>
      <c r="D784" s="116"/>
      <c r="E784" s="116"/>
      <c r="F784" s="116"/>
      <c r="G784" s="116"/>
    </row>
    <row r="785" spans="2:7" ht="13.8">
      <c r="B785" s="115"/>
      <c r="C785" s="116"/>
      <c r="D785" s="116"/>
      <c r="E785" s="116"/>
      <c r="F785" s="116"/>
      <c r="G785" s="116"/>
    </row>
    <row r="786" spans="2:7" ht="13.8">
      <c r="B786" s="115"/>
      <c r="C786" s="116"/>
      <c r="D786" s="116"/>
      <c r="E786" s="116"/>
      <c r="F786" s="116"/>
      <c r="G786" s="116"/>
    </row>
    <row r="787" spans="2:7" ht="13.8">
      <c r="B787" s="115"/>
      <c r="C787" s="116"/>
      <c r="D787" s="116"/>
      <c r="E787" s="116"/>
      <c r="F787" s="116"/>
      <c r="G787" s="116"/>
    </row>
    <row r="788" spans="2:7" ht="13.8">
      <c r="B788" s="115"/>
      <c r="C788" s="116"/>
      <c r="D788" s="116"/>
      <c r="E788" s="116"/>
      <c r="F788" s="116"/>
      <c r="G788" s="116"/>
    </row>
    <row r="789" spans="2:7" ht="13.8">
      <c r="B789" s="115"/>
      <c r="C789" s="116"/>
      <c r="D789" s="116"/>
      <c r="E789" s="116"/>
      <c r="F789" s="116"/>
      <c r="G789" s="116"/>
    </row>
    <row r="790" spans="2:7" ht="13.8">
      <c r="B790" s="115"/>
      <c r="C790" s="116"/>
      <c r="D790" s="116"/>
      <c r="E790" s="116"/>
      <c r="F790" s="116"/>
      <c r="G790" s="116"/>
    </row>
    <row r="791" spans="2:7" ht="13.8">
      <c r="B791" s="115"/>
      <c r="C791" s="116"/>
      <c r="D791" s="116"/>
      <c r="E791" s="116"/>
      <c r="F791" s="116"/>
      <c r="G791" s="116"/>
    </row>
    <row r="792" spans="2:7" ht="13.8">
      <c r="B792" s="115"/>
      <c r="C792" s="116"/>
      <c r="D792" s="116"/>
      <c r="E792" s="116"/>
      <c r="F792" s="116"/>
      <c r="G792" s="116"/>
    </row>
    <row r="793" spans="2:7" ht="13.8">
      <c r="B793" s="115"/>
      <c r="C793" s="116"/>
      <c r="D793" s="116"/>
      <c r="E793" s="116"/>
      <c r="F793" s="116"/>
      <c r="G793" s="116"/>
    </row>
    <row r="794" spans="2:7" ht="13.8">
      <c r="B794" s="115"/>
      <c r="C794" s="116"/>
      <c r="D794" s="116"/>
      <c r="E794" s="116"/>
      <c r="F794" s="116"/>
      <c r="G794" s="116"/>
    </row>
    <row r="795" spans="2:7" ht="13.8">
      <c r="B795" s="115"/>
      <c r="C795" s="116"/>
      <c r="D795" s="116"/>
      <c r="E795" s="116"/>
      <c r="F795" s="116"/>
      <c r="G795" s="116"/>
    </row>
    <row r="796" spans="2:7" ht="13.8">
      <c r="B796" s="115"/>
      <c r="C796" s="116"/>
      <c r="D796" s="116"/>
      <c r="E796" s="116"/>
      <c r="F796" s="116"/>
      <c r="G796" s="116"/>
    </row>
    <row r="797" spans="2:7" ht="13.8">
      <c r="B797" s="115"/>
      <c r="C797" s="116"/>
      <c r="D797" s="116"/>
      <c r="E797" s="116"/>
      <c r="F797" s="116"/>
      <c r="G797" s="116"/>
    </row>
    <row r="798" spans="2:7" ht="13.8">
      <c r="B798" s="115"/>
      <c r="C798" s="116"/>
      <c r="D798" s="116"/>
      <c r="E798" s="116"/>
      <c r="F798" s="116"/>
      <c r="G798" s="116"/>
    </row>
    <row r="799" spans="2:7" ht="13.8">
      <c r="B799" s="115"/>
      <c r="C799" s="116"/>
      <c r="D799" s="116"/>
      <c r="E799" s="116"/>
      <c r="F799" s="116"/>
      <c r="G799" s="116"/>
    </row>
    <row r="800" spans="2:7" ht="13.8">
      <c r="B800" s="115"/>
      <c r="C800" s="116"/>
      <c r="D800" s="116"/>
      <c r="E800" s="116"/>
      <c r="F800" s="116"/>
      <c r="G800" s="116"/>
    </row>
    <row r="801" spans="2:7" ht="13.8">
      <c r="B801" s="115"/>
      <c r="C801" s="116"/>
      <c r="D801" s="116"/>
      <c r="E801" s="116"/>
      <c r="F801" s="116"/>
      <c r="G801" s="116"/>
    </row>
    <row r="802" spans="2:7" ht="13.8">
      <c r="B802" s="115"/>
      <c r="C802" s="116"/>
      <c r="D802" s="116"/>
      <c r="E802" s="116"/>
      <c r="F802" s="116"/>
      <c r="G802" s="116"/>
    </row>
    <row r="803" spans="2:7" ht="13.8">
      <c r="B803" s="115"/>
      <c r="C803" s="116"/>
      <c r="D803" s="116"/>
      <c r="E803" s="116"/>
      <c r="F803" s="116"/>
      <c r="G803" s="116"/>
    </row>
    <row r="804" spans="2:7" ht="13.8">
      <c r="B804" s="115"/>
      <c r="C804" s="116"/>
      <c r="D804" s="116"/>
      <c r="E804" s="116"/>
      <c r="F804" s="116"/>
      <c r="G804" s="116"/>
    </row>
    <row r="805" spans="2:7" ht="13.8">
      <c r="B805" s="115"/>
      <c r="C805" s="116"/>
      <c r="D805" s="116"/>
      <c r="E805" s="116"/>
      <c r="F805" s="116"/>
      <c r="G805" s="116"/>
    </row>
    <row r="806" spans="2:7" ht="13.8">
      <c r="B806" s="115"/>
      <c r="C806" s="116"/>
      <c r="D806" s="116"/>
      <c r="E806" s="116"/>
      <c r="F806" s="116"/>
      <c r="G806" s="116"/>
    </row>
    <row r="807" spans="2:7" ht="13.8">
      <c r="B807" s="115"/>
      <c r="C807" s="116"/>
      <c r="D807" s="116"/>
      <c r="E807" s="116"/>
      <c r="F807" s="116"/>
      <c r="G807" s="116"/>
    </row>
    <row r="808" spans="2:7" ht="13.8">
      <c r="B808" s="115"/>
      <c r="C808" s="116"/>
      <c r="D808" s="116"/>
      <c r="E808" s="116"/>
      <c r="F808" s="116"/>
      <c r="G808" s="116"/>
    </row>
    <row r="809" spans="2:7" ht="13.8">
      <c r="B809" s="115"/>
      <c r="C809" s="116"/>
      <c r="D809" s="116"/>
      <c r="E809" s="116"/>
      <c r="F809" s="116"/>
      <c r="G809" s="116"/>
    </row>
    <row r="810" spans="2:7" ht="13.8">
      <c r="B810" s="115"/>
      <c r="C810" s="116"/>
      <c r="D810" s="116"/>
      <c r="E810" s="116"/>
      <c r="F810" s="116"/>
      <c r="G810" s="116"/>
    </row>
    <row r="811" spans="2:7" ht="13.8">
      <c r="B811" s="115"/>
      <c r="C811" s="116"/>
      <c r="D811" s="116"/>
      <c r="E811" s="116"/>
      <c r="F811" s="116"/>
      <c r="G811" s="116"/>
    </row>
    <row r="812" spans="2:7" ht="13.8">
      <c r="B812" s="115"/>
      <c r="C812" s="116"/>
      <c r="D812" s="116"/>
      <c r="E812" s="116"/>
      <c r="F812" s="116"/>
      <c r="G812" s="116"/>
    </row>
    <row r="813" spans="2:7" ht="13.8">
      <c r="B813" s="115"/>
      <c r="C813" s="116"/>
      <c r="D813" s="116"/>
      <c r="E813" s="116"/>
      <c r="F813" s="116"/>
      <c r="G813" s="116"/>
    </row>
    <row r="814" spans="2:7" ht="13.8">
      <c r="B814" s="115"/>
      <c r="C814" s="116"/>
      <c r="D814" s="116"/>
      <c r="E814" s="116"/>
      <c r="F814" s="116"/>
      <c r="G814" s="116"/>
    </row>
    <row r="815" spans="2:7" ht="13.8">
      <c r="B815" s="115"/>
      <c r="C815" s="116"/>
      <c r="D815" s="116"/>
      <c r="E815" s="116"/>
      <c r="F815" s="116"/>
      <c r="G815" s="116"/>
    </row>
    <row r="816" spans="2:7" ht="13.8">
      <c r="B816" s="115"/>
      <c r="C816" s="116"/>
      <c r="D816" s="116"/>
      <c r="E816" s="116"/>
      <c r="F816" s="116"/>
      <c r="G816" s="116"/>
    </row>
    <row r="817" spans="2:7" ht="13.8">
      <c r="B817" s="115"/>
      <c r="C817" s="116"/>
      <c r="D817" s="116"/>
      <c r="E817" s="116"/>
      <c r="F817" s="116"/>
      <c r="G817" s="116"/>
    </row>
    <row r="818" spans="2:7" ht="13.8">
      <c r="B818" s="115"/>
      <c r="C818" s="116"/>
      <c r="D818" s="116"/>
      <c r="E818" s="116"/>
      <c r="F818" s="116"/>
      <c r="G818" s="116"/>
    </row>
    <row r="819" spans="2:7" ht="13.8">
      <c r="B819" s="115"/>
      <c r="C819" s="116"/>
      <c r="D819" s="116"/>
      <c r="E819" s="116"/>
      <c r="F819" s="116"/>
      <c r="G819" s="116"/>
    </row>
    <row r="820" spans="2:7" ht="13.8">
      <c r="B820" s="115"/>
      <c r="C820" s="116"/>
      <c r="D820" s="116"/>
      <c r="E820" s="116"/>
      <c r="F820" s="116"/>
      <c r="G820" s="116"/>
    </row>
    <row r="821" spans="2:7" ht="13.8">
      <c r="B821" s="115"/>
      <c r="C821" s="116"/>
      <c r="D821" s="116"/>
      <c r="E821" s="116"/>
      <c r="F821" s="116"/>
      <c r="G821" s="116"/>
    </row>
    <row r="822" spans="2:7" ht="13.8">
      <c r="B822" s="115"/>
      <c r="C822" s="116"/>
      <c r="D822" s="116"/>
      <c r="E822" s="116"/>
      <c r="F822" s="116"/>
      <c r="G822" s="116"/>
    </row>
    <row r="823" spans="2:7" ht="13.8">
      <c r="B823" s="115"/>
      <c r="C823" s="116"/>
      <c r="D823" s="116"/>
      <c r="E823" s="116"/>
      <c r="F823" s="116"/>
      <c r="G823" s="116"/>
    </row>
    <row r="824" spans="2:7" ht="13.8">
      <c r="B824" s="115"/>
      <c r="C824" s="116"/>
      <c r="D824" s="116"/>
      <c r="E824" s="116"/>
      <c r="F824" s="116"/>
      <c r="G824" s="116"/>
    </row>
    <row r="825" spans="2:7" ht="13.8">
      <c r="B825" s="115"/>
      <c r="C825" s="116"/>
      <c r="D825" s="116"/>
      <c r="E825" s="116"/>
      <c r="F825" s="116"/>
      <c r="G825" s="116"/>
    </row>
    <row r="826" spans="2:7" ht="13.8">
      <c r="B826" s="115"/>
      <c r="C826" s="116"/>
      <c r="D826" s="116"/>
      <c r="E826" s="116"/>
      <c r="F826" s="116"/>
      <c r="G826" s="116"/>
    </row>
    <row r="827" spans="2:7" ht="13.8">
      <c r="B827" s="115"/>
      <c r="C827" s="116"/>
      <c r="D827" s="116"/>
      <c r="E827" s="116"/>
      <c r="F827" s="116"/>
      <c r="G827" s="116"/>
    </row>
    <row r="828" spans="2:7" ht="13.8">
      <c r="B828" s="115"/>
      <c r="C828" s="116"/>
      <c r="D828" s="116"/>
      <c r="E828" s="116"/>
      <c r="F828" s="116"/>
      <c r="G828" s="116"/>
    </row>
    <row r="829" spans="2:7" ht="13.8">
      <c r="B829" s="115"/>
      <c r="C829" s="116"/>
      <c r="D829" s="116"/>
      <c r="E829" s="116"/>
      <c r="F829" s="116"/>
      <c r="G829" s="116"/>
    </row>
    <row r="830" spans="2:7" ht="13.8">
      <c r="B830" s="115"/>
      <c r="C830" s="116"/>
      <c r="D830" s="116"/>
      <c r="E830" s="116"/>
      <c r="F830" s="116"/>
      <c r="G830" s="116"/>
    </row>
    <row r="831" spans="2:7" ht="13.8">
      <c r="B831" s="115"/>
      <c r="C831" s="116"/>
      <c r="D831" s="116"/>
      <c r="E831" s="116"/>
      <c r="F831" s="116"/>
      <c r="G831" s="116"/>
    </row>
    <row r="832" spans="2:7" ht="13.8">
      <c r="B832" s="115"/>
      <c r="C832" s="116"/>
      <c r="D832" s="116"/>
      <c r="E832" s="116"/>
      <c r="F832" s="116"/>
      <c r="G832" s="116"/>
    </row>
    <row r="833" spans="2:7" ht="13.8">
      <c r="B833" s="115"/>
      <c r="C833" s="116"/>
      <c r="D833" s="116"/>
      <c r="E833" s="116"/>
      <c r="F833" s="116"/>
      <c r="G833" s="116"/>
    </row>
    <row r="834" spans="2:7" ht="13.8">
      <c r="B834" s="115"/>
      <c r="C834" s="116"/>
      <c r="D834" s="116"/>
      <c r="E834" s="116"/>
      <c r="F834" s="116"/>
      <c r="G834" s="116"/>
    </row>
    <row r="835" spans="2:7" ht="13.8">
      <c r="B835" s="115"/>
      <c r="C835" s="116"/>
      <c r="D835" s="116"/>
      <c r="E835" s="116"/>
      <c r="F835" s="116"/>
      <c r="G835" s="116"/>
    </row>
    <row r="836" spans="2:7" ht="13.8">
      <c r="B836" s="115"/>
      <c r="C836" s="116"/>
      <c r="D836" s="116"/>
      <c r="E836" s="116"/>
      <c r="F836" s="116"/>
      <c r="G836" s="116"/>
    </row>
    <row r="837" spans="2:7" ht="13.8">
      <c r="B837" s="115"/>
      <c r="C837" s="116"/>
      <c r="D837" s="116"/>
      <c r="E837" s="116"/>
      <c r="F837" s="116"/>
      <c r="G837" s="116"/>
    </row>
    <row r="838" spans="2:7" ht="13.8">
      <c r="B838" s="115"/>
      <c r="C838" s="116"/>
      <c r="D838" s="116"/>
      <c r="E838" s="116"/>
      <c r="F838" s="116"/>
      <c r="G838" s="116"/>
    </row>
    <row r="839" spans="2:7" ht="13.8">
      <c r="B839" s="115"/>
      <c r="C839" s="116"/>
      <c r="D839" s="116"/>
      <c r="E839" s="116"/>
      <c r="F839" s="116"/>
      <c r="G839" s="116"/>
    </row>
    <row r="840" spans="2:7" ht="13.8">
      <c r="B840" s="115"/>
      <c r="C840" s="116"/>
      <c r="D840" s="116"/>
      <c r="E840" s="116"/>
      <c r="F840" s="116"/>
      <c r="G840" s="116"/>
    </row>
    <row r="841" spans="2:7" ht="13.8">
      <c r="B841" s="115"/>
      <c r="C841" s="116"/>
      <c r="D841" s="116"/>
      <c r="E841" s="116"/>
      <c r="F841" s="116"/>
      <c r="G841" s="116"/>
    </row>
    <row r="842" spans="2:7" ht="13.8">
      <c r="B842" s="115"/>
      <c r="C842" s="116"/>
      <c r="D842" s="116"/>
      <c r="E842" s="116"/>
      <c r="F842" s="116"/>
      <c r="G842" s="116"/>
    </row>
    <row r="843" spans="2:7" ht="13.8">
      <c r="B843" s="115"/>
      <c r="C843" s="116"/>
      <c r="D843" s="116"/>
      <c r="E843" s="116"/>
      <c r="F843" s="116"/>
      <c r="G843" s="116"/>
    </row>
    <row r="844" spans="2:7" ht="13.8">
      <c r="B844" s="115"/>
      <c r="C844" s="116"/>
      <c r="D844" s="116"/>
      <c r="E844" s="116"/>
      <c r="F844" s="116"/>
      <c r="G844" s="116"/>
    </row>
    <row r="845" spans="2:7" ht="13.8">
      <c r="B845" s="115"/>
      <c r="C845" s="116"/>
      <c r="D845" s="116"/>
      <c r="E845" s="116"/>
      <c r="F845" s="116"/>
      <c r="G845" s="116"/>
    </row>
    <row r="846" spans="2:7" ht="13.8">
      <c r="B846" s="115"/>
      <c r="C846" s="116"/>
      <c r="D846" s="116"/>
      <c r="E846" s="116"/>
      <c r="F846" s="116"/>
      <c r="G846" s="116"/>
    </row>
    <row r="847" spans="2:7" ht="13.8">
      <c r="B847" s="115"/>
      <c r="C847" s="116"/>
      <c r="D847" s="116"/>
      <c r="E847" s="116"/>
      <c r="F847" s="116"/>
      <c r="G847" s="116"/>
    </row>
    <row r="848" spans="2:7" ht="13.8">
      <c r="B848" s="115"/>
      <c r="C848" s="116"/>
      <c r="D848" s="116"/>
      <c r="E848" s="116"/>
      <c r="F848" s="116"/>
      <c r="G848" s="116"/>
    </row>
    <row r="849" spans="2:7" ht="13.8">
      <c r="B849" s="115"/>
      <c r="C849" s="116"/>
      <c r="D849" s="116"/>
      <c r="E849" s="116"/>
      <c r="F849" s="116"/>
      <c r="G849" s="116"/>
    </row>
    <row r="850" spans="2:7" ht="13.8">
      <c r="B850" s="115"/>
      <c r="C850" s="116"/>
      <c r="D850" s="116"/>
      <c r="E850" s="116"/>
      <c r="F850" s="116"/>
      <c r="G850" s="116"/>
    </row>
    <row r="851" spans="2:7" ht="13.8">
      <c r="B851" s="115"/>
      <c r="C851" s="116"/>
      <c r="D851" s="116"/>
      <c r="E851" s="116"/>
      <c r="F851" s="116"/>
      <c r="G851" s="116"/>
    </row>
    <row r="852" spans="2:7" ht="13.8">
      <c r="B852" s="115"/>
      <c r="C852" s="116"/>
      <c r="D852" s="116"/>
      <c r="E852" s="116"/>
      <c r="F852" s="116"/>
      <c r="G852" s="116"/>
    </row>
    <row r="853" spans="2:7" ht="13.8">
      <c r="B853" s="115"/>
      <c r="C853" s="116"/>
      <c r="D853" s="116"/>
      <c r="E853" s="116"/>
      <c r="F853" s="116"/>
      <c r="G853" s="116"/>
    </row>
    <row r="854" spans="2:7" ht="13.8">
      <c r="B854" s="115"/>
      <c r="C854" s="116"/>
      <c r="D854" s="116"/>
      <c r="E854" s="116"/>
      <c r="F854" s="116"/>
      <c r="G854" s="116"/>
    </row>
    <row r="855" spans="2:7" ht="13.8">
      <c r="B855" s="115"/>
      <c r="C855" s="116"/>
      <c r="D855" s="116"/>
      <c r="E855" s="116"/>
      <c r="F855" s="116"/>
      <c r="G855" s="116"/>
    </row>
    <row r="856" spans="2:7" ht="13.8">
      <c r="B856" s="115"/>
      <c r="C856" s="116"/>
      <c r="D856" s="116"/>
      <c r="E856" s="116"/>
      <c r="F856" s="116"/>
      <c r="G856" s="116"/>
    </row>
    <row r="857" spans="2:7" ht="13.8">
      <c r="B857" s="115"/>
      <c r="C857" s="116"/>
      <c r="D857" s="116"/>
      <c r="E857" s="116"/>
      <c r="F857" s="116"/>
      <c r="G857" s="116"/>
    </row>
    <row r="858" spans="2:7" ht="13.8">
      <c r="B858" s="115"/>
      <c r="C858" s="116"/>
      <c r="D858" s="116"/>
      <c r="E858" s="116"/>
      <c r="F858" s="116"/>
      <c r="G858" s="116"/>
    </row>
    <row r="859" spans="2:7" ht="13.8">
      <c r="B859" s="115"/>
      <c r="C859" s="116"/>
      <c r="D859" s="116"/>
      <c r="E859" s="116"/>
      <c r="F859" s="116"/>
      <c r="G859" s="116"/>
    </row>
    <row r="860" spans="2:7" ht="13.8">
      <c r="B860" s="115"/>
      <c r="C860" s="116"/>
      <c r="D860" s="116"/>
      <c r="E860" s="116"/>
      <c r="F860" s="116"/>
      <c r="G860" s="116"/>
    </row>
    <row r="861" spans="2:7" ht="13.8">
      <c r="B861" s="115"/>
      <c r="C861" s="116"/>
      <c r="D861" s="116"/>
      <c r="E861" s="116"/>
      <c r="F861" s="116"/>
      <c r="G861" s="116"/>
    </row>
    <row r="862" spans="2:7" ht="13.8">
      <c r="B862" s="115"/>
      <c r="C862" s="116"/>
      <c r="D862" s="116"/>
      <c r="E862" s="116"/>
      <c r="F862" s="116"/>
      <c r="G862" s="116"/>
    </row>
    <row r="863" spans="2:7" ht="13.8">
      <c r="B863" s="115"/>
      <c r="C863" s="116"/>
      <c r="D863" s="116"/>
      <c r="E863" s="116"/>
      <c r="F863" s="116"/>
      <c r="G863" s="116"/>
    </row>
    <row r="864" spans="2:7" ht="13.8">
      <c r="B864" s="115"/>
      <c r="C864" s="116"/>
      <c r="D864" s="116"/>
      <c r="E864" s="116"/>
      <c r="F864" s="116"/>
      <c r="G864" s="116"/>
    </row>
    <row r="865" spans="2:7" ht="13.8">
      <c r="B865" s="115"/>
      <c r="C865" s="116"/>
      <c r="D865" s="116"/>
      <c r="E865" s="116"/>
      <c r="F865" s="116"/>
      <c r="G865" s="116"/>
    </row>
    <row r="866" spans="2:7" ht="13.8">
      <c r="B866" s="115"/>
      <c r="C866" s="116"/>
      <c r="D866" s="116"/>
      <c r="E866" s="116"/>
      <c r="F866" s="116"/>
      <c r="G866" s="116"/>
    </row>
    <row r="867" spans="2:7" ht="13.8">
      <c r="B867" s="115"/>
      <c r="C867" s="116"/>
      <c r="D867" s="116"/>
      <c r="E867" s="116"/>
      <c r="F867" s="116"/>
      <c r="G867" s="116"/>
    </row>
    <row r="868" spans="2:7" ht="13.8">
      <c r="B868" s="115"/>
      <c r="C868" s="116"/>
      <c r="D868" s="116"/>
      <c r="E868" s="116"/>
      <c r="F868" s="116"/>
      <c r="G868" s="116"/>
    </row>
    <row r="869" spans="2:7" ht="13.8">
      <c r="B869" s="115"/>
      <c r="C869" s="116"/>
      <c r="D869" s="116"/>
      <c r="E869" s="116"/>
      <c r="F869" s="116"/>
      <c r="G869" s="116"/>
    </row>
    <row r="870" spans="2:7" ht="13.8">
      <c r="B870" s="115"/>
      <c r="C870" s="116"/>
      <c r="D870" s="116"/>
      <c r="E870" s="116"/>
      <c r="F870" s="116"/>
      <c r="G870" s="116"/>
    </row>
    <row r="871" spans="2:7" ht="13.8">
      <c r="B871" s="115"/>
      <c r="C871" s="116"/>
      <c r="D871" s="116"/>
      <c r="E871" s="116"/>
      <c r="F871" s="116"/>
      <c r="G871" s="116"/>
    </row>
    <row r="872" spans="2:7" ht="13.8">
      <c r="B872" s="115"/>
      <c r="C872" s="116"/>
      <c r="D872" s="116"/>
      <c r="E872" s="116"/>
      <c r="F872" s="116"/>
      <c r="G872" s="116"/>
    </row>
    <row r="873" spans="2:7" ht="13.8">
      <c r="B873" s="115"/>
      <c r="C873" s="116"/>
      <c r="D873" s="116"/>
      <c r="E873" s="116"/>
      <c r="F873" s="116"/>
      <c r="G873" s="116"/>
    </row>
    <row r="874" spans="2:7" ht="13.8">
      <c r="B874" s="115"/>
      <c r="C874" s="116"/>
      <c r="D874" s="116"/>
      <c r="E874" s="116"/>
      <c r="F874" s="116"/>
      <c r="G874" s="116"/>
    </row>
    <row r="875" spans="2:7" ht="13.8">
      <c r="B875" s="115"/>
      <c r="C875" s="116"/>
      <c r="D875" s="116"/>
      <c r="E875" s="116"/>
      <c r="F875" s="116"/>
      <c r="G875" s="116"/>
    </row>
    <row r="876" spans="2:7" ht="13.8">
      <c r="B876" s="115"/>
      <c r="C876" s="116"/>
      <c r="D876" s="116"/>
      <c r="E876" s="116"/>
      <c r="F876" s="116"/>
      <c r="G876" s="116"/>
    </row>
    <row r="877" spans="2:7" ht="13.8">
      <c r="B877" s="115"/>
      <c r="C877" s="116"/>
      <c r="D877" s="116"/>
      <c r="E877" s="116"/>
      <c r="F877" s="116"/>
      <c r="G877" s="116"/>
    </row>
    <row r="878" spans="2:7" ht="13.8">
      <c r="B878" s="115"/>
      <c r="C878" s="116"/>
      <c r="D878" s="116"/>
      <c r="E878" s="116"/>
      <c r="F878" s="116"/>
      <c r="G878" s="116"/>
    </row>
    <row r="879" spans="2:7" ht="13.8">
      <c r="B879" s="115"/>
      <c r="C879" s="116"/>
      <c r="D879" s="116"/>
      <c r="E879" s="116"/>
      <c r="F879" s="116"/>
      <c r="G879" s="116"/>
    </row>
    <row r="880" spans="2:7" ht="13.8">
      <c r="B880" s="115"/>
      <c r="C880" s="116"/>
      <c r="D880" s="116"/>
      <c r="E880" s="116"/>
      <c r="F880" s="116"/>
      <c r="G880" s="116"/>
    </row>
    <row r="881" spans="2:7" ht="13.8">
      <c r="B881" s="115"/>
      <c r="C881" s="116"/>
      <c r="D881" s="116"/>
      <c r="E881" s="116"/>
      <c r="F881" s="116"/>
      <c r="G881" s="116"/>
    </row>
    <row r="882" spans="2:7" ht="13.8">
      <c r="B882" s="115"/>
      <c r="C882" s="116"/>
      <c r="D882" s="116"/>
      <c r="E882" s="116"/>
      <c r="F882" s="116"/>
      <c r="G882" s="116"/>
    </row>
    <row r="883" spans="2:7" ht="13.8">
      <c r="B883" s="115"/>
      <c r="C883" s="116"/>
      <c r="D883" s="116"/>
      <c r="E883" s="116"/>
      <c r="F883" s="116"/>
      <c r="G883" s="116"/>
    </row>
    <row r="884" spans="2:7" ht="13.8">
      <c r="B884" s="115"/>
      <c r="C884" s="116"/>
      <c r="D884" s="116"/>
      <c r="E884" s="116"/>
      <c r="F884" s="116"/>
      <c r="G884" s="116"/>
    </row>
    <row r="885" spans="2:7" ht="13.8">
      <c r="B885" s="115"/>
      <c r="C885" s="116"/>
      <c r="D885" s="116"/>
      <c r="E885" s="116"/>
      <c r="F885" s="116"/>
      <c r="G885" s="116"/>
    </row>
    <row r="886" spans="2:7" ht="13.8">
      <c r="B886" s="115"/>
      <c r="C886" s="116"/>
      <c r="D886" s="116"/>
      <c r="E886" s="116"/>
      <c r="F886" s="116"/>
      <c r="G886" s="116"/>
    </row>
    <row r="887" spans="2:7" ht="13.8">
      <c r="B887" s="115"/>
      <c r="C887" s="116"/>
      <c r="D887" s="116"/>
      <c r="E887" s="116"/>
      <c r="F887" s="116"/>
      <c r="G887" s="116"/>
    </row>
    <row r="888" spans="2:7" ht="13.8">
      <c r="B888" s="115"/>
      <c r="C888" s="116"/>
      <c r="D888" s="116"/>
      <c r="E888" s="116"/>
      <c r="F888" s="116"/>
      <c r="G888" s="116"/>
    </row>
    <row r="889" spans="2:7" ht="13.8">
      <c r="B889" s="115"/>
      <c r="C889" s="116"/>
      <c r="D889" s="116"/>
      <c r="E889" s="116"/>
      <c r="F889" s="116"/>
      <c r="G889" s="116"/>
    </row>
    <row r="890" spans="2:7" ht="13.8">
      <c r="B890" s="115"/>
      <c r="C890" s="116"/>
      <c r="D890" s="116"/>
      <c r="E890" s="116"/>
      <c r="F890" s="116"/>
      <c r="G890" s="116"/>
    </row>
    <row r="891" spans="2:7" ht="13.8">
      <c r="B891" s="115"/>
      <c r="C891" s="116"/>
      <c r="D891" s="116"/>
      <c r="E891" s="116"/>
      <c r="F891" s="116"/>
      <c r="G891" s="116"/>
    </row>
    <row r="892" spans="2:7" ht="13.8">
      <c r="B892" s="115"/>
      <c r="C892" s="116"/>
      <c r="D892" s="116"/>
      <c r="E892" s="116"/>
      <c r="F892" s="116"/>
      <c r="G892" s="116"/>
    </row>
    <row r="893" spans="2:7" ht="13.8">
      <c r="B893" s="115"/>
      <c r="C893" s="116"/>
      <c r="D893" s="116"/>
      <c r="E893" s="116"/>
      <c r="F893" s="116"/>
      <c r="G893" s="116"/>
    </row>
    <row r="894" spans="2:7" ht="13.8">
      <c r="B894" s="115"/>
      <c r="C894" s="116"/>
      <c r="D894" s="116"/>
      <c r="E894" s="116"/>
      <c r="F894" s="116"/>
      <c r="G894" s="116"/>
    </row>
    <row r="895" spans="2:7" ht="13.8">
      <c r="B895" s="115"/>
      <c r="C895" s="116"/>
      <c r="D895" s="116"/>
      <c r="E895" s="116"/>
      <c r="F895" s="116"/>
      <c r="G895" s="116"/>
    </row>
    <row r="896" spans="2:7" ht="13.8">
      <c r="B896" s="115"/>
      <c r="C896" s="116"/>
      <c r="D896" s="116"/>
      <c r="E896" s="116"/>
      <c r="F896" s="116"/>
      <c r="G896" s="116"/>
    </row>
    <row r="897" spans="2:7" ht="13.8">
      <c r="B897" s="115"/>
      <c r="C897" s="116"/>
      <c r="D897" s="116"/>
      <c r="E897" s="116"/>
      <c r="F897" s="116"/>
      <c r="G897" s="116"/>
    </row>
    <row r="898" spans="2:7" ht="13.8">
      <c r="B898" s="115"/>
      <c r="C898" s="116"/>
      <c r="D898" s="116"/>
      <c r="E898" s="116"/>
      <c r="F898" s="116"/>
      <c r="G898" s="116"/>
    </row>
    <row r="899" spans="2:7" ht="13.8">
      <c r="B899" s="115"/>
      <c r="C899" s="116"/>
      <c r="D899" s="116"/>
      <c r="E899" s="116"/>
      <c r="F899" s="116"/>
      <c r="G899" s="116"/>
    </row>
    <row r="900" spans="2:7" ht="13.8">
      <c r="B900" s="115"/>
      <c r="C900" s="116"/>
      <c r="D900" s="116"/>
      <c r="E900" s="116"/>
      <c r="F900" s="116"/>
      <c r="G900" s="116"/>
    </row>
    <row r="901" spans="2:7" ht="13.8">
      <c r="B901" s="115"/>
      <c r="C901" s="116"/>
      <c r="D901" s="116"/>
      <c r="E901" s="116"/>
      <c r="F901" s="116"/>
      <c r="G901" s="116"/>
    </row>
    <row r="902" spans="2:7" ht="13.8">
      <c r="B902" s="115"/>
      <c r="C902" s="116"/>
      <c r="D902" s="116"/>
      <c r="E902" s="116"/>
      <c r="F902" s="116"/>
      <c r="G902" s="116"/>
    </row>
    <row r="903" spans="2:7" ht="13.8">
      <c r="B903" s="115"/>
      <c r="C903" s="116"/>
      <c r="D903" s="116"/>
      <c r="E903" s="116"/>
      <c r="F903" s="116"/>
      <c r="G903" s="116"/>
    </row>
    <row r="904" spans="2:7" ht="13.8">
      <c r="B904" s="115"/>
      <c r="C904" s="116"/>
      <c r="D904" s="116"/>
      <c r="E904" s="116"/>
      <c r="F904" s="116"/>
      <c r="G904" s="116"/>
    </row>
    <row r="905" spans="2:7" ht="13.8">
      <c r="B905" s="115"/>
      <c r="C905" s="116"/>
      <c r="D905" s="116"/>
      <c r="E905" s="116"/>
      <c r="F905" s="116"/>
      <c r="G905" s="116"/>
    </row>
    <row r="906" spans="2:7" ht="13.8">
      <c r="B906" s="115"/>
      <c r="C906" s="116"/>
      <c r="D906" s="116"/>
      <c r="E906" s="116"/>
      <c r="F906" s="116"/>
      <c r="G906" s="116"/>
    </row>
    <row r="907" spans="2:7" ht="13.8">
      <c r="B907" s="115"/>
      <c r="C907" s="116"/>
      <c r="D907" s="116"/>
      <c r="E907" s="116"/>
      <c r="F907" s="116"/>
      <c r="G907" s="116"/>
    </row>
    <row r="908" spans="2:7" ht="13.8">
      <c r="B908" s="115"/>
      <c r="C908" s="116"/>
      <c r="D908" s="116"/>
      <c r="E908" s="116"/>
      <c r="F908" s="116"/>
      <c r="G908" s="116"/>
    </row>
    <row r="909" spans="2:7" ht="13.8">
      <c r="B909" s="115"/>
      <c r="C909" s="116"/>
      <c r="D909" s="116"/>
      <c r="E909" s="116"/>
      <c r="F909" s="116"/>
      <c r="G909" s="116"/>
    </row>
    <row r="910" spans="2:7" ht="13.8">
      <c r="B910" s="115"/>
      <c r="C910" s="116"/>
      <c r="D910" s="116"/>
      <c r="E910" s="116"/>
      <c r="F910" s="116"/>
      <c r="G910" s="116"/>
    </row>
    <row r="911" spans="2:7" ht="13.8">
      <c r="B911" s="115"/>
      <c r="C911" s="116"/>
      <c r="D911" s="116"/>
      <c r="E911" s="116"/>
      <c r="F911" s="116"/>
      <c r="G911" s="116"/>
    </row>
    <row r="912" spans="2:7" ht="13.8">
      <c r="B912" s="115"/>
      <c r="C912" s="116"/>
      <c r="D912" s="116"/>
      <c r="E912" s="116"/>
      <c r="F912" s="116"/>
      <c r="G912" s="116"/>
    </row>
    <row r="913" spans="2:7" ht="13.8">
      <c r="B913" s="115"/>
      <c r="C913" s="116"/>
      <c r="D913" s="116"/>
      <c r="E913" s="116"/>
      <c r="F913" s="116"/>
      <c r="G913" s="116"/>
    </row>
    <row r="914" spans="2:7" ht="13.8">
      <c r="B914" s="115"/>
      <c r="C914" s="116"/>
      <c r="D914" s="116"/>
      <c r="E914" s="116"/>
      <c r="F914" s="116"/>
      <c r="G914" s="116"/>
    </row>
    <row r="915" spans="2:7" ht="13.8">
      <c r="B915" s="115"/>
      <c r="C915" s="116"/>
      <c r="D915" s="116"/>
      <c r="E915" s="116"/>
      <c r="F915" s="116"/>
      <c r="G915" s="116"/>
    </row>
    <row r="916" spans="2:7" ht="13.8">
      <c r="B916" s="115"/>
      <c r="C916" s="116"/>
      <c r="D916" s="116"/>
      <c r="E916" s="116"/>
      <c r="F916" s="116"/>
      <c r="G916" s="116"/>
    </row>
    <row r="917" spans="2:7" ht="13.8">
      <c r="B917" s="115"/>
      <c r="C917" s="116"/>
      <c r="D917" s="116"/>
      <c r="E917" s="116"/>
      <c r="F917" s="116"/>
      <c r="G917" s="116"/>
    </row>
    <row r="918" spans="2:7" ht="13.8">
      <c r="B918" s="115"/>
      <c r="C918" s="116"/>
      <c r="D918" s="116"/>
      <c r="E918" s="116"/>
      <c r="F918" s="116"/>
      <c r="G918" s="116"/>
    </row>
    <row r="919" spans="2:7" ht="13.8">
      <c r="B919" s="115"/>
      <c r="C919" s="116"/>
      <c r="D919" s="116"/>
      <c r="E919" s="116"/>
      <c r="F919" s="116"/>
      <c r="G919" s="116"/>
    </row>
    <row r="920" spans="2:7" ht="13.8">
      <c r="B920" s="115"/>
      <c r="C920" s="116"/>
      <c r="D920" s="116"/>
      <c r="E920" s="116"/>
      <c r="F920" s="116"/>
      <c r="G920" s="116"/>
    </row>
    <row r="921" spans="2:7" ht="13.8">
      <c r="B921" s="115"/>
      <c r="C921" s="116"/>
      <c r="D921" s="116"/>
      <c r="E921" s="116"/>
      <c r="F921" s="116"/>
      <c r="G921" s="116"/>
    </row>
    <row r="922" spans="2:7" ht="13.8">
      <c r="B922" s="115"/>
      <c r="C922" s="116"/>
      <c r="D922" s="116"/>
      <c r="E922" s="116"/>
      <c r="F922" s="116"/>
      <c r="G922" s="116"/>
    </row>
    <row r="923" spans="2:7" ht="13.8">
      <c r="B923" s="115"/>
      <c r="C923" s="116"/>
      <c r="D923" s="116"/>
      <c r="E923" s="116"/>
      <c r="F923" s="116"/>
      <c r="G923" s="116"/>
    </row>
    <row r="924" spans="2:7" ht="13.8">
      <c r="B924" s="141"/>
      <c r="C924" s="141"/>
      <c r="D924" s="141"/>
      <c r="E924" s="141"/>
      <c r="F924" s="141"/>
      <c r="G924" s="141"/>
    </row>
    <row r="925" spans="2:7" ht="13.8">
      <c r="B925" s="141"/>
      <c r="C925" s="141"/>
      <c r="D925" s="141"/>
      <c r="E925" s="141"/>
      <c r="F925" s="141"/>
      <c r="G925" s="141"/>
    </row>
  </sheetData>
  <phoneticPr fontId="3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742DE-96FE-4383-A209-4AAACD23C4A4}">
  <dimension ref="A1:AA1001"/>
  <sheetViews>
    <sheetView tabSelected="1" workbookViewId="0">
      <selection activeCell="H23" sqref="H23"/>
    </sheetView>
  </sheetViews>
  <sheetFormatPr defaultColWidth="12.5546875" defaultRowHeight="15.75" customHeight="1"/>
  <cols>
    <col min="2" max="2" width="15.88671875" customWidth="1"/>
    <col min="3" max="3" width="15" customWidth="1"/>
    <col min="4" max="9" width="9.6640625" customWidth="1"/>
  </cols>
  <sheetData>
    <row r="1" spans="1:27" ht="13.2">
      <c r="A1" s="47" t="s">
        <v>364</v>
      </c>
      <c r="B1" s="267" t="s">
        <v>365</v>
      </c>
      <c r="C1" s="47"/>
      <c r="D1" s="47"/>
      <c r="E1" s="47">
        <v>1</v>
      </c>
      <c r="F1" s="47">
        <v>2</v>
      </c>
      <c r="G1" s="47">
        <v>4</v>
      </c>
      <c r="H1" s="47">
        <v>4</v>
      </c>
      <c r="I1" s="47">
        <v>5</v>
      </c>
      <c r="J1" s="47"/>
      <c r="K1" s="47"/>
      <c r="L1" s="47"/>
      <c r="M1" s="47"/>
      <c r="N1" s="47"/>
      <c r="O1" s="47"/>
      <c r="P1" s="47"/>
      <c r="Q1" s="47"/>
      <c r="R1" s="47"/>
      <c r="S1" s="47"/>
      <c r="T1" s="47"/>
      <c r="U1" s="47"/>
      <c r="V1" s="47"/>
      <c r="W1" s="47"/>
      <c r="X1" s="47"/>
      <c r="Y1" s="47"/>
      <c r="Z1" s="47"/>
      <c r="AA1" s="47"/>
    </row>
    <row r="2" spans="1:27" ht="13.2">
      <c r="A2" s="47"/>
      <c r="B2" s="47"/>
      <c r="C2" s="47"/>
      <c r="D2" s="47"/>
      <c r="E2" s="47">
        <v>5</v>
      </c>
      <c r="F2" s="47">
        <v>4</v>
      </c>
      <c r="G2" s="47">
        <v>6</v>
      </c>
      <c r="H2" s="47">
        <v>3</v>
      </c>
      <c r="I2" s="47">
        <v>3</v>
      </c>
      <c r="J2" s="47"/>
      <c r="K2" s="47"/>
      <c r="L2" s="47"/>
      <c r="M2" s="47"/>
      <c r="N2" s="47"/>
      <c r="O2" s="47"/>
      <c r="P2" s="47"/>
      <c r="Q2" s="47"/>
      <c r="R2" s="47"/>
      <c r="S2" s="47"/>
      <c r="T2" s="47"/>
      <c r="U2" s="47"/>
      <c r="V2" s="47"/>
      <c r="W2" s="47"/>
      <c r="X2" s="47"/>
      <c r="Y2" s="47"/>
      <c r="Z2" s="47"/>
      <c r="AA2" s="47"/>
    </row>
    <row r="3" spans="1:27" ht="13.2">
      <c r="A3" s="47"/>
      <c r="B3" s="47" t="s">
        <v>366</v>
      </c>
      <c r="C3" s="47" t="s">
        <v>367</v>
      </c>
      <c r="D3" s="47"/>
      <c r="E3" s="268" t="s">
        <v>117</v>
      </c>
      <c r="F3" s="268" t="s">
        <v>118</v>
      </c>
      <c r="G3" s="268" t="s">
        <v>368</v>
      </c>
      <c r="H3" s="268" t="s">
        <v>369</v>
      </c>
      <c r="I3" s="268" t="s">
        <v>370</v>
      </c>
      <c r="J3" s="47"/>
      <c r="K3" s="47"/>
      <c r="L3" s="47"/>
      <c r="M3" s="47"/>
      <c r="N3" s="47"/>
      <c r="O3" s="47"/>
      <c r="P3" s="47"/>
      <c r="Q3" s="47"/>
      <c r="R3" s="47"/>
      <c r="S3" s="47"/>
      <c r="T3" s="47"/>
      <c r="U3" s="47"/>
      <c r="V3" s="47"/>
      <c r="W3" s="47"/>
      <c r="X3" s="47"/>
      <c r="Y3" s="47"/>
      <c r="Z3" s="47"/>
      <c r="AA3" s="47"/>
    </row>
    <row r="4" spans="1:27" ht="13.2">
      <c r="A4" s="78" t="s">
        <v>117</v>
      </c>
      <c r="B4" s="47">
        <v>1</v>
      </c>
      <c r="C4" s="47">
        <v>5</v>
      </c>
      <c r="D4" s="269" t="s">
        <v>117</v>
      </c>
      <c r="E4" s="43">
        <f t="shared" ref="E4:I8" si="0">SQRT(($B4-E$1)^2+($C4-E$2)^2)</f>
        <v>0</v>
      </c>
      <c r="F4" s="43">
        <f t="shared" si="0"/>
        <v>1.4142135623730951</v>
      </c>
      <c r="G4" s="43">
        <f t="shared" si="0"/>
        <v>3.1622776601683795</v>
      </c>
      <c r="H4" s="43">
        <f t="shared" si="0"/>
        <v>3.6055512754639891</v>
      </c>
      <c r="I4" s="43">
        <f t="shared" si="0"/>
        <v>4.4721359549995796</v>
      </c>
      <c r="J4" s="47"/>
      <c r="K4" s="47"/>
      <c r="L4" s="47"/>
      <c r="M4" s="47"/>
      <c r="N4" s="47"/>
      <c r="O4" s="47"/>
      <c r="P4" s="47"/>
      <c r="Q4" s="47"/>
      <c r="R4" s="47"/>
      <c r="S4" s="47"/>
      <c r="T4" s="47"/>
      <c r="U4" s="47"/>
      <c r="V4" s="47"/>
      <c r="W4" s="47"/>
      <c r="X4" s="47"/>
      <c r="Y4" s="47"/>
      <c r="Z4" s="47"/>
      <c r="AA4" s="47"/>
    </row>
    <row r="5" spans="1:27" ht="13.2">
      <c r="A5" s="78" t="s">
        <v>118</v>
      </c>
      <c r="B5" s="47">
        <v>2</v>
      </c>
      <c r="C5" s="47">
        <v>4</v>
      </c>
      <c r="D5" s="269" t="s">
        <v>118</v>
      </c>
      <c r="E5" s="270">
        <f t="shared" si="0"/>
        <v>1.4142135623730951</v>
      </c>
      <c r="F5" s="43">
        <f t="shared" si="0"/>
        <v>0</v>
      </c>
      <c r="G5" s="43">
        <f t="shared" si="0"/>
        <v>2.8284271247461903</v>
      </c>
      <c r="H5" s="43">
        <f t="shared" si="0"/>
        <v>2.2360679774997898</v>
      </c>
      <c r="I5" s="43">
        <f t="shared" si="0"/>
        <v>3.1622776601683795</v>
      </c>
      <c r="J5" s="47"/>
      <c r="K5" s="47"/>
      <c r="L5" s="47"/>
      <c r="M5" s="47"/>
      <c r="N5" s="47"/>
      <c r="O5" s="47"/>
      <c r="P5" s="47"/>
      <c r="Q5" s="47"/>
      <c r="R5" s="47"/>
      <c r="S5" s="47"/>
      <c r="T5" s="47"/>
      <c r="U5" s="47"/>
      <c r="V5" s="47"/>
      <c r="W5" s="47"/>
      <c r="X5" s="47"/>
      <c r="Y5" s="47"/>
      <c r="Z5" s="47"/>
      <c r="AA5" s="47"/>
    </row>
    <row r="6" spans="1:27" ht="13.2">
      <c r="A6" s="78" t="s">
        <v>368</v>
      </c>
      <c r="B6" s="47">
        <v>4</v>
      </c>
      <c r="C6" s="47">
        <v>6</v>
      </c>
      <c r="D6" s="269" t="s">
        <v>368</v>
      </c>
      <c r="E6" s="43">
        <f t="shared" si="0"/>
        <v>3.1622776601683795</v>
      </c>
      <c r="F6" s="43">
        <f t="shared" si="0"/>
        <v>2.8284271247461903</v>
      </c>
      <c r="G6" s="43">
        <f t="shared" si="0"/>
        <v>0</v>
      </c>
      <c r="H6" s="43">
        <f t="shared" si="0"/>
        <v>3</v>
      </c>
      <c r="I6" s="43">
        <f t="shared" si="0"/>
        <v>3.1622776601683795</v>
      </c>
      <c r="J6" s="47"/>
      <c r="K6" s="47"/>
      <c r="L6" s="47"/>
      <c r="M6" s="47"/>
      <c r="N6" s="47"/>
      <c r="O6" s="47"/>
      <c r="P6" s="47"/>
      <c r="Q6" s="47"/>
      <c r="R6" s="47"/>
      <c r="S6" s="47"/>
      <c r="T6" s="47"/>
      <c r="U6" s="47"/>
      <c r="V6" s="47"/>
      <c r="W6" s="47"/>
      <c r="X6" s="47"/>
      <c r="Y6" s="47"/>
      <c r="Z6" s="47"/>
      <c r="AA6" s="47"/>
    </row>
    <row r="7" spans="1:27" ht="13.2">
      <c r="A7" s="78" t="s">
        <v>369</v>
      </c>
      <c r="B7" s="47">
        <v>4</v>
      </c>
      <c r="C7" s="47">
        <v>3</v>
      </c>
      <c r="D7" s="269" t="s">
        <v>369</v>
      </c>
      <c r="E7" s="43">
        <f t="shared" si="0"/>
        <v>3.6055512754639891</v>
      </c>
      <c r="F7" s="43">
        <f t="shared" si="0"/>
        <v>2.2360679774997898</v>
      </c>
      <c r="G7" s="43">
        <f t="shared" si="0"/>
        <v>3</v>
      </c>
      <c r="H7" s="43">
        <f t="shared" si="0"/>
        <v>0</v>
      </c>
      <c r="I7" s="43">
        <f t="shared" si="0"/>
        <v>1</v>
      </c>
      <c r="J7" s="47"/>
      <c r="K7" s="47"/>
      <c r="L7" s="47"/>
      <c r="M7" s="47"/>
      <c r="N7" s="47"/>
      <c r="O7" s="47"/>
      <c r="P7" s="47"/>
      <c r="Q7" s="47"/>
      <c r="R7" s="47"/>
      <c r="S7" s="47"/>
      <c r="T7" s="47"/>
      <c r="U7" s="47"/>
      <c r="V7" s="47"/>
      <c r="W7" s="47"/>
      <c r="X7" s="47"/>
      <c r="Y7" s="47"/>
      <c r="Z7" s="47"/>
      <c r="AA7" s="47"/>
    </row>
    <row r="8" spans="1:27" ht="13.2">
      <c r="A8" s="78" t="s">
        <v>370</v>
      </c>
      <c r="B8" s="47">
        <v>5</v>
      </c>
      <c r="C8" s="47">
        <v>3</v>
      </c>
      <c r="D8" s="269" t="s">
        <v>370</v>
      </c>
      <c r="E8" s="43">
        <f t="shared" si="0"/>
        <v>4.4721359549995796</v>
      </c>
      <c r="F8" s="43">
        <f t="shared" si="0"/>
        <v>3.1622776601683795</v>
      </c>
      <c r="G8" s="43">
        <f t="shared" si="0"/>
        <v>3.1622776601683795</v>
      </c>
      <c r="H8" s="271">
        <f t="shared" si="0"/>
        <v>1</v>
      </c>
      <c r="I8" s="43">
        <f t="shared" si="0"/>
        <v>0</v>
      </c>
      <c r="J8" s="47"/>
      <c r="K8" s="47"/>
      <c r="L8" s="47"/>
      <c r="M8" s="47"/>
      <c r="N8" s="47"/>
      <c r="O8" s="47"/>
      <c r="P8" s="47"/>
      <c r="Q8" s="47"/>
      <c r="R8" s="47"/>
      <c r="S8" s="47"/>
      <c r="T8" s="47"/>
      <c r="U8" s="47"/>
      <c r="V8" s="47"/>
      <c r="W8" s="47"/>
      <c r="X8" s="47"/>
      <c r="Y8" s="47"/>
      <c r="Z8" s="47"/>
      <c r="AA8" s="47"/>
    </row>
    <row r="9" spans="1:27" ht="13.2">
      <c r="A9" s="47"/>
      <c r="B9" s="47"/>
      <c r="C9" s="47"/>
      <c r="D9" s="47"/>
      <c r="E9" s="47"/>
      <c r="F9" s="47"/>
      <c r="G9" s="47"/>
      <c r="H9" s="47"/>
      <c r="I9" s="47"/>
      <c r="J9" s="47"/>
      <c r="K9" s="47"/>
      <c r="L9" s="47"/>
      <c r="M9" s="47"/>
      <c r="N9" s="47"/>
      <c r="O9" s="47"/>
      <c r="P9" s="47"/>
      <c r="Q9" s="47"/>
      <c r="R9" s="47"/>
      <c r="S9" s="47"/>
      <c r="T9" s="47"/>
      <c r="U9" s="47"/>
      <c r="V9" s="47"/>
      <c r="W9" s="47"/>
      <c r="X9" s="47"/>
      <c r="Y9" s="47"/>
      <c r="Z9" s="47"/>
      <c r="AA9" s="47"/>
    </row>
    <row r="10" spans="1:27" ht="13.2">
      <c r="A10" s="272" t="s">
        <v>371</v>
      </c>
      <c r="B10" s="47"/>
      <c r="C10" s="47"/>
      <c r="D10" s="47" t="s">
        <v>372</v>
      </c>
      <c r="E10" s="47"/>
      <c r="F10" s="47"/>
      <c r="G10" s="47"/>
      <c r="H10" s="47"/>
      <c r="I10" s="47"/>
      <c r="J10" s="47"/>
      <c r="K10" s="47"/>
      <c r="L10" s="47"/>
      <c r="M10" s="47"/>
      <c r="N10" s="47"/>
      <c r="O10" s="47"/>
      <c r="P10" s="47"/>
      <c r="Q10" s="47"/>
      <c r="R10" s="47"/>
      <c r="S10" s="47"/>
      <c r="T10" s="47"/>
      <c r="U10" s="47"/>
      <c r="V10" s="47"/>
      <c r="W10" s="47"/>
      <c r="X10" s="47"/>
      <c r="Y10" s="47"/>
      <c r="Z10" s="47"/>
      <c r="AA10" s="47"/>
    </row>
    <row r="11" spans="1:27" ht="13.2">
      <c r="B11" s="272" t="s">
        <v>373</v>
      </c>
      <c r="C11" s="47"/>
      <c r="D11" s="47"/>
      <c r="E11" s="43">
        <f t="shared" ref="E11:I15" si="1">E4^2</f>
        <v>0</v>
      </c>
      <c r="F11" s="43">
        <f t="shared" si="1"/>
        <v>2.0000000000000004</v>
      </c>
      <c r="G11" s="43">
        <f t="shared" si="1"/>
        <v>10.000000000000002</v>
      </c>
      <c r="H11" s="43">
        <f t="shared" si="1"/>
        <v>12.999999999999998</v>
      </c>
      <c r="I11" s="43">
        <f t="shared" si="1"/>
        <v>20.000000000000004</v>
      </c>
      <c r="J11" s="47"/>
      <c r="K11" s="47"/>
      <c r="L11" s="47"/>
      <c r="M11" s="47"/>
      <c r="N11" s="47"/>
      <c r="O11" s="47"/>
      <c r="P11" s="47"/>
      <c r="Q11" s="47"/>
      <c r="R11" s="47"/>
      <c r="S11" s="47"/>
      <c r="T11" s="47"/>
      <c r="U11" s="47"/>
      <c r="V11" s="47"/>
      <c r="W11" s="47"/>
      <c r="X11" s="47"/>
      <c r="Y11" s="47"/>
      <c r="Z11" s="47"/>
      <c r="AA11" s="47"/>
    </row>
    <row r="12" spans="1:27" ht="13.2">
      <c r="B12" s="272" t="s">
        <v>374</v>
      </c>
      <c r="C12" s="47"/>
      <c r="D12" s="47"/>
      <c r="E12" s="43">
        <f t="shared" si="1"/>
        <v>2.0000000000000004</v>
      </c>
      <c r="F12" s="43">
        <f t="shared" si="1"/>
        <v>0</v>
      </c>
      <c r="G12" s="43">
        <f t="shared" si="1"/>
        <v>8.0000000000000018</v>
      </c>
      <c r="H12" s="43">
        <f t="shared" si="1"/>
        <v>5.0000000000000009</v>
      </c>
      <c r="I12" s="43">
        <f t="shared" si="1"/>
        <v>10.000000000000002</v>
      </c>
      <c r="J12" s="47"/>
      <c r="K12" s="47"/>
      <c r="L12" s="47"/>
      <c r="M12" s="47"/>
      <c r="N12" s="47"/>
      <c r="O12" s="47"/>
      <c r="P12" s="47"/>
      <c r="Q12" s="47"/>
      <c r="R12" s="47"/>
      <c r="S12" s="47"/>
      <c r="T12" s="47"/>
      <c r="U12" s="47"/>
      <c r="V12" s="47"/>
      <c r="W12" s="47"/>
      <c r="X12" s="47"/>
      <c r="Y12" s="47"/>
      <c r="Z12" s="47"/>
      <c r="AA12" s="47"/>
    </row>
    <row r="13" spans="1:27" ht="13.2">
      <c r="B13" s="272" t="s">
        <v>375</v>
      </c>
      <c r="C13" s="47"/>
      <c r="D13" s="47"/>
      <c r="E13" s="43">
        <f t="shared" si="1"/>
        <v>10.000000000000002</v>
      </c>
      <c r="F13" s="43">
        <f t="shared" si="1"/>
        <v>8.0000000000000018</v>
      </c>
      <c r="G13" s="43">
        <f t="shared" si="1"/>
        <v>0</v>
      </c>
      <c r="H13" s="43">
        <f t="shared" si="1"/>
        <v>9</v>
      </c>
      <c r="I13" s="43">
        <f t="shared" si="1"/>
        <v>10.000000000000002</v>
      </c>
      <c r="J13" s="47"/>
      <c r="K13" s="47"/>
      <c r="L13" s="47"/>
      <c r="M13" s="47"/>
      <c r="N13" s="47"/>
      <c r="O13" s="47"/>
      <c r="P13" s="47"/>
      <c r="Q13" s="47"/>
      <c r="R13" s="47"/>
      <c r="S13" s="47"/>
      <c r="T13" s="47"/>
      <c r="U13" s="47"/>
      <c r="V13" s="47"/>
      <c r="W13" s="47"/>
      <c r="X13" s="47"/>
      <c r="Y13" s="47"/>
      <c r="Z13" s="47"/>
      <c r="AA13" s="47"/>
    </row>
    <row r="14" spans="1:27" ht="13.2">
      <c r="B14" s="272" t="s">
        <v>376</v>
      </c>
      <c r="C14" s="47"/>
      <c r="D14" s="47"/>
      <c r="E14" s="43">
        <f t="shared" si="1"/>
        <v>12.999999999999998</v>
      </c>
      <c r="F14" s="43">
        <f t="shared" si="1"/>
        <v>5.0000000000000009</v>
      </c>
      <c r="G14" s="43">
        <f t="shared" si="1"/>
        <v>9</v>
      </c>
      <c r="H14" s="43">
        <f t="shared" si="1"/>
        <v>0</v>
      </c>
      <c r="I14" s="43">
        <f t="shared" si="1"/>
        <v>1</v>
      </c>
      <c r="J14" s="47"/>
      <c r="K14" s="47"/>
      <c r="L14" s="47"/>
      <c r="M14" s="47"/>
      <c r="N14" s="47"/>
      <c r="O14" s="47"/>
      <c r="P14" s="47"/>
      <c r="Q14" s="47"/>
      <c r="R14" s="47"/>
      <c r="S14" s="47"/>
      <c r="T14" s="47"/>
      <c r="U14" s="47"/>
      <c r="V14" s="47"/>
      <c r="W14" s="47"/>
      <c r="X14" s="47"/>
      <c r="Y14" s="47"/>
      <c r="Z14" s="47"/>
      <c r="AA14" s="47"/>
    </row>
    <row r="15" spans="1:27" ht="13.2">
      <c r="B15" s="272" t="s">
        <v>377</v>
      </c>
      <c r="C15" s="47"/>
      <c r="D15" s="47"/>
      <c r="E15" s="43">
        <f t="shared" si="1"/>
        <v>20.000000000000004</v>
      </c>
      <c r="F15" s="43">
        <f t="shared" si="1"/>
        <v>10.000000000000002</v>
      </c>
      <c r="G15" s="43">
        <f t="shared" si="1"/>
        <v>10.000000000000002</v>
      </c>
      <c r="H15" s="43">
        <f t="shared" si="1"/>
        <v>1</v>
      </c>
      <c r="I15" s="43">
        <f t="shared" si="1"/>
        <v>0</v>
      </c>
      <c r="J15" s="47"/>
      <c r="K15" s="47"/>
      <c r="L15" s="47"/>
      <c r="M15" s="47"/>
      <c r="N15" s="47"/>
      <c r="O15" s="47"/>
      <c r="P15" s="47"/>
      <c r="Q15" s="47"/>
      <c r="R15" s="47"/>
      <c r="S15" s="47"/>
      <c r="T15" s="47"/>
      <c r="U15" s="47"/>
      <c r="V15" s="47"/>
      <c r="W15" s="47"/>
      <c r="X15" s="47"/>
      <c r="Y15" s="47"/>
      <c r="Z15" s="47"/>
      <c r="AA15" s="47"/>
    </row>
    <row r="16" spans="1:27" ht="13.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spans="1:27" ht="13.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spans="1:27" ht="13.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spans="1:27" ht="13.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spans="1:27" ht="13.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spans="1:27" ht="13.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row>
    <row r="22" spans="1:27" ht="13.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spans="1:27" ht="13.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1:27" ht="13.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1:27" ht="13.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spans="1:27" ht="13.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spans="1:27" ht="13.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spans="1:27" ht="13.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spans="1:27" ht="13.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1:27" ht="13.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1:27" ht="13.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1:27" ht="1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1:27" ht="13.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1:27" ht="13.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1:27" ht="13.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1:27" ht="13.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spans="1:27" ht="13.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spans="1:27" ht="13.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spans="1:27" ht="13.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spans="1:27" ht="13.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ht="13.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1:27" ht="13.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ht="13.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1:27" ht="13.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spans="1:27" ht="13.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spans="1:27" ht="13.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spans="1:27" ht="13.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1:27" ht="13.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spans="1:27" ht="13.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spans="1:27" ht="13.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13.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spans="1:27" ht="13.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1:27" ht="13.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spans="1:27" ht="13.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spans="1:27" ht="13.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ht="13.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spans="1:27" ht="13.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spans="1:27" ht="13.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spans="1:27" ht="13.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spans="1:27" ht="13.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spans="1:27" ht="13.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spans="1:27" ht="13.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spans="1:27" ht="13.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spans="1:27" ht="13.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spans="1:27" ht="13.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spans="1:27" ht="13.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spans="1:27" ht="13.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spans="1:27" ht="13.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spans="1:27" ht="13.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spans="1:27" ht="13.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spans="1:27" ht="13.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spans="1:27" ht="13.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spans="1:27" ht="13.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spans="1:27" ht="13.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spans="1:27" ht="13.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spans="1:27" ht="13.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spans="1:27" ht="13.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spans="1:27" ht="13.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spans="1:27" ht="13.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spans="1:27" ht="13.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spans="1:27" ht="13.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spans="1:27" ht="13.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spans="1:27" ht="13.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spans="1:27" ht="13.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spans="1:27" ht="13.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spans="1:27" ht="13.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spans="1:27" ht="13.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spans="1:27" ht="13.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spans="1:27" ht="13.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spans="1:27" ht="13.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spans="1:27" ht="13.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spans="1:27" ht="13.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spans="1:27" ht="13.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spans="1:27" ht="13.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spans="1:27" ht="13.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spans="1:27" ht="13.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spans="1:27" ht="13.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spans="1:27" ht="13.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spans="1:27" ht="13.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spans="1:27" ht="13.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spans="1:27" ht="13.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1:27" ht="13.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spans="1:27" ht="13.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spans="1:27" ht="13.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spans="1:27" ht="13.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spans="1:27" ht="13.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spans="1:27" ht="13.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spans="1:27" ht="13.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spans="1:27" ht="13.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spans="1:27" ht="13.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spans="1:27" ht="13.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spans="1:27" ht="13.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spans="1:27" ht="13.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spans="1:27" ht="13.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spans="1:27" ht="13.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spans="1:27" ht="13.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spans="1:27" ht="13.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spans="1:27" ht="13.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spans="1:27" ht="13.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spans="1:27" ht="13.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spans="1:27" ht="13.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spans="1:27" ht="13.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spans="1:27" ht="13.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spans="1:27" ht="13.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spans="1:27" ht="13.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spans="1:27" ht="13.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spans="1:27" ht="13.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spans="1:27" ht="13.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spans="1:27" ht="13.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spans="1:27" ht="13.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spans="1:27" ht="13.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spans="1:27" ht="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spans="1:27" ht="13.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spans="1:27" ht="13.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spans="1:27" ht="13.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spans="1:27" ht="13.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spans="1:27" ht="13.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spans="1:27" ht="13.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spans="1:27" ht="13.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spans="1:27" ht="13.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spans="1:27" ht="13.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spans="1:27" ht="13.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spans="1:27" ht="13.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spans="1:27" ht="13.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spans="1:27" ht="13.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spans="1:27" ht="13.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spans="1:27" ht="13.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spans="1:27" ht="13.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spans="1:27" ht="13.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spans="1:27" ht="13.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spans="1:27" ht="13.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spans="1:27" ht="13.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spans="1:27" ht="13.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spans="1:27" ht="13.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1:27" ht="13.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spans="1:27" ht="13.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spans="1:27" ht="13.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spans="1:27" ht="13.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spans="1:27" ht="13.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spans="1:27" ht="13.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spans="1:27" ht="13.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spans="1:27" ht="13.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spans="1:27" ht="13.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spans="1:27" ht="13.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spans="1:27" ht="13.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spans="1:27" ht="13.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spans="1:27" ht="13.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spans="1:27" ht="13.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spans="1:27" ht="13.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spans="1:27" ht="13.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spans="1:27" ht="13.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spans="1:27" ht="13.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spans="1:27" ht="13.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spans="1:27" ht="13.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1:27" ht="13.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spans="1:27" ht="13.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spans="1:27" ht="13.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spans="1:27" ht="13.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spans="1:27" ht="13.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spans="1:27" ht="13.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spans="1:27" ht="13.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spans="1:27" ht="13.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1:27" ht="13.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spans="1:27" ht="13.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spans="1:27" ht="13.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spans="1:27" ht="13.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spans="1:27" ht="13.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spans="1:27" ht="13.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1:27" ht="13.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spans="1:27" ht="13.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spans="1:27" ht="13.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spans="1:27" ht="13.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spans="1:27" ht="13.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spans="1:27" ht="13.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spans="1:27" ht="13.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spans="1:27" ht="13.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1:27" ht="13.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spans="1:27" ht="13.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spans="1:27" ht="13.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spans="1:27" ht="13.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spans="1:27" ht="13.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spans="1:27" ht="13.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spans="1:27" ht="13.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spans="1:27" ht="13.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spans="1:27" ht="13.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spans="1:27" ht="13.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spans="1:27" ht="13.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spans="1:27" ht="13.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spans="1:27" ht="13.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spans="1:27" ht="13.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spans="1:27" ht="13.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spans="1:27" ht="13.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spans="1:27" ht="13.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spans="1:27" ht="13.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spans="1:27" ht="13.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spans="1:27" ht="13.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spans="1:27" ht="13.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spans="1:27" ht="13.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spans="1:27" ht="13.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spans="1:27" ht="13.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spans="1:27" ht="13.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spans="1:27" ht="13.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spans="1:27" ht="13.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spans="1:27" ht="13.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spans="1:27" ht="13.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spans="1:27" ht="13.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spans="1:27" ht="13.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spans="1:27" ht="13.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spans="1:27" ht="13.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spans="1:27" ht="13.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spans="1:27" ht="13.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spans="1:27" ht="1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spans="1:27" ht="13.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spans="1:27" ht="13.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spans="1:27" ht="13.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spans="1:27" ht="13.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spans="1:27" ht="13.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spans="1:27" ht="13.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spans="1:27" ht="13.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spans="1:27" ht="13.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spans="1:27" ht="13.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spans="1:27" ht="13.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spans="1:27" ht="13.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spans="1:27" ht="13.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spans="1:27" ht="13.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spans="1:27" ht="13.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spans="1:27" ht="13.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spans="1:27" ht="13.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spans="1:27" ht="13.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spans="1:27" ht="13.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spans="1:27" ht="13.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spans="1:27" ht="13.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spans="1:27" ht="13.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spans="1:27" ht="13.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spans="1:27" ht="13.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spans="1:27" ht="13.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spans="1:27" ht="13.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spans="1:27" ht="13.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spans="1:27" ht="13.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spans="1:27" ht="13.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spans="1:27" ht="13.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spans="1:27" ht="13.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spans="1:27" ht="13.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spans="1:27" ht="13.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spans="1:27" ht="13.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spans="1:27" ht="13.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spans="1:27" ht="13.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spans="1:27" ht="13.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spans="1:27" ht="13.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spans="1:27" ht="13.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spans="1:27" ht="13.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spans="1:27" ht="13.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spans="1:27" ht="13.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spans="1:27" ht="13.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spans="1:27" ht="13.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spans="1:27" ht="13.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spans="1:27" ht="13.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spans="1:27" ht="13.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spans="1:27" ht="13.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spans="1:27" ht="13.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spans="1:27" ht="13.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spans="1:27" ht="13.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spans="1:27" ht="13.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spans="1:27" ht="13.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spans="1:27" ht="13.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spans="1:27" ht="13.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spans="1:27" ht="13.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spans="1:27" ht="13.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spans="1:27" ht="13.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spans="1:27" ht="13.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spans="1:27" ht="13.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spans="1:27" ht="13.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3.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3.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3.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spans="1:27" ht="13.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spans="1:27" ht="13.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spans="1:27" ht="13.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spans="1:27" ht="13.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spans="1:27" ht="13.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spans="1:27" ht="13.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spans="1:27" ht="13.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spans="1:27" ht="13.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spans="1:27" ht="13.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spans="1:27" ht="13.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spans="1:27" ht="13.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spans="1:27" ht="13.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spans="1:27" ht="13.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spans="1:27" ht="13.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spans="1:27" ht="13.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spans="1:27" ht="13.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spans="1:27" ht="13.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spans="1:27" ht="13.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spans="1:27" ht="13.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spans="1:27" ht="13.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spans="1:27" ht="13.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spans="1:27" ht="13.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spans="1:27" ht="13.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spans="1:27" ht="13.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spans="1:27" ht="13.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spans="1:27" ht="13.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spans="1:27" ht="13.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spans="1:27" ht="13.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spans="1:27" ht="13.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spans="1:27" ht="13.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spans="1:27" ht="13.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spans="1:27" ht="13.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spans="1:27" ht="13.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spans="1:27" ht="13.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spans="1:27" ht="13.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spans="1:27" ht="13.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spans="1:27" ht="1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spans="1:27" ht="13.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spans="1:27" ht="13.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spans="1:27" ht="13.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spans="1:27" ht="13.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spans="1:27" ht="13.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spans="1:27" ht="13.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spans="1:27" ht="13.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spans="1:27" ht="13.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spans="1:27" ht="13.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spans="1:27" ht="13.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spans="1:27" ht="13.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spans="1:27" ht="13.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spans="1:27" ht="13.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spans="1:27" ht="13.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spans="1:27" ht="13.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spans="1:27" ht="13.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spans="1:27" ht="13.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spans="1:27" ht="13.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spans="1:27" ht="13.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spans="1:27" ht="13.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spans="1:27" ht="13.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spans="1:27" ht="13.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spans="1:27" ht="13.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spans="1:27" ht="13.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spans="1:27" ht="13.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spans="1:27" ht="13.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spans="1:27" ht="13.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spans="1:27" ht="13.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spans="1:27" ht="13.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spans="1:27" ht="13.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spans="1:27" ht="13.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spans="1:27" ht="13.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spans="1:27" ht="13.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spans="1:27" ht="13.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spans="1:27" ht="13.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spans="1:27" ht="13.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spans="1:27" ht="13.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spans="1:27" ht="13.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spans="1:27" ht="13.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spans="1:27" ht="13.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spans="1:27" ht="13.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spans="1:27" ht="13.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spans="1:27" ht="13.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spans="1:27" ht="13.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spans="1:27" ht="13.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spans="1:27" ht="13.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spans="1:27" ht="13.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spans="1:27" ht="13.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spans="1:27" ht="13.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spans="1:27" ht="13.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spans="1:27" ht="13.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spans="1:27" ht="13.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spans="1:27" ht="13.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spans="1:27" ht="13.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spans="1:27" ht="13.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spans="1:27" ht="13.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spans="1:27" ht="13.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spans="1:27" ht="13.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spans="1:27" ht="13.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spans="1:27" ht="13.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spans="1:27" ht="13.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spans="1:27" ht="13.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spans="1:27" ht="13.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spans="1:27" ht="13.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spans="1:27" ht="13.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spans="1:27" ht="13.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spans="1:27" ht="13.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spans="1:27" ht="13.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spans="1:27" ht="13.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spans="1:27" ht="13.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spans="1:27" ht="13.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spans="1:27" ht="13.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spans="1:27" ht="13.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spans="1:27" ht="13.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spans="1:27" ht="13.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spans="1:27" ht="13.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spans="1:27" ht="13.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spans="1:27" ht="13.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spans="1:27" ht="13.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spans="1:27" ht="13.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spans="1:27" ht="13.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spans="1:27" ht="13.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spans="1:27" ht="13.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spans="1:27" ht="13.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spans="1:27" ht="13.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spans="1:27" ht="13.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spans="1:27" ht="13.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spans="1:27" ht="13.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spans="1:27" ht="13.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spans="1:27" ht="13.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spans="1:27" ht="13.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spans="1:27" ht="13.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spans="1:27" ht="13.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spans="1:27" ht="13.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spans="1:27" ht="13.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spans="1:27" ht="13.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spans="1:27" ht="13.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spans="1:27" ht="13.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spans="1:27" ht="13.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spans="1:27" ht="1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spans="1:27" ht="13.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spans="1:27" ht="13.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spans="1:27" ht="13.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spans="1:27" ht="13.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spans="1:27" ht="13.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spans="1:27" ht="13.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spans="1:27" ht="13.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spans="1:27" ht="13.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spans="1:27" ht="13.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spans="1:27" ht="13.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spans="1:27" ht="13.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spans="1:27" ht="13.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spans="1:27" ht="13.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spans="1:27" ht="13.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spans="1:27" ht="13.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spans="1:27" ht="13.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spans="1:27" ht="13.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spans="1:27" ht="13.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spans="1:27" ht="13.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spans="1:27" ht="13.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spans="1:27" ht="13.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spans="1:27" ht="13.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spans="1:27" ht="13.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spans="1:27" ht="13.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spans="1:27" ht="13.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spans="1:27" ht="13.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spans="1:27" ht="13.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spans="1:27" ht="13.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spans="1:27" ht="13.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spans="1:27" ht="13.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spans="1:27" ht="13.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spans="1:27" ht="13.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spans="1:27" ht="13.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spans="1:27" ht="13.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spans="1:27" ht="13.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spans="1:27" ht="13.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spans="1:27" ht="13.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spans="1:27" ht="13.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spans="1:27" ht="13.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spans="1:27" ht="13.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spans="1:27" ht="13.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spans="1:27" ht="13.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spans="1:27" ht="13.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spans="1:27" ht="13.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spans="1:27" ht="13.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spans="1:27" ht="13.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spans="1:27" ht="13.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spans="1:27" ht="13.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spans="1:27" ht="13.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spans="1:27" ht="13.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spans="1:27" ht="13.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spans="1:27" ht="13.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spans="1:27" ht="13.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spans="1:27" ht="13.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spans="1:27" ht="13.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spans="1:27" ht="13.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spans="1:27" ht="13.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spans="1:27" ht="13.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spans="1:27" ht="13.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spans="1:27" ht="13.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spans="1:27" ht="13.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spans="1:27" ht="13.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spans="1:27" ht="13.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spans="1:27" ht="13.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spans="1:27" ht="13.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spans="1:27" ht="13.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spans="1:27" ht="13.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spans="1:27" ht="13.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spans="1:27" ht="13.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spans="1:27" ht="13.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spans="1:27" ht="13.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spans="1:27" ht="13.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spans="1:27" ht="13.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spans="1:27" ht="13.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spans="1:27" ht="13.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spans="1:27" ht="13.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spans="1:27" ht="13.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spans="1:27" ht="13.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spans="1:27" ht="13.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spans="1:27" ht="13.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spans="1:27" ht="13.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spans="1:27" ht="13.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spans="1:27" ht="13.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spans="1:27" ht="13.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spans="1:27" ht="13.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spans="1:27" ht="13.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spans="1:27" ht="13.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spans="1:27" ht="13.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spans="1:27" ht="13.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spans="1:27" ht="13.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spans="1:27" ht="13.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spans="1:27" ht="13.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spans="1:27" ht="13.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spans="1:27" ht="13.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spans="1:27" ht="13.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spans="1:27" ht="13.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spans="1:27" ht="13.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spans="1:27" ht="13.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spans="1:27" ht="13.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spans="1:27" ht="1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spans="1:27" ht="13.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spans="1:27" ht="13.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spans="1:27" ht="13.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spans="1:27" ht="13.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spans="1:27" ht="13.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spans="1:27" ht="13.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spans="1:27" ht="13.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spans="1:27" ht="13.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spans="1:27" ht="13.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spans="1:27" ht="13.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spans="1:27" ht="13.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spans="1:27" ht="13.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spans="1:27" ht="13.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spans="1:27" ht="13.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spans="1:27" ht="13.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spans="1:27" ht="13.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spans="1:27" ht="13.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spans="1:27" ht="13.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spans="1:27" ht="13.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spans="1:27" ht="13.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spans="1:27" ht="13.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spans="1:27" ht="13.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spans="1:27" ht="13.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spans="1:27" ht="13.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spans="1:27" ht="13.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spans="1:27" ht="13.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spans="1:27" ht="13.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spans="1:27" ht="13.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spans="1:27" ht="13.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spans="1:27" ht="13.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spans="1:27" ht="13.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spans="1:27" ht="13.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spans="1:27" ht="13.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spans="1:27" ht="13.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spans="1:27" ht="13.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spans="1:27" ht="13.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spans="1:27" ht="13.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spans="1:27" ht="13.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spans="1:27" ht="13.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spans="1:27" ht="13.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spans="1:27" ht="13.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spans="1:27" ht="13.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spans="1:27" ht="13.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spans="1:27" ht="13.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spans="1:27" ht="13.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spans="1:27" ht="13.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spans="1:27" ht="13.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spans="1:27" ht="13.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spans="1:27" ht="13.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spans="1:27" ht="13.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spans="1:27" ht="13.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spans="1:27" ht="13.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spans="1:27" ht="13.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spans="1:27" ht="13.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spans="1:27" ht="13.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spans="1:27" ht="13.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spans="1:27" ht="13.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spans="1:27" ht="13.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spans="1:27" ht="13.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spans="1:27" ht="13.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spans="1:27" ht="13.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spans="1:27" ht="13.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spans="1:27" ht="13.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spans="1:27" ht="13.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spans="1:27" ht="13.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spans="1:27" ht="13.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spans="1:27" ht="13.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spans="1:27" ht="13.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spans="1:27" ht="13.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spans="1:27" ht="13.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spans="1:27" ht="13.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spans="1:27" ht="13.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spans="1:27" ht="13.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spans="1:27" ht="13.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spans="1:27" ht="13.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spans="1:27" ht="13.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spans="1:27" ht="13.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spans="1:27" ht="13.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spans="1:27" ht="13.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spans="1:27" ht="13.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spans="1:27" ht="13.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spans="1:27" ht="13.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spans="1:27" ht="13.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spans="1:27" ht="13.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spans="1:27" ht="13.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spans="1:27" ht="13.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spans="1:27" ht="13.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spans="1:27" ht="13.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spans="1:27" ht="13.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spans="1:27" ht="13.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spans="1:27" ht="13.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spans="1:27" ht="13.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spans="1:27" ht="13.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spans="1:27" ht="13.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spans="1:27" ht="13.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spans="1:27" ht="13.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spans="1:27" ht="13.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spans="1:27" ht="13.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spans="1:27" ht="13.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spans="1:27" ht="1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spans="1:27" ht="13.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spans="1:27" ht="13.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spans="1:27" ht="13.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spans="1:27" ht="13.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spans="1:27" ht="13.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spans="1:27" ht="13.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spans="1:27" ht="13.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spans="1:27" ht="13.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spans="1:27" ht="13.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spans="1:27" ht="13.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spans="1:27" ht="13.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spans="1:27" ht="13.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spans="1:27" ht="13.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spans="1:27" ht="13.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spans="1:27" ht="13.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spans="1:27" ht="13.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spans="1:27" ht="13.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spans="1:27" ht="13.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spans="1:27" ht="13.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spans="1:27" ht="13.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spans="1:27" ht="13.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spans="1:27" ht="13.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spans="1:27" ht="13.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spans="1:27" ht="13.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spans="1:27" ht="13.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spans="1:27" ht="13.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spans="1:27" ht="13.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spans="1:27" ht="13.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spans="1:27" ht="13.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spans="1:27" ht="13.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spans="1:27" ht="13.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spans="1:27" ht="13.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spans="1:27" ht="13.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spans="1:27" ht="13.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spans="1:27" ht="13.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spans="1:27" ht="13.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spans="1:27" ht="13.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spans="1:27" ht="13.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spans="1:27" ht="13.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spans="1:27" ht="13.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spans="1:27" ht="13.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spans="1:27" ht="13.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spans="1:27" ht="13.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spans="1:27" ht="13.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spans="1:27" ht="13.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spans="1:27" ht="13.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spans="1:27" ht="13.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spans="1:27" ht="13.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spans="1:27" ht="13.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spans="1:27" ht="13.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spans="1:27" ht="13.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spans="1:27" ht="13.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spans="1:27" ht="13.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spans="1:27" ht="13.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spans="1:27" ht="13.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spans="1:27" ht="13.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spans="1:27" ht="13.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spans="1:27" ht="13.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spans="1:27" ht="13.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spans="1:27" ht="13.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spans="1:27" ht="13.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spans="1:27" ht="13.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spans="1:27" ht="13.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spans="1:27" ht="13.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spans="1:27" ht="13.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spans="1:27" ht="13.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spans="1:27" ht="13.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spans="1:27" ht="13.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spans="1:27" ht="13.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spans="1:27" ht="13.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spans="1:27" ht="13.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spans="1:27" ht="13.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spans="1:27" ht="13.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spans="1:27" ht="13.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spans="1:27" ht="13.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spans="1:27" ht="13.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spans="1:27" ht="13.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spans="1:27" ht="13.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spans="1:27" ht="13.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spans="1:27" ht="13.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spans="1:27" ht="13.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spans="1:27" ht="13.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spans="1:27" ht="13.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spans="1:27" ht="13.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spans="1:27" ht="13.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spans="1:27" ht="13.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spans="1:27" ht="13.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spans="1:27" ht="13.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spans="1:27" ht="13.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spans="1:27" ht="13.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spans="1:27" ht="13.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spans="1:27" ht="13.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spans="1:27" ht="13.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spans="1:27" ht="13.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spans="1:27" ht="13.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spans="1:27" ht="13.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spans="1:27" ht="13.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spans="1:27" ht="13.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spans="1:27" ht="13.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spans="1:27" ht="1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spans="1:27" ht="13.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spans="1:27" ht="13.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spans="1:27" ht="13.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spans="1:27" ht="13.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spans="1:27" ht="13.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spans="1:27" ht="13.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spans="1:27" ht="13.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spans="1:27" ht="13.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spans="1:27" ht="13.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spans="1:27" ht="13.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spans="1:27" ht="13.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spans="1:27" ht="13.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spans="1:27" ht="13.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spans="1:27" ht="13.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spans="1:27" ht="13.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spans="1:27" ht="13.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spans="1:27" ht="13.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spans="1:27" ht="13.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spans="1:27" ht="13.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spans="1:27" ht="13.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spans="1:27" ht="13.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spans="1:27" ht="13.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spans="1:27" ht="13.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spans="1:27" ht="13.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spans="1:27" ht="13.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spans="1:27" ht="13.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spans="1:27" ht="13.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spans="1:27" ht="13.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spans="1:27" ht="13.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spans="1:27" ht="13.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spans="1:27" ht="13.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spans="1:27" ht="13.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spans="1:27" ht="13.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spans="1:27" ht="13.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spans="1:27" ht="13.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spans="1:27" ht="13.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spans="1:27" ht="13.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spans="1:27" ht="13.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spans="1:27" ht="13.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spans="1:27" ht="13.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spans="1:27" ht="13.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spans="1:27" ht="13.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spans="1:27" ht="13.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spans="1:27" ht="13.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spans="1:27" ht="13.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spans="1:27" ht="13.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spans="1:27" ht="13.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spans="1:27" ht="13.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spans="1:27" ht="13.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spans="1:27" ht="13.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spans="1:27" ht="13.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spans="1:27" ht="13.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spans="1:27" ht="13.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spans="1:27" ht="13.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spans="1:27" ht="13.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spans="1:27" ht="13.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spans="1:27" ht="13.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spans="1:27" ht="13.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spans="1:27" ht="13.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spans="1:27" ht="13.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spans="1:27" ht="13.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spans="1:27" ht="13.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spans="1:27" ht="13.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spans="1:27" ht="13.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spans="1:27" ht="13.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spans="1:27" ht="13.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spans="1:27" ht="13.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spans="1:27" ht="13.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spans="1:27" ht="13.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spans="1:27" ht="13.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spans="1:27" ht="13.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spans="1:27" ht="13.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spans="1:27" ht="13.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spans="1:27" ht="13.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spans="1:27" ht="13.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spans="1:27" ht="13.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spans="1:27" ht="13.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spans="1:27" ht="13.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spans="1:27" ht="13.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spans="1:27" ht="13.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spans="1:27" ht="13.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spans="1:27" ht="13.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spans="1:27" ht="13.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spans="1:27" ht="13.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spans="1:27" ht="13.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spans="1:27" ht="13.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spans="1:27" ht="13.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spans="1:27" ht="13.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spans="1:27" ht="13.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spans="1:27" ht="13.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spans="1:27" ht="13.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spans="1:27" ht="13.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spans="1:27" ht="13.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spans="1:27" ht="13.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spans="1:27" ht="13.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spans="1:27" ht="13.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spans="1:27" ht="13.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spans="1:27" ht="13.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spans="1:27" ht="13.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spans="1:27" ht="1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spans="1:27" ht="13.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spans="1:27" ht="13.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spans="1:27" ht="13.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spans="1:27" ht="13.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spans="1:27" ht="13.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spans="1:27" ht="13.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spans="1:27" ht="13.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spans="1:27" ht="13.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spans="1:27" ht="13.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spans="1:27" ht="13.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spans="1:27" ht="13.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spans="1:27" ht="13.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spans="1:27" ht="13.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spans="1:27" ht="13.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spans="1:27" ht="13.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spans="1:27" ht="13.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spans="1:27" ht="13.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spans="1:27" ht="13.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spans="1:27" ht="13.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spans="1:27" ht="13.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spans="1:27" ht="13.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spans="1:27" ht="13.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spans="1:27" ht="13.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spans="1:27" ht="13.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spans="1:27" ht="13.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spans="1:27" ht="13.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spans="1:27" ht="13.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spans="1:27" ht="13.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spans="1:27" ht="13.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spans="1:27" ht="13.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spans="1:27" ht="13.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spans="1:27" ht="13.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spans="1:27" ht="13.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spans="1:27" ht="13.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spans="1:27" ht="13.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spans="1:27" ht="13.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spans="1:27" ht="13.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spans="1:27" ht="13.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spans="1:27" ht="13.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spans="1:27" ht="13.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spans="1:27" ht="13.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spans="1:27" ht="13.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spans="1:27" ht="13.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spans="1:27" ht="13.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spans="1:27" ht="13.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spans="1:27" ht="13.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spans="1:27" ht="13.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spans="1:27" ht="13.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spans="1:27" ht="13.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spans="1:27" ht="13.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spans="1:27" ht="13.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spans="1:27" ht="13.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spans="1:27" ht="13.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spans="1:27" ht="13.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spans="1:27" ht="13.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spans="1:27" ht="13.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spans="1:27" ht="13.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spans="1:27" ht="13.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spans="1:27" ht="13.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spans="1:27" ht="13.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spans="1:27" ht="13.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spans="1:27" ht="13.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spans="1:27" ht="13.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spans="1:27" ht="13.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spans="1:27" ht="13.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spans="1:27" ht="13.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spans="1:27" ht="13.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spans="1:27" ht="13.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spans="1:27" ht="13.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spans="1:27" ht="13.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spans="1:27" ht="13.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spans="1:27" ht="13.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spans="1:27" ht="13.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spans="1:27" ht="13.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spans="1:27" ht="13.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spans="1:27" ht="13.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spans="1:27" ht="13.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spans="1:27" ht="13.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spans="1:27" ht="13.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spans="1:27" ht="13.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spans="1:27" ht="13.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spans="1:27" ht="13.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spans="1:27" ht="13.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spans="1:27" ht="13.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spans="1:27" ht="13.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spans="1:27" ht="13.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spans="1:27" ht="13.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spans="1:27" ht="13.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spans="1:27" ht="13.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spans="1:27" ht="13.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spans="1:27" ht="13.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spans="1:27" ht="13.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spans="1:27" ht="13.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spans="1:27" ht="13.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spans="1:27" ht="13.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spans="1:27" ht="13.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spans="1:27" ht="13.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spans="1:27" ht="13.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spans="1:27" ht="13.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spans="1:27" ht="1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spans="1:27" ht="13.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spans="1:27" ht="13.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spans="1:27" ht="13.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spans="1:27" ht="13.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spans="1:27" ht="13.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spans="1:27" ht="13.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spans="1:27" ht="13.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spans="1:27" ht="13.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spans="1:27" ht="13.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spans="1:27" ht="13.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spans="1:27" ht="13.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spans="1:27" ht="13.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spans="1:27" ht="13.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spans="1:27" ht="13.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spans="1:27" ht="13.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spans="1:27" ht="13.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spans="1:27" ht="13.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spans="1:27" ht="13.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spans="1:27" ht="13.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spans="1:27" ht="13.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spans="1:27" ht="13.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spans="1:27" ht="13.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spans="1:27" ht="13.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spans="1:27" ht="13.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spans="1:27" ht="13.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spans="1:27" ht="13.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spans="1:27" ht="13.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spans="1:27" ht="13.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spans="1:27" ht="13.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spans="1:27" ht="13.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spans="1:27" ht="13.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spans="1:27" ht="13.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spans="1:27" ht="13.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spans="1:27" ht="13.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spans="1:27" ht="13.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spans="1:27" ht="13.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spans="1:27" ht="13.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spans="1:27" ht="13.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spans="1:27" ht="13.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spans="1:27" ht="13.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spans="1:27" ht="13.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spans="1:27" ht="13.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spans="1:27" ht="13.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spans="1:27" ht="13.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spans="1:27" ht="13.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spans="1:27" ht="13.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spans="1:27" ht="13.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spans="1:27" ht="13.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spans="1:27" ht="13.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spans="1:27" ht="13.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spans="1:27" ht="13.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spans="1:27" ht="13.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spans="1:27" ht="13.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spans="1:27" ht="13.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spans="1:27" ht="13.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spans="1:27" ht="13.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spans="1:27" ht="13.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spans="1:27" ht="13.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spans="1:27" ht="13.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spans="1:27" ht="13.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spans="1:27" ht="13.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spans="1:27" ht="13.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spans="1:27" ht="13.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spans="1:27" ht="13.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spans="1:27" ht="13.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spans="1:27" ht="13.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spans="1:27" ht="13.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spans="1:27" ht="13.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row r="1001" spans="1:27" ht="13.2">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row>
  </sheetData>
  <phoneticPr fontId="33" type="noConversion"/>
  <hyperlinks>
    <hyperlink ref="B1" r:id="rId1" xr:uid="{A8BF2E81-FD71-4E99-8911-5F99F1DA5E2A}"/>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16F9D-E7F8-4489-BEEC-A1BC4652DDB5}">
  <dimension ref="A1:Z1002"/>
  <sheetViews>
    <sheetView workbookViewId="0">
      <selection activeCell="M26" sqref="M26"/>
    </sheetView>
  </sheetViews>
  <sheetFormatPr defaultColWidth="12.5546875" defaultRowHeight="15.75" customHeight="1"/>
  <cols>
    <col min="2" max="12" width="4.88671875" customWidth="1"/>
  </cols>
  <sheetData>
    <row r="1" spans="1:26" ht="15.75" customHeight="1">
      <c r="A1" s="262" t="s">
        <v>359</v>
      </c>
      <c r="B1" s="2"/>
      <c r="C1" s="2"/>
      <c r="D1" s="2"/>
      <c r="E1" s="2"/>
      <c r="F1" s="2"/>
      <c r="G1" s="2"/>
      <c r="H1" s="2"/>
      <c r="I1" s="2"/>
      <c r="J1" s="2"/>
      <c r="K1" s="2"/>
      <c r="L1" s="2"/>
      <c r="M1" s="2"/>
      <c r="N1" s="2"/>
      <c r="O1" s="2"/>
      <c r="P1" s="2"/>
      <c r="Q1" s="2"/>
      <c r="R1" s="2"/>
      <c r="S1" s="2"/>
      <c r="T1" s="2"/>
      <c r="U1" s="2"/>
      <c r="V1" s="2"/>
      <c r="W1" s="2"/>
      <c r="X1" s="2"/>
      <c r="Y1" s="2"/>
      <c r="Z1" s="2"/>
    </row>
    <row r="2" spans="1:26" ht="13.2">
      <c r="A2" s="263" t="s">
        <v>360</v>
      </c>
      <c r="B2" s="67"/>
      <c r="C2" s="67"/>
      <c r="D2" s="2"/>
      <c r="E2" s="2"/>
      <c r="F2" s="2"/>
      <c r="G2" s="2"/>
      <c r="H2" s="2"/>
      <c r="I2" s="2"/>
      <c r="J2" s="2"/>
      <c r="K2" s="2"/>
      <c r="L2" s="2"/>
      <c r="M2" s="2"/>
      <c r="N2" s="2"/>
      <c r="O2" s="2"/>
      <c r="P2" s="2"/>
      <c r="Q2" s="2"/>
      <c r="R2" s="2"/>
      <c r="S2" s="2"/>
      <c r="T2" s="2"/>
      <c r="U2" s="2"/>
      <c r="V2" s="2"/>
      <c r="W2" s="2"/>
      <c r="X2" s="2"/>
      <c r="Y2" s="2"/>
      <c r="Z2" s="2"/>
    </row>
    <row r="3" spans="1:26" ht="13.2">
      <c r="A3" s="67"/>
      <c r="B3" s="67"/>
      <c r="C3" s="67"/>
      <c r="D3" s="2"/>
      <c r="E3" s="2"/>
      <c r="F3" s="2"/>
      <c r="G3" s="2"/>
      <c r="H3" s="2"/>
      <c r="I3" s="2"/>
      <c r="J3" s="2"/>
      <c r="K3" s="2"/>
      <c r="L3" s="2"/>
      <c r="M3" s="2"/>
      <c r="N3" s="2"/>
      <c r="O3" s="2"/>
      <c r="P3" s="2"/>
      <c r="Q3" s="2"/>
      <c r="R3" s="2"/>
      <c r="S3" s="2"/>
      <c r="T3" s="2"/>
      <c r="U3" s="2"/>
      <c r="V3" s="2"/>
      <c r="W3" s="2"/>
      <c r="X3" s="2"/>
      <c r="Y3" s="2"/>
      <c r="Z3" s="2"/>
    </row>
    <row r="4" spans="1:26" ht="13.2">
      <c r="A4" s="67" t="s">
        <v>361</v>
      </c>
      <c r="B4" s="67" t="s">
        <v>66</v>
      </c>
      <c r="C4" s="67" t="s">
        <v>67</v>
      </c>
      <c r="D4" s="2"/>
      <c r="E4" s="2"/>
      <c r="F4" s="2"/>
      <c r="G4" s="2"/>
      <c r="H4" s="2"/>
      <c r="I4" s="2"/>
      <c r="J4" s="2"/>
      <c r="K4" s="2"/>
      <c r="L4" s="2"/>
      <c r="M4" s="2"/>
      <c r="N4" s="2"/>
      <c r="O4" s="2"/>
      <c r="P4" s="2"/>
      <c r="Q4" s="2"/>
      <c r="R4" s="2"/>
      <c r="S4" s="2"/>
      <c r="T4" s="2"/>
      <c r="U4" s="2"/>
      <c r="V4" s="2"/>
      <c r="W4" s="2"/>
      <c r="X4" s="2"/>
      <c r="Y4" s="2"/>
      <c r="Z4" s="2"/>
    </row>
    <row r="5" spans="1:26" ht="13.2">
      <c r="A5" s="67" t="s">
        <v>48</v>
      </c>
      <c r="B5" s="67"/>
      <c r="C5" s="11"/>
      <c r="D5" s="2"/>
      <c r="E5" s="2"/>
      <c r="F5" s="2"/>
      <c r="G5" s="2"/>
      <c r="H5" s="2"/>
      <c r="I5" s="2"/>
      <c r="J5" s="2"/>
      <c r="K5" s="2"/>
      <c r="L5" s="2"/>
      <c r="M5" s="2"/>
      <c r="N5" s="2"/>
      <c r="O5" s="2"/>
      <c r="P5" s="2"/>
      <c r="Q5" s="2"/>
      <c r="R5" s="2"/>
      <c r="S5" s="2"/>
      <c r="T5" s="2"/>
      <c r="U5" s="2"/>
      <c r="V5" s="2"/>
      <c r="W5" s="2"/>
      <c r="X5" s="2"/>
      <c r="Y5" s="2"/>
      <c r="Z5" s="2"/>
    </row>
    <row r="6" spans="1:26" ht="13.2">
      <c r="A6" s="47">
        <v>1</v>
      </c>
      <c r="B6" s="264">
        <v>3.3935332100000002</v>
      </c>
      <c r="C6" s="264">
        <v>2.3312733799999998</v>
      </c>
      <c r="D6" s="2"/>
      <c r="E6" s="2"/>
      <c r="F6" s="2"/>
      <c r="G6" s="2"/>
      <c r="H6" s="2"/>
      <c r="I6" s="2"/>
      <c r="J6" s="2"/>
      <c r="K6" s="2"/>
      <c r="L6" s="2"/>
      <c r="M6" s="2"/>
      <c r="N6" s="2"/>
      <c r="O6" s="2"/>
      <c r="P6" s="2"/>
      <c r="Q6" s="2"/>
      <c r="R6" s="2"/>
      <c r="S6" s="2"/>
      <c r="T6" s="2"/>
      <c r="U6" s="2"/>
      <c r="V6" s="2"/>
      <c r="W6" s="2"/>
      <c r="X6" s="2"/>
      <c r="Y6" s="2"/>
      <c r="Z6" s="2"/>
    </row>
    <row r="7" spans="1:26" ht="13.2">
      <c r="A7" s="47">
        <f t="shared" ref="A7:A15" si="0">A6+1</f>
        <v>2</v>
      </c>
      <c r="B7" s="264">
        <v>3.1100734800000001</v>
      </c>
      <c r="C7" s="264">
        <v>1.7815396400000001</v>
      </c>
      <c r="D7" s="2"/>
      <c r="E7" s="2"/>
      <c r="F7" s="2"/>
      <c r="G7" s="2"/>
      <c r="H7" s="2"/>
      <c r="I7" s="2"/>
      <c r="J7" s="2"/>
      <c r="K7" s="2"/>
      <c r="L7" s="2"/>
      <c r="M7" s="2"/>
      <c r="N7" s="2"/>
      <c r="O7" s="2"/>
      <c r="P7" s="2"/>
      <c r="Q7" s="2"/>
      <c r="R7" s="2"/>
      <c r="S7" s="2"/>
      <c r="T7" s="2"/>
      <c r="U7" s="2"/>
      <c r="V7" s="2"/>
      <c r="W7" s="2"/>
      <c r="X7" s="2"/>
      <c r="Y7" s="2"/>
      <c r="Z7" s="2"/>
    </row>
    <row r="8" spans="1:26" ht="13.2">
      <c r="A8" s="47">
        <f t="shared" si="0"/>
        <v>3</v>
      </c>
      <c r="B8" s="264">
        <v>1.34380883</v>
      </c>
      <c r="C8" s="264">
        <v>3.36836095</v>
      </c>
      <c r="D8" s="2"/>
      <c r="E8" s="2"/>
      <c r="F8" s="2"/>
      <c r="G8" s="2"/>
      <c r="H8" s="2"/>
      <c r="I8" s="2"/>
      <c r="J8" s="2"/>
      <c r="K8" s="2"/>
      <c r="L8" s="2"/>
      <c r="M8" s="2"/>
      <c r="N8" s="2"/>
      <c r="O8" s="2"/>
      <c r="P8" s="2"/>
      <c r="Q8" s="2"/>
      <c r="R8" s="2"/>
      <c r="S8" s="2"/>
      <c r="T8" s="2"/>
      <c r="U8" s="2"/>
      <c r="V8" s="2"/>
      <c r="W8" s="2"/>
      <c r="X8" s="2"/>
      <c r="Y8" s="2"/>
      <c r="Z8" s="2"/>
    </row>
    <row r="9" spans="1:26" ht="13.2">
      <c r="A9" s="47">
        <f t="shared" si="0"/>
        <v>4</v>
      </c>
      <c r="B9" s="264">
        <v>3.5822940399999998</v>
      </c>
      <c r="C9" s="264">
        <v>4.6791791099999998</v>
      </c>
      <c r="D9" s="2"/>
      <c r="E9" s="2"/>
      <c r="F9" s="2"/>
      <c r="G9" s="2"/>
      <c r="H9" s="2"/>
      <c r="I9" s="2"/>
      <c r="J9" s="2"/>
      <c r="K9" s="2"/>
      <c r="L9" s="2"/>
      <c r="M9" s="2"/>
      <c r="N9" s="2"/>
      <c r="O9" s="2"/>
      <c r="P9" s="2"/>
      <c r="Q9" s="2"/>
      <c r="R9" s="2"/>
      <c r="S9" s="2"/>
      <c r="T9" s="2"/>
      <c r="U9" s="2"/>
      <c r="V9" s="2"/>
      <c r="W9" s="2"/>
      <c r="X9" s="2"/>
      <c r="Y9" s="2"/>
      <c r="Z9" s="2"/>
    </row>
    <row r="10" spans="1:26" ht="13.2">
      <c r="A10" s="47">
        <f t="shared" si="0"/>
        <v>5</v>
      </c>
      <c r="B10" s="264">
        <v>2.2803624400000002</v>
      </c>
      <c r="C10" s="264">
        <v>2.8669902600000001</v>
      </c>
      <c r="D10" s="2"/>
      <c r="E10" s="2"/>
      <c r="F10" s="2"/>
      <c r="G10" s="2"/>
      <c r="H10" s="2"/>
      <c r="I10" s="2"/>
      <c r="J10" s="2"/>
      <c r="K10" s="2"/>
      <c r="L10" s="2"/>
      <c r="M10" s="2"/>
      <c r="N10" s="2"/>
      <c r="O10" s="2"/>
      <c r="P10" s="2"/>
      <c r="Q10" s="2"/>
      <c r="R10" s="2"/>
      <c r="S10" s="2"/>
      <c r="T10" s="2"/>
      <c r="U10" s="2"/>
      <c r="V10" s="2"/>
      <c r="W10" s="2"/>
      <c r="X10" s="2"/>
      <c r="Y10" s="2"/>
      <c r="Z10" s="2"/>
    </row>
    <row r="11" spans="1:26" ht="13.2">
      <c r="A11" s="47">
        <f t="shared" si="0"/>
        <v>6</v>
      </c>
      <c r="B11" s="264">
        <v>7.4234369400000002</v>
      </c>
      <c r="C11" s="264">
        <v>4.6965228799999998</v>
      </c>
      <c r="D11" s="2"/>
      <c r="E11" s="2"/>
      <c r="F11" s="2"/>
      <c r="G11" s="2"/>
      <c r="H11" s="2"/>
      <c r="I11" s="2"/>
      <c r="J11" s="2"/>
      <c r="K11" s="2"/>
      <c r="L11" s="2"/>
      <c r="M11" s="2"/>
      <c r="N11" s="2"/>
      <c r="O11" s="2"/>
      <c r="P11" s="2"/>
      <c r="Q11" s="2"/>
      <c r="R11" s="2"/>
      <c r="S11" s="2"/>
      <c r="T11" s="2"/>
      <c r="U11" s="2"/>
      <c r="V11" s="2"/>
      <c r="W11" s="2"/>
      <c r="X11" s="2"/>
      <c r="Y11" s="2"/>
      <c r="Z11" s="2"/>
    </row>
    <row r="12" spans="1:26" ht="13.2">
      <c r="A12" s="47">
        <f t="shared" si="0"/>
        <v>7</v>
      </c>
      <c r="B12" s="264">
        <v>5.7450520000000003</v>
      </c>
      <c r="C12" s="264">
        <v>3.5339898000000001</v>
      </c>
      <c r="D12" s="2"/>
      <c r="E12" s="2"/>
      <c r="F12" s="2"/>
      <c r="G12" s="2"/>
      <c r="H12" s="2"/>
      <c r="I12" s="2"/>
      <c r="J12" s="2"/>
      <c r="K12" s="2"/>
      <c r="L12" s="2"/>
      <c r="M12" s="2"/>
      <c r="N12" s="2"/>
      <c r="O12" s="2"/>
      <c r="P12" s="2"/>
      <c r="Q12" s="2"/>
      <c r="R12" s="2"/>
      <c r="S12" s="2"/>
      <c r="T12" s="2"/>
      <c r="U12" s="2"/>
      <c r="V12" s="2"/>
      <c r="W12" s="2"/>
      <c r="X12" s="2"/>
      <c r="Y12" s="2"/>
      <c r="Z12" s="2"/>
    </row>
    <row r="13" spans="1:26" ht="13.2">
      <c r="A13" s="47">
        <f t="shared" si="0"/>
        <v>8</v>
      </c>
      <c r="B13" s="264">
        <v>9.1721686200000008</v>
      </c>
      <c r="C13" s="264">
        <v>2.5111010500000002</v>
      </c>
      <c r="D13" s="2"/>
      <c r="E13" s="2"/>
      <c r="F13" s="2"/>
      <c r="G13" s="2"/>
      <c r="H13" s="2"/>
      <c r="I13" s="2"/>
      <c r="J13" s="2"/>
      <c r="K13" s="2"/>
      <c r="L13" s="2"/>
      <c r="M13" s="2"/>
      <c r="N13" s="2"/>
      <c r="O13" s="2"/>
      <c r="P13" s="2"/>
      <c r="Q13" s="2"/>
      <c r="R13" s="2"/>
      <c r="S13" s="2"/>
      <c r="T13" s="2"/>
      <c r="U13" s="2"/>
      <c r="V13" s="2"/>
      <c r="W13" s="2"/>
      <c r="X13" s="2"/>
      <c r="Y13" s="2"/>
      <c r="Z13" s="2"/>
    </row>
    <row r="14" spans="1:26" ht="13.2">
      <c r="A14" s="47">
        <f t="shared" si="0"/>
        <v>9</v>
      </c>
      <c r="B14" s="264">
        <v>7.7927834799999998</v>
      </c>
      <c r="C14" s="264">
        <v>3.4240889399999999</v>
      </c>
      <c r="D14" s="2"/>
      <c r="E14" s="2"/>
      <c r="F14" s="2"/>
      <c r="G14" s="2"/>
      <c r="H14" s="2"/>
      <c r="I14" s="2"/>
      <c r="J14" s="2"/>
      <c r="K14" s="2"/>
      <c r="L14" s="2"/>
      <c r="M14" s="2"/>
      <c r="N14" s="2"/>
      <c r="O14" s="2"/>
      <c r="P14" s="2"/>
      <c r="Q14" s="2"/>
      <c r="R14" s="2"/>
      <c r="S14" s="2"/>
      <c r="T14" s="2"/>
      <c r="U14" s="2"/>
      <c r="V14" s="2"/>
      <c r="W14" s="2"/>
      <c r="X14" s="2"/>
      <c r="Y14" s="2"/>
      <c r="Z14" s="2"/>
    </row>
    <row r="15" spans="1:26" ht="13.2">
      <c r="A15" s="47">
        <f t="shared" si="0"/>
        <v>10</v>
      </c>
      <c r="B15" s="264">
        <v>7.9398208199999996</v>
      </c>
      <c r="C15" s="264">
        <v>0.79163722999999997</v>
      </c>
      <c r="D15" s="2"/>
      <c r="E15" s="2"/>
      <c r="F15" s="2"/>
      <c r="G15" s="2"/>
      <c r="H15" s="2"/>
      <c r="I15" s="2"/>
      <c r="J15" s="2"/>
      <c r="K15" s="2"/>
      <c r="L15" s="2"/>
      <c r="M15" s="2"/>
      <c r="N15" s="2"/>
      <c r="O15" s="2"/>
      <c r="P15" s="2"/>
      <c r="Q15" s="2"/>
      <c r="R15" s="2"/>
      <c r="S15" s="2"/>
      <c r="T15" s="2"/>
      <c r="U15" s="2"/>
      <c r="V15" s="2"/>
      <c r="W15" s="2"/>
      <c r="X15" s="2"/>
      <c r="Y15" s="2"/>
      <c r="Z15" s="2"/>
    </row>
    <row r="16" spans="1:26" ht="13.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3.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3.2">
      <c r="A18" s="2"/>
      <c r="B18" s="2">
        <v>1</v>
      </c>
      <c r="C18" s="2">
        <f t="shared" ref="C18:K18" si="1">B18+1</f>
        <v>2</v>
      </c>
      <c r="D18" s="2">
        <f t="shared" si="1"/>
        <v>3</v>
      </c>
      <c r="E18" s="2">
        <f t="shared" si="1"/>
        <v>4</v>
      </c>
      <c r="F18" s="2">
        <f t="shared" si="1"/>
        <v>5</v>
      </c>
      <c r="G18" s="2">
        <f t="shared" si="1"/>
        <v>6</v>
      </c>
      <c r="H18" s="2">
        <f t="shared" si="1"/>
        <v>7</v>
      </c>
      <c r="I18" s="2">
        <f t="shared" si="1"/>
        <v>8</v>
      </c>
      <c r="J18" s="2">
        <f t="shared" si="1"/>
        <v>9</v>
      </c>
      <c r="K18" s="2">
        <f t="shared" si="1"/>
        <v>10</v>
      </c>
      <c r="L18" s="2"/>
      <c r="M18" s="2"/>
      <c r="N18" s="2"/>
      <c r="O18" s="2"/>
      <c r="P18" s="2"/>
      <c r="Q18" s="2"/>
      <c r="R18" s="2"/>
      <c r="S18" s="2"/>
      <c r="T18" s="2"/>
      <c r="U18" s="2"/>
      <c r="V18" s="2"/>
      <c r="W18" s="2"/>
      <c r="X18" s="2"/>
      <c r="Y18" s="2"/>
      <c r="Z18" s="2"/>
    </row>
    <row r="19" spans="1:26" ht="13.2">
      <c r="A19" s="6">
        <v>1</v>
      </c>
      <c r="B19" s="265" t="s">
        <v>362</v>
      </c>
      <c r="C19" s="266"/>
      <c r="D19" s="266"/>
      <c r="E19" s="266"/>
      <c r="F19" s="266"/>
      <c r="G19" s="266"/>
      <c r="H19" s="266"/>
      <c r="I19" s="266"/>
      <c r="J19" s="266"/>
      <c r="K19" s="266"/>
      <c r="L19" s="2"/>
      <c r="M19" s="2"/>
      <c r="N19" s="2"/>
      <c r="O19" s="2"/>
      <c r="P19" s="2"/>
      <c r="Q19" s="2"/>
      <c r="R19" s="2"/>
      <c r="S19" s="2"/>
      <c r="T19" s="2"/>
      <c r="U19" s="2"/>
      <c r="V19" s="2"/>
      <c r="W19" s="2"/>
      <c r="X19" s="2"/>
      <c r="Y19" s="2"/>
      <c r="Z19" s="2"/>
    </row>
    <row r="20" spans="1:26" ht="13.2">
      <c r="A20" s="6">
        <f t="shared" ref="A20:A28" si="2">A19+1</f>
        <v>2</v>
      </c>
      <c r="B20" s="10" t="s">
        <v>363</v>
      </c>
      <c r="C20" s="2"/>
      <c r="D20" s="2"/>
      <c r="E20" s="2"/>
      <c r="F20" s="2"/>
      <c r="G20" s="2"/>
      <c r="H20" s="2"/>
      <c r="I20" s="2"/>
      <c r="J20" s="2"/>
      <c r="K20" s="2"/>
      <c r="L20" s="2"/>
      <c r="M20" s="2"/>
      <c r="N20" s="2"/>
      <c r="O20" s="2"/>
      <c r="P20" s="2"/>
      <c r="Q20" s="2"/>
      <c r="R20" s="2"/>
      <c r="S20" s="2"/>
      <c r="T20" s="2"/>
      <c r="U20" s="2"/>
      <c r="V20" s="2"/>
      <c r="W20" s="2"/>
      <c r="X20" s="2"/>
      <c r="Y20" s="2"/>
      <c r="Z20" s="2"/>
    </row>
    <row r="21" spans="1:26" ht="13.2">
      <c r="A21" s="6">
        <f t="shared" si="2"/>
        <v>3</v>
      </c>
      <c r="B21" s="2"/>
      <c r="C21" s="2"/>
      <c r="D21" s="2"/>
      <c r="E21" s="2"/>
      <c r="F21" s="2"/>
      <c r="G21" s="2"/>
      <c r="H21" s="2"/>
      <c r="I21" s="2"/>
      <c r="J21" s="2"/>
      <c r="K21" s="2"/>
      <c r="L21" s="2"/>
      <c r="M21" s="2"/>
      <c r="N21" s="2"/>
      <c r="O21" s="2"/>
      <c r="P21" s="2"/>
      <c r="Q21" s="2"/>
      <c r="R21" s="2"/>
      <c r="S21" s="2"/>
      <c r="T21" s="2"/>
      <c r="U21" s="2"/>
      <c r="V21" s="2"/>
      <c r="W21" s="2"/>
      <c r="X21" s="2"/>
      <c r="Y21" s="2"/>
      <c r="Z21" s="2"/>
    </row>
    <row r="22" spans="1:26" ht="13.2">
      <c r="A22" s="6">
        <f t="shared" si="2"/>
        <v>4</v>
      </c>
      <c r="B22" s="2"/>
      <c r="C22" s="2"/>
      <c r="D22" s="2"/>
      <c r="E22" s="2"/>
      <c r="F22" s="2"/>
      <c r="G22" s="2"/>
      <c r="H22" s="2"/>
      <c r="I22" s="2"/>
      <c r="J22" s="2"/>
      <c r="K22" s="2"/>
      <c r="L22" s="2"/>
      <c r="M22" s="2"/>
      <c r="N22" s="2"/>
      <c r="O22" s="2"/>
      <c r="P22" s="2"/>
      <c r="Q22" s="2"/>
      <c r="R22" s="2"/>
      <c r="S22" s="2"/>
      <c r="T22" s="2"/>
      <c r="U22" s="2"/>
      <c r="V22" s="2"/>
      <c r="W22" s="2"/>
      <c r="X22" s="2"/>
      <c r="Y22" s="2"/>
      <c r="Z22" s="2"/>
    </row>
    <row r="23" spans="1:26" ht="13.2">
      <c r="A23" s="6">
        <f t="shared" si="2"/>
        <v>5</v>
      </c>
      <c r="B23" s="2"/>
      <c r="C23" s="2"/>
      <c r="D23" s="2"/>
      <c r="E23" s="2"/>
      <c r="F23" s="2"/>
      <c r="G23" s="2"/>
      <c r="H23" s="2"/>
      <c r="I23" s="2"/>
      <c r="J23" s="2"/>
      <c r="K23" s="2"/>
      <c r="L23" s="2"/>
      <c r="M23" s="2"/>
      <c r="N23" s="2"/>
      <c r="O23" s="2"/>
      <c r="P23" s="2"/>
      <c r="Q23" s="2"/>
      <c r="R23" s="2"/>
      <c r="S23" s="2"/>
      <c r="T23" s="2"/>
      <c r="U23" s="2"/>
      <c r="V23" s="2"/>
      <c r="W23" s="2"/>
      <c r="X23" s="2"/>
      <c r="Y23" s="2"/>
      <c r="Z23" s="2"/>
    </row>
    <row r="24" spans="1:26" ht="13.2">
      <c r="A24" s="6">
        <f t="shared" si="2"/>
        <v>6</v>
      </c>
      <c r="B24" s="2"/>
      <c r="C24" s="2"/>
      <c r="D24" s="2"/>
      <c r="E24" s="2"/>
      <c r="F24" s="2"/>
      <c r="G24" s="2"/>
      <c r="H24" s="2"/>
      <c r="I24" s="2"/>
      <c r="J24" s="2"/>
      <c r="K24" s="2"/>
      <c r="L24" s="2"/>
      <c r="M24" s="2"/>
      <c r="N24" s="2"/>
      <c r="O24" s="2"/>
      <c r="P24" s="2"/>
      <c r="Q24" s="2"/>
      <c r="R24" s="2"/>
      <c r="S24" s="2"/>
      <c r="T24" s="2"/>
      <c r="U24" s="2"/>
      <c r="V24" s="2"/>
      <c r="W24" s="2"/>
      <c r="X24" s="2"/>
      <c r="Y24" s="2"/>
      <c r="Z24" s="2"/>
    </row>
    <row r="25" spans="1:26" ht="13.2">
      <c r="A25" s="6">
        <f t="shared" si="2"/>
        <v>7</v>
      </c>
      <c r="B25" s="2"/>
      <c r="C25" s="2"/>
      <c r="D25" s="2"/>
      <c r="E25" s="2"/>
      <c r="F25" s="2"/>
      <c r="G25" s="2"/>
      <c r="H25" s="2"/>
      <c r="I25" s="2"/>
      <c r="J25" s="2"/>
      <c r="K25" s="2"/>
      <c r="L25" s="2"/>
      <c r="M25" s="2"/>
      <c r="N25" s="2"/>
      <c r="O25" s="2"/>
      <c r="P25" s="2"/>
      <c r="Q25" s="2"/>
      <c r="R25" s="2"/>
      <c r="S25" s="2"/>
      <c r="T25" s="2"/>
      <c r="U25" s="2"/>
      <c r="V25" s="2"/>
      <c r="W25" s="2"/>
      <c r="X25" s="2"/>
      <c r="Y25" s="2"/>
      <c r="Z25" s="2"/>
    </row>
    <row r="26" spans="1:26" ht="13.2">
      <c r="A26" s="6">
        <f t="shared" si="2"/>
        <v>8</v>
      </c>
      <c r="B26" s="2"/>
      <c r="C26" s="2"/>
      <c r="D26" s="2"/>
      <c r="E26" s="2"/>
      <c r="F26" s="2"/>
      <c r="G26" s="2"/>
      <c r="H26" s="2"/>
      <c r="I26" s="2"/>
      <c r="J26" s="2"/>
      <c r="K26" s="2"/>
      <c r="L26" s="2"/>
      <c r="M26" s="2"/>
      <c r="N26" s="2"/>
      <c r="O26" s="2"/>
      <c r="P26" s="2"/>
      <c r="Q26" s="2"/>
      <c r="R26" s="2"/>
      <c r="S26" s="2"/>
      <c r="T26" s="2"/>
      <c r="U26" s="2"/>
      <c r="V26" s="2"/>
      <c r="W26" s="2"/>
      <c r="X26" s="2"/>
      <c r="Y26" s="2"/>
      <c r="Z26" s="2"/>
    </row>
    <row r="27" spans="1:26" ht="13.2">
      <c r="A27" s="6">
        <f t="shared" si="2"/>
        <v>9</v>
      </c>
      <c r="B27" s="2"/>
      <c r="C27" s="2"/>
      <c r="D27" s="2"/>
      <c r="E27" s="2"/>
      <c r="F27" s="2"/>
      <c r="G27" s="2"/>
      <c r="H27" s="2"/>
      <c r="I27" s="2"/>
      <c r="J27" s="2"/>
      <c r="K27" s="2"/>
      <c r="L27" s="2"/>
      <c r="M27" s="2"/>
      <c r="N27" s="2"/>
      <c r="O27" s="2"/>
      <c r="P27" s="2"/>
      <c r="Q27" s="2"/>
      <c r="R27" s="2"/>
      <c r="S27" s="2"/>
      <c r="T27" s="2"/>
      <c r="U27" s="2"/>
      <c r="V27" s="2"/>
      <c r="W27" s="2"/>
      <c r="X27" s="2"/>
      <c r="Y27" s="2"/>
      <c r="Z27" s="2"/>
    </row>
    <row r="28" spans="1:26" ht="13.2">
      <c r="A28" s="6">
        <f t="shared" si="2"/>
        <v>10</v>
      </c>
      <c r="B28" s="2"/>
      <c r="C28" s="2"/>
      <c r="D28" s="2"/>
      <c r="E28" s="2"/>
      <c r="F28" s="2"/>
      <c r="G28" s="2"/>
      <c r="H28" s="2"/>
      <c r="I28" s="2"/>
      <c r="J28" s="2"/>
      <c r="K28" s="2"/>
      <c r="L28" s="2"/>
      <c r="M28" s="2"/>
      <c r="N28" s="2"/>
      <c r="O28" s="2"/>
      <c r="P28" s="2"/>
      <c r="Q28" s="2"/>
      <c r="R28" s="2"/>
      <c r="S28" s="2"/>
      <c r="T28" s="2"/>
      <c r="U28" s="2"/>
      <c r="V28" s="2"/>
      <c r="W28" s="2"/>
      <c r="X28" s="2"/>
      <c r="Y28" s="2"/>
      <c r="Z28" s="2"/>
    </row>
    <row r="29" spans="1:26" ht="13.2">
      <c r="B29" s="2"/>
      <c r="C29" s="2"/>
      <c r="D29" s="2"/>
      <c r="E29" s="2"/>
      <c r="F29" s="2"/>
      <c r="G29" s="2"/>
      <c r="H29" s="2"/>
      <c r="I29" s="2"/>
      <c r="J29" s="2"/>
      <c r="K29" s="2"/>
      <c r="L29" s="2"/>
      <c r="M29" s="2"/>
      <c r="N29" s="2"/>
      <c r="O29" s="2"/>
      <c r="P29" s="2"/>
      <c r="Q29" s="2"/>
      <c r="R29" s="2"/>
      <c r="S29" s="2"/>
      <c r="T29" s="2"/>
      <c r="U29" s="2"/>
      <c r="V29" s="2"/>
      <c r="W29" s="2"/>
      <c r="X29" s="2"/>
      <c r="Y29" s="2"/>
      <c r="Z29" s="2"/>
    </row>
    <row r="30" spans="1:26" ht="13.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honeticPr fontId="33" type="noConversion"/>
  <hyperlinks>
    <hyperlink ref="B20" r:id="rId1" xr:uid="{02A92E8A-1D09-4FBA-9E03-1CA2D032047B}"/>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983"/>
  <sheetViews>
    <sheetView showGridLines="0" topLeftCell="A2" workbookViewId="0">
      <selection activeCell="E24" sqref="E24"/>
    </sheetView>
  </sheetViews>
  <sheetFormatPr defaultColWidth="12.6640625" defaultRowHeight="15.75" customHeight="1"/>
  <cols>
    <col min="1" max="1" width="17.5546875" customWidth="1"/>
    <col min="2" max="2" width="12.88671875" customWidth="1"/>
    <col min="3" max="3" width="33" customWidth="1"/>
    <col min="4" max="4" width="25.6640625" customWidth="1"/>
    <col min="5" max="5" width="24" customWidth="1"/>
    <col min="6" max="6" width="17.33203125" customWidth="1"/>
    <col min="7" max="7" width="19" customWidth="1"/>
    <col min="9" max="9" width="16" customWidth="1"/>
    <col min="10" max="10" width="19.88671875" customWidth="1"/>
  </cols>
  <sheetData>
    <row r="1" spans="1:25" ht="13.2">
      <c r="A1" s="92"/>
      <c r="B1" s="92"/>
      <c r="C1" s="92"/>
      <c r="D1" s="92"/>
      <c r="E1" s="92"/>
      <c r="F1" s="92"/>
      <c r="G1" s="92"/>
      <c r="H1" s="92"/>
      <c r="I1" s="92"/>
      <c r="J1" s="92"/>
      <c r="K1" s="92"/>
      <c r="L1" s="92"/>
      <c r="M1" s="92"/>
      <c r="N1" s="92"/>
      <c r="O1" s="92"/>
      <c r="P1" s="92"/>
      <c r="Q1" s="92"/>
      <c r="R1" s="92"/>
      <c r="S1" s="92"/>
      <c r="T1" s="92"/>
      <c r="U1" s="92"/>
      <c r="V1" s="92"/>
      <c r="W1" s="92"/>
      <c r="X1" s="92"/>
      <c r="Y1" s="92"/>
    </row>
    <row r="2" spans="1:25" ht="15.75" customHeight="1">
      <c r="A2" s="219" t="s">
        <v>189</v>
      </c>
      <c r="B2" s="215"/>
      <c r="C2" s="215"/>
      <c r="D2" s="215"/>
      <c r="E2" s="215"/>
      <c r="F2" s="215"/>
      <c r="G2" s="215"/>
      <c r="H2" s="215"/>
      <c r="I2" s="215"/>
      <c r="J2" s="215"/>
      <c r="K2" s="92"/>
      <c r="L2" s="92"/>
      <c r="M2" s="92"/>
      <c r="N2" s="92"/>
      <c r="O2" s="92"/>
      <c r="P2" s="92"/>
      <c r="Q2" s="92"/>
      <c r="R2" s="92"/>
      <c r="S2" s="92"/>
      <c r="T2" s="92"/>
      <c r="U2" s="92"/>
      <c r="V2" s="92"/>
      <c r="W2" s="92"/>
      <c r="X2" s="92"/>
      <c r="Y2" s="92"/>
    </row>
    <row r="3" spans="1:25" ht="13.2">
      <c r="A3" s="93"/>
      <c r="B3" s="93"/>
      <c r="C3" s="93"/>
      <c r="D3" s="93"/>
      <c r="E3" s="93"/>
      <c r="F3" s="93"/>
      <c r="G3" s="92"/>
      <c r="H3" s="92"/>
      <c r="I3" s="92"/>
      <c r="J3" s="92"/>
      <c r="K3" s="92"/>
      <c r="L3" s="92"/>
      <c r="M3" s="92"/>
      <c r="N3" s="92"/>
      <c r="O3" s="92"/>
      <c r="P3" s="92"/>
      <c r="Q3" s="92"/>
      <c r="R3" s="92"/>
      <c r="S3" s="92"/>
      <c r="T3" s="92"/>
      <c r="U3" s="92"/>
      <c r="V3" s="92"/>
      <c r="W3" s="92"/>
      <c r="X3" s="92"/>
      <c r="Y3" s="92"/>
    </row>
    <row r="4" spans="1:25" ht="13.2">
      <c r="A4" s="94" t="s">
        <v>117</v>
      </c>
      <c r="B4" s="95" t="s">
        <v>118</v>
      </c>
      <c r="C4" s="94" t="s">
        <v>190</v>
      </c>
      <c r="D4" s="94" t="s">
        <v>191</v>
      </c>
      <c r="E4" s="96" t="s">
        <v>192</v>
      </c>
      <c r="F4" s="94" t="s">
        <v>193</v>
      </c>
      <c r="G4" s="92"/>
      <c r="H4" s="92"/>
      <c r="I4" s="92"/>
      <c r="J4" s="92"/>
      <c r="K4" s="92"/>
      <c r="L4" s="92"/>
      <c r="M4" s="92"/>
      <c r="N4" s="92"/>
      <c r="O4" s="92"/>
      <c r="P4" s="92"/>
      <c r="Q4" s="92"/>
      <c r="R4" s="92"/>
      <c r="S4" s="92"/>
      <c r="T4" s="92"/>
      <c r="U4" s="92"/>
      <c r="V4" s="92"/>
      <c r="W4" s="92"/>
      <c r="X4" s="92"/>
      <c r="Y4" s="92"/>
    </row>
    <row r="5" spans="1:25" ht="15">
      <c r="A5" s="97" t="s">
        <v>194</v>
      </c>
      <c r="B5" s="98" t="s">
        <v>195</v>
      </c>
      <c r="C5" s="99" t="s">
        <v>196</v>
      </c>
      <c r="D5" s="99" t="s">
        <v>197</v>
      </c>
      <c r="E5" s="100" t="s">
        <v>198</v>
      </c>
      <c r="F5" s="101" t="s">
        <v>199</v>
      </c>
      <c r="G5" s="92"/>
      <c r="H5" s="92"/>
      <c r="I5" s="92"/>
      <c r="J5" s="92"/>
      <c r="K5" s="92"/>
      <c r="L5" s="92"/>
      <c r="M5" s="92"/>
      <c r="N5" s="92"/>
      <c r="O5" s="92"/>
      <c r="P5" s="92"/>
      <c r="Q5" s="92"/>
      <c r="R5" s="92"/>
      <c r="S5" s="92"/>
      <c r="T5" s="92"/>
      <c r="U5" s="92"/>
      <c r="V5" s="92"/>
      <c r="W5" s="92"/>
      <c r="X5" s="92"/>
      <c r="Y5" s="92"/>
    </row>
    <row r="6" spans="1:25" ht="15">
      <c r="A6" s="102">
        <v>200</v>
      </c>
      <c r="B6" s="103">
        <v>174</v>
      </c>
      <c r="C6" s="104">
        <f t="shared" ref="C6:C15" si="0">B6/$B$16</f>
        <v>0.45669291338582679</v>
      </c>
      <c r="D6" s="104">
        <f t="shared" ref="D6:D15" si="1">B6/A6</f>
        <v>0.87</v>
      </c>
      <c r="E6" s="105">
        <f t="shared" ref="E6:E15" si="2">D6/$B$18/100</f>
        <v>4.5669291338582677E-2</v>
      </c>
      <c r="F6" s="104">
        <f>C6</f>
        <v>0.45669291338582679</v>
      </c>
      <c r="G6" s="92"/>
      <c r="H6" s="92"/>
      <c r="I6" s="92"/>
      <c r="J6" s="92"/>
      <c r="K6" s="92"/>
      <c r="L6" s="92"/>
      <c r="M6" s="92"/>
      <c r="N6" s="92"/>
      <c r="O6" s="92"/>
      <c r="P6" s="92"/>
      <c r="Q6" s="92"/>
      <c r="R6" s="92"/>
      <c r="S6" s="92"/>
      <c r="T6" s="92"/>
      <c r="U6" s="92"/>
      <c r="V6" s="92"/>
      <c r="W6" s="92"/>
      <c r="X6" s="92"/>
      <c r="Y6" s="92"/>
    </row>
    <row r="7" spans="1:25" ht="15">
      <c r="A7" s="102">
        <v>200</v>
      </c>
      <c r="B7" s="103">
        <v>110</v>
      </c>
      <c r="C7" s="104">
        <f t="shared" si="0"/>
        <v>0.28871391076115488</v>
      </c>
      <c r="D7" s="104">
        <f t="shared" si="1"/>
        <v>0.55000000000000004</v>
      </c>
      <c r="E7" s="105">
        <f t="shared" si="2"/>
        <v>2.8871391076115489E-2</v>
      </c>
      <c r="F7" s="104">
        <f t="shared" ref="F7:F15" si="3">F6+C7</f>
        <v>0.74540682414698167</v>
      </c>
      <c r="G7" s="92"/>
      <c r="H7" s="92"/>
      <c r="I7" s="92"/>
      <c r="J7" s="92"/>
      <c r="K7" s="92"/>
      <c r="L7" s="92"/>
      <c r="M7" s="92"/>
      <c r="N7" s="92"/>
      <c r="O7" s="92"/>
      <c r="P7" s="92"/>
      <c r="Q7" s="92"/>
      <c r="R7" s="92"/>
      <c r="S7" s="92"/>
      <c r="T7" s="92"/>
      <c r="U7" s="92"/>
      <c r="V7" s="92"/>
      <c r="W7" s="92"/>
      <c r="X7" s="92"/>
      <c r="Y7" s="92"/>
    </row>
    <row r="8" spans="1:25" ht="15">
      <c r="A8" s="102">
        <v>200</v>
      </c>
      <c r="B8" s="103">
        <v>38</v>
      </c>
      <c r="C8" s="104">
        <f t="shared" si="0"/>
        <v>9.9737532808398949E-2</v>
      </c>
      <c r="D8" s="104">
        <f t="shared" si="1"/>
        <v>0.19</v>
      </c>
      <c r="E8" s="105">
        <f t="shared" si="2"/>
        <v>9.9737532808398949E-3</v>
      </c>
      <c r="F8" s="104">
        <f t="shared" si="3"/>
        <v>0.84514435695538059</v>
      </c>
      <c r="G8" s="92"/>
      <c r="H8" s="92"/>
      <c r="I8" s="92"/>
      <c r="J8" s="92"/>
      <c r="K8" s="92"/>
      <c r="L8" s="92"/>
      <c r="M8" s="92"/>
      <c r="N8" s="92"/>
      <c r="O8" s="92"/>
      <c r="P8" s="92"/>
      <c r="Q8" s="92"/>
      <c r="R8" s="92"/>
      <c r="S8" s="92"/>
      <c r="T8" s="92"/>
      <c r="U8" s="92"/>
      <c r="V8" s="92"/>
      <c r="W8" s="92"/>
      <c r="X8" s="92"/>
      <c r="Y8" s="92"/>
    </row>
    <row r="9" spans="1:25" ht="15">
      <c r="A9" s="102">
        <v>200</v>
      </c>
      <c r="B9" s="103">
        <v>14</v>
      </c>
      <c r="C9" s="104">
        <f t="shared" si="0"/>
        <v>3.6745406824146981E-2</v>
      </c>
      <c r="D9" s="104">
        <f t="shared" si="1"/>
        <v>7.0000000000000007E-2</v>
      </c>
      <c r="E9" s="105">
        <f t="shared" si="2"/>
        <v>3.6745406824146985E-3</v>
      </c>
      <c r="F9" s="104">
        <f t="shared" si="3"/>
        <v>0.88188976377952755</v>
      </c>
      <c r="G9" s="92"/>
      <c r="H9" s="92"/>
      <c r="I9" s="92"/>
      <c r="J9" s="92"/>
      <c r="K9" s="92"/>
      <c r="L9" s="92"/>
      <c r="M9" s="92"/>
      <c r="N9" s="92"/>
      <c r="O9" s="92"/>
      <c r="P9" s="92"/>
      <c r="Q9" s="92"/>
      <c r="R9" s="92"/>
      <c r="S9" s="92"/>
      <c r="T9" s="92"/>
      <c r="U9" s="92"/>
      <c r="V9" s="92"/>
      <c r="W9" s="92"/>
      <c r="X9" s="92"/>
      <c r="Y9" s="92"/>
    </row>
    <row r="10" spans="1:25" ht="15">
      <c r="A10" s="102">
        <v>200</v>
      </c>
      <c r="B10" s="103">
        <v>11</v>
      </c>
      <c r="C10" s="104">
        <f t="shared" si="0"/>
        <v>2.8871391076115485E-2</v>
      </c>
      <c r="D10" s="104">
        <f t="shared" si="1"/>
        <v>5.5E-2</v>
      </c>
      <c r="E10" s="105">
        <f t="shared" si="2"/>
        <v>2.887139107611549E-3</v>
      </c>
      <c r="F10" s="104">
        <f t="shared" si="3"/>
        <v>0.91076115485564302</v>
      </c>
      <c r="G10" s="92"/>
      <c r="H10" s="92"/>
      <c r="I10" s="92"/>
      <c r="J10" s="92"/>
      <c r="K10" s="92"/>
      <c r="L10" s="92"/>
      <c r="M10" s="92"/>
      <c r="N10" s="92"/>
      <c r="O10" s="92"/>
      <c r="P10" s="92"/>
      <c r="Q10" s="92"/>
      <c r="R10" s="92"/>
      <c r="S10" s="92"/>
      <c r="T10" s="92"/>
      <c r="U10" s="92"/>
      <c r="V10" s="92"/>
      <c r="W10" s="92"/>
      <c r="X10" s="92"/>
      <c r="Y10" s="92"/>
    </row>
    <row r="11" spans="1:25" ht="15">
      <c r="A11" s="102">
        <v>200</v>
      </c>
      <c r="B11" s="103">
        <v>10</v>
      </c>
      <c r="C11" s="104">
        <f t="shared" si="0"/>
        <v>2.6246719160104987E-2</v>
      </c>
      <c r="D11" s="104">
        <f t="shared" si="1"/>
        <v>0.05</v>
      </c>
      <c r="E11" s="105">
        <f t="shared" si="2"/>
        <v>2.6246719160104987E-3</v>
      </c>
      <c r="F11" s="104">
        <f t="shared" si="3"/>
        <v>0.93700787401574803</v>
      </c>
      <c r="G11" s="92"/>
      <c r="H11" s="92"/>
      <c r="I11" s="92"/>
      <c r="J11" s="92"/>
      <c r="K11" s="92"/>
      <c r="L11" s="92"/>
      <c r="M11" s="92"/>
      <c r="N11" s="92"/>
      <c r="O11" s="92"/>
      <c r="P11" s="92"/>
      <c r="Q11" s="92"/>
      <c r="R11" s="92"/>
      <c r="S11" s="92"/>
      <c r="T11" s="92"/>
      <c r="U11" s="92"/>
      <c r="V11" s="92"/>
      <c r="W11" s="92"/>
      <c r="X11" s="92"/>
      <c r="Y11" s="92"/>
    </row>
    <row r="12" spans="1:25" ht="15">
      <c r="A12" s="102">
        <v>200</v>
      </c>
      <c r="B12" s="103">
        <v>7</v>
      </c>
      <c r="C12" s="104">
        <f t="shared" si="0"/>
        <v>1.8372703412073491E-2</v>
      </c>
      <c r="D12" s="104">
        <f t="shared" si="1"/>
        <v>3.5000000000000003E-2</v>
      </c>
      <c r="E12" s="105">
        <f t="shared" si="2"/>
        <v>1.8372703412073493E-3</v>
      </c>
      <c r="F12" s="104">
        <f t="shared" si="3"/>
        <v>0.95538057742782156</v>
      </c>
      <c r="G12" s="92"/>
      <c r="H12" s="92"/>
      <c r="I12" s="92"/>
      <c r="J12" s="92"/>
      <c r="K12" s="92"/>
      <c r="L12" s="92"/>
      <c r="M12" s="92"/>
      <c r="N12" s="92"/>
      <c r="O12" s="92"/>
      <c r="P12" s="92"/>
      <c r="Q12" s="92"/>
      <c r="R12" s="92"/>
      <c r="S12" s="92"/>
      <c r="T12" s="92"/>
      <c r="U12" s="92"/>
      <c r="V12" s="92"/>
      <c r="W12" s="92"/>
      <c r="X12" s="92"/>
      <c r="Y12" s="92"/>
    </row>
    <row r="13" spans="1:25" ht="15">
      <c r="A13" s="102">
        <v>200</v>
      </c>
      <c r="B13" s="103">
        <v>10</v>
      </c>
      <c r="C13" s="104">
        <f t="shared" si="0"/>
        <v>2.6246719160104987E-2</v>
      </c>
      <c r="D13" s="104">
        <f t="shared" si="1"/>
        <v>0.05</v>
      </c>
      <c r="E13" s="105">
        <f t="shared" si="2"/>
        <v>2.6246719160104987E-3</v>
      </c>
      <c r="F13" s="104">
        <f t="shared" si="3"/>
        <v>0.98162729658792658</v>
      </c>
      <c r="G13" s="92"/>
      <c r="H13" s="92"/>
      <c r="I13" s="92"/>
      <c r="J13" s="92"/>
      <c r="K13" s="92"/>
      <c r="L13" s="92"/>
      <c r="M13" s="92"/>
      <c r="N13" s="92"/>
      <c r="O13" s="92"/>
      <c r="P13" s="92"/>
      <c r="Q13" s="92"/>
      <c r="R13" s="92"/>
      <c r="S13" s="92"/>
      <c r="T13" s="92"/>
      <c r="U13" s="92"/>
      <c r="V13" s="92"/>
      <c r="W13" s="92"/>
      <c r="X13" s="92"/>
      <c r="Y13" s="92"/>
    </row>
    <row r="14" spans="1:25" ht="15">
      <c r="A14" s="102">
        <v>200</v>
      </c>
      <c r="B14" s="103">
        <v>3</v>
      </c>
      <c r="C14" s="104">
        <f t="shared" si="0"/>
        <v>7.874015748031496E-3</v>
      </c>
      <c r="D14" s="104">
        <f t="shared" si="1"/>
        <v>1.4999999999999999E-2</v>
      </c>
      <c r="E14" s="105">
        <f t="shared" si="2"/>
        <v>7.874015748031496E-4</v>
      </c>
      <c r="F14" s="104">
        <f t="shared" si="3"/>
        <v>0.98950131233595806</v>
      </c>
      <c r="G14" s="92"/>
      <c r="H14" s="92"/>
      <c r="I14" s="92"/>
      <c r="J14" s="92"/>
      <c r="K14" s="92"/>
      <c r="L14" s="92"/>
      <c r="M14" s="92"/>
      <c r="N14" s="92"/>
      <c r="O14" s="92"/>
      <c r="P14" s="92"/>
      <c r="Q14" s="92"/>
      <c r="R14" s="92"/>
      <c r="S14" s="92"/>
      <c r="T14" s="92"/>
      <c r="U14" s="92"/>
      <c r="V14" s="92"/>
      <c r="W14" s="92"/>
      <c r="X14" s="92"/>
      <c r="Y14" s="92"/>
    </row>
    <row r="15" spans="1:25" ht="15">
      <c r="A15" s="106">
        <v>200</v>
      </c>
      <c r="B15" s="98">
        <v>4</v>
      </c>
      <c r="C15" s="107">
        <f t="shared" si="0"/>
        <v>1.0498687664041995E-2</v>
      </c>
      <c r="D15" s="107">
        <f t="shared" si="1"/>
        <v>0.02</v>
      </c>
      <c r="E15" s="108">
        <f t="shared" si="2"/>
        <v>1.0498687664041995E-3</v>
      </c>
      <c r="F15" s="107">
        <f t="shared" si="3"/>
        <v>1</v>
      </c>
      <c r="G15" s="92"/>
      <c r="H15" s="92"/>
      <c r="I15" s="92"/>
      <c r="J15" s="92"/>
      <c r="K15" s="92"/>
      <c r="L15" s="92"/>
      <c r="M15" s="92"/>
      <c r="N15" s="92"/>
      <c r="O15" s="92"/>
      <c r="P15" s="92"/>
      <c r="Q15" s="92"/>
      <c r="R15" s="92"/>
      <c r="S15" s="92"/>
      <c r="T15" s="92"/>
      <c r="U15" s="92"/>
      <c r="V15" s="92"/>
      <c r="W15" s="92"/>
      <c r="X15" s="92"/>
      <c r="Y15" s="92"/>
    </row>
    <row r="16" spans="1:25" ht="15">
      <c r="A16" s="109">
        <f t="shared" ref="A16:B16" si="4">SUM(A6:A15)</f>
        <v>2000</v>
      </c>
      <c r="B16" s="110">
        <f t="shared" si="4"/>
        <v>381</v>
      </c>
      <c r="C16" s="111"/>
      <c r="D16" s="111"/>
      <c r="E16" s="111"/>
      <c r="F16" s="111"/>
      <c r="G16" s="92"/>
      <c r="H16" s="92"/>
      <c r="I16" s="92"/>
      <c r="J16" s="92"/>
      <c r="K16" s="92"/>
      <c r="L16" s="92"/>
      <c r="M16" s="92"/>
      <c r="N16" s="92"/>
      <c r="O16" s="92"/>
      <c r="P16" s="92"/>
      <c r="Q16" s="92"/>
      <c r="R16" s="92"/>
      <c r="S16" s="92"/>
      <c r="T16" s="92"/>
      <c r="U16" s="92"/>
      <c r="V16" s="92"/>
      <c r="W16" s="92"/>
      <c r="X16" s="92"/>
      <c r="Y16" s="92"/>
    </row>
    <row r="17" spans="1:25" ht="13.2">
      <c r="C17" s="92"/>
      <c r="D17" s="92"/>
      <c r="E17" s="92"/>
      <c r="F17" s="92"/>
      <c r="G17" s="92"/>
      <c r="H17" s="92"/>
      <c r="I17" s="92"/>
      <c r="J17" s="92"/>
      <c r="K17" s="92"/>
      <c r="L17" s="92"/>
      <c r="M17" s="92"/>
      <c r="N17" s="92"/>
      <c r="O17" s="92"/>
      <c r="P17" s="92"/>
      <c r="Q17" s="92"/>
      <c r="R17" s="92"/>
      <c r="S17" s="92"/>
      <c r="T17" s="92"/>
      <c r="U17" s="92"/>
      <c r="V17" s="92"/>
      <c r="W17" s="92"/>
      <c r="X17" s="92"/>
      <c r="Y17" s="92"/>
    </row>
    <row r="18" spans="1:25" ht="15.75" customHeight="1">
      <c r="A18" s="112" t="s">
        <v>200</v>
      </c>
      <c r="B18" s="113">
        <f>B16/A16</f>
        <v>0.1905</v>
      </c>
      <c r="C18" s="92"/>
      <c r="D18" s="92"/>
      <c r="E18" s="92"/>
      <c r="F18" s="92"/>
      <c r="G18" s="92"/>
      <c r="H18" s="92"/>
      <c r="I18" s="92"/>
      <c r="J18" s="92"/>
      <c r="K18" s="92"/>
      <c r="L18" s="92"/>
      <c r="M18" s="92"/>
      <c r="N18" s="92"/>
      <c r="O18" s="92"/>
      <c r="P18" s="92"/>
      <c r="Q18" s="92"/>
      <c r="R18" s="92"/>
      <c r="S18" s="92"/>
      <c r="T18" s="92"/>
      <c r="U18" s="92"/>
      <c r="V18" s="92"/>
      <c r="W18" s="92"/>
      <c r="X18" s="92"/>
      <c r="Y18" s="92"/>
    </row>
    <row r="19" spans="1:25" ht="15.75" customHeight="1">
      <c r="A19" s="219"/>
      <c r="B19" s="215"/>
      <c r="C19" s="114"/>
      <c r="D19" s="92"/>
      <c r="E19" s="92"/>
      <c r="F19" s="92"/>
      <c r="G19" s="92"/>
      <c r="H19" s="92"/>
      <c r="I19" s="92"/>
      <c r="J19" s="92"/>
      <c r="K19" s="92"/>
      <c r="L19" s="92"/>
      <c r="M19" s="92"/>
      <c r="N19" s="92"/>
      <c r="O19" s="92"/>
      <c r="P19" s="92"/>
      <c r="Q19" s="92"/>
      <c r="R19" s="92"/>
      <c r="S19" s="92"/>
      <c r="T19" s="92"/>
      <c r="U19" s="92"/>
      <c r="V19" s="92"/>
      <c r="W19" s="92"/>
      <c r="X19" s="92"/>
      <c r="Y19" s="92"/>
    </row>
    <row r="20" spans="1:25" ht="13.2">
      <c r="A20" s="92"/>
      <c r="B20" s="92"/>
      <c r="D20" s="92"/>
      <c r="K20" s="92"/>
      <c r="L20" s="92"/>
      <c r="M20" s="92"/>
      <c r="N20" s="92"/>
      <c r="O20" s="92"/>
      <c r="P20" s="92"/>
      <c r="Q20" s="92"/>
      <c r="R20" s="92"/>
      <c r="S20" s="92"/>
      <c r="T20" s="92"/>
      <c r="U20" s="92"/>
      <c r="V20" s="92"/>
      <c r="W20" s="92"/>
      <c r="X20" s="92"/>
      <c r="Y20" s="92"/>
    </row>
    <row r="21" spans="1:25" ht="13.2">
      <c r="A21" s="92"/>
      <c r="B21" s="92"/>
      <c r="D21" s="92"/>
      <c r="K21" s="92"/>
      <c r="L21" s="92"/>
      <c r="M21" s="92"/>
      <c r="N21" s="92"/>
      <c r="O21" s="92"/>
      <c r="P21" s="92"/>
      <c r="Q21" s="92"/>
      <c r="R21" s="92"/>
      <c r="S21" s="92"/>
      <c r="T21" s="92"/>
      <c r="U21" s="92"/>
      <c r="V21" s="92"/>
      <c r="W21" s="92"/>
      <c r="X21" s="92"/>
      <c r="Y21" s="92"/>
    </row>
    <row r="22" spans="1:25" ht="13.2">
      <c r="A22" s="92"/>
      <c r="B22" s="92"/>
      <c r="D22" s="92"/>
      <c r="K22" s="92"/>
      <c r="L22" s="92"/>
      <c r="M22" s="92"/>
      <c r="N22" s="92"/>
      <c r="O22" s="92"/>
      <c r="P22" s="92"/>
      <c r="Q22" s="92"/>
      <c r="R22" s="92"/>
      <c r="S22" s="92"/>
      <c r="T22" s="92"/>
      <c r="U22" s="92"/>
      <c r="V22" s="92"/>
      <c r="W22" s="92"/>
      <c r="X22" s="92"/>
      <c r="Y22" s="92"/>
    </row>
    <row r="23" spans="1:25" ht="13.2">
      <c r="A23" s="92"/>
      <c r="B23" s="92"/>
      <c r="D23" s="92"/>
      <c r="K23" s="92"/>
      <c r="L23" s="92"/>
      <c r="M23" s="92"/>
      <c r="N23" s="92"/>
      <c r="O23" s="92"/>
      <c r="P23" s="92"/>
      <c r="Q23" s="92"/>
      <c r="R23" s="92"/>
      <c r="S23" s="92"/>
      <c r="T23" s="92"/>
      <c r="U23" s="92"/>
      <c r="V23" s="92"/>
      <c r="W23" s="92"/>
      <c r="X23" s="92"/>
      <c r="Y23" s="92"/>
    </row>
    <row r="24" spans="1:25" ht="13.2">
      <c r="A24" s="92"/>
      <c r="B24" s="92"/>
      <c r="D24" s="92"/>
      <c r="K24" s="92"/>
      <c r="L24" s="92"/>
      <c r="M24" s="92"/>
      <c r="N24" s="92"/>
      <c r="O24" s="92"/>
      <c r="P24" s="92"/>
      <c r="Q24" s="92"/>
      <c r="R24" s="92"/>
      <c r="S24" s="92"/>
      <c r="T24" s="92"/>
      <c r="U24" s="92"/>
      <c r="V24" s="92"/>
      <c r="W24" s="92"/>
      <c r="X24" s="92"/>
      <c r="Y24" s="92"/>
    </row>
    <row r="25" spans="1:25" ht="13.2">
      <c r="A25" s="92"/>
      <c r="B25" s="92"/>
      <c r="D25" s="92"/>
      <c r="K25" s="92"/>
      <c r="L25" s="92"/>
      <c r="M25" s="92"/>
      <c r="N25" s="92"/>
      <c r="O25" s="92"/>
      <c r="P25" s="92"/>
      <c r="Q25" s="92"/>
      <c r="R25" s="92"/>
      <c r="S25" s="92"/>
      <c r="T25" s="92"/>
      <c r="U25" s="92"/>
      <c r="V25" s="92"/>
      <c r="W25" s="92"/>
      <c r="X25" s="92"/>
      <c r="Y25" s="92"/>
    </row>
    <row r="26" spans="1:25" ht="13.2">
      <c r="A26" s="92"/>
      <c r="B26" s="92"/>
      <c r="D26" s="92"/>
      <c r="K26" s="92"/>
      <c r="L26" s="92"/>
      <c r="M26" s="92"/>
      <c r="N26" s="92"/>
      <c r="O26" s="92"/>
      <c r="P26" s="92"/>
      <c r="Q26" s="92"/>
      <c r="R26" s="92"/>
      <c r="S26" s="92"/>
      <c r="T26" s="92"/>
      <c r="U26" s="92"/>
      <c r="V26" s="92"/>
      <c r="W26" s="92"/>
      <c r="X26" s="92"/>
      <c r="Y26" s="92"/>
    </row>
    <row r="27" spans="1:25" ht="13.2">
      <c r="A27" s="92"/>
      <c r="B27" s="92"/>
      <c r="D27" s="92"/>
      <c r="K27" s="92"/>
      <c r="L27" s="92"/>
      <c r="M27" s="92"/>
      <c r="N27" s="92"/>
      <c r="O27" s="92"/>
      <c r="P27" s="92"/>
      <c r="Q27" s="92"/>
      <c r="R27" s="92"/>
      <c r="S27" s="92"/>
      <c r="T27" s="92"/>
      <c r="U27" s="92"/>
      <c r="V27" s="92"/>
      <c r="W27" s="92"/>
      <c r="X27" s="92"/>
      <c r="Y27" s="92"/>
    </row>
    <row r="28" spans="1:25" ht="13.2">
      <c r="A28" s="92"/>
      <c r="B28" s="92"/>
      <c r="D28" s="92"/>
      <c r="K28" s="92"/>
      <c r="L28" s="92"/>
      <c r="M28" s="92"/>
      <c r="N28" s="92"/>
      <c r="O28" s="92"/>
      <c r="P28" s="92"/>
      <c r="Q28" s="92"/>
      <c r="R28" s="92"/>
      <c r="S28" s="92"/>
      <c r="T28" s="92"/>
      <c r="U28" s="92"/>
      <c r="V28" s="92"/>
      <c r="W28" s="92"/>
      <c r="X28" s="92"/>
      <c r="Y28" s="92"/>
    </row>
    <row r="29" spans="1:25" ht="13.2">
      <c r="A29" s="92"/>
      <c r="B29" s="92"/>
      <c r="D29" s="92"/>
      <c r="K29" s="92"/>
      <c r="L29" s="92"/>
      <c r="M29" s="92"/>
      <c r="N29" s="92"/>
      <c r="O29" s="92"/>
      <c r="P29" s="92"/>
      <c r="Q29" s="92"/>
      <c r="R29" s="92"/>
      <c r="S29" s="92"/>
      <c r="T29" s="92"/>
      <c r="U29" s="92"/>
      <c r="V29" s="92"/>
      <c r="W29" s="92"/>
      <c r="X29" s="92"/>
      <c r="Y29" s="92"/>
    </row>
    <row r="30" spans="1:25" ht="13.2">
      <c r="A30" s="92"/>
      <c r="B30" s="92"/>
      <c r="D30" s="92"/>
      <c r="K30" s="92"/>
      <c r="L30" s="92"/>
      <c r="M30" s="92"/>
      <c r="N30" s="92"/>
      <c r="O30" s="92"/>
      <c r="P30" s="92"/>
      <c r="Q30" s="92"/>
      <c r="R30" s="92"/>
      <c r="S30" s="92"/>
      <c r="T30" s="92"/>
      <c r="U30" s="92"/>
      <c r="V30" s="92"/>
      <c r="W30" s="92"/>
      <c r="X30" s="92"/>
      <c r="Y30" s="92"/>
    </row>
    <row r="31" spans="1:25" ht="13.2">
      <c r="A31" s="92"/>
      <c r="B31" s="92"/>
      <c r="D31" s="92"/>
      <c r="K31" s="92"/>
      <c r="L31" s="92"/>
      <c r="M31" s="92"/>
      <c r="N31" s="92"/>
      <c r="O31" s="92"/>
      <c r="P31" s="92"/>
      <c r="Q31" s="92"/>
      <c r="R31" s="92"/>
      <c r="S31" s="92"/>
      <c r="T31" s="92"/>
      <c r="U31" s="92"/>
      <c r="V31" s="92"/>
      <c r="W31" s="92"/>
      <c r="X31" s="92"/>
      <c r="Y31" s="92"/>
    </row>
    <row r="32" spans="1:25" ht="13.2">
      <c r="A32" s="92"/>
      <c r="B32" s="92"/>
      <c r="C32" s="92"/>
      <c r="D32" s="92"/>
      <c r="K32" s="92"/>
      <c r="L32" s="92"/>
      <c r="M32" s="92"/>
      <c r="N32" s="92"/>
      <c r="O32" s="92"/>
      <c r="P32" s="92"/>
      <c r="Q32" s="92"/>
      <c r="R32" s="92"/>
      <c r="S32" s="92"/>
      <c r="T32" s="92"/>
      <c r="U32" s="92"/>
      <c r="V32" s="92"/>
      <c r="W32" s="92"/>
      <c r="X32" s="92"/>
      <c r="Y32" s="92"/>
    </row>
    <row r="33" spans="1:25" ht="13.2">
      <c r="A33" s="92"/>
      <c r="B33" s="92"/>
      <c r="C33" s="92"/>
      <c r="D33" s="92"/>
      <c r="K33" s="92"/>
      <c r="L33" s="92"/>
      <c r="M33" s="92"/>
      <c r="N33" s="92"/>
      <c r="O33" s="92"/>
      <c r="P33" s="92"/>
      <c r="Q33" s="92"/>
      <c r="R33" s="92"/>
      <c r="S33" s="92"/>
      <c r="T33" s="92"/>
      <c r="U33" s="92"/>
      <c r="V33" s="92"/>
      <c r="W33" s="92"/>
      <c r="X33" s="92"/>
      <c r="Y33" s="92"/>
    </row>
    <row r="34" spans="1:25" ht="13.2">
      <c r="A34" s="92"/>
      <c r="B34" s="92"/>
      <c r="C34" s="92"/>
      <c r="D34" s="92"/>
      <c r="K34" s="92"/>
      <c r="L34" s="92"/>
      <c r="M34" s="92"/>
      <c r="N34" s="92"/>
      <c r="O34" s="92"/>
      <c r="P34" s="92"/>
      <c r="Q34" s="92"/>
      <c r="R34" s="92"/>
      <c r="S34" s="92"/>
      <c r="T34" s="92"/>
      <c r="U34" s="92"/>
      <c r="V34" s="92"/>
      <c r="W34" s="92"/>
      <c r="X34" s="92"/>
      <c r="Y34" s="92"/>
    </row>
    <row r="35" spans="1:25" ht="13.2">
      <c r="A35" s="92"/>
      <c r="B35" s="92"/>
      <c r="C35" s="92"/>
      <c r="D35" s="92"/>
      <c r="E35" s="92"/>
      <c r="F35" s="92"/>
      <c r="G35" s="92"/>
      <c r="H35" s="92"/>
      <c r="I35" s="92"/>
      <c r="J35" s="92"/>
      <c r="K35" s="92"/>
      <c r="L35" s="92"/>
      <c r="M35" s="92"/>
      <c r="N35" s="92"/>
      <c r="O35" s="92"/>
      <c r="P35" s="92"/>
      <c r="Q35" s="92"/>
      <c r="R35" s="92"/>
      <c r="S35" s="92"/>
      <c r="T35" s="92"/>
      <c r="U35" s="92"/>
      <c r="V35" s="92"/>
      <c r="W35" s="92"/>
      <c r="X35" s="92"/>
      <c r="Y35" s="92"/>
    </row>
    <row r="36" spans="1:25" ht="13.2">
      <c r="A36" s="92"/>
      <c r="B36" s="92"/>
      <c r="C36" s="92"/>
      <c r="D36" s="92"/>
      <c r="E36" s="92"/>
      <c r="F36" s="92"/>
      <c r="G36" s="92"/>
      <c r="H36" s="92"/>
      <c r="I36" s="92"/>
      <c r="J36" s="92"/>
      <c r="K36" s="92"/>
      <c r="L36" s="92"/>
      <c r="M36" s="92"/>
      <c r="N36" s="92"/>
      <c r="O36" s="92"/>
      <c r="P36" s="92"/>
      <c r="Q36" s="92"/>
      <c r="R36" s="92"/>
      <c r="S36" s="92"/>
      <c r="T36" s="92"/>
      <c r="U36" s="92"/>
      <c r="V36" s="92"/>
      <c r="W36" s="92"/>
      <c r="X36" s="92"/>
      <c r="Y36" s="92"/>
    </row>
    <row r="37" spans="1:25" ht="13.2">
      <c r="A37" s="92"/>
      <c r="B37" s="92"/>
      <c r="C37" s="92"/>
      <c r="D37" s="92"/>
      <c r="E37" s="92"/>
      <c r="F37" s="92"/>
      <c r="G37" s="92"/>
      <c r="H37" s="92"/>
      <c r="I37" s="92"/>
      <c r="J37" s="92"/>
      <c r="K37" s="92"/>
      <c r="L37" s="92"/>
      <c r="M37" s="92"/>
      <c r="N37" s="92"/>
      <c r="O37" s="92"/>
      <c r="P37" s="92"/>
      <c r="Q37" s="92"/>
      <c r="R37" s="92"/>
      <c r="S37" s="92"/>
      <c r="T37" s="92"/>
      <c r="U37" s="92"/>
      <c r="V37" s="92"/>
      <c r="W37" s="92"/>
      <c r="X37" s="92"/>
      <c r="Y37" s="92"/>
    </row>
    <row r="38" spans="1:25" ht="13.2">
      <c r="A38" s="92"/>
      <c r="B38" s="92"/>
      <c r="C38" s="92"/>
      <c r="D38" s="92"/>
      <c r="E38" s="92"/>
      <c r="F38" s="92"/>
      <c r="G38" s="92"/>
      <c r="H38" s="92"/>
      <c r="I38" s="92"/>
      <c r="J38" s="92"/>
      <c r="K38" s="92"/>
      <c r="L38" s="92"/>
      <c r="M38" s="92"/>
      <c r="N38" s="92"/>
      <c r="O38" s="92"/>
      <c r="P38" s="92"/>
      <c r="Q38" s="92"/>
      <c r="R38" s="92"/>
      <c r="S38" s="92"/>
      <c r="T38" s="92"/>
      <c r="U38" s="92"/>
      <c r="V38" s="92"/>
      <c r="W38" s="92"/>
      <c r="X38" s="92"/>
      <c r="Y38" s="92"/>
    </row>
    <row r="39" spans="1:25" ht="13.2">
      <c r="A39" s="92"/>
      <c r="B39" s="92"/>
      <c r="C39" s="92"/>
      <c r="D39" s="92"/>
      <c r="E39" s="92"/>
      <c r="F39" s="92"/>
      <c r="G39" s="92"/>
      <c r="H39" s="92"/>
      <c r="I39" s="92"/>
      <c r="J39" s="92"/>
      <c r="K39" s="92"/>
      <c r="L39" s="92"/>
      <c r="M39" s="92"/>
      <c r="N39" s="92"/>
      <c r="O39" s="92"/>
      <c r="P39" s="92"/>
      <c r="Q39" s="92"/>
      <c r="R39" s="92"/>
      <c r="S39" s="92"/>
      <c r="T39" s="92"/>
      <c r="U39" s="92"/>
      <c r="V39" s="92"/>
      <c r="W39" s="92"/>
      <c r="X39" s="92"/>
      <c r="Y39" s="92"/>
    </row>
    <row r="40" spans="1:25" ht="13.2">
      <c r="A40" s="92"/>
      <c r="B40" s="92"/>
      <c r="C40" s="92"/>
      <c r="D40" s="92"/>
      <c r="E40" s="92"/>
      <c r="F40" s="92"/>
      <c r="G40" s="92"/>
      <c r="H40" s="92"/>
      <c r="I40" s="92"/>
      <c r="J40" s="92"/>
      <c r="K40" s="92"/>
      <c r="L40" s="92"/>
      <c r="M40" s="92"/>
      <c r="N40" s="92"/>
      <c r="O40" s="92"/>
      <c r="P40" s="92"/>
      <c r="Q40" s="92"/>
      <c r="R40" s="92"/>
      <c r="S40" s="92"/>
      <c r="T40" s="92"/>
      <c r="U40" s="92"/>
      <c r="V40" s="92"/>
      <c r="W40" s="92"/>
      <c r="X40" s="92"/>
      <c r="Y40" s="92"/>
    </row>
    <row r="41" spans="1:25" ht="13.2">
      <c r="A41" s="92"/>
      <c r="B41" s="92"/>
      <c r="C41" s="92"/>
      <c r="D41" s="92"/>
      <c r="E41" s="92"/>
      <c r="F41" s="92"/>
      <c r="G41" s="92"/>
      <c r="H41" s="92"/>
      <c r="I41" s="92"/>
      <c r="J41" s="92"/>
      <c r="K41" s="92"/>
      <c r="L41" s="92"/>
      <c r="M41" s="92"/>
      <c r="N41" s="92"/>
      <c r="O41" s="92"/>
      <c r="P41" s="92"/>
      <c r="Q41" s="92"/>
      <c r="R41" s="92"/>
      <c r="S41" s="92"/>
      <c r="T41" s="92"/>
      <c r="U41" s="92"/>
      <c r="V41" s="92"/>
      <c r="W41" s="92"/>
      <c r="X41" s="92"/>
      <c r="Y41" s="92"/>
    </row>
    <row r="42" spans="1:25" ht="13.2">
      <c r="A42" s="92"/>
      <c r="B42" s="92"/>
      <c r="C42" s="92"/>
      <c r="D42" s="92"/>
      <c r="E42" s="92"/>
      <c r="F42" s="92"/>
      <c r="G42" s="92"/>
      <c r="H42" s="92"/>
      <c r="I42" s="92"/>
      <c r="J42" s="92"/>
      <c r="K42" s="92"/>
      <c r="L42" s="92"/>
      <c r="M42" s="92"/>
      <c r="N42" s="92"/>
      <c r="O42" s="92"/>
      <c r="P42" s="92"/>
      <c r="Q42" s="92"/>
      <c r="R42" s="92"/>
      <c r="S42" s="92"/>
      <c r="T42" s="92"/>
      <c r="U42" s="92"/>
      <c r="V42" s="92"/>
      <c r="W42" s="92"/>
      <c r="X42" s="92"/>
      <c r="Y42" s="92"/>
    </row>
    <row r="43" spans="1:25" ht="13.2">
      <c r="A43" s="92"/>
      <c r="B43" s="92"/>
      <c r="C43" s="92"/>
      <c r="D43" s="92"/>
      <c r="E43" s="92"/>
      <c r="F43" s="92"/>
      <c r="G43" s="92"/>
      <c r="H43" s="92"/>
      <c r="I43" s="92"/>
      <c r="J43" s="92"/>
      <c r="K43" s="92"/>
      <c r="L43" s="92"/>
      <c r="M43" s="92"/>
      <c r="N43" s="92"/>
      <c r="O43" s="92"/>
      <c r="P43" s="92"/>
      <c r="Q43" s="92"/>
      <c r="R43" s="92"/>
      <c r="S43" s="92"/>
      <c r="T43" s="92"/>
      <c r="U43" s="92"/>
      <c r="V43" s="92"/>
      <c r="W43" s="92"/>
      <c r="X43" s="92"/>
      <c r="Y43" s="92"/>
    </row>
    <row r="44" spans="1:25" ht="13.2">
      <c r="A44" s="92"/>
      <c r="B44" s="92"/>
      <c r="C44" s="92"/>
      <c r="D44" s="92"/>
      <c r="E44" s="92"/>
      <c r="F44" s="92"/>
      <c r="G44" s="92"/>
      <c r="H44" s="92"/>
      <c r="I44" s="92"/>
      <c r="J44" s="92"/>
      <c r="K44" s="92"/>
      <c r="L44" s="92"/>
      <c r="M44" s="92"/>
      <c r="N44" s="92"/>
      <c r="O44" s="92"/>
      <c r="P44" s="92"/>
      <c r="Q44" s="92"/>
      <c r="R44" s="92"/>
      <c r="S44" s="92"/>
      <c r="T44" s="92"/>
      <c r="U44" s="92"/>
      <c r="V44" s="92"/>
      <c r="W44" s="92"/>
      <c r="X44" s="92"/>
      <c r="Y44" s="92"/>
    </row>
    <row r="45" spans="1:25" ht="13.2">
      <c r="A45" s="92"/>
      <c r="B45" s="92"/>
      <c r="C45" s="92"/>
      <c r="D45" s="92"/>
      <c r="E45" s="92"/>
      <c r="F45" s="92"/>
      <c r="G45" s="92"/>
      <c r="H45" s="92"/>
      <c r="I45" s="92"/>
      <c r="J45" s="92"/>
      <c r="K45" s="92"/>
      <c r="L45" s="92"/>
      <c r="M45" s="92"/>
      <c r="N45" s="92"/>
      <c r="O45" s="92"/>
      <c r="P45" s="92"/>
      <c r="Q45" s="92"/>
      <c r="R45" s="92"/>
      <c r="S45" s="92"/>
      <c r="T45" s="92"/>
      <c r="U45" s="92"/>
      <c r="V45" s="92"/>
      <c r="W45" s="92"/>
      <c r="X45" s="92"/>
      <c r="Y45" s="92"/>
    </row>
    <row r="46" spans="1:25" ht="13.2">
      <c r="A46" s="92"/>
      <c r="B46" s="92"/>
      <c r="C46" s="92"/>
      <c r="D46" s="92"/>
      <c r="E46" s="92"/>
      <c r="F46" s="92"/>
      <c r="G46" s="92"/>
      <c r="H46" s="92"/>
      <c r="I46" s="92"/>
      <c r="J46" s="92"/>
      <c r="K46" s="92"/>
      <c r="L46" s="92"/>
      <c r="M46" s="92"/>
      <c r="N46" s="92"/>
      <c r="O46" s="92"/>
      <c r="P46" s="92"/>
      <c r="Q46" s="92"/>
      <c r="R46" s="92"/>
      <c r="S46" s="92"/>
      <c r="T46" s="92"/>
      <c r="U46" s="92"/>
      <c r="V46" s="92"/>
      <c r="W46" s="92"/>
      <c r="X46" s="92"/>
      <c r="Y46" s="92"/>
    </row>
    <row r="47" spans="1:25" ht="13.2">
      <c r="A47" s="92"/>
      <c r="B47" s="92"/>
      <c r="C47" s="92"/>
      <c r="D47" s="92"/>
      <c r="E47" s="92"/>
      <c r="F47" s="92"/>
      <c r="G47" s="92"/>
      <c r="H47" s="92"/>
      <c r="I47" s="92"/>
      <c r="J47" s="92"/>
      <c r="K47" s="92"/>
      <c r="L47" s="92"/>
      <c r="M47" s="92"/>
      <c r="N47" s="92"/>
      <c r="O47" s="92"/>
      <c r="P47" s="92"/>
      <c r="Q47" s="92"/>
      <c r="R47" s="92"/>
      <c r="S47" s="92"/>
      <c r="T47" s="92"/>
      <c r="U47" s="92"/>
      <c r="V47" s="92"/>
      <c r="W47" s="92"/>
      <c r="X47" s="92"/>
      <c r="Y47" s="92"/>
    </row>
    <row r="48" spans="1:25" ht="13.2">
      <c r="A48" s="92"/>
      <c r="B48" s="92"/>
      <c r="C48" s="92"/>
      <c r="D48" s="92"/>
      <c r="E48" s="92"/>
      <c r="F48" s="92"/>
      <c r="G48" s="92"/>
      <c r="H48" s="92"/>
      <c r="I48" s="92"/>
      <c r="J48" s="92"/>
      <c r="K48" s="92"/>
      <c r="L48" s="92"/>
      <c r="M48" s="92"/>
      <c r="N48" s="92"/>
      <c r="O48" s="92"/>
      <c r="P48" s="92"/>
      <c r="Q48" s="92"/>
      <c r="R48" s="92"/>
      <c r="S48" s="92"/>
      <c r="T48" s="92"/>
      <c r="U48" s="92"/>
      <c r="V48" s="92"/>
      <c r="W48" s="92"/>
      <c r="X48" s="92"/>
      <c r="Y48" s="92"/>
    </row>
    <row r="49" spans="1:25" ht="13.2">
      <c r="A49" s="92"/>
      <c r="B49" s="92"/>
      <c r="C49" s="92"/>
      <c r="D49" s="92"/>
      <c r="E49" s="92"/>
      <c r="F49" s="92"/>
      <c r="G49" s="92"/>
      <c r="H49" s="92"/>
      <c r="I49" s="92"/>
      <c r="J49" s="92"/>
      <c r="K49" s="92"/>
      <c r="L49" s="92"/>
      <c r="M49" s="92"/>
      <c r="N49" s="92"/>
      <c r="O49" s="92"/>
      <c r="P49" s="92"/>
      <c r="Q49" s="92"/>
      <c r="R49" s="92"/>
      <c r="S49" s="92"/>
      <c r="T49" s="92"/>
      <c r="U49" s="92"/>
      <c r="V49" s="92"/>
      <c r="W49" s="92"/>
      <c r="X49" s="92"/>
      <c r="Y49" s="92"/>
    </row>
    <row r="50" spans="1:25" ht="13.2">
      <c r="A50" s="92"/>
      <c r="B50" s="92"/>
      <c r="C50" s="92"/>
      <c r="D50" s="92"/>
      <c r="E50" s="92"/>
      <c r="F50" s="92"/>
      <c r="G50" s="92"/>
      <c r="H50" s="92"/>
      <c r="I50" s="92"/>
      <c r="J50" s="92"/>
      <c r="K50" s="92"/>
      <c r="L50" s="92"/>
      <c r="M50" s="92"/>
      <c r="N50" s="92"/>
      <c r="O50" s="92"/>
      <c r="P50" s="92"/>
      <c r="Q50" s="92"/>
      <c r="R50" s="92"/>
      <c r="S50" s="92"/>
      <c r="T50" s="92"/>
      <c r="U50" s="92"/>
      <c r="V50" s="92"/>
      <c r="W50" s="92"/>
      <c r="X50" s="92"/>
      <c r="Y50" s="92"/>
    </row>
    <row r="51" spans="1:25" ht="13.2">
      <c r="A51" s="92"/>
      <c r="B51" s="92"/>
      <c r="C51" s="92"/>
      <c r="D51" s="92"/>
      <c r="E51" s="92"/>
      <c r="F51" s="92"/>
      <c r="G51" s="92"/>
      <c r="H51" s="92"/>
      <c r="I51" s="92"/>
      <c r="J51" s="92"/>
      <c r="K51" s="92"/>
      <c r="L51" s="92"/>
      <c r="M51" s="92"/>
      <c r="N51" s="92"/>
      <c r="O51" s="92"/>
      <c r="P51" s="92"/>
      <c r="Q51" s="92"/>
      <c r="R51" s="92"/>
      <c r="S51" s="92"/>
      <c r="T51" s="92"/>
      <c r="U51" s="92"/>
      <c r="V51" s="92"/>
      <c r="W51" s="92"/>
      <c r="X51" s="92"/>
      <c r="Y51" s="92"/>
    </row>
    <row r="52" spans="1:25" ht="13.2">
      <c r="A52" s="92"/>
      <c r="B52" s="92"/>
      <c r="C52" s="92"/>
      <c r="D52" s="92"/>
      <c r="E52" s="92"/>
      <c r="F52" s="92"/>
      <c r="G52" s="92"/>
      <c r="H52" s="92"/>
      <c r="I52" s="92"/>
      <c r="J52" s="92"/>
      <c r="K52" s="92"/>
      <c r="L52" s="92"/>
      <c r="M52" s="92"/>
      <c r="N52" s="92"/>
      <c r="O52" s="92"/>
      <c r="P52" s="92"/>
      <c r="Q52" s="92"/>
      <c r="R52" s="92"/>
      <c r="S52" s="92"/>
      <c r="T52" s="92"/>
      <c r="U52" s="92"/>
      <c r="V52" s="92"/>
      <c r="W52" s="92"/>
      <c r="X52" s="92"/>
      <c r="Y52" s="92"/>
    </row>
    <row r="53" spans="1:25" ht="13.2">
      <c r="A53" s="92"/>
      <c r="B53" s="92"/>
      <c r="C53" s="92"/>
      <c r="D53" s="92"/>
      <c r="E53" s="92"/>
      <c r="F53" s="92"/>
      <c r="G53" s="92"/>
      <c r="H53" s="92"/>
      <c r="I53" s="92"/>
      <c r="J53" s="92"/>
      <c r="K53" s="92"/>
      <c r="L53" s="92"/>
      <c r="M53" s="92"/>
      <c r="N53" s="92"/>
      <c r="O53" s="92"/>
      <c r="P53" s="92"/>
      <c r="Q53" s="92"/>
      <c r="R53" s="92"/>
      <c r="S53" s="92"/>
      <c r="T53" s="92"/>
      <c r="U53" s="92"/>
      <c r="V53" s="92"/>
      <c r="W53" s="92"/>
      <c r="X53" s="92"/>
      <c r="Y53" s="92"/>
    </row>
    <row r="54" spans="1:25" ht="13.2">
      <c r="A54" s="92"/>
      <c r="B54" s="92"/>
      <c r="C54" s="92"/>
      <c r="D54" s="92"/>
      <c r="E54" s="92"/>
      <c r="F54" s="92"/>
      <c r="G54" s="92"/>
      <c r="H54" s="92"/>
      <c r="I54" s="92"/>
      <c r="J54" s="92"/>
      <c r="K54" s="92"/>
      <c r="L54" s="92"/>
      <c r="M54" s="92"/>
      <c r="N54" s="92"/>
      <c r="O54" s="92"/>
      <c r="P54" s="92"/>
      <c r="Q54" s="92"/>
      <c r="R54" s="92"/>
      <c r="S54" s="92"/>
      <c r="T54" s="92"/>
      <c r="U54" s="92"/>
      <c r="V54" s="92"/>
      <c r="W54" s="92"/>
      <c r="X54" s="92"/>
      <c r="Y54" s="92"/>
    </row>
    <row r="55" spans="1:25" ht="13.2">
      <c r="A55" s="92"/>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ht="13.2">
      <c r="A56" s="92"/>
      <c r="B56" s="92"/>
      <c r="C56" s="92"/>
      <c r="D56" s="92"/>
      <c r="E56" s="92"/>
      <c r="F56" s="92"/>
      <c r="G56" s="92"/>
      <c r="H56" s="92"/>
      <c r="I56" s="92"/>
      <c r="J56" s="92"/>
      <c r="K56" s="92"/>
      <c r="L56" s="92"/>
      <c r="M56" s="92"/>
      <c r="N56" s="92"/>
      <c r="O56" s="92"/>
      <c r="P56" s="92"/>
      <c r="Q56" s="92"/>
      <c r="R56" s="92"/>
      <c r="S56" s="92"/>
      <c r="T56" s="92"/>
      <c r="U56" s="92"/>
      <c r="V56" s="92"/>
      <c r="W56" s="92"/>
      <c r="X56" s="92"/>
      <c r="Y56" s="92"/>
    </row>
    <row r="57" spans="1:25" ht="13.2">
      <c r="A57" s="92"/>
      <c r="B57" s="92"/>
      <c r="C57" s="92"/>
      <c r="D57" s="92"/>
      <c r="E57" s="92"/>
      <c r="F57" s="92"/>
      <c r="G57" s="92"/>
      <c r="H57" s="92"/>
      <c r="I57" s="92"/>
      <c r="J57" s="92"/>
      <c r="K57" s="92"/>
      <c r="L57" s="92"/>
      <c r="M57" s="92"/>
      <c r="N57" s="92"/>
      <c r="O57" s="92"/>
      <c r="P57" s="92"/>
      <c r="Q57" s="92"/>
      <c r="R57" s="92"/>
      <c r="S57" s="92"/>
      <c r="T57" s="92"/>
      <c r="U57" s="92"/>
      <c r="V57" s="92"/>
      <c r="W57" s="92"/>
      <c r="X57" s="92"/>
      <c r="Y57" s="92"/>
    </row>
    <row r="58" spans="1:25" ht="13.2">
      <c r="A58" s="92"/>
      <c r="B58" s="92"/>
      <c r="C58" s="92"/>
      <c r="D58" s="92"/>
      <c r="E58" s="92"/>
      <c r="F58" s="92"/>
      <c r="G58" s="92"/>
      <c r="H58" s="92"/>
      <c r="I58" s="92"/>
      <c r="J58" s="92"/>
      <c r="K58" s="92"/>
      <c r="L58" s="92"/>
      <c r="M58" s="92"/>
      <c r="N58" s="92"/>
      <c r="O58" s="92"/>
      <c r="P58" s="92"/>
      <c r="Q58" s="92"/>
      <c r="R58" s="92"/>
      <c r="S58" s="92"/>
      <c r="T58" s="92"/>
      <c r="U58" s="92"/>
      <c r="V58" s="92"/>
      <c r="W58" s="92"/>
      <c r="X58" s="92"/>
      <c r="Y58" s="92"/>
    </row>
    <row r="59" spans="1:25" ht="13.2">
      <c r="A59" s="92"/>
      <c r="B59" s="92"/>
      <c r="C59" s="92"/>
      <c r="D59" s="92"/>
      <c r="E59" s="92"/>
      <c r="F59" s="92"/>
      <c r="G59" s="92"/>
      <c r="H59" s="92"/>
      <c r="I59" s="92"/>
      <c r="J59" s="92"/>
      <c r="K59" s="92"/>
      <c r="L59" s="92"/>
      <c r="M59" s="92"/>
      <c r="N59" s="92"/>
      <c r="O59" s="92"/>
      <c r="P59" s="92"/>
      <c r="Q59" s="92"/>
      <c r="R59" s="92"/>
      <c r="S59" s="92"/>
      <c r="T59" s="92"/>
      <c r="U59" s="92"/>
      <c r="V59" s="92"/>
      <c r="W59" s="92"/>
      <c r="X59" s="92"/>
      <c r="Y59" s="92"/>
    </row>
    <row r="60" spans="1:25" ht="13.2">
      <c r="A60" s="92"/>
      <c r="B60" s="92"/>
      <c r="C60" s="92"/>
      <c r="D60" s="92"/>
      <c r="E60" s="92"/>
      <c r="F60" s="92"/>
      <c r="G60" s="92"/>
      <c r="H60" s="92"/>
      <c r="I60" s="92"/>
      <c r="J60" s="92"/>
      <c r="K60" s="92"/>
      <c r="L60" s="92"/>
      <c r="M60" s="92"/>
      <c r="N60" s="92"/>
      <c r="O60" s="92"/>
      <c r="P60" s="92"/>
      <c r="Q60" s="92"/>
      <c r="R60" s="92"/>
      <c r="S60" s="92"/>
      <c r="T60" s="92"/>
      <c r="U60" s="92"/>
      <c r="V60" s="92"/>
      <c r="W60" s="92"/>
      <c r="X60" s="92"/>
      <c r="Y60" s="92"/>
    </row>
    <row r="61" spans="1:25" ht="13.2">
      <c r="A61" s="92"/>
      <c r="B61" s="92"/>
      <c r="C61" s="92"/>
      <c r="D61" s="92"/>
      <c r="E61" s="92"/>
      <c r="F61" s="92"/>
      <c r="G61" s="92"/>
      <c r="H61" s="92"/>
      <c r="I61" s="92"/>
      <c r="J61" s="92"/>
      <c r="K61" s="92"/>
      <c r="L61" s="92"/>
      <c r="M61" s="92"/>
      <c r="N61" s="92"/>
      <c r="O61" s="92"/>
      <c r="P61" s="92"/>
      <c r="Q61" s="92"/>
      <c r="R61" s="92"/>
      <c r="S61" s="92"/>
      <c r="T61" s="92"/>
      <c r="U61" s="92"/>
      <c r="V61" s="92"/>
      <c r="W61" s="92"/>
      <c r="X61" s="92"/>
      <c r="Y61" s="92"/>
    </row>
    <row r="62" spans="1:25" ht="13.2">
      <c r="A62" s="92"/>
      <c r="B62" s="92"/>
      <c r="C62" s="92"/>
      <c r="D62" s="92"/>
      <c r="E62" s="92"/>
      <c r="F62" s="92"/>
      <c r="G62" s="92"/>
      <c r="H62" s="92"/>
      <c r="I62" s="92"/>
      <c r="J62" s="92"/>
      <c r="K62" s="92"/>
      <c r="L62" s="92"/>
      <c r="M62" s="92"/>
      <c r="N62" s="92"/>
      <c r="O62" s="92"/>
      <c r="P62" s="92"/>
      <c r="Q62" s="92"/>
      <c r="R62" s="92"/>
      <c r="S62" s="92"/>
      <c r="T62" s="92"/>
      <c r="U62" s="92"/>
      <c r="V62" s="92"/>
      <c r="W62" s="92"/>
      <c r="X62" s="92"/>
      <c r="Y62" s="92"/>
    </row>
    <row r="63" spans="1:25" ht="13.2">
      <c r="A63" s="92"/>
      <c r="B63" s="92"/>
      <c r="C63" s="92"/>
      <c r="D63" s="92"/>
      <c r="E63" s="92"/>
      <c r="F63" s="92"/>
      <c r="G63" s="92"/>
      <c r="H63" s="92"/>
      <c r="I63" s="92"/>
      <c r="J63" s="92"/>
      <c r="K63" s="92"/>
      <c r="L63" s="92"/>
      <c r="M63" s="92"/>
      <c r="N63" s="92"/>
      <c r="O63" s="92"/>
      <c r="P63" s="92"/>
      <c r="Q63" s="92"/>
      <c r="R63" s="92"/>
      <c r="S63" s="92"/>
      <c r="T63" s="92"/>
      <c r="U63" s="92"/>
      <c r="V63" s="92"/>
      <c r="W63" s="92"/>
      <c r="X63" s="92"/>
      <c r="Y63" s="92"/>
    </row>
    <row r="64" spans="1:25" ht="13.2">
      <c r="A64" s="92"/>
      <c r="B64" s="92"/>
      <c r="C64" s="92"/>
      <c r="D64" s="92"/>
      <c r="E64" s="92"/>
      <c r="F64" s="92"/>
      <c r="G64" s="92"/>
      <c r="H64" s="92"/>
      <c r="I64" s="92"/>
      <c r="J64" s="92"/>
      <c r="K64" s="92"/>
      <c r="L64" s="92"/>
      <c r="M64" s="92"/>
      <c r="N64" s="92"/>
      <c r="O64" s="92"/>
      <c r="P64" s="92"/>
      <c r="Q64" s="92"/>
      <c r="R64" s="92"/>
      <c r="S64" s="92"/>
      <c r="T64" s="92"/>
      <c r="U64" s="92"/>
      <c r="V64" s="92"/>
      <c r="W64" s="92"/>
      <c r="X64" s="92"/>
      <c r="Y64" s="92"/>
    </row>
    <row r="65" spans="1:25" ht="13.2">
      <c r="A65" s="92"/>
      <c r="B65" s="92"/>
      <c r="C65" s="92"/>
      <c r="D65" s="92"/>
      <c r="E65" s="92"/>
      <c r="F65" s="92"/>
      <c r="G65" s="92"/>
      <c r="H65" s="92"/>
      <c r="I65" s="92"/>
      <c r="J65" s="92"/>
      <c r="K65" s="92"/>
      <c r="L65" s="92"/>
      <c r="M65" s="92"/>
      <c r="N65" s="92"/>
      <c r="O65" s="92"/>
      <c r="P65" s="92"/>
      <c r="Q65" s="92"/>
      <c r="R65" s="92"/>
      <c r="S65" s="92"/>
      <c r="T65" s="92"/>
      <c r="U65" s="92"/>
      <c r="V65" s="92"/>
      <c r="W65" s="92"/>
      <c r="X65" s="92"/>
      <c r="Y65" s="92"/>
    </row>
    <row r="66" spans="1:25" ht="13.2">
      <c r="A66" s="92"/>
      <c r="B66" s="92"/>
      <c r="C66" s="92"/>
      <c r="D66" s="92"/>
      <c r="E66" s="92"/>
      <c r="F66" s="92"/>
      <c r="G66" s="92"/>
      <c r="H66" s="92"/>
      <c r="I66" s="92"/>
      <c r="J66" s="92"/>
      <c r="K66" s="92"/>
      <c r="L66" s="92"/>
      <c r="M66" s="92"/>
      <c r="N66" s="92"/>
      <c r="O66" s="92"/>
      <c r="P66" s="92"/>
      <c r="Q66" s="92"/>
      <c r="R66" s="92"/>
      <c r="S66" s="92"/>
      <c r="T66" s="92"/>
      <c r="U66" s="92"/>
      <c r="V66" s="92"/>
      <c r="W66" s="92"/>
      <c r="X66" s="92"/>
      <c r="Y66" s="92"/>
    </row>
    <row r="67" spans="1:25" ht="13.2">
      <c r="A67" s="92"/>
      <c r="B67" s="92"/>
      <c r="C67" s="92"/>
      <c r="D67" s="92"/>
      <c r="E67" s="92"/>
      <c r="F67" s="92"/>
      <c r="G67" s="92"/>
      <c r="H67" s="92"/>
      <c r="I67" s="92"/>
      <c r="J67" s="92"/>
      <c r="K67" s="92"/>
      <c r="L67" s="92"/>
      <c r="M67" s="92"/>
      <c r="N67" s="92"/>
      <c r="O67" s="92"/>
      <c r="P67" s="92"/>
      <c r="Q67" s="92"/>
      <c r="R67" s="92"/>
      <c r="S67" s="92"/>
      <c r="T67" s="92"/>
      <c r="U67" s="92"/>
      <c r="V67" s="92"/>
      <c r="W67" s="92"/>
      <c r="X67" s="92"/>
      <c r="Y67" s="92"/>
    </row>
    <row r="68" spans="1:25" ht="13.2">
      <c r="A68" s="92"/>
      <c r="B68" s="92"/>
      <c r="C68" s="92"/>
      <c r="D68" s="92"/>
      <c r="E68" s="92"/>
      <c r="F68" s="92"/>
      <c r="G68" s="92"/>
      <c r="H68" s="92"/>
      <c r="I68" s="92"/>
      <c r="J68" s="92"/>
      <c r="K68" s="92"/>
      <c r="L68" s="92"/>
      <c r="M68" s="92"/>
      <c r="N68" s="92"/>
      <c r="O68" s="92"/>
      <c r="P68" s="92"/>
      <c r="Q68" s="92"/>
      <c r="R68" s="92"/>
      <c r="S68" s="92"/>
      <c r="T68" s="92"/>
      <c r="U68" s="92"/>
      <c r="V68" s="92"/>
      <c r="W68" s="92"/>
      <c r="X68" s="92"/>
      <c r="Y68" s="92"/>
    </row>
    <row r="69" spans="1:25" ht="13.2">
      <c r="A69" s="92"/>
      <c r="B69" s="92"/>
      <c r="C69" s="92"/>
      <c r="D69" s="92"/>
      <c r="E69" s="92"/>
      <c r="F69" s="92"/>
      <c r="G69" s="92"/>
      <c r="H69" s="92"/>
      <c r="I69" s="92"/>
      <c r="J69" s="92"/>
      <c r="K69" s="92"/>
      <c r="L69" s="92"/>
      <c r="M69" s="92"/>
      <c r="N69" s="92"/>
      <c r="O69" s="92"/>
      <c r="P69" s="92"/>
      <c r="Q69" s="92"/>
      <c r="R69" s="92"/>
      <c r="S69" s="92"/>
      <c r="T69" s="92"/>
      <c r="U69" s="92"/>
      <c r="V69" s="92"/>
      <c r="W69" s="92"/>
      <c r="X69" s="92"/>
      <c r="Y69" s="92"/>
    </row>
    <row r="70" spans="1:25" ht="13.2">
      <c r="A70" s="92"/>
      <c r="B70" s="92"/>
      <c r="C70" s="92"/>
      <c r="D70" s="92"/>
      <c r="E70" s="92"/>
      <c r="F70" s="92"/>
      <c r="G70" s="92"/>
      <c r="H70" s="92"/>
      <c r="I70" s="92"/>
      <c r="J70" s="92"/>
      <c r="K70" s="92"/>
      <c r="L70" s="92"/>
      <c r="M70" s="92"/>
      <c r="N70" s="92"/>
      <c r="O70" s="92"/>
      <c r="P70" s="92"/>
      <c r="Q70" s="92"/>
      <c r="R70" s="92"/>
      <c r="S70" s="92"/>
      <c r="T70" s="92"/>
      <c r="U70" s="92"/>
      <c r="V70" s="92"/>
      <c r="W70" s="92"/>
      <c r="X70" s="92"/>
      <c r="Y70" s="92"/>
    </row>
    <row r="71" spans="1:25" ht="13.2">
      <c r="A71" s="92"/>
      <c r="B71" s="92"/>
      <c r="C71" s="92"/>
      <c r="D71" s="92"/>
      <c r="E71" s="92"/>
      <c r="F71" s="92"/>
      <c r="G71" s="92"/>
      <c r="H71" s="92"/>
      <c r="I71" s="92"/>
      <c r="J71" s="92"/>
      <c r="K71" s="92"/>
      <c r="L71" s="92"/>
      <c r="M71" s="92"/>
      <c r="N71" s="92"/>
      <c r="O71" s="92"/>
      <c r="P71" s="92"/>
      <c r="Q71" s="92"/>
      <c r="R71" s="92"/>
      <c r="S71" s="92"/>
      <c r="T71" s="92"/>
      <c r="U71" s="92"/>
      <c r="V71" s="92"/>
      <c r="W71" s="92"/>
      <c r="X71" s="92"/>
      <c r="Y71" s="92"/>
    </row>
    <row r="72" spans="1:25" ht="13.2">
      <c r="A72" s="92"/>
      <c r="B72" s="92"/>
      <c r="C72" s="92"/>
      <c r="D72" s="92"/>
      <c r="E72" s="92"/>
      <c r="F72" s="92"/>
      <c r="G72" s="92"/>
      <c r="H72" s="92"/>
      <c r="I72" s="92"/>
      <c r="J72" s="92"/>
      <c r="K72" s="92"/>
      <c r="L72" s="92"/>
      <c r="M72" s="92"/>
      <c r="N72" s="92"/>
      <c r="O72" s="92"/>
      <c r="P72" s="92"/>
      <c r="Q72" s="92"/>
      <c r="R72" s="92"/>
      <c r="S72" s="92"/>
      <c r="T72" s="92"/>
      <c r="U72" s="92"/>
      <c r="V72" s="92"/>
      <c r="W72" s="92"/>
      <c r="X72" s="92"/>
      <c r="Y72" s="92"/>
    </row>
    <row r="73" spans="1:25" ht="13.2">
      <c r="A73" s="92"/>
      <c r="B73" s="92"/>
      <c r="C73" s="92"/>
      <c r="D73" s="92"/>
      <c r="E73" s="92"/>
      <c r="F73" s="92"/>
      <c r="G73" s="92"/>
      <c r="H73" s="92"/>
      <c r="I73" s="92"/>
      <c r="J73" s="92"/>
      <c r="K73" s="92"/>
      <c r="L73" s="92"/>
      <c r="M73" s="92"/>
      <c r="N73" s="92"/>
      <c r="O73" s="92"/>
      <c r="P73" s="92"/>
      <c r="Q73" s="92"/>
      <c r="R73" s="92"/>
      <c r="S73" s="92"/>
      <c r="T73" s="92"/>
      <c r="U73" s="92"/>
      <c r="V73" s="92"/>
      <c r="W73" s="92"/>
      <c r="X73" s="92"/>
      <c r="Y73" s="92"/>
    </row>
    <row r="74" spans="1:25" ht="13.2">
      <c r="A74" s="92"/>
      <c r="B74" s="92"/>
      <c r="C74" s="92"/>
      <c r="D74" s="92"/>
      <c r="E74" s="92"/>
      <c r="F74" s="92"/>
      <c r="G74" s="92"/>
      <c r="H74" s="92"/>
      <c r="I74" s="92"/>
      <c r="J74" s="92"/>
      <c r="K74" s="92"/>
      <c r="L74" s="92"/>
      <c r="M74" s="92"/>
      <c r="N74" s="92"/>
      <c r="O74" s="92"/>
      <c r="P74" s="92"/>
      <c r="Q74" s="92"/>
      <c r="R74" s="92"/>
      <c r="S74" s="92"/>
      <c r="T74" s="92"/>
      <c r="U74" s="92"/>
      <c r="V74" s="92"/>
      <c r="W74" s="92"/>
      <c r="X74" s="92"/>
      <c r="Y74" s="92"/>
    </row>
    <row r="75" spans="1:25" ht="13.2">
      <c r="A75" s="92"/>
      <c r="B75" s="92"/>
      <c r="C75" s="92"/>
      <c r="D75" s="92"/>
      <c r="E75" s="92"/>
      <c r="F75" s="92"/>
      <c r="G75" s="92"/>
      <c r="H75" s="92"/>
      <c r="I75" s="92"/>
      <c r="J75" s="92"/>
      <c r="K75" s="92"/>
      <c r="L75" s="92"/>
      <c r="M75" s="92"/>
      <c r="N75" s="92"/>
      <c r="O75" s="92"/>
      <c r="P75" s="92"/>
      <c r="Q75" s="92"/>
      <c r="R75" s="92"/>
      <c r="S75" s="92"/>
      <c r="T75" s="92"/>
      <c r="U75" s="92"/>
      <c r="V75" s="92"/>
      <c r="W75" s="92"/>
      <c r="X75" s="92"/>
      <c r="Y75" s="92"/>
    </row>
    <row r="76" spans="1:25" ht="13.2">
      <c r="A76" s="92"/>
      <c r="B76" s="92"/>
      <c r="C76" s="92"/>
      <c r="D76" s="92"/>
      <c r="E76" s="92"/>
      <c r="F76" s="92"/>
      <c r="G76" s="92"/>
      <c r="H76" s="92"/>
      <c r="I76" s="92"/>
      <c r="J76" s="92"/>
      <c r="K76" s="92"/>
      <c r="L76" s="92"/>
      <c r="M76" s="92"/>
      <c r="N76" s="92"/>
      <c r="O76" s="92"/>
      <c r="P76" s="92"/>
      <c r="Q76" s="92"/>
      <c r="R76" s="92"/>
      <c r="S76" s="92"/>
      <c r="T76" s="92"/>
      <c r="U76" s="92"/>
      <c r="V76" s="92"/>
      <c r="W76" s="92"/>
      <c r="X76" s="92"/>
      <c r="Y76" s="92"/>
    </row>
    <row r="77" spans="1:25" ht="13.2">
      <c r="A77" s="92"/>
      <c r="B77" s="92"/>
      <c r="C77" s="92"/>
      <c r="D77" s="92"/>
      <c r="E77" s="92"/>
      <c r="F77" s="92"/>
      <c r="G77" s="92"/>
      <c r="H77" s="92"/>
      <c r="I77" s="92"/>
      <c r="J77" s="92"/>
      <c r="K77" s="92"/>
      <c r="L77" s="92"/>
      <c r="M77" s="92"/>
      <c r="N77" s="92"/>
      <c r="O77" s="92"/>
      <c r="P77" s="92"/>
      <c r="Q77" s="92"/>
      <c r="R77" s="92"/>
      <c r="S77" s="92"/>
      <c r="T77" s="92"/>
      <c r="U77" s="92"/>
      <c r="V77" s="92"/>
      <c r="W77" s="92"/>
      <c r="X77" s="92"/>
      <c r="Y77" s="92"/>
    </row>
    <row r="78" spans="1:25" ht="13.2">
      <c r="A78" s="92"/>
      <c r="B78" s="92"/>
      <c r="C78" s="92"/>
      <c r="D78" s="92"/>
      <c r="E78" s="92"/>
      <c r="F78" s="92"/>
      <c r="G78" s="92"/>
      <c r="H78" s="92"/>
      <c r="I78" s="92"/>
      <c r="J78" s="92"/>
      <c r="K78" s="92"/>
      <c r="L78" s="92"/>
      <c r="M78" s="92"/>
      <c r="N78" s="92"/>
      <c r="O78" s="92"/>
      <c r="P78" s="92"/>
      <c r="Q78" s="92"/>
      <c r="R78" s="92"/>
      <c r="S78" s="92"/>
      <c r="T78" s="92"/>
      <c r="U78" s="92"/>
      <c r="V78" s="92"/>
      <c r="W78" s="92"/>
      <c r="X78" s="92"/>
      <c r="Y78" s="92"/>
    </row>
    <row r="79" spans="1:25" ht="13.2">
      <c r="A79" s="92"/>
      <c r="B79" s="92"/>
      <c r="C79" s="92"/>
      <c r="D79" s="92"/>
      <c r="E79" s="92"/>
      <c r="F79" s="92"/>
      <c r="G79" s="92"/>
      <c r="H79" s="92"/>
      <c r="I79" s="92"/>
      <c r="J79" s="92"/>
      <c r="K79" s="92"/>
      <c r="L79" s="92"/>
      <c r="M79" s="92"/>
      <c r="N79" s="92"/>
      <c r="O79" s="92"/>
      <c r="P79" s="92"/>
      <c r="Q79" s="92"/>
      <c r="R79" s="92"/>
      <c r="S79" s="92"/>
      <c r="T79" s="92"/>
      <c r="U79" s="92"/>
      <c r="V79" s="92"/>
      <c r="W79" s="92"/>
      <c r="X79" s="92"/>
      <c r="Y79" s="92"/>
    </row>
    <row r="80" spans="1:25" ht="13.2">
      <c r="A80" s="92"/>
      <c r="B80" s="92"/>
      <c r="C80" s="92"/>
      <c r="D80" s="92"/>
      <c r="E80" s="92"/>
      <c r="F80" s="92"/>
      <c r="G80" s="92"/>
      <c r="H80" s="92"/>
      <c r="I80" s="92"/>
      <c r="J80" s="92"/>
      <c r="K80" s="92"/>
      <c r="L80" s="92"/>
      <c r="M80" s="92"/>
      <c r="N80" s="92"/>
      <c r="O80" s="92"/>
      <c r="P80" s="92"/>
      <c r="Q80" s="92"/>
      <c r="R80" s="92"/>
      <c r="S80" s="92"/>
      <c r="T80" s="92"/>
      <c r="U80" s="92"/>
      <c r="V80" s="92"/>
      <c r="W80" s="92"/>
      <c r="X80" s="92"/>
      <c r="Y80" s="92"/>
    </row>
    <row r="81" spans="1:25" ht="13.2">
      <c r="A81" s="92"/>
      <c r="B81" s="92"/>
      <c r="C81" s="92"/>
      <c r="D81" s="92"/>
      <c r="E81" s="92"/>
      <c r="F81" s="92"/>
      <c r="G81" s="92"/>
      <c r="H81" s="92"/>
      <c r="I81" s="92"/>
      <c r="J81" s="92"/>
      <c r="K81" s="92"/>
      <c r="L81" s="92"/>
      <c r="M81" s="92"/>
      <c r="N81" s="92"/>
      <c r="O81" s="92"/>
      <c r="P81" s="92"/>
      <c r="Q81" s="92"/>
      <c r="R81" s="92"/>
      <c r="S81" s="92"/>
      <c r="T81" s="92"/>
      <c r="U81" s="92"/>
      <c r="V81" s="92"/>
      <c r="W81" s="92"/>
      <c r="X81" s="92"/>
      <c r="Y81" s="92"/>
    </row>
    <row r="82" spans="1:25" ht="13.2">
      <c r="A82" s="92"/>
      <c r="B82" s="92"/>
      <c r="C82" s="92"/>
      <c r="D82" s="92"/>
      <c r="E82" s="92"/>
      <c r="F82" s="92"/>
      <c r="G82" s="92"/>
      <c r="H82" s="92"/>
      <c r="I82" s="92"/>
      <c r="J82" s="92"/>
      <c r="K82" s="92"/>
      <c r="L82" s="92"/>
      <c r="M82" s="92"/>
      <c r="N82" s="92"/>
      <c r="O82" s="92"/>
      <c r="P82" s="92"/>
      <c r="Q82" s="92"/>
      <c r="R82" s="92"/>
      <c r="S82" s="92"/>
      <c r="T82" s="92"/>
      <c r="U82" s="92"/>
      <c r="V82" s="92"/>
      <c r="W82" s="92"/>
      <c r="X82" s="92"/>
      <c r="Y82" s="92"/>
    </row>
    <row r="83" spans="1:25" ht="13.2">
      <c r="A83" s="92"/>
      <c r="B83" s="92"/>
      <c r="C83" s="92"/>
      <c r="D83" s="92"/>
      <c r="E83" s="92"/>
      <c r="F83" s="92"/>
      <c r="G83" s="92"/>
      <c r="H83" s="92"/>
      <c r="I83" s="92"/>
      <c r="J83" s="92"/>
      <c r="K83" s="92"/>
      <c r="L83" s="92"/>
      <c r="M83" s="92"/>
      <c r="N83" s="92"/>
      <c r="O83" s="92"/>
      <c r="P83" s="92"/>
      <c r="Q83" s="92"/>
      <c r="R83" s="92"/>
      <c r="S83" s="92"/>
      <c r="T83" s="92"/>
      <c r="U83" s="92"/>
      <c r="V83" s="92"/>
      <c r="W83" s="92"/>
      <c r="X83" s="92"/>
      <c r="Y83" s="92"/>
    </row>
    <row r="84" spans="1:25" ht="13.2">
      <c r="A84" s="92"/>
      <c r="B84" s="92"/>
      <c r="C84" s="92"/>
      <c r="D84" s="92"/>
      <c r="E84" s="92"/>
      <c r="F84" s="92"/>
      <c r="G84" s="92"/>
      <c r="H84" s="92"/>
      <c r="I84" s="92"/>
      <c r="J84" s="92"/>
      <c r="K84" s="92"/>
      <c r="L84" s="92"/>
      <c r="M84" s="92"/>
      <c r="N84" s="92"/>
      <c r="O84" s="92"/>
      <c r="P84" s="92"/>
      <c r="Q84" s="92"/>
      <c r="R84" s="92"/>
      <c r="S84" s="92"/>
      <c r="T84" s="92"/>
      <c r="U84" s="92"/>
      <c r="V84" s="92"/>
      <c r="W84" s="92"/>
      <c r="X84" s="92"/>
      <c r="Y84" s="92"/>
    </row>
    <row r="85" spans="1:25" ht="13.2">
      <c r="A85" s="92"/>
      <c r="B85" s="92"/>
      <c r="C85" s="92"/>
      <c r="D85" s="92"/>
      <c r="E85" s="92"/>
      <c r="F85" s="92"/>
      <c r="G85" s="92"/>
      <c r="H85" s="92"/>
      <c r="I85" s="92"/>
      <c r="J85" s="92"/>
      <c r="K85" s="92"/>
      <c r="L85" s="92"/>
      <c r="M85" s="92"/>
      <c r="N85" s="92"/>
      <c r="O85" s="92"/>
      <c r="P85" s="92"/>
      <c r="Q85" s="92"/>
      <c r="R85" s="92"/>
      <c r="S85" s="92"/>
      <c r="T85" s="92"/>
      <c r="U85" s="92"/>
      <c r="V85" s="92"/>
      <c r="W85" s="92"/>
      <c r="X85" s="92"/>
      <c r="Y85" s="92"/>
    </row>
    <row r="86" spans="1:25" ht="13.2">
      <c r="A86" s="92"/>
      <c r="B86" s="92"/>
      <c r="C86" s="92"/>
      <c r="D86" s="92"/>
      <c r="E86" s="92"/>
      <c r="F86" s="92"/>
      <c r="G86" s="92"/>
      <c r="H86" s="92"/>
      <c r="I86" s="92"/>
      <c r="J86" s="92"/>
      <c r="K86" s="92"/>
      <c r="L86" s="92"/>
      <c r="M86" s="92"/>
      <c r="N86" s="92"/>
      <c r="O86" s="92"/>
      <c r="P86" s="92"/>
      <c r="Q86" s="92"/>
      <c r="R86" s="92"/>
      <c r="S86" s="92"/>
      <c r="T86" s="92"/>
      <c r="U86" s="92"/>
      <c r="V86" s="92"/>
      <c r="W86" s="92"/>
      <c r="X86" s="92"/>
      <c r="Y86" s="92"/>
    </row>
    <row r="87" spans="1:25" ht="13.2">
      <c r="A87" s="92"/>
      <c r="B87" s="92"/>
      <c r="C87" s="92"/>
      <c r="D87" s="92"/>
      <c r="E87" s="92"/>
      <c r="F87" s="92"/>
      <c r="G87" s="92"/>
      <c r="H87" s="92"/>
      <c r="I87" s="92"/>
      <c r="J87" s="92"/>
      <c r="K87" s="92"/>
      <c r="L87" s="92"/>
      <c r="M87" s="92"/>
      <c r="N87" s="92"/>
      <c r="O87" s="92"/>
      <c r="P87" s="92"/>
      <c r="Q87" s="92"/>
      <c r="R87" s="92"/>
      <c r="S87" s="92"/>
      <c r="T87" s="92"/>
      <c r="U87" s="92"/>
      <c r="V87" s="92"/>
      <c r="W87" s="92"/>
      <c r="X87" s="92"/>
      <c r="Y87" s="92"/>
    </row>
    <row r="88" spans="1:25" ht="13.2">
      <c r="A88" s="92"/>
      <c r="B88" s="92"/>
      <c r="C88" s="92"/>
      <c r="D88" s="92"/>
      <c r="E88" s="92"/>
      <c r="F88" s="92"/>
      <c r="G88" s="92"/>
      <c r="H88" s="92"/>
      <c r="I88" s="92"/>
      <c r="J88" s="92"/>
      <c r="K88" s="92"/>
      <c r="L88" s="92"/>
      <c r="M88" s="92"/>
      <c r="N88" s="92"/>
      <c r="O88" s="92"/>
      <c r="P88" s="92"/>
      <c r="Q88" s="92"/>
      <c r="R88" s="92"/>
      <c r="S88" s="92"/>
      <c r="T88" s="92"/>
      <c r="U88" s="92"/>
      <c r="V88" s="92"/>
      <c r="W88" s="92"/>
      <c r="X88" s="92"/>
      <c r="Y88" s="92"/>
    </row>
    <row r="89" spans="1:25" ht="13.2">
      <c r="A89" s="92"/>
      <c r="B89" s="92"/>
      <c r="C89" s="92"/>
      <c r="D89" s="92"/>
      <c r="E89" s="92"/>
      <c r="F89" s="92"/>
      <c r="G89" s="92"/>
      <c r="H89" s="92"/>
      <c r="I89" s="92"/>
      <c r="J89" s="92"/>
      <c r="K89" s="92"/>
      <c r="L89" s="92"/>
      <c r="M89" s="92"/>
      <c r="N89" s="92"/>
      <c r="O89" s="92"/>
      <c r="P89" s="92"/>
      <c r="Q89" s="92"/>
      <c r="R89" s="92"/>
      <c r="S89" s="92"/>
      <c r="T89" s="92"/>
      <c r="U89" s="92"/>
      <c r="V89" s="92"/>
      <c r="W89" s="92"/>
      <c r="X89" s="92"/>
      <c r="Y89" s="92"/>
    </row>
    <row r="90" spans="1:25" ht="13.2">
      <c r="A90" s="92"/>
      <c r="B90" s="92"/>
      <c r="C90" s="92"/>
      <c r="D90" s="92"/>
      <c r="E90" s="92"/>
      <c r="F90" s="92"/>
      <c r="G90" s="92"/>
      <c r="H90" s="92"/>
      <c r="I90" s="92"/>
      <c r="J90" s="92"/>
      <c r="K90" s="92"/>
      <c r="L90" s="92"/>
      <c r="M90" s="92"/>
      <c r="N90" s="92"/>
      <c r="O90" s="92"/>
      <c r="P90" s="92"/>
      <c r="Q90" s="92"/>
      <c r="R90" s="92"/>
      <c r="S90" s="92"/>
      <c r="T90" s="92"/>
      <c r="U90" s="92"/>
      <c r="V90" s="92"/>
      <c r="W90" s="92"/>
      <c r="X90" s="92"/>
      <c r="Y90" s="92"/>
    </row>
    <row r="91" spans="1:25" ht="13.2">
      <c r="A91" s="92"/>
      <c r="B91" s="92"/>
      <c r="C91" s="92"/>
      <c r="D91" s="92"/>
      <c r="E91" s="92"/>
      <c r="F91" s="92"/>
      <c r="G91" s="92"/>
      <c r="H91" s="92"/>
      <c r="I91" s="92"/>
      <c r="J91" s="92"/>
      <c r="K91" s="92"/>
      <c r="L91" s="92"/>
      <c r="M91" s="92"/>
      <c r="N91" s="92"/>
      <c r="O91" s="92"/>
      <c r="P91" s="92"/>
      <c r="Q91" s="92"/>
      <c r="R91" s="92"/>
      <c r="S91" s="92"/>
      <c r="T91" s="92"/>
      <c r="U91" s="92"/>
      <c r="V91" s="92"/>
      <c r="W91" s="92"/>
      <c r="X91" s="92"/>
      <c r="Y91" s="92"/>
    </row>
    <row r="92" spans="1:25" ht="13.2">
      <c r="A92" s="92"/>
      <c r="B92" s="92"/>
      <c r="C92" s="92"/>
      <c r="D92" s="92"/>
      <c r="E92" s="92"/>
      <c r="F92" s="92"/>
      <c r="G92" s="92"/>
      <c r="H92" s="92"/>
      <c r="I92" s="92"/>
      <c r="J92" s="92"/>
      <c r="K92" s="92"/>
      <c r="L92" s="92"/>
      <c r="M92" s="92"/>
      <c r="N92" s="92"/>
      <c r="O92" s="92"/>
      <c r="P92" s="92"/>
      <c r="Q92" s="92"/>
      <c r="R92" s="92"/>
      <c r="S92" s="92"/>
      <c r="T92" s="92"/>
      <c r="U92" s="92"/>
      <c r="V92" s="92"/>
      <c r="W92" s="92"/>
      <c r="X92" s="92"/>
      <c r="Y92" s="92"/>
    </row>
    <row r="93" spans="1:25" ht="13.2">
      <c r="A93" s="92"/>
      <c r="B93" s="92"/>
      <c r="C93" s="92"/>
      <c r="D93" s="92"/>
      <c r="E93" s="92"/>
      <c r="F93" s="92"/>
      <c r="G93" s="92"/>
      <c r="H93" s="92"/>
      <c r="I93" s="92"/>
      <c r="J93" s="92"/>
      <c r="K93" s="92"/>
      <c r="L93" s="92"/>
      <c r="M93" s="92"/>
      <c r="N93" s="92"/>
      <c r="O93" s="92"/>
      <c r="P93" s="92"/>
      <c r="Q93" s="92"/>
      <c r="R93" s="92"/>
      <c r="S93" s="92"/>
      <c r="T93" s="92"/>
      <c r="U93" s="92"/>
      <c r="V93" s="92"/>
      <c r="W93" s="92"/>
      <c r="X93" s="92"/>
      <c r="Y93" s="92"/>
    </row>
    <row r="94" spans="1:25" ht="13.2">
      <c r="A94" s="92"/>
      <c r="B94" s="92"/>
      <c r="C94" s="92"/>
      <c r="D94" s="92"/>
      <c r="E94" s="92"/>
      <c r="F94" s="92"/>
      <c r="G94" s="92"/>
      <c r="H94" s="92"/>
      <c r="I94" s="92"/>
      <c r="J94" s="92"/>
      <c r="K94" s="92"/>
      <c r="L94" s="92"/>
      <c r="M94" s="92"/>
      <c r="N94" s="92"/>
      <c r="O94" s="92"/>
      <c r="P94" s="92"/>
      <c r="Q94" s="92"/>
      <c r="R94" s="92"/>
      <c r="S94" s="92"/>
      <c r="T94" s="92"/>
      <c r="U94" s="92"/>
      <c r="V94" s="92"/>
      <c r="W94" s="92"/>
      <c r="X94" s="92"/>
      <c r="Y94" s="92"/>
    </row>
    <row r="95" spans="1:25" ht="13.2">
      <c r="A95" s="92"/>
      <c r="B95" s="92"/>
      <c r="C95" s="92"/>
      <c r="D95" s="92"/>
      <c r="E95" s="92"/>
      <c r="F95" s="92"/>
      <c r="G95" s="92"/>
      <c r="H95" s="92"/>
      <c r="I95" s="92"/>
      <c r="J95" s="92"/>
      <c r="K95" s="92"/>
      <c r="L95" s="92"/>
      <c r="M95" s="92"/>
      <c r="N95" s="92"/>
      <c r="O95" s="92"/>
      <c r="P95" s="92"/>
      <c r="Q95" s="92"/>
      <c r="R95" s="92"/>
      <c r="S95" s="92"/>
      <c r="T95" s="92"/>
      <c r="U95" s="92"/>
      <c r="V95" s="92"/>
      <c r="W95" s="92"/>
      <c r="X95" s="92"/>
      <c r="Y95" s="92"/>
    </row>
    <row r="96" spans="1:25" ht="13.2">
      <c r="A96" s="92"/>
      <c r="B96" s="92"/>
      <c r="C96" s="92"/>
      <c r="D96" s="92"/>
      <c r="E96" s="92"/>
      <c r="F96" s="92"/>
      <c r="G96" s="92"/>
      <c r="H96" s="92"/>
      <c r="I96" s="92"/>
      <c r="J96" s="92"/>
      <c r="K96" s="92"/>
      <c r="L96" s="92"/>
      <c r="M96" s="92"/>
      <c r="N96" s="92"/>
      <c r="O96" s="92"/>
      <c r="P96" s="92"/>
      <c r="Q96" s="92"/>
      <c r="R96" s="92"/>
      <c r="S96" s="92"/>
      <c r="T96" s="92"/>
      <c r="U96" s="92"/>
      <c r="V96" s="92"/>
      <c r="W96" s="92"/>
      <c r="X96" s="92"/>
      <c r="Y96" s="92"/>
    </row>
    <row r="97" spans="1:25" ht="13.2">
      <c r="A97" s="92"/>
      <c r="B97" s="92"/>
      <c r="C97" s="92"/>
      <c r="D97" s="92"/>
      <c r="E97" s="92"/>
      <c r="F97" s="92"/>
      <c r="G97" s="92"/>
      <c r="H97" s="92"/>
      <c r="I97" s="92"/>
      <c r="J97" s="92"/>
      <c r="K97" s="92"/>
      <c r="L97" s="92"/>
      <c r="M97" s="92"/>
      <c r="N97" s="92"/>
      <c r="O97" s="92"/>
      <c r="P97" s="92"/>
      <c r="Q97" s="92"/>
      <c r="R97" s="92"/>
      <c r="S97" s="92"/>
      <c r="T97" s="92"/>
      <c r="U97" s="92"/>
      <c r="V97" s="92"/>
      <c r="W97" s="92"/>
      <c r="X97" s="92"/>
      <c r="Y97" s="92"/>
    </row>
    <row r="98" spans="1:25" ht="13.2">
      <c r="A98" s="92"/>
      <c r="B98" s="92"/>
      <c r="C98" s="92"/>
      <c r="D98" s="92"/>
      <c r="E98" s="92"/>
      <c r="F98" s="92"/>
      <c r="G98" s="92"/>
      <c r="H98" s="92"/>
      <c r="I98" s="92"/>
      <c r="J98" s="92"/>
      <c r="K98" s="92"/>
      <c r="L98" s="92"/>
      <c r="M98" s="92"/>
      <c r="N98" s="92"/>
      <c r="O98" s="92"/>
      <c r="P98" s="92"/>
      <c r="Q98" s="92"/>
      <c r="R98" s="92"/>
      <c r="S98" s="92"/>
      <c r="T98" s="92"/>
      <c r="U98" s="92"/>
      <c r="V98" s="92"/>
      <c r="W98" s="92"/>
      <c r="X98" s="92"/>
      <c r="Y98" s="92"/>
    </row>
    <row r="99" spans="1:25" ht="13.2">
      <c r="A99" s="92"/>
      <c r="B99" s="92"/>
      <c r="C99" s="92"/>
      <c r="D99" s="92"/>
      <c r="E99" s="92"/>
      <c r="F99" s="92"/>
      <c r="G99" s="92"/>
      <c r="H99" s="92"/>
      <c r="I99" s="92"/>
      <c r="J99" s="92"/>
      <c r="K99" s="92"/>
      <c r="L99" s="92"/>
      <c r="M99" s="92"/>
      <c r="N99" s="92"/>
      <c r="O99" s="92"/>
      <c r="P99" s="92"/>
      <c r="Q99" s="92"/>
      <c r="R99" s="92"/>
      <c r="S99" s="92"/>
      <c r="T99" s="92"/>
      <c r="U99" s="92"/>
      <c r="V99" s="92"/>
      <c r="W99" s="92"/>
      <c r="X99" s="92"/>
      <c r="Y99" s="92"/>
    </row>
    <row r="100" spans="1:25" ht="13.2">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row>
    <row r="101" spans="1:25" ht="13.2">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row>
    <row r="102" spans="1:25" ht="13.2">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row>
    <row r="103" spans="1:25" ht="13.2">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row>
    <row r="104" spans="1:25" ht="13.2">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row>
    <row r="105" spans="1:25" ht="13.2">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row>
    <row r="106" spans="1:25" ht="13.2">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row>
    <row r="107" spans="1:25" ht="13.2">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ht="13.2">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row>
    <row r="109" spans="1:25" ht="13.2">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row>
    <row r="110" spans="1:25" ht="13.2">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row>
    <row r="111" spans="1:25" ht="13.2">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row>
    <row r="112" spans="1:25" ht="13.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row>
    <row r="113" spans="1:25" ht="13.2">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row>
    <row r="114" spans="1:25" ht="13.2">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row>
    <row r="115" spans="1:25" ht="13.2">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row>
    <row r="116" spans="1:25" ht="13.2">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row>
    <row r="117" spans="1:25" ht="13.2">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row>
    <row r="118" spans="1:25" ht="13.2">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row>
    <row r="119" spans="1:25" ht="13.2">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row>
    <row r="120" spans="1:25" ht="13.2">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row>
    <row r="121" spans="1:25" ht="13.2">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row>
    <row r="122" spans="1:25" ht="13.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row>
    <row r="123" spans="1:25" ht="13.2">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row>
    <row r="124" spans="1:25" ht="13.2">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row>
    <row r="125" spans="1:25" ht="13.2">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row>
    <row r="126" spans="1:25" ht="13.2">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row>
    <row r="127" spans="1:25" ht="13.2">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ht="13.2">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ht="13.2">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ht="13.2">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ht="13.2">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ht="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ht="13.2">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ht="13.2">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ht="13.2">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ht="13.2">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ht="13.2">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ht="13.2">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ht="13.2">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ht="13.2">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ht="13.2">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row r="142" spans="1:25" ht="13.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row>
    <row r="143" spans="1:25" ht="13.2">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row>
    <row r="144" spans="1:25" ht="13.2">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row>
    <row r="145" spans="1:25" ht="13.2">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row>
    <row r="146" spans="1:25" ht="13.2">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row>
    <row r="147" spans="1:25" ht="13.2">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row>
    <row r="148" spans="1:25" ht="13.2">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row>
    <row r="149" spans="1:25" ht="13.2">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row>
    <row r="150" spans="1:25" ht="13.2">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row>
    <row r="151" spans="1:25" ht="13.2">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5" ht="13.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row>
    <row r="153" spans="1:25" ht="13.2">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row>
    <row r="154" spans="1:25" ht="13.2">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row>
    <row r="155" spans="1:25" ht="13.2">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row>
    <row r="156" spans="1:25" ht="13.2">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row>
    <row r="157" spans="1:25" ht="13.2">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row>
    <row r="158" spans="1:25" ht="13.2">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row>
    <row r="159" spans="1:25" ht="13.2">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row>
    <row r="160" spans="1:25" ht="13.2">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row>
    <row r="161" spans="1:25" ht="13.2">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row>
    <row r="162" spans="1:25" ht="13.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row>
    <row r="163" spans="1:25" ht="13.2">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row>
    <row r="164" spans="1:25" ht="13.2">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row>
    <row r="165" spans="1:25" ht="13.2">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row>
    <row r="166" spans="1:25" ht="13.2">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row>
    <row r="167" spans="1:25" ht="13.2">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row>
    <row r="168" spans="1:25" ht="13.2">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row>
    <row r="169" spans="1:25" ht="13.2">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row>
    <row r="170" spans="1:25" ht="13.2">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row>
    <row r="171" spans="1:25" ht="13.2">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row>
    <row r="172" spans="1:25" ht="13.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row>
    <row r="173" spans="1:25" ht="13.2">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25" ht="13.2">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row>
    <row r="175" spans="1:25" ht="13.2">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row>
    <row r="176" spans="1:25" ht="13.2">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row>
    <row r="177" spans="1:25" ht="13.2">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row>
    <row r="178" spans="1:25" ht="13.2">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row>
    <row r="179" spans="1:25" ht="13.2">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row>
    <row r="180" spans="1:25" ht="13.2">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row>
    <row r="181" spans="1:25" ht="13.2">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row>
    <row r="182" spans="1:25" ht="13.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row>
    <row r="183" spans="1:25" ht="13.2">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row>
    <row r="184" spans="1:25" ht="13.2">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row>
    <row r="185" spans="1:25" ht="13.2">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row>
    <row r="186" spans="1:25" ht="13.2">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row>
    <row r="187" spans="1:25" ht="13.2">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row>
    <row r="188" spans="1:25" ht="13.2">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row>
    <row r="189" spans="1:25" ht="13.2">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row>
    <row r="190" spans="1:25" ht="13.2">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row>
    <row r="191" spans="1:25" ht="13.2">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row>
    <row r="192" spans="1:25" ht="13.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row>
    <row r="193" spans="1:25" ht="13.2">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row>
    <row r="194" spans="1:25" ht="13.2">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row>
    <row r="195" spans="1:25" ht="13.2">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row>
    <row r="196" spans="1:25" ht="13.2">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row>
    <row r="197" spans="1:25" ht="13.2">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row>
    <row r="198" spans="1:25" ht="13.2">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row>
    <row r="199" spans="1:25" ht="13.2">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row>
    <row r="200" spans="1:25" ht="13.2">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row>
    <row r="201" spans="1:25" ht="13.2">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row>
    <row r="202" spans="1:25" ht="13.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row>
    <row r="203" spans="1:25" ht="13.2">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row>
    <row r="204" spans="1:25" ht="13.2">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row>
    <row r="205" spans="1:25" ht="13.2">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row>
    <row r="206" spans="1:25" ht="13.2">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row>
    <row r="207" spans="1:25" ht="13.2">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row>
    <row r="208" spans="1:25" ht="13.2">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row>
    <row r="209" spans="1:25" ht="13.2">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row>
    <row r="210" spans="1:25" ht="13.2">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row>
    <row r="211" spans="1:25" ht="13.2">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row>
    <row r="212" spans="1:25" ht="13.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row>
    <row r="213" spans="1:25" ht="13.2">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row>
    <row r="214" spans="1:25" ht="13.2">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row>
    <row r="215" spans="1:25" ht="13.2">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row>
    <row r="216" spans="1:25" ht="13.2">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row>
    <row r="217" spans="1:25" ht="13.2">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row>
    <row r="218" spans="1:25" ht="13.2">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row>
    <row r="219" spans="1:25" ht="13.2">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row>
    <row r="220" spans="1:25" ht="13.2">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row>
    <row r="221" spans="1:25" ht="13.2">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row>
    <row r="222" spans="1:25" ht="13.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row>
    <row r="223" spans="1:25" ht="13.2">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row>
    <row r="224" spans="1:25" ht="13.2">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row>
    <row r="225" spans="1:25" ht="13.2">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row>
    <row r="226" spans="1:25" ht="13.2">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row>
    <row r="227" spans="1:25" ht="13.2">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row>
    <row r="228" spans="1:25" ht="13.2">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row>
    <row r="229" spans="1:25" ht="13.2">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row>
    <row r="230" spans="1:25" ht="13.2">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row>
    <row r="231" spans="1:25" ht="13.2">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row>
    <row r="232" spans="1:25" ht="1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row>
    <row r="233" spans="1:25" ht="13.2">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row>
    <row r="234" spans="1:25" ht="13.2">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row>
    <row r="235" spans="1:25" ht="13.2">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row>
    <row r="236" spans="1:25" ht="13.2">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row>
    <row r="237" spans="1:25" ht="13.2">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row>
    <row r="238" spans="1:25" ht="13.2">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row>
    <row r="239" spans="1:25" ht="13.2">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row>
    <row r="240" spans="1:25" ht="13.2">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row>
    <row r="241" spans="1:25" ht="13.2">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row>
    <row r="242" spans="1:25" ht="13.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row>
    <row r="243" spans="1:25" ht="13.2">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row>
    <row r="244" spans="1:25" ht="13.2">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row>
    <row r="245" spans="1:25" ht="13.2">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row>
    <row r="246" spans="1:25" ht="13.2">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row>
    <row r="247" spans="1:25" ht="13.2">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row>
    <row r="248" spans="1:25" ht="13.2">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row>
    <row r="249" spans="1:25" ht="13.2">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row>
    <row r="250" spans="1:25" ht="13.2">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row>
    <row r="251" spans="1:25" ht="13.2">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row>
    <row r="252" spans="1:25" ht="13.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row>
    <row r="253" spans="1:25" ht="13.2">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row>
    <row r="254" spans="1:25" ht="13.2">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row>
    <row r="255" spans="1:25" ht="13.2">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row>
    <row r="256" spans="1:25" ht="13.2">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row>
    <row r="257" spans="1:25" ht="13.2">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row>
    <row r="258" spans="1:25" ht="13.2">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row>
    <row r="259" spans="1:25" ht="13.2">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row>
    <row r="260" spans="1:25" ht="13.2">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row>
    <row r="261" spans="1:25" ht="13.2">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row>
    <row r="262" spans="1:25" ht="13.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row>
    <row r="263" spans="1:25" ht="13.2">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row>
    <row r="264" spans="1:25" ht="13.2">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row>
    <row r="265" spans="1:25" ht="13.2">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row>
    <row r="266" spans="1:25" ht="13.2">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row>
    <row r="267" spans="1:25" ht="13.2">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row>
    <row r="268" spans="1:25" ht="13.2">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row>
    <row r="269" spans="1:25" ht="13.2">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row>
    <row r="270" spans="1:25" ht="13.2">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row>
    <row r="271" spans="1:25" ht="13.2">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row>
    <row r="272" spans="1:25" ht="13.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row>
    <row r="273" spans="1:25" ht="13.2">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row>
    <row r="274" spans="1:25" ht="13.2">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row>
    <row r="275" spans="1:25" ht="13.2">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row>
    <row r="276" spans="1:25" ht="13.2">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row>
    <row r="277" spans="1:25" ht="13.2">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row>
    <row r="278" spans="1:25" ht="13.2">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row>
    <row r="279" spans="1:25" ht="13.2">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row>
    <row r="280" spans="1:25" ht="13.2">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row>
    <row r="281" spans="1:25" ht="13.2">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row>
    <row r="282" spans="1:25" ht="13.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row>
    <row r="283" spans="1:25" ht="13.2">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row>
    <row r="284" spans="1:25" ht="13.2">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row>
    <row r="285" spans="1:25" ht="13.2">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row>
    <row r="286" spans="1:25" ht="13.2">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row>
    <row r="287" spans="1:25" ht="13.2">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row>
    <row r="288" spans="1:25" ht="13.2">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row>
    <row r="289" spans="1:25" ht="13.2">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row>
    <row r="290" spans="1:25" ht="13.2">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row>
    <row r="291" spans="1:25" ht="13.2">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row>
    <row r="292" spans="1:25" ht="13.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row>
    <row r="293" spans="1:25" ht="13.2">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row>
    <row r="294" spans="1:25" ht="13.2">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row>
    <row r="295" spans="1:25" ht="13.2">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row>
    <row r="296" spans="1:25" ht="13.2">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row>
    <row r="297" spans="1:25" ht="13.2">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row>
    <row r="298" spans="1:25" ht="13.2">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row>
    <row r="299" spans="1:25" ht="13.2">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row>
    <row r="300" spans="1:25" ht="13.2">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row>
    <row r="301" spans="1:25" ht="13.2">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row>
    <row r="302" spans="1:25" ht="13.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row>
    <row r="303" spans="1:25" ht="13.2">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row>
    <row r="304" spans="1:25" ht="13.2">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row>
    <row r="305" spans="1:25" ht="13.2">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row>
    <row r="306" spans="1:25" ht="13.2">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row>
    <row r="307" spans="1:25" ht="13.2">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row>
    <row r="308" spans="1:25" ht="13.2">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row>
    <row r="309" spans="1:25" ht="13.2">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row>
    <row r="310" spans="1:25" ht="13.2">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row>
    <row r="311" spans="1:25" ht="13.2">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row>
    <row r="312" spans="1:25" ht="13.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row>
    <row r="313" spans="1:25" ht="13.2">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row>
    <row r="314" spans="1:25" ht="13.2">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row>
    <row r="315" spans="1:25" ht="13.2">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row>
    <row r="316" spans="1:25" ht="13.2">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row>
    <row r="317" spans="1:25" ht="13.2">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row>
    <row r="318" spans="1:25" ht="13.2">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row>
    <row r="319" spans="1:25" ht="13.2">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row>
    <row r="320" spans="1:25" ht="13.2">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row>
    <row r="321" spans="1:25" ht="13.2">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row>
    <row r="322" spans="1:25" ht="13.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row>
    <row r="323" spans="1:25" ht="13.2">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row>
    <row r="324" spans="1:25" ht="13.2">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row>
    <row r="325" spans="1:25" ht="13.2">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row>
    <row r="326" spans="1:25" ht="13.2">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row>
    <row r="327" spans="1:25" ht="13.2">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row>
    <row r="328" spans="1:25" ht="13.2">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row>
    <row r="329" spans="1:25" ht="13.2">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row>
    <row r="330" spans="1:25" ht="13.2">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row>
    <row r="331" spans="1:25" ht="13.2">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row>
    <row r="332" spans="1:25" ht="1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row>
    <row r="333" spans="1:25" ht="13.2">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row>
    <row r="334" spans="1:25" ht="13.2">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row>
    <row r="335" spans="1:25" ht="13.2">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row>
    <row r="336" spans="1:25" ht="13.2">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row>
    <row r="337" spans="1:25" ht="13.2">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row>
    <row r="338" spans="1:25" ht="13.2">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row>
    <row r="339" spans="1:25" ht="13.2">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row>
    <row r="340" spans="1:25" ht="13.2">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row>
    <row r="341" spans="1:25" ht="13.2">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row>
    <row r="342" spans="1:25" ht="13.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row>
    <row r="343" spans="1:25" ht="13.2">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row>
    <row r="344" spans="1:25" ht="13.2">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row>
    <row r="345" spans="1:25" ht="13.2">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row>
    <row r="346" spans="1:25" ht="13.2">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row>
    <row r="347" spans="1:25" ht="13.2">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row>
    <row r="348" spans="1:25" ht="13.2">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row>
    <row r="349" spans="1:25" ht="13.2">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row>
    <row r="350" spans="1:25" ht="13.2">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row>
    <row r="351" spans="1:25" ht="13.2">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row>
    <row r="352" spans="1:25" ht="13.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row>
    <row r="353" spans="1:25" ht="13.2">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row>
    <row r="354" spans="1:25" ht="13.2">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row>
    <row r="355" spans="1:25" ht="13.2">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row>
    <row r="356" spans="1:25" ht="13.2">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row>
    <row r="357" spans="1:25" ht="13.2">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row>
    <row r="358" spans="1:25" ht="13.2">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row>
    <row r="359" spans="1:25" ht="13.2">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row>
    <row r="360" spans="1:25" ht="13.2">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row>
    <row r="361" spans="1:25" ht="13.2">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row>
    <row r="362" spans="1:25" ht="13.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row>
    <row r="363" spans="1:25" ht="13.2">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row>
    <row r="364" spans="1:25" ht="13.2">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row>
    <row r="365" spans="1:25" ht="13.2">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row>
    <row r="366" spans="1:25" ht="13.2">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row>
    <row r="367" spans="1:25" ht="13.2">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row>
    <row r="368" spans="1:25" ht="13.2">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row>
    <row r="369" spans="1:25" ht="13.2">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row>
    <row r="370" spans="1:25" ht="13.2">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row>
    <row r="371" spans="1:25" ht="13.2">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row>
    <row r="372" spans="1:25" ht="13.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row>
    <row r="373" spans="1:25" ht="13.2">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row>
    <row r="374" spans="1:25" ht="13.2">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row>
    <row r="375" spans="1:25" ht="13.2">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row>
    <row r="376" spans="1:25" ht="13.2">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row>
    <row r="377" spans="1:25" ht="13.2">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row>
    <row r="378" spans="1:25" ht="13.2">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row>
    <row r="379" spans="1:25" ht="13.2">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row>
    <row r="380" spans="1:25" ht="13.2">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row>
    <row r="381" spans="1:25" ht="13.2">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row>
    <row r="382" spans="1:25" ht="13.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row>
    <row r="383" spans="1:25" ht="13.2">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row>
    <row r="384" spans="1:25" ht="13.2">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row>
    <row r="385" spans="1:25" ht="13.2">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row>
    <row r="386" spans="1:25" ht="13.2">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row>
    <row r="387" spans="1:25" ht="13.2">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row>
    <row r="388" spans="1:25" ht="13.2">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row>
    <row r="389" spans="1:25" ht="13.2">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row>
    <row r="390" spans="1:25" ht="13.2">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row>
    <row r="391" spans="1:25" ht="13.2">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row>
    <row r="392" spans="1:25" ht="13.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row>
    <row r="393" spans="1:25" ht="13.2">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row>
    <row r="394" spans="1:25" ht="13.2">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row>
    <row r="395" spans="1:25" ht="13.2">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row>
    <row r="396" spans="1:25" ht="13.2">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row>
    <row r="397" spans="1:25" ht="13.2">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row>
    <row r="398" spans="1:25" ht="13.2">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row>
    <row r="399" spans="1:25" ht="13.2">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row>
    <row r="400" spans="1:25" ht="13.2">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row>
    <row r="401" spans="1:25" ht="13.2">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row>
    <row r="402" spans="1:25" ht="13.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row>
    <row r="403" spans="1:25" ht="13.2">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row>
    <row r="404" spans="1:25" ht="13.2">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row>
    <row r="405" spans="1:25" ht="13.2">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row>
    <row r="406" spans="1:25" ht="13.2">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row>
    <row r="407" spans="1:25" ht="13.2">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row>
    <row r="408" spans="1:25" ht="13.2">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row>
    <row r="409" spans="1:25" ht="13.2">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row>
    <row r="410" spans="1:25" ht="13.2">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row>
    <row r="411" spans="1:25" ht="13.2">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row>
    <row r="412" spans="1:25" ht="13.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row>
    <row r="413" spans="1:25" ht="13.2">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row>
    <row r="414" spans="1:25" ht="13.2">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row>
    <row r="415" spans="1:25" ht="13.2">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row>
    <row r="416" spans="1:25" ht="13.2">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row>
    <row r="417" spans="1:25" ht="13.2">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row>
    <row r="418" spans="1:25" ht="13.2">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row>
    <row r="419" spans="1:25" ht="13.2">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row>
    <row r="420" spans="1:25" ht="13.2">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row>
    <row r="421" spans="1:25" ht="13.2">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row>
    <row r="422" spans="1:25" ht="13.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row>
    <row r="423" spans="1:25" ht="13.2">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row>
    <row r="424" spans="1:25" ht="13.2">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row>
    <row r="425" spans="1:25" ht="13.2">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row>
    <row r="426" spans="1:25" ht="13.2">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row>
    <row r="427" spans="1:25" ht="13.2">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row>
    <row r="428" spans="1:25" ht="13.2">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row>
    <row r="429" spans="1:25" ht="13.2">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row>
    <row r="430" spans="1:25" ht="13.2">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row>
    <row r="431" spans="1:25" ht="13.2">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row>
    <row r="432" spans="1:25" ht="1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row>
    <row r="433" spans="1:25" ht="13.2">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row>
    <row r="434" spans="1:25" ht="13.2">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row>
    <row r="435" spans="1:25" ht="13.2">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row>
    <row r="436" spans="1:25" ht="13.2">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row>
    <row r="437" spans="1:25" ht="13.2">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row>
    <row r="438" spans="1:25" ht="13.2">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row>
    <row r="439" spans="1:25" ht="13.2">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row>
    <row r="440" spans="1:25" ht="13.2">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row>
    <row r="441" spans="1:25" ht="13.2">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row>
    <row r="442" spans="1:25" ht="13.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row>
    <row r="443" spans="1:25" ht="13.2">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row>
    <row r="444" spans="1:25" ht="13.2">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row>
    <row r="445" spans="1:25" ht="13.2">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row>
    <row r="446" spans="1:25" ht="13.2">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row>
    <row r="447" spans="1:25" ht="13.2">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row>
    <row r="448" spans="1:25" ht="13.2">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row>
    <row r="449" spans="1:25" ht="13.2">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row>
    <row r="450" spans="1:25" ht="13.2">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row>
    <row r="451" spans="1:25" ht="13.2">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row>
    <row r="452" spans="1:25" ht="13.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row>
    <row r="453" spans="1:25" ht="13.2">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row>
    <row r="454" spans="1:25" ht="13.2">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row>
    <row r="455" spans="1:25" ht="13.2">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row>
    <row r="456" spans="1:25" ht="13.2">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row>
    <row r="457" spans="1:25" ht="13.2">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row>
    <row r="458" spans="1:25" ht="13.2">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row>
    <row r="459" spans="1:25" ht="13.2">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row>
    <row r="460" spans="1:25" ht="13.2">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row>
    <row r="461" spans="1:25" ht="13.2">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row>
    <row r="462" spans="1:25" ht="13.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row>
    <row r="463" spans="1:25" ht="13.2">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row>
    <row r="464" spans="1:25" ht="13.2">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row>
    <row r="465" spans="1:25" ht="13.2">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row>
    <row r="466" spans="1:25" ht="13.2">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row>
    <row r="467" spans="1:25" ht="13.2">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row>
    <row r="468" spans="1:25" ht="13.2">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row>
    <row r="469" spans="1:25" ht="13.2">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row>
    <row r="470" spans="1:25" ht="13.2">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row>
    <row r="471" spans="1:25" ht="13.2">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row>
    <row r="472" spans="1:25" ht="13.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row>
    <row r="473" spans="1:25" ht="13.2">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row>
    <row r="474" spans="1:25" ht="13.2">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row>
    <row r="475" spans="1:25" ht="13.2">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row>
    <row r="476" spans="1:25" ht="13.2">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row>
    <row r="477" spans="1:25" ht="13.2">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row>
    <row r="478" spans="1:25" ht="13.2">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row>
    <row r="479" spans="1:25" ht="13.2">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row>
    <row r="480" spans="1:25" ht="13.2">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row>
    <row r="481" spans="1:25" ht="13.2">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row>
    <row r="482" spans="1:25" ht="13.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row>
    <row r="483" spans="1:25" ht="13.2">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row>
    <row r="484" spans="1:25" ht="13.2">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row>
    <row r="485" spans="1:25" ht="13.2">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row>
    <row r="486" spans="1:25" ht="13.2">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row>
    <row r="487" spans="1:25" ht="13.2">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row>
    <row r="488" spans="1:25" ht="13.2">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row>
    <row r="489" spans="1:25" ht="13.2">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row>
    <row r="490" spans="1:25" ht="13.2">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row>
    <row r="491" spans="1:25" ht="13.2">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row>
    <row r="492" spans="1:25" ht="13.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row>
    <row r="493" spans="1:25" ht="13.2">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row>
    <row r="494" spans="1:25" ht="13.2">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row>
    <row r="495" spans="1:25" ht="13.2">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row>
    <row r="496" spans="1:25" ht="13.2">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row>
    <row r="497" spans="1:25" ht="13.2">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row>
    <row r="498" spans="1:25" ht="13.2">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row>
    <row r="499" spans="1:25" ht="13.2">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row>
    <row r="500" spans="1:25" ht="13.2">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row>
    <row r="501" spans="1:25" ht="13.2">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row>
    <row r="502" spans="1:25" ht="13.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row>
    <row r="503" spans="1:25" ht="13.2">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row>
    <row r="504" spans="1:25" ht="13.2">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row>
    <row r="505" spans="1:25" ht="13.2">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row>
    <row r="506" spans="1:25" ht="13.2">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row>
    <row r="507" spans="1:25" ht="13.2">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row>
    <row r="508" spans="1:25" ht="13.2">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row>
    <row r="509" spans="1:25" ht="13.2">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row>
    <row r="510" spans="1:25" ht="13.2">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row>
    <row r="511" spans="1:25" ht="13.2">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row>
    <row r="512" spans="1:25" ht="13.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row>
    <row r="513" spans="1:25" ht="13.2">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row>
    <row r="514" spans="1:25" ht="13.2">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row>
    <row r="515" spans="1:25" ht="13.2">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row>
    <row r="516" spans="1:25" ht="13.2">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row>
    <row r="517" spans="1:25" ht="13.2">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row>
    <row r="518" spans="1:25" ht="13.2">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row>
    <row r="519" spans="1:25" ht="13.2">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row>
    <row r="520" spans="1:25" ht="13.2">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row>
    <row r="521" spans="1:25" ht="13.2">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row>
    <row r="522" spans="1:25" ht="13.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row>
    <row r="523" spans="1:25" ht="13.2">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row>
    <row r="524" spans="1:25" ht="13.2">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row>
    <row r="525" spans="1:25" ht="13.2">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row>
    <row r="526" spans="1:25" ht="13.2">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row>
    <row r="527" spans="1:25" ht="13.2">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row>
    <row r="528" spans="1:25" ht="13.2">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row>
    <row r="529" spans="1:25" ht="13.2">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row>
    <row r="530" spans="1:25" ht="13.2">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row>
    <row r="531" spans="1:25" ht="13.2">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row>
    <row r="532" spans="1:25" ht="1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row>
    <row r="533" spans="1:25" ht="13.2">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row>
    <row r="534" spans="1:25" ht="13.2">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row>
    <row r="535" spans="1:25" ht="13.2">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row>
    <row r="536" spans="1:25" ht="13.2">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row>
    <row r="537" spans="1:25" ht="13.2">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row>
    <row r="538" spans="1:25" ht="13.2">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row>
    <row r="539" spans="1:25" ht="13.2">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row>
    <row r="540" spans="1:25" ht="13.2">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row>
    <row r="541" spans="1:25" ht="13.2">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row>
    <row r="542" spans="1:25" ht="13.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row>
    <row r="543" spans="1:25" ht="13.2">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row>
    <row r="544" spans="1:25" ht="13.2">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row>
    <row r="545" spans="1:25" ht="13.2">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row>
    <row r="546" spans="1:25" ht="13.2">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row>
    <row r="547" spans="1:25" ht="13.2">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row>
    <row r="548" spans="1:25" ht="13.2">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row>
    <row r="549" spans="1:25" ht="13.2">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row>
    <row r="550" spans="1:25" ht="13.2">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row>
    <row r="551" spans="1:25" ht="13.2">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row>
    <row r="552" spans="1:25" ht="13.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row>
    <row r="553" spans="1:25" ht="13.2">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row>
    <row r="554" spans="1:25" ht="13.2">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row>
    <row r="555" spans="1:25" ht="13.2">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row>
    <row r="556" spans="1:25" ht="13.2">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row>
    <row r="557" spans="1:25" ht="13.2">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row>
    <row r="558" spans="1:25" ht="13.2">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row>
    <row r="559" spans="1:25" ht="13.2">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row>
    <row r="560" spans="1:25" ht="13.2">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row>
    <row r="561" spans="1:25" ht="13.2">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row>
    <row r="562" spans="1:25" ht="13.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row>
    <row r="563" spans="1:25" ht="13.2">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row>
    <row r="564" spans="1:25" ht="13.2">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row>
    <row r="565" spans="1:25" ht="13.2">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row>
    <row r="566" spans="1:25" ht="13.2">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row>
    <row r="567" spans="1:25" ht="13.2">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row>
    <row r="568" spans="1:25" ht="13.2">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row>
    <row r="569" spans="1:25" ht="13.2">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row>
    <row r="570" spans="1:25" ht="13.2">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row>
    <row r="571" spans="1:25" ht="13.2">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row>
    <row r="572" spans="1:25" ht="13.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row>
    <row r="573" spans="1:25" ht="13.2">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row>
    <row r="574" spans="1:25" ht="13.2">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row>
    <row r="575" spans="1:25" ht="13.2">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row>
    <row r="576" spans="1:25" ht="13.2">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row>
    <row r="577" spans="1:25" ht="13.2">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row>
    <row r="578" spans="1:25" ht="13.2">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row>
    <row r="579" spans="1:25" ht="13.2">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row>
    <row r="580" spans="1:25" ht="13.2">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row>
    <row r="581" spans="1:25" ht="13.2">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row>
    <row r="582" spans="1:25" ht="13.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row>
    <row r="583" spans="1:25" ht="13.2">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row>
    <row r="584" spans="1:25" ht="13.2">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row>
    <row r="585" spans="1:25" ht="13.2">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row>
    <row r="586" spans="1:25" ht="13.2">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row>
    <row r="587" spans="1:25" ht="13.2">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row>
    <row r="588" spans="1:25" ht="13.2">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row>
    <row r="589" spans="1:25" ht="13.2">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row>
    <row r="590" spans="1:25" ht="13.2">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row>
    <row r="591" spans="1:25" ht="13.2">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row>
    <row r="592" spans="1:25" ht="13.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row>
    <row r="593" spans="1:25" ht="13.2">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row>
    <row r="594" spans="1:25" ht="13.2">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row>
    <row r="595" spans="1:25" ht="13.2">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row>
    <row r="596" spans="1:25" ht="13.2">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row>
    <row r="597" spans="1:25" ht="13.2">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row>
    <row r="598" spans="1:25" ht="13.2">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row>
    <row r="599" spans="1:25" ht="13.2">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row>
    <row r="600" spans="1:25" ht="13.2">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row>
    <row r="601" spans="1:25" ht="13.2">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row>
    <row r="602" spans="1:25" ht="13.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row>
    <row r="603" spans="1:25" ht="13.2">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row>
    <row r="604" spans="1:25" ht="13.2">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row>
    <row r="605" spans="1:25" ht="13.2">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row>
    <row r="606" spans="1:25" ht="13.2">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row>
    <row r="607" spans="1:25" ht="13.2">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row>
    <row r="608" spans="1:25" ht="13.2">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row>
    <row r="609" spans="1:25" ht="13.2">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row>
    <row r="610" spans="1:25" ht="13.2">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row>
    <row r="611" spans="1:25" ht="13.2">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row>
    <row r="612" spans="1:25" ht="13.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row>
    <row r="613" spans="1:25" ht="13.2">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row>
    <row r="614" spans="1:25" ht="13.2">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row>
    <row r="615" spans="1:25" ht="13.2">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row>
    <row r="616" spans="1:25" ht="13.2">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row>
    <row r="617" spans="1:25" ht="13.2">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row>
    <row r="618" spans="1:25" ht="13.2">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row>
    <row r="619" spans="1:25" ht="13.2">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row>
    <row r="620" spans="1:25" ht="13.2">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row>
    <row r="621" spans="1:25" ht="13.2">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row>
    <row r="622" spans="1:25" ht="13.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row>
    <row r="623" spans="1:25" ht="13.2">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row>
    <row r="624" spans="1:25" ht="13.2">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row>
    <row r="625" spans="1:25" ht="13.2">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row>
    <row r="626" spans="1:25" ht="13.2">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row>
    <row r="627" spans="1:25" ht="13.2">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row>
    <row r="628" spans="1:25" ht="13.2">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row>
    <row r="629" spans="1:25" ht="13.2">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row>
    <row r="630" spans="1:25" ht="13.2">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row>
    <row r="631" spans="1:25" ht="13.2">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row>
    <row r="632" spans="1:25" ht="1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row>
    <row r="633" spans="1:25" ht="13.2">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row>
    <row r="634" spans="1:25" ht="13.2">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row>
    <row r="635" spans="1:25" ht="13.2">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row>
    <row r="636" spans="1:25" ht="13.2">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row>
    <row r="637" spans="1:25" ht="13.2">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row>
    <row r="638" spans="1:25" ht="13.2">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row>
    <row r="639" spans="1:25" ht="13.2">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row>
    <row r="640" spans="1:25" ht="13.2">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row>
    <row r="641" spans="1:25" ht="13.2">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row>
    <row r="642" spans="1:25" ht="13.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row>
    <row r="643" spans="1:25" ht="13.2">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row>
    <row r="644" spans="1:25" ht="13.2">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row>
    <row r="645" spans="1:25" ht="13.2">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row>
    <row r="646" spans="1:25" ht="13.2">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row>
    <row r="647" spans="1:25" ht="13.2">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row>
    <row r="648" spans="1:25" ht="13.2">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row>
    <row r="649" spans="1:25" ht="13.2">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row>
    <row r="650" spans="1:25" ht="13.2">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row>
    <row r="651" spans="1:25" ht="13.2">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row>
    <row r="652" spans="1:25" ht="13.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row>
    <row r="653" spans="1:25" ht="13.2">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row>
    <row r="654" spans="1:25" ht="13.2">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row>
    <row r="655" spans="1:25" ht="13.2">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row>
    <row r="656" spans="1:25" ht="13.2">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row>
    <row r="657" spans="1:25" ht="13.2">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row>
    <row r="658" spans="1:25" ht="13.2">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row>
    <row r="659" spans="1:25" ht="13.2">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row>
    <row r="660" spans="1:25" ht="13.2">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row>
    <row r="661" spans="1:25" ht="13.2">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row>
    <row r="662" spans="1:25" ht="13.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row>
    <row r="663" spans="1:25" ht="13.2">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row>
    <row r="664" spans="1:25" ht="13.2">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row>
    <row r="665" spans="1:25" ht="13.2">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row>
    <row r="666" spans="1:25" ht="13.2">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row>
    <row r="667" spans="1:25" ht="13.2">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row>
    <row r="668" spans="1:25" ht="13.2">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row>
    <row r="669" spans="1:25" ht="13.2">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row>
    <row r="670" spans="1:25" ht="13.2">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row>
    <row r="671" spans="1:25" ht="13.2">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row>
    <row r="672" spans="1:25" ht="13.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row>
    <row r="673" spans="1:25" ht="13.2">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row>
    <row r="674" spans="1:25" ht="13.2">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row>
    <row r="675" spans="1:25" ht="13.2">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row>
    <row r="676" spans="1:25" ht="13.2">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row>
    <row r="677" spans="1:25" ht="13.2">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row>
    <row r="678" spans="1:25" ht="13.2">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row>
    <row r="679" spans="1:25" ht="13.2">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row>
    <row r="680" spans="1:25" ht="13.2">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row>
    <row r="681" spans="1:25" ht="13.2">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row>
    <row r="682" spans="1:25" ht="13.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row>
    <row r="683" spans="1:25" ht="13.2">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row>
    <row r="684" spans="1:25" ht="13.2">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row>
    <row r="685" spans="1:25" ht="13.2">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row>
    <row r="686" spans="1:25" ht="13.2">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row>
    <row r="687" spans="1:25" ht="13.2">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row>
    <row r="688" spans="1:25" ht="13.2">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row>
    <row r="689" spans="1:25" ht="13.2">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row>
    <row r="690" spans="1:25" ht="13.2">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row>
    <row r="691" spans="1:25" ht="13.2">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row>
    <row r="692" spans="1:25" ht="13.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row>
    <row r="693" spans="1:25" ht="13.2">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row>
    <row r="694" spans="1:25" ht="13.2">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row>
    <row r="695" spans="1:25" ht="13.2">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row>
    <row r="696" spans="1:25" ht="13.2">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row>
    <row r="697" spans="1:25" ht="13.2">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row>
    <row r="698" spans="1:25" ht="13.2">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row>
    <row r="699" spans="1:25" ht="13.2">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row>
    <row r="700" spans="1:25" ht="13.2">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row>
    <row r="701" spans="1:25" ht="13.2">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row>
    <row r="702" spans="1:25" ht="13.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row>
    <row r="703" spans="1:25" ht="13.2">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row>
    <row r="704" spans="1:25" ht="13.2">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row>
    <row r="705" spans="1:25" ht="13.2">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row>
    <row r="706" spans="1:25" ht="13.2">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row>
    <row r="707" spans="1:25" ht="13.2">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row>
    <row r="708" spans="1:25" ht="13.2">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row>
    <row r="709" spans="1:25" ht="13.2">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row>
    <row r="710" spans="1:25" ht="13.2">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row>
    <row r="711" spans="1:25" ht="13.2">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row>
    <row r="712" spans="1:25" ht="13.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row>
    <row r="713" spans="1:25" ht="13.2">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row>
    <row r="714" spans="1:25" ht="13.2">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row>
    <row r="715" spans="1:25" ht="13.2">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row>
    <row r="716" spans="1:25" ht="13.2">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row>
    <row r="717" spans="1:25" ht="13.2">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row>
    <row r="718" spans="1:25" ht="13.2">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row>
    <row r="719" spans="1:25" ht="13.2">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row>
    <row r="720" spans="1:25" ht="13.2">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row>
    <row r="721" spans="1:25" ht="13.2">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row>
    <row r="722" spans="1:25" ht="13.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row>
    <row r="723" spans="1:25" ht="13.2">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row>
    <row r="724" spans="1:25" ht="13.2">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row>
    <row r="725" spans="1:25" ht="13.2">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row>
    <row r="726" spans="1:25" ht="13.2">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row>
    <row r="727" spans="1:25" ht="13.2">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row>
    <row r="728" spans="1:25" ht="13.2">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row>
    <row r="729" spans="1:25" ht="13.2">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row>
    <row r="730" spans="1:25" ht="13.2">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row>
    <row r="731" spans="1:25" ht="13.2">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row>
    <row r="732" spans="1:25" ht="1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row>
    <row r="733" spans="1:25" ht="13.2">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row>
    <row r="734" spans="1:25" ht="13.2">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row>
    <row r="735" spans="1:25" ht="13.2">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row>
    <row r="736" spans="1:25" ht="13.2">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row>
    <row r="737" spans="1:25" ht="13.2">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row>
    <row r="738" spans="1:25" ht="13.2">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row>
    <row r="739" spans="1:25" ht="13.2">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row>
    <row r="740" spans="1:25" ht="13.2">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row>
    <row r="741" spans="1:25" ht="13.2">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row>
    <row r="742" spans="1:25" ht="13.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row>
    <row r="743" spans="1:25" ht="13.2">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row>
    <row r="744" spans="1:25" ht="13.2">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row>
    <row r="745" spans="1:25" ht="13.2">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row>
    <row r="746" spans="1:25" ht="13.2">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row>
    <row r="747" spans="1:25" ht="13.2">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row>
    <row r="748" spans="1:25" ht="13.2">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row>
    <row r="749" spans="1:25" ht="13.2">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row>
    <row r="750" spans="1:25" ht="13.2">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row>
    <row r="751" spans="1:25" ht="13.2">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row>
    <row r="752" spans="1:25" ht="13.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row>
    <row r="753" spans="1:25" ht="13.2">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row>
    <row r="754" spans="1:25" ht="13.2">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row>
    <row r="755" spans="1:25" ht="13.2">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row>
    <row r="756" spans="1:25" ht="13.2">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row>
    <row r="757" spans="1:25" ht="13.2">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row>
    <row r="758" spans="1:25" ht="13.2">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row>
    <row r="759" spans="1:25" ht="13.2">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row>
    <row r="760" spans="1:25" ht="13.2">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row>
    <row r="761" spans="1:25" ht="13.2">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row>
    <row r="762" spans="1:25" ht="13.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row>
    <row r="763" spans="1:25" ht="13.2">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row>
    <row r="764" spans="1:25" ht="13.2">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row>
    <row r="765" spans="1:25" ht="13.2">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row>
    <row r="766" spans="1:25" ht="13.2">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row>
    <row r="767" spans="1:25" ht="13.2">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row>
    <row r="768" spans="1:25" ht="13.2">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row>
    <row r="769" spans="1:25" ht="13.2">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row>
    <row r="770" spans="1:25" ht="13.2">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row>
    <row r="771" spans="1:25" ht="13.2">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row>
    <row r="772" spans="1:25" ht="13.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row>
    <row r="773" spans="1:25" ht="13.2">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row>
    <row r="774" spans="1:25" ht="13.2">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row>
    <row r="775" spans="1:25" ht="13.2">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row>
    <row r="776" spans="1:25" ht="13.2">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row>
    <row r="777" spans="1:25" ht="13.2">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row>
    <row r="778" spans="1:25" ht="13.2">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row>
    <row r="779" spans="1:25" ht="13.2">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row>
    <row r="780" spans="1:25" ht="13.2">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row>
    <row r="781" spans="1:25" ht="13.2">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row>
    <row r="782" spans="1:25" ht="13.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row>
    <row r="783" spans="1:25" ht="13.2">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row>
    <row r="784" spans="1:25" ht="13.2">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row>
    <row r="785" spans="1:25" ht="13.2">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row>
    <row r="786" spans="1:25" ht="13.2">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row>
    <row r="787" spans="1:25" ht="13.2">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row>
    <row r="788" spans="1:25" ht="13.2">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row>
    <row r="789" spans="1:25" ht="13.2">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row>
    <row r="790" spans="1:25" ht="13.2">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row>
    <row r="791" spans="1:25" ht="13.2">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row>
    <row r="792" spans="1:25" ht="13.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row>
    <row r="793" spans="1:25" ht="13.2">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row>
    <row r="794" spans="1:25" ht="13.2">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row>
    <row r="795" spans="1:25" ht="13.2">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row>
    <row r="796" spans="1:25" ht="13.2">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row>
    <row r="797" spans="1:25" ht="13.2">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row>
    <row r="798" spans="1:25" ht="13.2">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row>
    <row r="799" spans="1:25" ht="13.2">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row>
    <row r="800" spans="1:25" ht="13.2">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row>
    <row r="801" spans="1:25" ht="13.2">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row>
    <row r="802" spans="1:25" ht="13.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row>
    <row r="803" spans="1:25" ht="13.2">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row>
    <row r="804" spans="1:25" ht="13.2">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row>
    <row r="805" spans="1:25" ht="13.2">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row>
    <row r="806" spans="1:25" ht="13.2">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row>
    <row r="807" spans="1:25" ht="13.2">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row>
    <row r="808" spans="1:25" ht="13.2">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row>
    <row r="809" spans="1:25" ht="13.2">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row>
    <row r="810" spans="1:25" ht="13.2">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row>
    <row r="811" spans="1:25" ht="13.2">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row>
    <row r="812" spans="1:25" ht="13.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row>
    <row r="813" spans="1:25" ht="13.2">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row>
    <row r="814" spans="1:25" ht="13.2">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row>
    <row r="815" spans="1:25" ht="13.2">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row>
    <row r="816" spans="1:25" ht="13.2">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row>
    <row r="817" spans="1:25" ht="13.2">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row>
    <row r="818" spans="1:25" ht="13.2">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row>
    <row r="819" spans="1:25" ht="13.2">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row>
    <row r="820" spans="1:25" ht="13.2">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row>
    <row r="821" spans="1:25" ht="13.2">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row>
    <row r="822" spans="1:25" ht="13.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row>
    <row r="823" spans="1:25" ht="13.2">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row>
    <row r="824" spans="1:25" ht="13.2">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row>
    <row r="825" spans="1:25" ht="13.2">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row>
    <row r="826" spans="1:25" ht="13.2">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row>
    <row r="827" spans="1:25" ht="13.2">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row>
    <row r="828" spans="1:25" ht="13.2">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row>
    <row r="829" spans="1:25" ht="13.2">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row>
    <row r="830" spans="1:25" ht="13.2">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row>
    <row r="831" spans="1:25" ht="13.2">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row>
    <row r="832" spans="1:25" ht="1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row>
    <row r="833" spans="1:25" ht="13.2">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row>
    <row r="834" spans="1:25" ht="13.2">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row>
    <row r="835" spans="1:25" ht="13.2">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row>
    <row r="836" spans="1:25" ht="13.2">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row>
    <row r="837" spans="1:25" ht="13.2">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row>
    <row r="838" spans="1:25" ht="13.2">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row>
    <row r="839" spans="1:25" ht="13.2">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row>
    <row r="840" spans="1:25" ht="13.2">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row>
    <row r="841" spans="1:25" ht="13.2">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row>
    <row r="842" spans="1:25" ht="13.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row>
    <row r="843" spans="1:25" ht="13.2">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row>
    <row r="844" spans="1:25" ht="13.2">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row>
    <row r="845" spans="1:25" ht="13.2">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row>
    <row r="846" spans="1:25" ht="13.2">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row>
    <row r="847" spans="1:25" ht="13.2">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row>
    <row r="848" spans="1:25" ht="13.2">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row>
    <row r="849" spans="1:25" ht="13.2">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row>
    <row r="850" spans="1:25" ht="13.2">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row>
    <row r="851" spans="1:25" ht="13.2">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row>
    <row r="852" spans="1:25" ht="13.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row>
    <row r="853" spans="1:25" ht="13.2">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row>
    <row r="854" spans="1:25" ht="13.2">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row>
    <row r="855" spans="1:25" ht="13.2">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row>
    <row r="856" spans="1:25" ht="13.2">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row>
    <row r="857" spans="1:25" ht="13.2">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row>
    <row r="858" spans="1:25" ht="13.2">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row>
    <row r="859" spans="1:25" ht="13.2">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row>
    <row r="860" spans="1:25" ht="13.2">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row>
    <row r="861" spans="1:25" ht="13.2">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row>
    <row r="862" spans="1:25" ht="13.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row>
    <row r="863" spans="1:25" ht="13.2">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row>
    <row r="864" spans="1:25" ht="13.2">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row>
    <row r="865" spans="1:25" ht="13.2">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row>
    <row r="866" spans="1:25" ht="13.2">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row>
    <row r="867" spans="1:25" ht="13.2">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row>
    <row r="868" spans="1:25" ht="13.2">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row>
    <row r="869" spans="1:25" ht="13.2">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row>
    <row r="870" spans="1:25" ht="13.2">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row>
    <row r="871" spans="1:25" ht="13.2">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row>
    <row r="872" spans="1:25" ht="13.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row>
    <row r="873" spans="1:25" ht="13.2">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row>
    <row r="874" spans="1:25" ht="13.2">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row>
    <row r="875" spans="1:25" ht="13.2">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row>
    <row r="876" spans="1:25" ht="13.2">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row>
    <row r="877" spans="1:25" ht="13.2">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row>
    <row r="878" spans="1:25" ht="13.2">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row>
    <row r="879" spans="1:25" ht="13.2">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row>
    <row r="880" spans="1:25" ht="13.2">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row>
    <row r="881" spans="1:25" ht="13.2">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row>
    <row r="882" spans="1:25" ht="13.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row>
    <row r="883" spans="1:25" ht="13.2">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row>
    <row r="884" spans="1:25" ht="13.2">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row>
    <row r="885" spans="1:25" ht="13.2">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row>
    <row r="886" spans="1:25" ht="13.2">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row>
    <row r="887" spans="1:25" ht="13.2">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row>
    <row r="888" spans="1:25" ht="13.2">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row>
    <row r="889" spans="1:25" ht="13.2">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row>
    <row r="890" spans="1:25" ht="13.2">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row>
    <row r="891" spans="1:25" ht="13.2">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row>
    <row r="892" spans="1:25" ht="13.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row>
    <row r="893" spans="1:25" ht="13.2">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row>
    <row r="894" spans="1:25" ht="13.2">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row>
    <row r="895" spans="1:25" ht="13.2">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row>
    <row r="896" spans="1:25" ht="13.2">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row>
    <row r="897" spans="1:25" ht="13.2">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row>
    <row r="898" spans="1:25" ht="13.2">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row>
    <row r="899" spans="1:25" ht="13.2">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row>
    <row r="900" spans="1:25" ht="13.2">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row>
    <row r="901" spans="1:25" ht="13.2">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row>
    <row r="902" spans="1:25" ht="13.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row>
    <row r="903" spans="1:25" ht="13.2">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row>
    <row r="904" spans="1:25" ht="13.2">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row>
    <row r="905" spans="1:25" ht="13.2">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row>
    <row r="906" spans="1:25" ht="13.2">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row>
    <row r="907" spans="1:25" ht="13.2">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row>
    <row r="908" spans="1:25" ht="13.2">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row>
    <row r="909" spans="1:25" ht="13.2">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row>
    <row r="910" spans="1:25" ht="13.2">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row>
    <row r="911" spans="1:25" ht="13.2">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row>
    <row r="912" spans="1:25" ht="13.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row>
    <row r="913" spans="1:25" ht="13.2">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row>
    <row r="914" spans="1:25" ht="13.2">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row>
    <row r="915" spans="1:25" ht="13.2">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row>
    <row r="916" spans="1:25" ht="13.2">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row>
    <row r="917" spans="1:25" ht="13.2">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row>
    <row r="918" spans="1:25" ht="13.2">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row>
    <row r="919" spans="1:25" ht="13.2">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row>
    <row r="920" spans="1:25" ht="13.2">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row>
    <row r="921" spans="1:25" ht="13.2">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row>
    <row r="922" spans="1:25" ht="13.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row>
    <row r="923" spans="1:25" ht="13.2">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row>
    <row r="924" spans="1:25" ht="13.2">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row>
    <row r="925" spans="1:25" ht="13.2">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row>
    <row r="926" spans="1:25" ht="13.2">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row>
    <row r="927" spans="1:25" ht="13.2">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row>
    <row r="928" spans="1:25" ht="13.2">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row>
    <row r="929" spans="1:25" ht="13.2">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row>
    <row r="930" spans="1:25" ht="13.2">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row>
    <row r="931" spans="1:25" ht="13.2">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row>
    <row r="932" spans="1:25" ht="1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row>
    <row r="933" spans="1:25" ht="13.2">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row>
    <row r="934" spans="1:25" ht="13.2">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row>
    <row r="935" spans="1:25" ht="13.2">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row>
    <row r="936" spans="1:25" ht="13.2">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row>
    <row r="937" spans="1:25" ht="13.2">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row>
    <row r="938" spans="1:25" ht="13.2">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row>
    <row r="939" spans="1:25" ht="13.2">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row>
    <row r="940" spans="1:25" ht="13.2">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row>
    <row r="941" spans="1:25" ht="13.2">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row>
    <row r="942" spans="1:25" ht="13.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row>
    <row r="943" spans="1:25" ht="13.2">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row>
    <row r="944" spans="1:25" ht="13.2">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row>
    <row r="945" spans="1:25" ht="13.2">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row>
    <row r="946" spans="1:25" ht="13.2">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row>
    <row r="947" spans="1:25" ht="13.2">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row>
    <row r="948" spans="1:25" ht="13.2">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row>
    <row r="949" spans="1:25" ht="13.2">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row>
    <row r="950" spans="1:25" ht="13.2">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row>
    <row r="951" spans="1:25" ht="13.2">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row>
    <row r="952" spans="1:25" ht="13.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row>
    <row r="953" spans="1:25" ht="13.2">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row>
    <row r="954" spans="1:25" ht="13.2">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row>
    <row r="955" spans="1:25" ht="13.2">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row>
    <row r="956" spans="1:25" ht="13.2">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row>
    <row r="957" spans="1:25" ht="13.2">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row>
    <row r="958" spans="1:25" ht="13.2">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row>
    <row r="959" spans="1:25" ht="13.2">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row>
    <row r="960" spans="1:25" ht="13.2">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row>
    <row r="961" spans="1:25" ht="13.2">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row>
    <row r="962" spans="1:25" ht="13.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row>
    <row r="963" spans="1:25" ht="13.2">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row>
    <row r="964" spans="1:25" ht="13.2">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row>
    <row r="965" spans="1:25" ht="13.2">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row>
    <row r="966" spans="1:25" ht="13.2">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row>
    <row r="967" spans="1:25" ht="13.2">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row>
    <row r="968" spans="1:25" ht="13.2">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row>
    <row r="969" spans="1:25" ht="13.2">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row>
    <row r="970" spans="1:25" ht="13.2">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row>
    <row r="971" spans="1:25" ht="13.2">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row>
    <row r="972" spans="1:25" ht="13.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row>
    <row r="973" spans="1:25" ht="13.2">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row>
    <row r="974" spans="1:25" ht="13.2">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row>
    <row r="975" spans="1:25" ht="13.2">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row>
    <row r="976" spans="1:25" ht="13.2">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row>
    <row r="977" spans="1:25" ht="13.2">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row>
    <row r="978" spans="1:25" ht="13.2">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row>
    <row r="979" spans="1:25" ht="13.2">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row>
    <row r="980" spans="1:25" ht="13.2">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row>
    <row r="981" spans="1:25" ht="13.2">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row>
    <row r="982" spans="1:25" ht="13.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row>
    <row r="983" spans="1:25" ht="13.2">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row>
  </sheetData>
  <mergeCells count="2">
    <mergeCell ref="A2:J2"/>
    <mergeCell ref="A19:B19"/>
  </mergeCells>
  <phoneticPr fontId="33"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25"/>
  <sheetViews>
    <sheetView showGridLines="0" topLeftCell="A11" workbookViewId="0">
      <selection activeCell="E17" sqref="E17"/>
    </sheetView>
  </sheetViews>
  <sheetFormatPr defaultColWidth="12.6640625" defaultRowHeight="22.95" customHeight="1"/>
  <cols>
    <col min="1" max="1" width="18.44140625" style="170" customWidth="1"/>
    <col min="2" max="2" width="31.109375" style="170" customWidth="1"/>
    <col min="3" max="3" width="46.5546875" style="170" customWidth="1"/>
    <col min="4" max="4" width="18.33203125" style="171" customWidth="1"/>
    <col min="5" max="6" width="16.33203125" style="171" customWidth="1"/>
    <col min="7" max="16384" width="12.6640625" style="170"/>
  </cols>
  <sheetData>
    <row r="1" spans="1:6" ht="22.95" customHeight="1">
      <c r="A1" s="169" t="s">
        <v>301</v>
      </c>
    </row>
    <row r="2" spans="1:6" ht="22.95" customHeight="1">
      <c r="A2" s="172" t="s">
        <v>292</v>
      </c>
      <c r="B2" s="173" t="s">
        <v>302</v>
      </c>
      <c r="C2" s="173" t="s">
        <v>239</v>
      </c>
      <c r="D2" s="173" t="s">
        <v>240</v>
      </c>
      <c r="E2" s="173" t="s">
        <v>241</v>
      </c>
      <c r="F2" s="173" t="s">
        <v>242</v>
      </c>
    </row>
    <row r="3" spans="1:6" ht="22.95" customHeight="1">
      <c r="A3" s="174" t="s">
        <v>293</v>
      </c>
      <c r="B3" s="175">
        <v>1</v>
      </c>
      <c r="C3" s="175" t="s">
        <v>243</v>
      </c>
      <c r="D3" s="175">
        <v>1</v>
      </c>
      <c r="E3" s="175">
        <v>1</v>
      </c>
      <c r="F3" s="175">
        <v>1</v>
      </c>
    </row>
    <row r="4" spans="1:6" ht="22.95" customHeight="1">
      <c r="A4" s="174" t="s">
        <v>294</v>
      </c>
      <c r="B4" s="175">
        <v>2</v>
      </c>
      <c r="C4" s="175" t="s">
        <v>244</v>
      </c>
      <c r="D4" s="175">
        <v>1</v>
      </c>
      <c r="E4" s="175">
        <v>1</v>
      </c>
      <c r="F4" s="175">
        <v>1</v>
      </c>
    </row>
    <row r="5" spans="1:6" ht="22.95" customHeight="1">
      <c r="A5" s="174" t="s">
        <v>295</v>
      </c>
      <c r="B5" s="175">
        <v>3</v>
      </c>
      <c r="C5" s="175" t="s">
        <v>245</v>
      </c>
      <c r="E5" s="175">
        <v>1</v>
      </c>
    </row>
    <row r="6" spans="1:6" ht="22.95" customHeight="1">
      <c r="A6" s="174" t="s">
        <v>296</v>
      </c>
      <c r="B6" s="173">
        <v>4</v>
      </c>
      <c r="C6" s="173" t="s">
        <v>246</v>
      </c>
      <c r="D6" s="176"/>
      <c r="E6" s="176"/>
      <c r="F6" s="176"/>
    </row>
    <row r="7" spans="1:6" ht="22.95" customHeight="1">
      <c r="A7" s="177" t="s">
        <v>290</v>
      </c>
      <c r="B7" s="178">
        <f>COUNT(B3:B6)</f>
        <v>4</v>
      </c>
      <c r="C7" s="179" t="s">
        <v>291</v>
      </c>
      <c r="D7" s="180">
        <f t="shared" ref="D7:F7" si="0">SUM(D3:D6)</f>
        <v>2</v>
      </c>
      <c r="E7" s="180">
        <f t="shared" si="0"/>
        <v>3</v>
      </c>
      <c r="F7" s="180">
        <f t="shared" si="0"/>
        <v>2</v>
      </c>
    </row>
    <row r="8" spans="1:6" ht="22.95" customHeight="1">
      <c r="D8" s="175" t="s">
        <v>247</v>
      </c>
      <c r="E8" s="175" t="s">
        <v>248</v>
      </c>
      <c r="F8" s="175" t="s">
        <v>249</v>
      </c>
    </row>
    <row r="9" spans="1:6" ht="22.95" customHeight="1">
      <c r="D9" s="181">
        <f>D7/B7</f>
        <v>0.5</v>
      </c>
      <c r="E9" s="181">
        <f>E7/B7</f>
        <v>0.75</v>
      </c>
      <c r="F9" s="181">
        <f>F7/B7</f>
        <v>0.5</v>
      </c>
    </row>
    <row r="10" spans="1:6" ht="22.95" customHeight="1">
      <c r="D10" s="182"/>
      <c r="E10" s="182"/>
      <c r="F10" s="182"/>
    </row>
    <row r="11" spans="1:6" ht="26.4" customHeight="1">
      <c r="B11" s="192" t="s">
        <v>250</v>
      </c>
      <c r="C11" s="193" t="s">
        <v>300</v>
      </c>
      <c r="D11" s="194">
        <f>2/4</f>
        <v>0.5</v>
      </c>
      <c r="E11" s="195" t="s">
        <v>297</v>
      </c>
      <c r="F11" s="196"/>
    </row>
    <row r="12" spans="1:6" ht="26.4" customHeight="1">
      <c r="B12" s="197" t="s">
        <v>251</v>
      </c>
      <c r="C12" s="198" t="s">
        <v>252</v>
      </c>
      <c r="D12" s="199">
        <f>D7/E7</f>
        <v>0.66666666666666663</v>
      </c>
      <c r="E12" s="200" t="s">
        <v>298</v>
      </c>
      <c r="F12" s="201"/>
    </row>
    <row r="13" spans="1:6" ht="26.4" customHeight="1">
      <c r="B13" s="197" t="s">
        <v>305</v>
      </c>
      <c r="C13" s="198" t="s">
        <v>304</v>
      </c>
      <c r="D13" s="199">
        <f>D7/F7</f>
        <v>1</v>
      </c>
      <c r="E13" s="200"/>
      <c r="F13" s="201"/>
    </row>
    <row r="14" spans="1:6" ht="26.4" customHeight="1">
      <c r="B14" s="187" t="s">
        <v>303</v>
      </c>
      <c r="C14" s="188" t="s">
        <v>253</v>
      </c>
      <c r="D14" s="189">
        <f>(F7/E7)/(F7/4)</f>
        <v>1.3333333333333333</v>
      </c>
      <c r="E14" s="190" t="s">
        <v>299</v>
      </c>
      <c r="F14" s="191">
        <f>D12/F9</f>
        <v>1.3333333333333333</v>
      </c>
    </row>
    <row r="15" spans="1:6" ht="22.95" customHeight="1">
      <c r="B15" s="187" t="s">
        <v>306</v>
      </c>
      <c r="C15" s="188" t="s">
        <v>307</v>
      </c>
      <c r="D15" s="189">
        <f>D9/(E9*F9)</f>
        <v>1.3333333333333333</v>
      </c>
      <c r="E15" s="190"/>
      <c r="F15" s="191">
        <f>D13/E9</f>
        <v>1.3333333333333333</v>
      </c>
    </row>
    <row r="16" spans="1:6" ht="22.95" customHeight="1">
      <c r="A16" s="183"/>
      <c r="C16" s="184"/>
    </row>
    <row r="17" spans="2:3" ht="128.4" customHeight="1">
      <c r="B17" s="186"/>
      <c r="C17" s="185"/>
    </row>
    <row r="21" spans="2:3" ht="22.95" customHeight="1">
      <c r="B21" s="202" t="s">
        <v>311</v>
      </c>
    </row>
    <row r="22" spans="2:3" ht="22.95" customHeight="1">
      <c r="B22" s="202" t="s">
        <v>312</v>
      </c>
    </row>
    <row r="23" spans="2:3" ht="22.95" customHeight="1">
      <c r="B23" s="202" t="s">
        <v>309</v>
      </c>
    </row>
    <row r="24" spans="2:3" ht="22.95" customHeight="1">
      <c r="B24" s="202" t="s">
        <v>313</v>
      </c>
    </row>
    <row r="25" spans="2:3" ht="22.95" customHeight="1">
      <c r="B25" s="202" t="s">
        <v>310</v>
      </c>
    </row>
  </sheetData>
  <phoneticPr fontId="33" type="noConversion"/>
  <hyperlinks>
    <hyperlink ref="A1" r:id="rId1" display="apriori-algorithm-with-python" xr:uid="{00000000-0004-0000-1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E18"/>
  <sheetViews>
    <sheetView showGridLines="0" workbookViewId="0">
      <selection activeCell="D11" sqref="D11"/>
    </sheetView>
  </sheetViews>
  <sheetFormatPr defaultColWidth="12.6640625" defaultRowHeight="15.75" customHeight="1"/>
  <cols>
    <col min="2" max="2" width="14.77734375" bestFit="1" customWidth="1"/>
    <col min="4" max="4" width="15.109375" customWidth="1"/>
  </cols>
  <sheetData>
    <row r="1" spans="2:5">
      <c r="B1" s="5" t="s">
        <v>357</v>
      </c>
      <c r="C1" s="5" t="s">
        <v>23</v>
      </c>
    </row>
    <row r="2" spans="2:5">
      <c r="B2" s="3">
        <v>100</v>
      </c>
      <c r="C2" s="3">
        <v>50.1</v>
      </c>
      <c r="D2" s="6" t="s">
        <v>24</v>
      </c>
      <c r="E2" s="7">
        <f ca="1">_xlfn.COVARIANCE.P(B2:B17,C2:C17)</f>
        <v>23162.34375</v>
      </c>
    </row>
    <row r="3" spans="2:5">
      <c r="B3" s="3">
        <f t="shared" ref="B3:B17" ca="1" si="0">B2+10+RANDBETWEEN(140, 300)</f>
        <v>320</v>
      </c>
      <c r="C3" s="3">
        <f t="shared" ref="C3:C6" si="1">C2+5</f>
        <v>55.1</v>
      </c>
      <c r="D3" s="6" t="s">
        <v>25</v>
      </c>
      <c r="E3" s="7">
        <f ca="1">CORREL(B2:B18,C2:C18)</f>
        <v>0.98162576803003343</v>
      </c>
    </row>
    <row r="4" spans="2:5">
      <c r="B4" s="3">
        <f t="shared" ca="1" si="0"/>
        <v>623</v>
      </c>
      <c r="C4" s="3">
        <f t="shared" si="1"/>
        <v>60.1</v>
      </c>
    </row>
    <row r="5" spans="2:5">
      <c r="B5" s="3">
        <f t="shared" ca="1" si="0"/>
        <v>877</v>
      </c>
      <c r="C5" s="3">
        <f t="shared" si="1"/>
        <v>65.099999999999994</v>
      </c>
    </row>
    <row r="6" spans="2:5">
      <c r="B6" s="3">
        <f t="shared" ca="1" si="0"/>
        <v>1182</v>
      </c>
      <c r="C6" s="3">
        <f t="shared" si="1"/>
        <v>70.099999999999994</v>
      </c>
    </row>
    <row r="7" spans="2:5">
      <c r="B7" s="3">
        <f t="shared" ca="1" si="0"/>
        <v>1408</v>
      </c>
      <c r="C7" s="3">
        <v>75.099999999999994</v>
      </c>
    </row>
    <row r="8" spans="2:5">
      <c r="B8" s="3">
        <f t="shared" ca="1" si="0"/>
        <v>1599</v>
      </c>
      <c r="C8" s="3">
        <v>80.099999999999994</v>
      </c>
    </row>
    <row r="9" spans="2:5">
      <c r="B9" s="3">
        <f t="shared" ca="1" si="0"/>
        <v>1779</v>
      </c>
      <c r="C9" s="3">
        <v>85.1</v>
      </c>
    </row>
    <row r="10" spans="2:5">
      <c r="B10" s="3">
        <f t="shared" ca="1" si="0"/>
        <v>1994</v>
      </c>
      <c r="C10" s="3">
        <v>90.1</v>
      </c>
    </row>
    <row r="11" spans="2:5">
      <c r="B11" s="3">
        <f t="shared" ca="1" si="0"/>
        <v>2158</v>
      </c>
      <c r="C11" s="3">
        <v>95.1</v>
      </c>
    </row>
    <row r="12" spans="2:5">
      <c r="B12" s="3">
        <f t="shared" ca="1" si="0"/>
        <v>2467</v>
      </c>
      <c r="C12" s="3">
        <v>100.1</v>
      </c>
    </row>
    <row r="13" spans="2:5">
      <c r="B13" s="3">
        <f t="shared" ca="1" si="0"/>
        <v>2657</v>
      </c>
      <c r="C13" s="3">
        <v>105.1</v>
      </c>
    </row>
    <row r="14" spans="2:5">
      <c r="B14" s="3">
        <f t="shared" ca="1" si="0"/>
        <v>2812</v>
      </c>
      <c r="C14" s="3">
        <v>110.1</v>
      </c>
    </row>
    <row r="15" spans="2:5">
      <c r="B15" s="3">
        <f t="shared" ca="1" si="0"/>
        <v>3015</v>
      </c>
      <c r="C15" s="3">
        <v>115.1</v>
      </c>
    </row>
    <row r="16" spans="2:5">
      <c r="B16" s="3">
        <f t="shared" ca="1" si="0"/>
        <v>3185</v>
      </c>
      <c r="C16" s="3">
        <v>120.1</v>
      </c>
    </row>
    <row r="17" spans="2:3">
      <c r="B17" s="3">
        <f t="shared" ca="1" si="0"/>
        <v>3417</v>
      </c>
      <c r="C17" s="3">
        <v>125.1</v>
      </c>
    </row>
    <row r="18" spans="2:3">
      <c r="B18" s="8">
        <f t="shared" ref="B18:C18" ca="1" si="2">VAR(B2:B17)</f>
        <v>1082213.7291666667</v>
      </c>
      <c r="C18" s="8">
        <f t="shared" si="2"/>
        <v>566.66666666666572</v>
      </c>
    </row>
  </sheetData>
  <phoneticPr fontId="33"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H23"/>
  <sheetViews>
    <sheetView showGridLines="0" zoomScale="128" workbookViewId="0">
      <selection activeCell="D23" sqref="D23"/>
    </sheetView>
  </sheetViews>
  <sheetFormatPr defaultColWidth="12.6640625" defaultRowHeight="15.75" customHeight="1"/>
  <cols>
    <col min="2" max="2" width="25.33203125" customWidth="1"/>
    <col min="4" max="4" width="19.6640625" customWidth="1"/>
    <col min="5" max="7" width="18" customWidth="1"/>
    <col min="8" max="8" width="18.88671875" customWidth="1"/>
  </cols>
  <sheetData>
    <row r="1" spans="2:8" ht="15.6">
      <c r="B1" s="34" t="s">
        <v>254</v>
      </c>
      <c r="C1" s="33" t="s">
        <v>255</v>
      </c>
      <c r="D1" s="203" t="s">
        <v>314</v>
      </c>
      <c r="E1" s="204" t="s">
        <v>315</v>
      </c>
    </row>
    <row r="2" spans="2:8" ht="13.2">
      <c r="B2" s="4" t="s">
        <v>256</v>
      </c>
      <c r="C2" s="6">
        <v>200</v>
      </c>
      <c r="D2" s="6">
        <f>C2+C5+C6+C8</f>
        <v>1100</v>
      </c>
      <c r="E2" s="142">
        <f t="shared" ref="E2:E8" si="0">D2/$C$9</f>
        <v>0.75862068965517238</v>
      </c>
    </row>
    <row r="3" spans="2:8" ht="13.2">
      <c r="B3" s="4" t="s">
        <v>257</v>
      </c>
      <c r="C3" s="6">
        <v>100</v>
      </c>
      <c r="D3" s="6">
        <f>C3+C5+C7+C8</f>
        <v>900</v>
      </c>
      <c r="E3" s="142">
        <f t="shared" si="0"/>
        <v>0.62068965517241381</v>
      </c>
    </row>
    <row r="4" spans="2:8" ht="13.2">
      <c r="B4" s="4" t="s">
        <v>258</v>
      </c>
      <c r="C4" s="6">
        <v>50</v>
      </c>
      <c r="D4" s="6">
        <f>C4+C6+C7+C8</f>
        <v>650</v>
      </c>
      <c r="E4" s="142">
        <f t="shared" si="0"/>
        <v>0.44827586206896552</v>
      </c>
    </row>
    <row r="5" spans="2:8" ht="13.2">
      <c r="B5" s="4" t="s">
        <v>259</v>
      </c>
      <c r="C5" s="6">
        <v>500</v>
      </c>
      <c r="D5" s="6">
        <f>C5+C8</f>
        <v>600</v>
      </c>
      <c r="E5" s="142">
        <f t="shared" si="0"/>
        <v>0.41379310344827586</v>
      </c>
    </row>
    <row r="6" spans="2:8" ht="13.2">
      <c r="B6" s="4" t="s">
        <v>260</v>
      </c>
      <c r="C6" s="6">
        <v>300</v>
      </c>
      <c r="D6" s="6">
        <f>C6+C8</f>
        <v>400</v>
      </c>
      <c r="E6" s="142">
        <f t="shared" si="0"/>
        <v>0.27586206896551724</v>
      </c>
    </row>
    <row r="7" spans="2:8" ht="13.2">
      <c r="B7" s="4" t="s">
        <v>261</v>
      </c>
      <c r="C7" s="6">
        <v>200</v>
      </c>
      <c r="D7" s="6">
        <f>C7+C8</f>
        <v>300</v>
      </c>
      <c r="E7" s="142">
        <f t="shared" si="0"/>
        <v>0.20689655172413793</v>
      </c>
    </row>
    <row r="8" spans="2:8" ht="13.2">
      <c r="B8" s="34" t="s">
        <v>262</v>
      </c>
      <c r="C8" s="33">
        <v>100</v>
      </c>
      <c r="D8" s="33">
        <f>C8</f>
        <v>100</v>
      </c>
      <c r="E8" s="143">
        <f t="shared" si="0"/>
        <v>6.8965517241379309E-2</v>
      </c>
    </row>
    <row r="9" spans="2:8" ht="13.2">
      <c r="C9" s="6">
        <f>SUM(C2:C8)</f>
        <v>1450</v>
      </c>
      <c r="D9" s="6"/>
      <c r="E9" s="6"/>
    </row>
    <row r="10" spans="2:8" ht="13.2">
      <c r="B10" s="4"/>
    </row>
    <row r="11" spans="2:8" ht="15.6">
      <c r="E11" s="144" t="s">
        <v>263</v>
      </c>
      <c r="F11" s="144" t="s">
        <v>264</v>
      </c>
      <c r="G11" s="144" t="s">
        <v>265</v>
      </c>
      <c r="H11" s="19" t="s">
        <v>308</v>
      </c>
    </row>
    <row r="12" spans="2:8" ht="13.2">
      <c r="B12" s="33" t="s">
        <v>254</v>
      </c>
      <c r="C12" s="33" t="s">
        <v>266</v>
      </c>
      <c r="D12" s="33" t="s">
        <v>267</v>
      </c>
      <c r="E12" s="91" t="s">
        <v>268</v>
      </c>
      <c r="F12" s="91" t="s">
        <v>269</v>
      </c>
      <c r="G12" s="91" t="s">
        <v>270</v>
      </c>
      <c r="H12" s="145" t="s">
        <v>271</v>
      </c>
    </row>
    <row r="13" spans="2:8" ht="13.2">
      <c r="B13" s="6" t="s">
        <v>272</v>
      </c>
      <c r="C13" s="142">
        <f>E2</f>
        <v>0.75862068965517238</v>
      </c>
      <c r="D13" s="142">
        <f>E3</f>
        <v>0.62068965517241381</v>
      </c>
      <c r="E13" s="146">
        <f>E5</f>
        <v>0.41379310344827586</v>
      </c>
      <c r="F13" s="146">
        <f>E13/C13</f>
        <v>0.54545454545454553</v>
      </c>
      <c r="G13" s="146">
        <f>E13/(C13*D13)</f>
        <v>0.87878787878787878</v>
      </c>
      <c r="H13" s="6"/>
    </row>
    <row r="14" spans="2:8" ht="13.2">
      <c r="B14" s="6" t="s">
        <v>273</v>
      </c>
      <c r="C14" s="6"/>
      <c r="D14" s="6"/>
      <c r="E14" s="147"/>
      <c r="F14" s="146"/>
      <c r="G14" s="146"/>
      <c r="H14" s="6"/>
    </row>
    <row r="15" spans="2:8" ht="13.2">
      <c r="B15" s="6" t="s">
        <v>274</v>
      </c>
      <c r="C15" s="6"/>
      <c r="D15" s="6"/>
      <c r="E15" s="147"/>
      <c r="F15" s="146"/>
      <c r="G15" s="146"/>
      <c r="H15" s="6"/>
    </row>
    <row r="16" spans="2:8" ht="13.2">
      <c r="B16" s="6" t="s">
        <v>275</v>
      </c>
      <c r="C16" s="6"/>
      <c r="D16" s="6"/>
      <c r="E16" s="147"/>
      <c r="F16" s="146"/>
      <c r="G16" s="146"/>
      <c r="H16" s="6"/>
    </row>
    <row r="17" spans="2:8" ht="13.2">
      <c r="B17" s="6" t="s">
        <v>276</v>
      </c>
      <c r="C17" s="6"/>
      <c r="D17" s="6"/>
      <c r="E17" s="147"/>
      <c r="F17" s="146"/>
      <c r="G17" s="146"/>
      <c r="H17" s="6"/>
    </row>
    <row r="18" spans="2:8" ht="13.2">
      <c r="B18" s="6" t="s">
        <v>277</v>
      </c>
      <c r="C18" s="6"/>
      <c r="D18" s="6"/>
      <c r="E18" s="147"/>
      <c r="F18" s="146"/>
      <c r="G18" s="146"/>
      <c r="H18" s="6"/>
    </row>
    <row r="19" spans="2:8" ht="13.2">
      <c r="B19" s="6" t="s">
        <v>278</v>
      </c>
      <c r="C19" s="142">
        <f>E5</f>
        <v>0.41379310344827586</v>
      </c>
      <c r="D19" s="142">
        <f>E4</f>
        <v>0.44827586206896552</v>
      </c>
      <c r="E19" s="146">
        <f>E8</f>
        <v>6.8965517241379309E-2</v>
      </c>
      <c r="F19" s="146">
        <f>E19/C19</f>
        <v>0.16666666666666666</v>
      </c>
      <c r="G19" s="146">
        <f>E19/(C19*D19)</f>
        <v>0.37179487179487181</v>
      </c>
      <c r="H19" s="6"/>
    </row>
    <row r="20" spans="2:8" ht="13.2">
      <c r="B20" s="6" t="s">
        <v>279</v>
      </c>
      <c r="C20" s="6"/>
      <c r="D20" s="6"/>
      <c r="E20" s="147"/>
      <c r="F20" s="146"/>
      <c r="G20" s="146"/>
      <c r="H20" s="6"/>
    </row>
    <row r="21" spans="2:8" ht="13.2">
      <c r="B21" s="33" t="s">
        <v>280</v>
      </c>
      <c r="C21" s="33"/>
      <c r="D21" s="33"/>
      <c r="E21" s="91"/>
      <c r="F21" s="148"/>
      <c r="G21" s="148"/>
      <c r="H21" s="33"/>
    </row>
    <row r="22" spans="2:8" ht="15.75" customHeight="1">
      <c r="F22">
        <f>(2/3)/0.5</f>
        <v>1.3333333333333333</v>
      </c>
    </row>
    <row r="23" spans="2:8" ht="15.75" customHeight="1">
      <c r="F23">
        <f>0.5/(0.75*0.5)</f>
        <v>1.3333333333333333</v>
      </c>
    </row>
  </sheetData>
  <phoneticPr fontId="3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U21"/>
  <sheetViews>
    <sheetView topLeftCell="A7" workbookViewId="0">
      <selection activeCell="F27" sqref="F27"/>
    </sheetView>
  </sheetViews>
  <sheetFormatPr defaultColWidth="8.88671875" defaultRowHeight="17.399999999999999"/>
  <cols>
    <col min="1" max="1" width="8.88671875" style="211"/>
    <col min="2" max="2" width="16.44140625" style="211" customWidth="1"/>
    <col min="3" max="3" width="3.33203125" style="211" bestFit="1" customWidth="1"/>
    <col min="4" max="16" width="18.33203125" style="211" bestFit="1" customWidth="1"/>
    <col min="17" max="19" width="9" style="211" bestFit="1" customWidth="1"/>
    <col min="20" max="21" width="10.44140625" style="211" bestFit="1" customWidth="1"/>
    <col min="22" max="16384" width="8.88671875" style="211"/>
  </cols>
  <sheetData>
    <row r="3" spans="2:21">
      <c r="B3" s="211" t="s">
        <v>345</v>
      </c>
      <c r="C3" s="211">
        <v>1</v>
      </c>
      <c r="D3" s="211">
        <f>C3*2</f>
        <v>2</v>
      </c>
      <c r="E3" s="211">
        <f t="shared" ref="E3:U3" si="0">D3*2</f>
        <v>4</v>
      </c>
      <c r="F3" s="211">
        <f t="shared" si="0"/>
        <v>8</v>
      </c>
      <c r="G3" s="211">
        <f t="shared" si="0"/>
        <v>16</v>
      </c>
      <c r="H3" s="211">
        <f t="shared" si="0"/>
        <v>32</v>
      </c>
      <c r="I3" s="211">
        <f t="shared" si="0"/>
        <v>64</v>
      </c>
      <c r="J3" s="211">
        <f t="shared" si="0"/>
        <v>128</v>
      </c>
      <c r="K3" s="211">
        <f t="shared" si="0"/>
        <v>256</v>
      </c>
      <c r="L3" s="211">
        <f t="shared" si="0"/>
        <v>512</v>
      </c>
      <c r="M3" s="211">
        <f t="shared" si="0"/>
        <v>1024</v>
      </c>
      <c r="N3" s="211">
        <f t="shared" si="0"/>
        <v>2048</v>
      </c>
      <c r="O3" s="211">
        <f t="shared" si="0"/>
        <v>4096</v>
      </c>
      <c r="P3" s="211">
        <f t="shared" si="0"/>
        <v>8192</v>
      </c>
      <c r="Q3" s="211">
        <f>P3*2</f>
        <v>16384</v>
      </c>
      <c r="R3" s="211">
        <f t="shared" si="0"/>
        <v>32768</v>
      </c>
      <c r="S3" s="211">
        <f t="shared" si="0"/>
        <v>65536</v>
      </c>
      <c r="T3" s="211">
        <f t="shared" si="0"/>
        <v>131072</v>
      </c>
      <c r="U3" s="211">
        <f t="shared" si="0"/>
        <v>262144</v>
      </c>
    </row>
    <row r="4" spans="2:21">
      <c r="B4" s="211" t="s">
        <v>344</v>
      </c>
      <c r="C4" s="211">
        <f>LN(C3)</f>
        <v>0</v>
      </c>
      <c r="D4" s="211">
        <f t="shared" ref="D4:U4" si="1">LN(D3)</f>
        <v>0.69314718055994529</v>
      </c>
      <c r="E4" s="211">
        <f t="shared" si="1"/>
        <v>1.3862943611198906</v>
      </c>
      <c r="F4" s="211">
        <f t="shared" si="1"/>
        <v>2.0794415416798357</v>
      </c>
      <c r="G4" s="211">
        <f t="shared" si="1"/>
        <v>2.7725887222397811</v>
      </c>
      <c r="H4" s="211">
        <f t="shared" si="1"/>
        <v>3.4657359027997265</v>
      </c>
      <c r="I4" s="211">
        <f t="shared" si="1"/>
        <v>4.1588830833596715</v>
      </c>
      <c r="J4" s="211">
        <f t="shared" si="1"/>
        <v>4.8520302639196169</v>
      </c>
      <c r="K4" s="211">
        <f t="shared" si="1"/>
        <v>5.5451774444795623</v>
      </c>
      <c r="L4" s="211">
        <f t="shared" si="1"/>
        <v>6.2383246250395077</v>
      </c>
      <c r="M4" s="211">
        <f t="shared" si="1"/>
        <v>6.9314718055994531</v>
      </c>
      <c r="N4" s="211">
        <f t="shared" si="1"/>
        <v>7.6246189861593985</v>
      </c>
      <c r="O4" s="211">
        <f t="shared" si="1"/>
        <v>8.317766166719343</v>
      </c>
      <c r="P4" s="211">
        <f t="shared" si="1"/>
        <v>9.0109133472792884</v>
      </c>
      <c r="Q4" s="211">
        <f t="shared" si="1"/>
        <v>9.7040605278392338</v>
      </c>
      <c r="R4" s="211">
        <f t="shared" si="1"/>
        <v>10.397207708399179</v>
      </c>
      <c r="S4" s="211">
        <f t="shared" si="1"/>
        <v>11.090354888959125</v>
      </c>
      <c r="T4" s="211">
        <f t="shared" si="1"/>
        <v>11.78350206951907</v>
      </c>
      <c r="U4" s="211">
        <f t="shared" si="1"/>
        <v>12.476649250079015</v>
      </c>
    </row>
    <row r="5" spans="2:21">
      <c r="B5" s="211" t="s">
        <v>346</v>
      </c>
      <c r="C5" s="211">
        <v>1</v>
      </c>
      <c r="D5" s="211">
        <f>C5*10</f>
        <v>10</v>
      </c>
      <c r="E5" s="211">
        <f t="shared" ref="E5:P5" si="2">D5*10</f>
        <v>100</v>
      </c>
      <c r="F5" s="211">
        <f t="shared" si="2"/>
        <v>1000</v>
      </c>
      <c r="G5" s="211">
        <f t="shared" si="2"/>
        <v>10000</v>
      </c>
      <c r="H5" s="211">
        <f t="shared" si="2"/>
        <v>100000</v>
      </c>
      <c r="I5" s="211">
        <f t="shared" si="2"/>
        <v>1000000</v>
      </c>
      <c r="J5" s="211">
        <f t="shared" si="2"/>
        <v>10000000</v>
      </c>
      <c r="K5" s="211">
        <f t="shared" si="2"/>
        <v>100000000</v>
      </c>
      <c r="L5" s="211">
        <f t="shared" si="2"/>
        <v>1000000000</v>
      </c>
      <c r="M5" s="211">
        <f t="shared" si="2"/>
        <v>10000000000</v>
      </c>
      <c r="N5" s="211">
        <f t="shared" si="2"/>
        <v>100000000000</v>
      </c>
      <c r="O5" s="211">
        <f t="shared" si="2"/>
        <v>1000000000000</v>
      </c>
      <c r="P5" s="211">
        <f t="shared" si="2"/>
        <v>10000000000000</v>
      </c>
    </row>
    <row r="6" spans="2:21">
      <c r="B6" s="211" t="s">
        <v>347</v>
      </c>
      <c r="C6" s="211">
        <f>LOG(C5)</f>
        <v>0</v>
      </c>
      <c r="D6" s="211">
        <f t="shared" ref="D6:K6" si="3">LOG(D5)</f>
        <v>1</v>
      </c>
      <c r="E6" s="211">
        <f t="shared" si="3"/>
        <v>2</v>
      </c>
      <c r="F6" s="211">
        <f t="shared" si="3"/>
        <v>3</v>
      </c>
      <c r="G6" s="211">
        <f t="shared" si="3"/>
        <v>4</v>
      </c>
      <c r="H6" s="211">
        <f t="shared" si="3"/>
        <v>5</v>
      </c>
      <c r="I6" s="211">
        <f t="shared" si="3"/>
        <v>6</v>
      </c>
      <c r="J6" s="211">
        <f t="shared" si="3"/>
        <v>7</v>
      </c>
      <c r="K6" s="211">
        <f t="shared" si="3"/>
        <v>8</v>
      </c>
    </row>
    <row r="7" spans="2:21">
      <c r="B7" s="211" t="s">
        <v>348</v>
      </c>
      <c r="C7" s="211">
        <f>1/C5</f>
        <v>1</v>
      </c>
      <c r="D7" s="211">
        <f t="shared" ref="D7:K7" si="4">1/D5</f>
        <v>0.1</v>
      </c>
      <c r="E7" s="211">
        <f t="shared" si="4"/>
        <v>0.01</v>
      </c>
      <c r="F7" s="211">
        <f t="shared" si="4"/>
        <v>1E-3</v>
      </c>
      <c r="G7" s="211">
        <f t="shared" si="4"/>
        <v>1E-4</v>
      </c>
      <c r="H7" s="211">
        <f t="shared" si="4"/>
        <v>1.0000000000000001E-5</v>
      </c>
      <c r="I7" s="211">
        <f t="shared" si="4"/>
        <v>9.9999999999999995E-7</v>
      </c>
      <c r="J7" s="211">
        <f t="shared" si="4"/>
        <v>9.9999999999999995E-8</v>
      </c>
      <c r="K7" s="211">
        <f t="shared" si="4"/>
        <v>1E-8</v>
      </c>
    </row>
    <row r="8" spans="2:21">
      <c r="B8" s="211" t="s">
        <v>349</v>
      </c>
      <c r="C8" s="211">
        <f>LOG(C7)</f>
        <v>0</v>
      </c>
      <c r="D8" s="211">
        <f t="shared" ref="D8:K8" si="5">LOG(D7)</f>
        <v>-1</v>
      </c>
      <c r="E8" s="211">
        <f t="shared" si="5"/>
        <v>-2</v>
      </c>
      <c r="F8" s="211">
        <f t="shared" si="5"/>
        <v>-3</v>
      </c>
      <c r="G8" s="211">
        <f t="shared" si="5"/>
        <v>-4</v>
      </c>
      <c r="H8" s="211">
        <f t="shared" si="5"/>
        <v>-5</v>
      </c>
      <c r="I8" s="211">
        <f t="shared" si="5"/>
        <v>-6</v>
      </c>
      <c r="J8" s="211">
        <f t="shared" si="5"/>
        <v>-7</v>
      </c>
      <c r="K8" s="211">
        <f t="shared" si="5"/>
        <v>-8</v>
      </c>
    </row>
    <row r="9" spans="2:21">
      <c r="B9" s="211" t="s">
        <v>350</v>
      </c>
      <c r="C9" s="211">
        <f>SQRT(C3)</f>
        <v>1</v>
      </c>
      <c r="D9" s="211">
        <f t="shared" ref="D9:K9" si="6">SQRT(D3)</f>
        <v>1.4142135623730951</v>
      </c>
      <c r="E9" s="211">
        <f t="shared" si="6"/>
        <v>2</v>
      </c>
      <c r="F9" s="211">
        <f t="shared" si="6"/>
        <v>2.8284271247461903</v>
      </c>
      <c r="G9" s="211">
        <f t="shared" si="6"/>
        <v>4</v>
      </c>
      <c r="H9" s="211">
        <f t="shared" si="6"/>
        <v>5.6568542494923806</v>
      </c>
      <c r="I9" s="211">
        <f t="shared" si="6"/>
        <v>8</v>
      </c>
      <c r="J9" s="211">
        <f t="shared" si="6"/>
        <v>11.313708498984761</v>
      </c>
      <c r="K9" s="211">
        <f t="shared" si="6"/>
        <v>16</v>
      </c>
    </row>
    <row r="10" spans="2:21">
      <c r="C10" s="211" t="s">
        <v>351</v>
      </c>
      <c r="D10" s="211" t="s">
        <v>352</v>
      </c>
      <c r="E10" s="211" t="s">
        <v>353</v>
      </c>
      <c r="F10" s="211" t="s">
        <v>354</v>
      </c>
    </row>
    <row r="11" spans="2:21">
      <c r="C11" s="211">
        <v>1</v>
      </c>
      <c r="D11" s="212">
        <v>0.1</v>
      </c>
      <c r="E11" s="212">
        <f>-LN(D11)</f>
        <v>2.3025850929940455</v>
      </c>
      <c r="F11" s="213">
        <f>1-D11</f>
        <v>0.9</v>
      </c>
    </row>
    <row r="12" spans="2:21">
      <c r="C12" s="211">
        <f>C11</f>
        <v>1</v>
      </c>
      <c r="D12" s="212">
        <f>D11+0.1</f>
        <v>0.2</v>
      </c>
      <c r="E12" s="212">
        <f t="shared" ref="E12:E20" si="7">-LN(D12)</f>
        <v>1.6094379124341003</v>
      </c>
      <c r="F12" s="213">
        <f t="shared" ref="F12:F20" si="8">1-D12</f>
        <v>0.8</v>
      </c>
    </row>
    <row r="13" spans="2:21">
      <c r="C13" s="211">
        <f t="shared" ref="C13:C20" si="9">C12</f>
        <v>1</v>
      </c>
      <c r="D13" s="212">
        <f t="shared" ref="D13:D19" si="10">D12+0.1</f>
        <v>0.30000000000000004</v>
      </c>
      <c r="E13" s="212">
        <f t="shared" si="7"/>
        <v>1.2039728043259359</v>
      </c>
      <c r="F13" s="213">
        <f t="shared" si="8"/>
        <v>0.7</v>
      </c>
    </row>
    <row r="14" spans="2:21">
      <c r="C14" s="211">
        <f t="shared" si="9"/>
        <v>1</v>
      </c>
      <c r="D14" s="212">
        <f t="shared" si="10"/>
        <v>0.4</v>
      </c>
      <c r="E14" s="212">
        <f t="shared" si="7"/>
        <v>0.916290731874155</v>
      </c>
      <c r="F14" s="213">
        <f t="shared" si="8"/>
        <v>0.6</v>
      </c>
    </row>
    <row r="15" spans="2:21">
      <c r="C15" s="211">
        <f t="shared" si="9"/>
        <v>1</v>
      </c>
      <c r="D15" s="212">
        <f t="shared" si="10"/>
        <v>0.5</v>
      </c>
      <c r="E15" s="212">
        <f t="shared" si="7"/>
        <v>0.69314718055994529</v>
      </c>
      <c r="F15" s="213">
        <f t="shared" si="8"/>
        <v>0.5</v>
      </c>
    </row>
    <row r="16" spans="2:21">
      <c r="C16" s="211">
        <f t="shared" si="9"/>
        <v>1</v>
      </c>
      <c r="D16" s="212">
        <f t="shared" si="10"/>
        <v>0.6</v>
      </c>
      <c r="E16" s="212">
        <f t="shared" si="7"/>
        <v>0.51082562376599072</v>
      </c>
      <c r="F16" s="213">
        <f t="shared" si="8"/>
        <v>0.4</v>
      </c>
    </row>
    <row r="17" spans="3:6">
      <c r="C17" s="211">
        <f t="shared" si="9"/>
        <v>1</v>
      </c>
      <c r="D17" s="212">
        <f t="shared" si="10"/>
        <v>0.7</v>
      </c>
      <c r="E17" s="212">
        <f t="shared" si="7"/>
        <v>0.35667494393873245</v>
      </c>
      <c r="F17" s="213">
        <f t="shared" si="8"/>
        <v>0.30000000000000004</v>
      </c>
    </row>
    <row r="18" spans="3:6">
      <c r="C18" s="211">
        <f t="shared" si="9"/>
        <v>1</v>
      </c>
      <c r="D18" s="212">
        <f t="shared" si="10"/>
        <v>0.79999999999999993</v>
      </c>
      <c r="E18" s="212">
        <f t="shared" si="7"/>
        <v>0.22314355131420985</v>
      </c>
      <c r="F18" s="213">
        <f t="shared" si="8"/>
        <v>0.20000000000000007</v>
      </c>
    </row>
    <row r="19" spans="3:6">
      <c r="C19" s="211">
        <f t="shared" si="9"/>
        <v>1</v>
      </c>
      <c r="D19" s="212">
        <f t="shared" si="10"/>
        <v>0.89999999999999991</v>
      </c>
      <c r="E19" s="212">
        <f t="shared" si="7"/>
        <v>0.10536051565782641</v>
      </c>
      <c r="F19" s="213">
        <f t="shared" si="8"/>
        <v>0.10000000000000009</v>
      </c>
    </row>
    <row r="20" spans="3:6">
      <c r="C20" s="211">
        <f t="shared" si="9"/>
        <v>1</v>
      </c>
      <c r="D20" s="212">
        <f>D19+0.1</f>
        <v>0.99999999999999989</v>
      </c>
      <c r="E20" s="212">
        <f t="shared" si="7"/>
        <v>1.1102230246251565E-16</v>
      </c>
      <c r="F20" s="213">
        <f t="shared" si="8"/>
        <v>0</v>
      </c>
    </row>
    <row r="21" spans="3:6">
      <c r="D21" s="212"/>
      <c r="E21" s="212"/>
    </row>
  </sheetData>
  <phoneticPr fontId="33"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
  <sheetViews>
    <sheetView workbookViewId="0"/>
  </sheetViews>
  <sheetFormatPr defaultColWidth="12.6640625" defaultRowHeight="15.75" customHeight="1"/>
  <sheetData>
    <row r="1" spans="1:1">
      <c r="A1" s="4"/>
    </row>
  </sheetData>
  <phoneticPr fontId="3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B18"/>
  <sheetViews>
    <sheetView workbookViewId="0"/>
  </sheetViews>
  <sheetFormatPr defaultColWidth="12.6640625" defaultRowHeight="15.75" customHeight="1"/>
  <sheetData>
    <row r="1" spans="1:2">
      <c r="A1" s="4" t="e">
        <f>ModelSheet=#REF!</f>
        <v>#NAME?</v>
      </c>
      <c r="B1" s="4" t="e">
        <f>ModelSheet=logistic [1]regression!A:Z</f>
        <v>#NAME?</v>
      </c>
    </row>
    <row r="2" spans="1:2">
      <c r="A2" s="4" t="e">
        <f t="shared" ref="A2:B2" si="0">OpenSolver_AdjNum=1</f>
        <v>#NAME?</v>
      </c>
      <c r="B2" s="4" t="e">
        <f t="shared" si="0"/>
        <v>#NAME?</v>
      </c>
    </row>
    <row r="3" spans="1:2">
      <c r="A3" s="4" t="e">
        <f t="shared" ref="A3:B3" si="1">OpenSolver_ChosenSolver=Google</f>
        <v>#NAME?</v>
      </c>
      <c r="B3" s="4" t="e">
        <f t="shared" si="1"/>
        <v>#NAME?</v>
      </c>
    </row>
    <row r="4" spans="1:2">
      <c r="A4" s="4" t="e">
        <f t="shared" ref="A4:B4" si="2">OpenSolver_FastBuild=0</f>
        <v>#NAME?</v>
      </c>
      <c r="B4" s="4" t="e">
        <f t="shared" si="2"/>
        <v>#NAME?</v>
      </c>
    </row>
    <row r="5" spans="1:2">
      <c r="A5" s="4" t="e">
        <f>OpenSolver_LinearityCheck=1</f>
        <v>#NAME?</v>
      </c>
      <c r="B5" s="4" t="e">
        <f>OpenSolver_LinearityCheck=0</f>
        <v>#NAME?</v>
      </c>
    </row>
    <row r="6" spans="1:2">
      <c r="A6" s="4" t="e">
        <f>solver_adj=#REF!</f>
        <v>#NAME?</v>
      </c>
      <c r="B6" s="4" t="e">
        <f>solver_adj=logistic [1]regression!E5:F5</f>
        <v>#NAME?</v>
      </c>
    </row>
    <row r="7" spans="1:2">
      <c r="A7" s="4" t="e">
        <f>solver_lhs1=#REF!</f>
        <v>#NAME?</v>
      </c>
      <c r="B7" s="4" t="e">
        <f>solver_neg=1</f>
        <v>#NAME?</v>
      </c>
    </row>
    <row r="8" spans="1:2">
      <c r="A8" s="4" t="e">
        <f>solver_lhs2=#REF!</f>
        <v>#NAME?</v>
      </c>
      <c r="B8" s="4" t="e">
        <f>solver_num=0</f>
        <v>#NAME?</v>
      </c>
    </row>
    <row r="9" spans="1:2">
      <c r="A9" s="4" t="e">
        <f>solver_neg=1</f>
        <v>#NAME?</v>
      </c>
      <c r="B9" s="4" t="e">
        <f>solver_opt=logistic [1]regression!H16</f>
        <v>#NAME?</v>
      </c>
    </row>
    <row r="10" spans="1:2">
      <c r="A10" s="4" t="e">
        <f>solver_num=2</f>
        <v>#NAME?</v>
      </c>
      <c r="B10" s="4" t="e">
        <f>solver_sho=1</f>
        <v>#NAME?</v>
      </c>
    </row>
    <row r="11" spans="1:2">
      <c r="A11" s="4" t="e">
        <f>solver_opt=#REF!</f>
        <v>#NAME?</v>
      </c>
      <c r="B11" s="4" t="e">
        <f>solver_typ=2</f>
        <v>#NAME?</v>
      </c>
    </row>
    <row r="12" spans="1:2">
      <c r="A12" s="4" t="e">
        <f>solver_rel1=1</f>
        <v>#NAME?</v>
      </c>
      <c r="B12" s="4" t="e">
        <f>solver_val=0</f>
        <v>#NAME?</v>
      </c>
    </row>
    <row r="13" spans="1:2">
      <c r="A13" s="4" t="e">
        <f>solver_rel2=3</f>
        <v>#NAME?</v>
      </c>
    </row>
    <row r="14" spans="1:2">
      <c r="A14" s="4" t="e">
        <f>solver_rhs1=#REF!</f>
        <v>#NAME?</v>
      </c>
    </row>
    <row r="15" spans="1:2">
      <c r="A15" s="4" t="e">
        <f>solver_rhs2=#REF!</f>
        <v>#NAME?</v>
      </c>
    </row>
    <row r="16" spans="1:2">
      <c r="A16" s="4" t="e">
        <f>solver_sho=1</f>
        <v>#NAME?</v>
      </c>
    </row>
    <row r="17" spans="1:1">
      <c r="A17" s="4" t="e">
        <f>solver_typ=1</f>
        <v>#NAME?</v>
      </c>
    </row>
    <row r="18" spans="1:1">
      <c r="A18" s="4" t="e">
        <f>solver_val=0</f>
        <v>#NAME?</v>
      </c>
    </row>
  </sheetData>
  <phoneticPr fontId="3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42"/>
  <sheetViews>
    <sheetView showGridLines="0" topLeftCell="A21" workbookViewId="0">
      <selection activeCell="D12" sqref="D12"/>
    </sheetView>
  </sheetViews>
  <sheetFormatPr defaultColWidth="12.6640625" defaultRowHeight="15.75" customHeight="1"/>
  <cols>
    <col min="1" max="1" width="14.77734375" bestFit="1" customWidth="1"/>
    <col min="2" max="2" width="20.6640625" bestFit="1" customWidth="1"/>
    <col min="4" max="4" width="18" customWidth="1"/>
  </cols>
  <sheetData>
    <row r="1" spans="1:12">
      <c r="A1" s="216" t="s">
        <v>26</v>
      </c>
      <c r="B1" s="215"/>
      <c r="C1" s="2"/>
      <c r="D1" s="2"/>
      <c r="E1" s="2"/>
      <c r="F1" s="2"/>
      <c r="G1" s="9"/>
      <c r="H1" s="2"/>
      <c r="I1" s="2"/>
      <c r="J1" s="2"/>
      <c r="K1" s="2"/>
      <c r="L1" s="2"/>
    </row>
    <row r="2" spans="1:12">
      <c r="A2" s="2"/>
      <c r="B2" s="2"/>
      <c r="C2" s="2"/>
      <c r="D2" s="2"/>
      <c r="E2" s="10" t="s">
        <v>27</v>
      </c>
      <c r="F2" s="2"/>
      <c r="G2" s="2"/>
      <c r="H2" s="2"/>
      <c r="I2" s="2"/>
      <c r="J2" s="2"/>
      <c r="K2" s="2"/>
      <c r="L2" s="2"/>
    </row>
    <row r="3" spans="1:12">
      <c r="A3" s="5" t="s">
        <v>22</v>
      </c>
      <c r="B3" s="5" t="s">
        <v>23</v>
      </c>
      <c r="C3" s="5" t="s">
        <v>28</v>
      </c>
      <c r="D3" s="2"/>
      <c r="E3" s="2"/>
      <c r="F3" s="2"/>
      <c r="G3" s="2"/>
      <c r="H3" s="2"/>
      <c r="I3" s="2"/>
      <c r="J3" s="2"/>
    </row>
    <row r="4" spans="1:12">
      <c r="A4" s="3">
        <v>100</v>
      </c>
      <c r="B4" s="3">
        <v>50.1</v>
      </c>
      <c r="C4" s="11">
        <f>CORREL(A4:A19,B4:B19)</f>
        <v>1</v>
      </c>
      <c r="D4" s="2"/>
      <c r="E4" s="2"/>
      <c r="F4" s="2"/>
      <c r="G4" s="2"/>
      <c r="H4" s="2"/>
      <c r="I4" s="2"/>
      <c r="J4" s="2"/>
      <c r="K4" s="2"/>
      <c r="L4" s="2"/>
    </row>
    <row r="5" spans="1:12">
      <c r="A5" s="3">
        <f t="shared" ref="A5:A15" si="0">A4+10</f>
        <v>110</v>
      </c>
      <c r="B5" s="3">
        <f t="shared" ref="B5:B8" si="1">B4+5</f>
        <v>55.1</v>
      </c>
      <c r="C5" s="2"/>
      <c r="D5" s="2"/>
      <c r="E5" s="2"/>
      <c r="F5" s="2"/>
      <c r="G5" s="2"/>
      <c r="H5" s="2"/>
      <c r="I5" s="2"/>
      <c r="J5" s="2"/>
      <c r="K5" s="2"/>
      <c r="L5" s="2"/>
    </row>
    <row r="6" spans="1:12">
      <c r="A6" s="3">
        <f t="shared" si="0"/>
        <v>120</v>
      </c>
      <c r="B6" s="3">
        <f t="shared" si="1"/>
        <v>60.1</v>
      </c>
      <c r="C6" s="2"/>
      <c r="D6" s="2"/>
      <c r="E6" s="2"/>
      <c r="F6" s="2"/>
      <c r="G6" s="2"/>
      <c r="H6" s="2"/>
      <c r="I6" s="2"/>
      <c r="J6" s="2"/>
      <c r="K6" s="2"/>
      <c r="L6" s="2"/>
    </row>
    <row r="7" spans="1:12">
      <c r="A7" s="3">
        <f t="shared" si="0"/>
        <v>130</v>
      </c>
      <c r="B7" s="3">
        <f t="shared" si="1"/>
        <v>65.099999999999994</v>
      </c>
      <c r="C7" s="2"/>
      <c r="D7" s="2"/>
      <c r="E7" s="2"/>
      <c r="F7" s="2"/>
      <c r="G7" s="2"/>
      <c r="H7" s="2"/>
      <c r="I7" s="2"/>
      <c r="J7" s="2"/>
      <c r="K7" s="2"/>
      <c r="L7" s="2"/>
    </row>
    <row r="8" spans="1:12">
      <c r="A8" s="3">
        <f t="shared" si="0"/>
        <v>140</v>
      </c>
      <c r="B8" s="3">
        <f t="shared" si="1"/>
        <v>70.099999999999994</v>
      </c>
      <c r="C8" s="2"/>
      <c r="D8" s="2"/>
      <c r="E8" s="2"/>
      <c r="F8" s="2"/>
      <c r="G8" s="2"/>
      <c r="H8" s="2"/>
      <c r="I8" s="2"/>
      <c r="J8" s="2"/>
      <c r="K8" s="2"/>
      <c r="L8" s="2"/>
    </row>
    <row r="9" spans="1:12">
      <c r="A9" s="3">
        <f t="shared" si="0"/>
        <v>150</v>
      </c>
      <c r="B9" s="3">
        <v>75.099999999999994</v>
      </c>
      <c r="C9" s="2"/>
      <c r="D9" s="2"/>
      <c r="E9" s="2"/>
      <c r="F9" s="2"/>
      <c r="G9" s="2"/>
      <c r="H9" s="2"/>
      <c r="I9" s="2"/>
      <c r="J9" s="2"/>
      <c r="K9" s="2"/>
      <c r="L9" s="2"/>
    </row>
    <row r="10" spans="1:12">
      <c r="A10" s="3">
        <f t="shared" si="0"/>
        <v>160</v>
      </c>
      <c r="B10" s="3">
        <v>80.099999999999994</v>
      </c>
      <c r="C10" s="2"/>
      <c r="D10" s="2"/>
      <c r="E10" s="2"/>
      <c r="F10" s="2"/>
      <c r="G10" s="2"/>
      <c r="H10" s="2"/>
      <c r="I10" s="2"/>
      <c r="J10" s="2"/>
      <c r="K10" s="2"/>
      <c r="L10" s="2"/>
    </row>
    <row r="11" spans="1:12">
      <c r="A11" s="3">
        <f t="shared" si="0"/>
        <v>170</v>
      </c>
      <c r="B11" s="3">
        <v>85.1</v>
      </c>
      <c r="C11" s="2"/>
      <c r="D11" s="2"/>
      <c r="E11" s="2"/>
      <c r="F11" s="2"/>
      <c r="G11" s="2"/>
      <c r="H11" s="2"/>
      <c r="I11" s="2"/>
      <c r="J11" s="2"/>
      <c r="K11" s="2"/>
      <c r="L11" s="2"/>
    </row>
    <row r="12" spans="1:12">
      <c r="A12" s="3">
        <f t="shared" si="0"/>
        <v>180</v>
      </c>
      <c r="B12" s="3">
        <v>90.1</v>
      </c>
      <c r="C12" s="2"/>
      <c r="D12" s="2"/>
      <c r="E12" s="2"/>
      <c r="F12" s="2"/>
      <c r="G12" s="2"/>
      <c r="H12" s="2"/>
      <c r="I12" s="2"/>
      <c r="J12" s="2"/>
      <c r="K12" s="2"/>
      <c r="L12" s="2"/>
    </row>
    <row r="13" spans="1:12">
      <c r="A13" s="3">
        <f t="shared" si="0"/>
        <v>190</v>
      </c>
      <c r="B13" s="3">
        <v>95.1</v>
      </c>
      <c r="C13" s="2"/>
      <c r="D13" s="2"/>
      <c r="E13" s="2"/>
      <c r="F13" s="2"/>
      <c r="G13" s="2"/>
      <c r="H13" s="2"/>
      <c r="I13" s="2"/>
      <c r="J13" s="2"/>
      <c r="K13" s="2"/>
      <c r="L13" s="2"/>
    </row>
    <row r="14" spans="1:12">
      <c r="A14" s="3">
        <f t="shared" si="0"/>
        <v>200</v>
      </c>
      <c r="B14" s="3">
        <v>100.1</v>
      </c>
      <c r="C14" s="2"/>
      <c r="D14" s="2"/>
      <c r="E14" s="2"/>
      <c r="F14" s="2"/>
      <c r="G14" s="2"/>
      <c r="H14" s="2"/>
      <c r="I14" s="2"/>
      <c r="J14" s="2"/>
      <c r="K14" s="2"/>
      <c r="L14" s="2"/>
    </row>
    <row r="15" spans="1:12">
      <c r="A15" s="3">
        <f t="shared" si="0"/>
        <v>210</v>
      </c>
      <c r="B15" s="3">
        <v>105.1</v>
      </c>
      <c r="C15" s="2"/>
      <c r="D15" s="2"/>
      <c r="E15" s="2"/>
      <c r="F15" s="2"/>
      <c r="G15" s="2"/>
      <c r="H15" s="2"/>
      <c r="I15" s="2"/>
      <c r="J15" s="2"/>
      <c r="K15" s="2"/>
      <c r="L15" s="2"/>
    </row>
    <row r="16" spans="1:12">
      <c r="A16" s="3">
        <v>220</v>
      </c>
      <c r="B16" s="3">
        <v>110.1</v>
      </c>
      <c r="C16" s="2"/>
      <c r="D16" s="2"/>
      <c r="E16" s="2"/>
      <c r="F16" s="2"/>
      <c r="G16" s="2"/>
      <c r="H16" s="2"/>
      <c r="I16" s="2"/>
      <c r="J16" s="2"/>
      <c r="K16" s="2"/>
      <c r="L16" s="2"/>
    </row>
    <row r="17" spans="1:12">
      <c r="A17" s="3">
        <v>230</v>
      </c>
      <c r="B17" s="3">
        <v>115.1</v>
      </c>
      <c r="C17" s="2"/>
      <c r="D17" s="2"/>
      <c r="E17" s="2"/>
      <c r="F17" s="2"/>
      <c r="G17" s="2"/>
      <c r="H17" s="2"/>
      <c r="I17" s="2"/>
      <c r="J17" s="2"/>
      <c r="K17" s="2"/>
      <c r="L17" s="2"/>
    </row>
    <row r="18" spans="1:12">
      <c r="A18" s="3">
        <v>240</v>
      </c>
      <c r="B18" s="3">
        <v>120.1</v>
      </c>
      <c r="C18" s="2"/>
      <c r="D18" s="2"/>
      <c r="E18" s="2"/>
      <c r="F18" s="2"/>
      <c r="G18" s="2"/>
      <c r="H18" s="2"/>
      <c r="I18" s="2"/>
      <c r="J18" s="2"/>
      <c r="K18" s="2"/>
      <c r="L18" s="2"/>
    </row>
    <row r="19" spans="1:12">
      <c r="A19" s="3">
        <v>250</v>
      </c>
      <c r="B19" s="3">
        <v>125.1</v>
      </c>
      <c r="C19" s="2"/>
      <c r="D19" s="2"/>
      <c r="E19" s="2"/>
      <c r="F19" s="2"/>
      <c r="G19" s="2"/>
      <c r="H19" s="2"/>
      <c r="I19" s="2"/>
      <c r="J19" s="2"/>
      <c r="K19" s="2"/>
      <c r="L19" s="2"/>
    </row>
    <row r="20" spans="1:12">
      <c r="A20" s="2"/>
      <c r="B20" s="2"/>
      <c r="C20" s="2"/>
      <c r="D20" s="2"/>
      <c r="E20" s="10" t="s">
        <v>29</v>
      </c>
      <c r="F20" s="2"/>
      <c r="G20" s="2"/>
      <c r="H20" s="2"/>
      <c r="I20" s="2"/>
      <c r="J20" s="2"/>
      <c r="K20" s="2"/>
      <c r="L20" s="2"/>
    </row>
    <row r="21" spans="1:12">
      <c r="A21" s="5" t="s">
        <v>30</v>
      </c>
      <c r="B21" s="5" t="s">
        <v>31</v>
      </c>
      <c r="C21" s="1" t="s">
        <v>32</v>
      </c>
      <c r="D21" s="2"/>
      <c r="E21" s="2"/>
      <c r="F21" s="2"/>
      <c r="G21" s="2"/>
      <c r="H21" s="2"/>
      <c r="I21" s="2"/>
      <c r="J21" s="2"/>
      <c r="K21" s="2"/>
      <c r="L21" s="2"/>
    </row>
    <row r="22" spans="1:12">
      <c r="A22" s="12">
        <v>0.1</v>
      </c>
      <c r="B22" s="12">
        <v>0.5</v>
      </c>
      <c r="C22" s="1" t="s">
        <v>33</v>
      </c>
      <c r="D22" s="2"/>
      <c r="E22" s="2"/>
      <c r="F22" s="2"/>
      <c r="G22" s="2"/>
      <c r="H22" s="2"/>
      <c r="I22" s="2"/>
      <c r="J22" s="2"/>
      <c r="K22" s="2"/>
      <c r="L22" s="2"/>
    </row>
    <row r="23" spans="1:12">
      <c r="A23" s="2"/>
      <c r="B23" s="2"/>
      <c r="C23" s="2"/>
      <c r="D23" s="2"/>
      <c r="E23" s="2"/>
      <c r="F23" s="2"/>
      <c r="G23" s="2"/>
      <c r="H23" s="2"/>
      <c r="I23" s="2"/>
      <c r="J23" s="2"/>
      <c r="K23" s="2"/>
      <c r="L23" s="2"/>
    </row>
    <row r="24" spans="1:12">
      <c r="A24" s="5" t="s">
        <v>22</v>
      </c>
      <c r="B24" s="5" t="s">
        <v>34</v>
      </c>
      <c r="C24" s="13"/>
      <c r="D24" s="14" t="s">
        <v>35</v>
      </c>
      <c r="E24" s="14" t="s">
        <v>36</v>
      </c>
      <c r="F24" s="2"/>
      <c r="G24" s="2"/>
      <c r="H24" s="2"/>
      <c r="I24" s="2"/>
      <c r="J24" s="2"/>
      <c r="K24" s="2"/>
      <c r="L24" s="2"/>
    </row>
    <row r="25" spans="1:12">
      <c r="A25" s="3">
        <v>100</v>
      </c>
      <c r="B25" s="3">
        <f t="shared" ref="B25:B40" si="2">$A$22+A25*$B$22</f>
        <v>50.1</v>
      </c>
      <c r="C25" s="2"/>
      <c r="D25" s="15">
        <f t="shared" ref="D25:D40" si="3">B25-B4</f>
        <v>0</v>
      </c>
      <c r="E25" s="15">
        <f t="shared" ref="E25:E40" si="4">D25^2</f>
        <v>0</v>
      </c>
      <c r="F25" s="2"/>
      <c r="G25" s="2"/>
      <c r="H25" s="2"/>
      <c r="I25" s="2"/>
      <c r="J25" s="2"/>
      <c r="K25" s="2"/>
      <c r="L25" s="2"/>
    </row>
    <row r="26" spans="1:12">
      <c r="A26" s="3">
        <v>110</v>
      </c>
      <c r="B26" s="3">
        <f t="shared" si="2"/>
        <v>55.1</v>
      </c>
      <c r="C26" s="2"/>
      <c r="D26" s="15">
        <f t="shared" si="3"/>
        <v>0</v>
      </c>
      <c r="E26" s="15">
        <f t="shared" si="4"/>
        <v>0</v>
      </c>
      <c r="F26" s="2"/>
      <c r="G26" s="2"/>
      <c r="H26" s="2"/>
      <c r="I26" s="2"/>
      <c r="J26" s="2"/>
      <c r="K26" s="2"/>
      <c r="L26" s="2"/>
    </row>
    <row r="27" spans="1:12">
      <c r="A27" s="3">
        <v>120</v>
      </c>
      <c r="B27" s="3">
        <f t="shared" si="2"/>
        <v>60.1</v>
      </c>
      <c r="C27" s="2"/>
      <c r="D27" s="15">
        <f t="shared" si="3"/>
        <v>0</v>
      </c>
      <c r="E27" s="15">
        <f t="shared" si="4"/>
        <v>0</v>
      </c>
      <c r="F27" s="2"/>
      <c r="G27" s="2"/>
      <c r="H27" s="2"/>
      <c r="I27" s="2"/>
      <c r="J27" s="2"/>
      <c r="K27" s="2"/>
      <c r="L27" s="2"/>
    </row>
    <row r="28" spans="1:12">
      <c r="A28" s="3">
        <v>130</v>
      </c>
      <c r="B28" s="3">
        <f t="shared" si="2"/>
        <v>65.099999999999994</v>
      </c>
      <c r="C28" s="2"/>
      <c r="D28" s="15">
        <f t="shared" si="3"/>
        <v>0</v>
      </c>
      <c r="E28" s="15">
        <f t="shared" si="4"/>
        <v>0</v>
      </c>
      <c r="F28" s="2"/>
      <c r="G28" s="2"/>
      <c r="H28" s="2"/>
      <c r="I28" s="2"/>
      <c r="J28" s="2"/>
      <c r="K28" s="2"/>
      <c r="L28" s="2"/>
    </row>
    <row r="29" spans="1:12">
      <c r="A29" s="3">
        <v>140</v>
      </c>
      <c r="B29" s="3">
        <f t="shared" si="2"/>
        <v>70.099999999999994</v>
      </c>
      <c r="C29" s="2"/>
      <c r="D29" s="15">
        <f t="shared" si="3"/>
        <v>0</v>
      </c>
      <c r="E29" s="15">
        <f t="shared" si="4"/>
        <v>0</v>
      </c>
      <c r="F29" s="2"/>
      <c r="G29" s="2"/>
      <c r="H29" s="2"/>
      <c r="I29" s="2"/>
      <c r="J29" s="2"/>
      <c r="K29" s="2"/>
      <c r="L29" s="2"/>
    </row>
    <row r="30" spans="1:12">
      <c r="A30" s="3">
        <v>150</v>
      </c>
      <c r="B30" s="3">
        <f t="shared" si="2"/>
        <v>75.099999999999994</v>
      </c>
      <c r="C30" s="2"/>
      <c r="D30" s="15">
        <f t="shared" si="3"/>
        <v>0</v>
      </c>
      <c r="E30" s="15">
        <f t="shared" si="4"/>
        <v>0</v>
      </c>
      <c r="F30" s="2"/>
      <c r="G30" s="2"/>
      <c r="H30" s="2"/>
      <c r="I30" s="2"/>
      <c r="J30" s="2"/>
      <c r="K30" s="2"/>
      <c r="L30" s="2"/>
    </row>
    <row r="31" spans="1:12">
      <c r="A31" s="3">
        <v>160</v>
      </c>
      <c r="B31" s="3">
        <f t="shared" si="2"/>
        <v>80.099999999999994</v>
      </c>
      <c r="C31" s="2"/>
      <c r="D31" s="15">
        <f t="shared" si="3"/>
        <v>0</v>
      </c>
      <c r="E31" s="15">
        <f t="shared" si="4"/>
        <v>0</v>
      </c>
      <c r="F31" s="2"/>
      <c r="G31" s="2"/>
      <c r="H31" s="2"/>
      <c r="I31" s="2"/>
      <c r="J31" s="2"/>
      <c r="K31" s="2"/>
      <c r="L31" s="2"/>
    </row>
    <row r="32" spans="1:12">
      <c r="A32" s="3">
        <v>170</v>
      </c>
      <c r="B32" s="3">
        <f t="shared" si="2"/>
        <v>85.1</v>
      </c>
      <c r="C32" s="2"/>
      <c r="D32" s="15">
        <f t="shared" si="3"/>
        <v>0</v>
      </c>
      <c r="E32" s="15">
        <f t="shared" si="4"/>
        <v>0</v>
      </c>
      <c r="F32" s="2"/>
      <c r="G32" s="2"/>
      <c r="H32" s="2"/>
      <c r="I32" s="2"/>
      <c r="J32" s="2"/>
      <c r="K32" s="2"/>
      <c r="L32" s="2"/>
    </row>
    <row r="33" spans="1:12">
      <c r="A33" s="3">
        <v>180</v>
      </c>
      <c r="B33" s="3">
        <f t="shared" si="2"/>
        <v>90.1</v>
      </c>
      <c r="C33" s="2"/>
      <c r="D33" s="15">
        <f t="shared" si="3"/>
        <v>0</v>
      </c>
      <c r="E33" s="15">
        <f t="shared" si="4"/>
        <v>0</v>
      </c>
      <c r="F33" s="2"/>
      <c r="G33" s="2"/>
      <c r="H33" s="2"/>
      <c r="I33" s="2"/>
      <c r="J33" s="2"/>
      <c r="K33" s="2"/>
      <c r="L33" s="2"/>
    </row>
    <row r="34" spans="1:12">
      <c r="A34" s="3">
        <v>190</v>
      </c>
      <c r="B34" s="3">
        <f t="shared" si="2"/>
        <v>95.1</v>
      </c>
      <c r="C34" s="2"/>
      <c r="D34" s="15">
        <f t="shared" si="3"/>
        <v>0</v>
      </c>
      <c r="E34" s="15">
        <f t="shared" si="4"/>
        <v>0</v>
      </c>
      <c r="F34" s="2"/>
      <c r="G34" s="2"/>
      <c r="H34" s="2"/>
      <c r="I34" s="2"/>
      <c r="J34" s="2"/>
      <c r="K34" s="2"/>
      <c r="L34" s="2"/>
    </row>
    <row r="35" spans="1:12">
      <c r="A35" s="3">
        <v>200</v>
      </c>
      <c r="B35" s="3">
        <f t="shared" si="2"/>
        <v>100.1</v>
      </c>
      <c r="C35" s="2"/>
      <c r="D35" s="15">
        <f t="shared" si="3"/>
        <v>0</v>
      </c>
      <c r="E35" s="15">
        <f t="shared" si="4"/>
        <v>0</v>
      </c>
      <c r="F35" s="2"/>
      <c r="G35" s="2"/>
      <c r="H35" s="2"/>
      <c r="I35" s="2"/>
      <c r="J35" s="2"/>
      <c r="K35" s="2"/>
      <c r="L35" s="2"/>
    </row>
    <row r="36" spans="1:12">
      <c r="A36" s="3">
        <v>210</v>
      </c>
      <c r="B36" s="3">
        <f t="shared" si="2"/>
        <v>105.1</v>
      </c>
      <c r="C36" s="2"/>
      <c r="D36" s="15">
        <f t="shared" si="3"/>
        <v>0</v>
      </c>
      <c r="E36" s="15">
        <f t="shared" si="4"/>
        <v>0</v>
      </c>
      <c r="F36" s="2"/>
      <c r="G36" s="2"/>
      <c r="H36" s="2"/>
      <c r="I36" s="2"/>
      <c r="J36" s="2"/>
      <c r="K36" s="2"/>
      <c r="L36" s="2"/>
    </row>
    <row r="37" spans="1:12">
      <c r="A37" s="3">
        <v>220</v>
      </c>
      <c r="B37" s="3">
        <f t="shared" si="2"/>
        <v>110.1</v>
      </c>
      <c r="C37" s="2"/>
      <c r="D37" s="15">
        <f t="shared" si="3"/>
        <v>0</v>
      </c>
      <c r="E37" s="15">
        <f t="shared" si="4"/>
        <v>0</v>
      </c>
      <c r="F37" s="2"/>
      <c r="G37" s="2"/>
      <c r="H37" s="2"/>
      <c r="I37" s="2"/>
      <c r="J37" s="2"/>
      <c r="K37" s="2"/>
      <c r="L37" s="2"/>
    </row>
    <row r="38" spans="1:12">
      <c r="A38" s="3">
        <v>230</v>
      </c>
      <c r="B38" s="3">
        <f t="shared" si="2"/>
        <v>115.1</v>
      </c>
      <c r="C38" s="2"/>
      <c r="D38" s="15">
        <f t="shared" si="3"/>
        <v>0</v>
      </c>
      <c r="E38" s="15">
        <f t="shared" si="4"/>
        <v>0</v>
      </c>
      <c r="F38" s="2"/>
      <c r="G38" s="2"/>
      <c r="H38" s="2"/>
      <c r="I38" s="2"/>
      <c r="J38" s="2"/>
      <c r="K38" s="2"/>
      <c r="L38" s="2"/>
    </row>
    <row r="39" spans="1:12">
      <c r="A39" s="3">
        <v>240</v>
      </c>
      <c r="B39" s="3">
        <f t="shared" si="2"/>
        <v>120.1</v>
      </c>
      <c r="C39" s="2"/>
      <c r="D39" s="15">
        <f t="shared" si="3"/>
        <v>0</v>
      </c>
      <c r="E39" s="15">
        <f t="shared" si="4"/>
        <v>0</v>
      </c>
      <c r="F39" s="2"/>
      <c r="G39" s="2"/>
      <c r="H39" s="2"/>
      <c r="I39" s="2"/>
      <c r="J39" s="2"/>
      <c r="K39" s="2"/>
      <c r="L39" s="2"/>
    </row>
    <row r="40" spans="1:12">
      <c r="A40" s="16">
        <v>250</v>
      </c>
      <c r="B40" s="16">
        <f t="shared" si="2"/>
        <v>125.1</v>
      </c>
      <c r="C40" s="13"/>
      <c r="D40" s="17">
        <f t="shared" si="3"/>
        <v>0</v>
      </c>
      <c r="E40" s="17">
        <f t="shared" si="4"/>
        <v>0</v>
      </c>
      <c r="F40" s="2"/>
      <c r="G40" s="2"/>
      <c r="H40" s="2"/>
      <c r="I40" s="2"/>
      <c r="J40" s="2"/>
      <c r="K40" s="2"/>
      <c r="L40" s="2"/>
    </row>
    <row r="41" spans="1:12">
      <c r="D41" s="4" t="s">
        <v>37</v>
      </c>
      <c r="E41" s="4">
        <f>SUM(E25:E40)</f>
        <v>0</v>
      </c>
    </row>
    <row r="42" spans="1:12">
      <c r="D42" s="4" t="s">
        <v>38</v>
      </c>
      <c r="E42" s="18">
        <f>E41/COUNT(A4:A19)</f>
        <v>0</v>
      </c>
      <c r="F42" s="4" t="s">
        <v>39</v>
      </c>
    </row>
  </sheetData>
  <mergeCells count="1">
    <mergeCell ref="A1:B1"/>
  </mergeCells>
  <phoneticPr fontId="33" type="noConversion"/>
  <hyperlinks>
    <hyperlink ref="E2" r:id="rId1" xr:uid="{00000000-0004-0000-0200-000000000000}"/>
    <hyperlink ref="E20" r:id="rId2" xr:uid="{00000000-0004-0000-02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6"/>
  <sheetViews>
    <sheetView workbookViewId="0"/>
  </sheetViews>
  <sheetFormatPr defaultColWidth="12.6640625" defaultRowHeight="15.75" customHeight="1"/>
  <sheetData>
    <row r="1" spans="1:10">
      <c r="A1" s="19" t="s">
        <v>40</v>
      </c>
      <c r="D1" s="19" t="s">
        <v>41</v>
      </c>
      <c r="J1" s="4">
        <v>1</v>
      </c>
    </row>
    <row r="2" spans="1:10">
      <c r="A2" s="4">
        <f>MIN('linear regression'!E42)</f>
        <v>0</v>
      </c>
      <c r="B2" s="4" t="e">
        <f>MAX(#REF!)</f>
        <v>#REF!</v>
      </c>
    </row>
    <row r="3" spans="1:10">
      <c r="A3" s="4" t="s">
        <v>204</v>
      </c>
      <c r="B3" s="4" t="e">
        <f>#REF!</f>
        <v>#REF!</v>
      </c>
    </row>
    <row r="4" spans="1:10">
      <c r="A4" s="19" t="s">
        <v>42</v>
      </c>
      <c r="B4" s="19" t="s">
        <v>42</v>
      </c>
    </row>
    <row r="6" spans="1:10">
      <c r="A6" s="19" t="s">
        <v>43</v>
      </c>
      <c r="B6" s="19" t="s">
        <v>43</v>
      </c>
    </row>
  </sheetData>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
  <sheetViews>
    <sheetView workbookViewId="0"/>
  </sheetViews>
  <sheetFormatPr defaultColWidth="12.6640625" defaultRowHeight="15.75" customHeight="1"/>
  <sheetData>
    <row r="1" spans="1:4">
      <c r="A1" s="19" t="s">
        <v>44</v>
      </c>
      <c r="D1" s="19" t="s">
        <v>45</v>
      </c>
    </row>
    <row r="4" spans="1:4">
      <c r="A4" s="19" t="s">
        <v>46</v>
      </c>
    </row>
    <row r="6" spans="1:4">
      <c r="A6" s="19" t="s">
        <v>43</v>
      </c>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61"/>
  <sheetViews>
    <sheetView showGridLines="0" workbookViewId="0">
      <selection activeCell="E15" sqref="E15"/>
    </sheetView>
  </sheetViews>
  <sheetFormatPr defaultColWidth="12.6640625" defaultRowHeight="15.75" customHeight="1"/>
  <cols>
    <col min="1" max="1" width="11.6640625" customWidth="1"/>
    <col min="2" max="2" width="6.33203125" customWidth="1"/>
    <col min="3" max="3" width="4.44140625" customWidth="1"/>
    <col min="4" max="4" width="12" customWidth="1"/>
    <col min="5" max="5" width="18.33203125" customWidth="1"/>
    <col min="6" max="6" width="11.6640625" customWidth="1"/>
    <col min="7" max="7" width="16.33203125" customWidth="1"/>
    <col min="8" max="8" width="9.109375" customWidth="1"/>
    <col min="9" max="9" width="10.6640625" customWidth="1"/>
    <col min="10" max="10" width="11.6640625" customWidth="1"/>
    <col min="11" max="11" width="14.88671875" customWidth="1"/>
    <col min="12" max="12" width="13.88671875" customWidth="1"/>
    <col min="13" max="27" width="11.6640625" customWidth="1"/>
  </cols>
  <sheetData>
    <row r="1" spans="1:27" ht="13.2">
      <c r="A1" s="1"/>
      <c r="B1" s="214" t="s">
        <v>47</v>
      </c>
      <c r="C1" s="215"/>
      <c r="D1" s="215"/>
      <c r="E1" s="2"/>
      <c r="F1" s="2"/>
      <c r="G1" s="2"/>
      <c r="H1" s="9"/>
    </row>
    <row r="2" spans="1:27" ht="13.2">
      <c r="A2" s="1"/>
      <c r="B2" s="1" t="s">
        <v>48</v>
      </c>
      <c r="C2" s="1"/>
      <c r="D2" s="2" t="s">
        <v>49</v>
      </c>
      <c r="E2" s="2"/>
      <c r="F2" s="2"/>
      <c r="G2" s="2"/>
      <c r="H2" s="2"/>
      <c r="K2" s="20" t="s">
        <v>50</v>
      </c>
      <c r="L2" s="21"/>
      <c r="M2" s="22" t="s">
        <v>51</v>
      </c>
    </row>
    <row r="3" spans="1:27" ht="13.2">
      <c r="A3" s="23"/>
      <c r="B3" s="24" t="s">
        <v>52</v>
      </c>
      <c r="C3" s="24" t="s">
        <v>53</v>
      </c>
      <c r="D3" s="25" t="s">
        <v>54</v>
      </c>
      <c r="E3" s="25" t="s">
        <v>55</v>
      </c>
      <c r="F3" s="25" t="s">
        <v>56</v>
      </c>
      <c r="G3" s="25" t="s">
        <v>57</v>
      </c>
      <c r="H3" s="25" t="s">
        <v>58</v>
      </c>
      <c r="I3" s="25" t="s">
        <v>59</v>
      </c>
      <c r="J3" s="25" t="s">
        <v>60</v>
      </c>
      <c r="K3" s="26" t="s">
        <v>61</v>
      </c>
      <c r="L3" s="26" t="s">
        <v>62</v>
      </c>
      <c r="M3" s="27" t="s">
        <v>63</v>
      </c>
      <c r="N3" s="23"/>
      <c r="O3" s="28"/>
      <c r="P3" s="28"/>
      <c r="Q3" s="28"/>
      <c r="R3" s="28"/>
      <c r="S3" s="28"/>
      <c r="T3" s="28"/>
      <c r="U3" s="28"/>
      <c r="V3" s="28"/>
      <c r="W3" s="28"/>
      <c r="X3" s="28"/>
      <c r="Y3" s="28"/>
      <c r="Z3" s="28"/>
      <c r="AA3" s="28"/>
    </row>
    <row r="4" spans="1:27" ht="13.2">
      <c r="A4" s="3"/>
      <c r="B4" s="29">
        <v>1</v>
      </c>
      <c r="C4" s="29">
        <v>1</v>
      </c>
      <c r="D4" s="3">
        <f t="shared" ref="D4:D8" si="0">B4-$B$9</f>
        <v>-2</v>
      </c>
      <c r="E4" s="6">
        <f t="shared" ref="E4:E8" si="1">D4^2</f>
        <v>4</v>
      </c>
      <c r="F4" s="3">
        <f t="shared" ref="F4:F8" si="2">C4-$C$9</f>
        <v>-1.7999999999999998</v>
      </c>
      <c r="G4" s="3">
        <f t="shared" ref="G4:G8" si="3">D4*F4</f>
        <v>3.5999999999999996</v>
      </c>
      <c r="J4" s="4">
        <f t="shared" ref="J4:J8" si="4">$I$5+$H$5*B4</f>
        <v>1.1999999999999995</v>
      </c>
      <c r="K4" s="21">
        <f t="shared" ref="K4:K8" si="5">J4-C4</f>
        <v>0.19999999999999951</v>
      </c>
      <c r="L4" s="21">
        <f t="shared" ref="L4:L8" si="6">K4^2</f>
        <v>3.9999999999999807E-2</v>
      </c>
      <c r="M4" s="22">
        <f t="shared" ref="M4:M8" si="7">SQRT(L4)</f>
        <v>0.19999999999999951</v>
      </c>
    </row>
    <row r="5" spans="1:27" ht="13.2">
      <c r="A5" s="3"/>
      <c r="B5" s="29">
        <v>2</v>
      </c>
      <c r="C5" s="29">
        <v>3</v>
      </c>
      <c r="D5" s="3">
        <f t="shared" si="0"/>
        <v>-1</v>
      </c>
      <c r="E5" s="6">
        <f t="shared" si="1"/>
        <v>1</v>
      </c>
      <c r="F5" s="3">
        <f t="shared" si="2"/>
        <v>0.20000000000000018</v>
      </c>
      <c r="G5" s="3">
        <f t="shared" si="3"/>
        <v>-0.20000000000000018</v>
      </c>
      <c r="H5" s="30">
        <f>G10/E10</f>
        <v>0.8</v>
      </c>
      <c r="I5" s="31">
        <f>C9-H5*B9</f>
        <v>0.39999999999999947</v>
      </c>
      <c r="J5" s="4">
        <f t="shared" si="4"/>
        <v>1.9999999999999996</v>
      </c>
      <c r="K5" s="21">
        <f t="shared" si="5"/>
        <v>-1.0000000000000004</v>
      </c>
      <c r="L5" s="21">
        <f t="shared" si="6"/>
        <v>1.0000000000000009</v>
      </c>
      <c r="M5" s="22">
        <f t="shared" si="7"/>
        <v>1.0000000000000004</v>
      </c>
    </row>
    <row r="6" spans="1:27" ht="13.2">
      <c r="A6" s="3"/>
      <c r="B6" s="29">
        <v>4</v>
      </c>
      <c r="C6" s="29">
        <v>3</v>
      </c>
      <c r="D6" s="3">
        <f t="shared" si="0"/>
        <v>1</v>
      </c>
      <c r="E6" s="6">
        <f t="shared" si="1"/>
        <v>1</v>
      </c>
      <c r="F6" s="3">
        <f t="shared" si="2"/>
        <v>0.20000000000000018</v>
      </c>
      <c r="G6" s="3">
        <f t="shared" si="3"/>
        <v>0.20000000000000018</v>
      </c>
      <c r="H6" s="2"/>
      <c r="J6" s="4">
        <f t="shared" si="4"/>
        <v>3.5999999999999996</v>
      </c>
      <c r="K6" s="21">
        <f t="shared" si="5"/>
        <v>0.59999999999999964</v>
      </c>
      <c r="L6" s="21">
        <f t="shared" si="6"/>
        <v>0.3599999999999996</v>
      </c>
      <c r="M6" s="22">
        <f t="shared" si="7"/>
        <v>0.59999999999999964</v>
      </c>
    </row>
    <row r="7" spans="1:27" ht="13.2">
      <c r="A7" s="3"/>
      <c r="B7" s="29">
        <v>3</v>
      </c>
      <c r="C7" s="29">
        <v>2</v>
      </c>
      <c r="D7" s="3">
        <f t="shared" si="0"/>
        <v>0</v>
      </c>
      <c r="E7" s="6">
        <f t="shared" si="1"/>
        <v>0</v>
      </c>
      <c r="F7" s="3">
        <f t="shared" si="2"/>
        <v>-0.79999999999999982</v>
      </c>
      <c r="G7" s="3">
        <f t="shared" si="3"/>
        <v>0</v>
      </c>
      <c r="H7" s="2"/>
      <c r="J7" s="4">
        <f t="shared" si="4"/>
        <v>2.8</v>
      </c>
      <c r="K7" s="21">
        <f t="shared" si="5"/>
        <v>0.79999999999999982</v>
      </c>
      <c r="L7" s="21">
        <f t="shared" si="6"/>
        <v>0.63999999999999968</v>
      </c>
      <c r="M7" s="22">
        <f t="shared" si="7"/>
        <v>0.79999999999999982</v>
      </c>
    </row>
    <row r="8" spans="1:27" ht="13.2">
      <c r="A8" s="3"/>
      <c r="B8" s="32">
        <v>5</v>
      </c>
      <c r="C8" s="32">
        <v>5</v>
      </c>
      <c r="D8" s="16">
        <f t="shared" si="0"/>
        <v>2</v>
      </c>
      <c r="E8" s="33">
        <f t="shared" si="1"/>
        <v>4</v>
      </c>
      <c r="F8" s="16">
        <f t="shared" si="2"/>
        <v>2.2000000000000002</v>
      </c>
      <c r="G8" s="16">
        <f t="shared" si="3"/>
        <v>4.4000000000000004</v>
      </c>
      <c r="H8" s="13"/>
      <c r="I8" s="34"/>
      <c r="J8" s="34">
        <f t="shared" si="4"/>
        <v>4.3999999999999995</v>
      </c>
      <c r="K8" s="35">
        <f t="shared" si="5"/>
        <v>-0.60000000000000053</v>
      </c>
      <c r="L8" s="35">
        <f t="shared" si="6"/>
        <v>0.36000000000000065</v>
      </c>
      <c r="M8" s="22">
        <f t="shared" si="7"/>
        <v>0.60000000000000053</v>
      </c>
    </row>
    <row r="9" spans="1:27" ht="13.2">
      <c r="A9" s="3" t="s">
        <v>64</v>
      </c>
      <c r="B9" s="36">
        <f t="shared" ref="B9:F9" si="8">AVERAGE(B4:B8)</f>
        <v>3</v>
      </c>
      <c r="C9" s="36">
        <f t="shared" si="8"/>
        <v>2.8</v>
      </c>
      <c r="D9" s="3">
        <f t="shared" si="8"/>
        <v>0</v>
      </c>
      <c r="E9" s="3">
        <f t="shared" si="8"/>
        <v>2</v>
      </c>
      <c r="F9" s="3">
        <f t="shared" si="8"/>
        <v>0</v>
      </c>
      <c r="G9" s="6"/>
      <c r="H9" s="2"/>
      <c r="L9" s="4" t="s">
        <v>63</v>
      </c>
      <c r="M9" s="3">
        <f>AVERAGE(M4:M8)</f>
        <v>0.64</v>
      </c>
    </row>
    <row r="10" spans="1:27" ht="13.2">
      <c r="A10" s="2" t="s">
        <v>65</v>
      </c>
      <c r="B10" s="2"/>
      <c r="C10" s="2"/>
      <c r="D10" s="3">
        <f t="shared" ref="D10:G10" si="9">SUM(D4:D8)</f>
        <v>0</v>
      </c>
      <c r="E10" s="3">
        <f t="shared" si="9"/>
        <v>10</v>
      </c>
      <c r="F10" s="3">
        <f t="shared" si="9"/>
        <v>0</v>
      </c>
      <c r="G10" s="3">
        <f t="shared" si="9"/>
        <v>8</v>
      </c>
      <c r="H10" s="2"/>
      <c r="L10" s="37">
        <f>SUM(L4:L9)</f>
        <v>2.4000000000000008</v>
      </c>
    </row>
    <row r="11" spans="1:27" ht="13.2">
      <c r="A11" s="2"/>
      <c r="B11" s="2"/>
      <c r="C11" s="2"/>
      <c r="D11" s="3"/>
      <c r="E11" s="2"/>
      <c r="F11" s="2"/>
      <c r="G11" s="2"/>
      <c r="H11" s="2"/>
    </row>
    <row r="12" spans="1:27" ht="13.2">
      <c r="A12" s="2"/>
      <c r="B12" s="2"/>
      <c r="C12" s="2"/>
      <c r="D12" s="2"/>
      <c r="E12" s="2"/>
      <c r="F12" s="2"/>
      <c r="G12" s="2"/>
      <c r="H12" s="2"/>
    </row>
    <row r="13" spans="1:27" ht="13.2">
      <c r="A13" s="2"/>
      <c r="B13" s="2"/>
      <c r="C13" s="2"/>
      <c r="D13" s="2"/>
      <c r="E13" s="2"/>
      <c r="F13" s="2"/>
      <c r="G13" s="2"/>
      <c r="H13" s="2"/>
    </row>
    <row r="14" spans="1:27" ht="13.2">
      <c r="A14" s="2"/>
      <c r="B14" s="2"/>
      <c r="C14" s="2"/>
      <c r="D14" s="2"/>
      <c r="E14" s="2"/>
      <c r="F14" s="2"/>
      <c r="G14" s="2"/>
      <c r="H14" s="2"/>
    </row>
    <row r="15" spans="1:27" ht="15.75" customHeight="1">
      <c r="A15" s="2"/>
      <c r="B15" s="2"/>
      <c r="C15" s="2"/>
      <c r="D15" s="2"/>
      <c r="E15" s="2"/>
      <c r="F15" s="2"/>
      <c r="G15" s="2"/>
      <c r="H15" s="2"/>
    </row>
    <row r="16" spans="1:27" ht="13.2">
      <c r="A16" s="2"/>
      <c r="B16" s="2"/>
      <c r="C16" s="2"/>
      <c r="D16" s="2"/>
      <c r="E16" s="2"/>
      <c r="F16" s="2"/>
      <c r="G16" s="2"/>
      <c r="H16" s="2"/>
    </row>
    <row r="17" spans="1:8" ht="13.2">
      <c r="A17" s="2"/>
      <c r="B17" s="2"/>
      <c r="C17" s="2"/>
      <c r="D17" s="2"/>
      <c r="E17" s="2"/>
      <c r="F17" s="2"/>
      <c r="G17" s="2"/>
      <c r="H17" s="2"/>
    </row>
    <row r="18" spans="1:8" ht="13.2">
      <c r="A18" s="2"/>
      <c r="D18" s="2"/>
      <c r="E18" s="2"/>
      <c r="F18" s="2"/>
      <c r="G18" s="2"/>
      <c r="H18" s="2"/>
    </row>
    <row r="19" spans="1:8" ht="13.2">
      <c r="A19" s="2"/>
      <c r="D19" s="2"/>
      <c r="E19" s="2"/>
      <c r="F19" s="2"/>
      <c r="G19" s="2"/>
      <c r="H19" s="2"/>
    </row>
    <row r="20" spans="1:8" ht="13.2">
      <c r="A20" s="2"/>
      <c r="B20" s="2"/>
      <c r="C20" s="2"/>
      <c r="D20" s="2"/>
      <c r="E20" s="2"/>
      <c r="F20" s="2"/>
      <c r="G20" s="2"/>
      <c r="H20" s="2"/>
    </row>
    <row r="21" spans="1:8" ht="13.2">
      <c r="A21" s="2"/>
      <c r="B21" s="2"/>
      <c r="C21" s="2"/>
      <c r="D21" s="2"/>
      <c r="E21" s="2"/>
      <c r="F21" s="2"/>
      <c r="G21" s="2"/>
      <c r="H21" s="2"/>
    </row>
    <row r="22" spans="1:8" ht="13.2">
      <c r="A22" s="2"/>
      <c r="B22" s="2"/>
      <c r="C22" s="2"/>
      <c r="D22" s="2"/>
      <c r="E22" s="2"/>
      <c r="F22" s="2"/>
      <c r="G22" s="2"/>
      <c r="H22" s="2"/>
    </row>
    <row r="23" spans="1:8" ht="13.2">
      <c r="A23" s="2"/>
      <c r="B23" s="2"/>
      <c r="C23" s="2"/>
      <c r="D23" s="2"/>
      <c r="E23" s="2"/>
      <c r="F23" s="2"/>
      <c r="G23" s="2"/>
    </row>
    <row r="24" spans="1:8" ht="13.2">
      <c r="A24" s="2"/>
      <c r="B24" s="2"/>
      <c r="C24" s="2"/>
      <c r="D24" s="2"/>
      <c r="E24" s="2"/>
      <c r="F24" s="2"/>
      <c r="G24" s="2"/>
    </row>
    <row r="25" spans="1:8" ht="13.2">
      <c r="A25" s="2"/>
      <c r="B25" s="2"/>
      <c r="C25" s="2"/>
      <c r="D25" s="2"/>
      <c r="E25" s="2"/>
      <c r="F25" s="2"/>
      <c r="G25" s="2"/>
    </row>
    <row r="26" spans="1:8" ht="13.2">
      <c r="A26" s="2"/>
      <c r="B26" s="2"/>
      <c r="C26" s="2"/>
      <c r="D26" s="2"/>
      <c r="E26" s="2"/>
      <c r="F26" s="2"/>
      <c r="G26" s="2"/>
    </row>
    <row r="27" spans="1:8" ht="13.2">
      <c r="A27" s="2"/>
      <c r="B27" s="2"/>
      <c r="C27" s="2"/>
      <c r="D27" s="2"/>
      <c r="E27" s="2"/>
      <c r="F27" s="2"/>
      <c r="G27" s="2"/>
    </row>
    <row r="28" spans="1:8" ht="13.2">
      <c r="A28" s="2"/>
      <c r="B28" s="2"/>
      <c r="C28" s="2"/>
      <c r="D28" s="2"/>
      <c r="E28" s="2"/>
      <c r="F28" s="2"/>
      <c r="G28" s="2"/>
    </row>
    <row r="29" spans="1:8" ht="13.2">
      <c r="A29" s="2"/>
      <c r="B29" s="2"/>
      <c r="C29" s="2"/>
      <c r="D29" s="2"/>
      <c r="E29" s="2"/>
      <c r="F29" s="2"/>
      <c r="G29" s="2"/>
    </row>
    <row r="30" spans="1:8" ht="13.2">
      <c r="A30" s="2"/>
      <c r="B30" s="2"/>
      <c r="C30" s="2"/>
      <c r="D30" s="2"/>
      <c r="E30" s="2"/>
      <c r="F30" s="2"/>
      <c r="G30" s="2"/>
    </row>
    <row r="31" spans="1:8" ht="13.2">
      <c r="A31" s="2"/>
      <c r="B31" s="2"/>
      <c r="C31" s="2"/>
      <c r="D31" s="2"/>
      <c r="E31" s="2"/>
      <c r="F31" s="2"/>
      <c r="G31" s="2"/>
    </row>
    <row r="32" spans="1:8" ht="13.2">
      <c r="A32" s="2"/>
      <c r="B32" s="2"/>
      <c r="C32" s="2"/>
      <c r="D32" s="2"/>
      <c r="E32" s="2"/>
      <c r="F32" s="2"/>
      <c r="G32" s="2"/>
    </row>
    <row r="33" spans="1:10" ht="13.2">
      <c r="A33" s="2"/>
      <c r="B33" s="2"/>
      <c r="C33" s="2"/>
      <c r="D33" s="2"/>
      <c r="E33" s="2"/>
      <c r="F33" s="2"/>
      <c r="G33" s="2"/>
    </row>
    <row r="34" spans="1:10" ht="13.2">
      <c r="A34" s="2"/>
      <c r="B34" s="2"/>
      <c r="C34" s="2"/>
      <c r="D34" s="2"/>
      <c r="E34" s="2"/>
      <c r="F34" s="2"/>
      <c r="G34" s="2"/>
    </row>
    <row r="35" spans="1:10" ht="13.2">
      <c r="A35" s="2"/>
      <c r="B35" s="2"/>
      <c r="C35" s="2"/>
      <c r="D35" s="2"/>
      <c r="E35" s="2"/>
      <c r="F35" s="2"/>
      <c r="G35" s="2"/>
    </row>
    <row r="36" spans="1:10" ht="13.2">
      <c r="A36" s="2"/>
      <c r="B36" s="2"/>
      <c r="C36" s="2"/>
      <c r="D36" s="2"/>
      <c r="E36" s="2"/>
      <c r="F36" s="2"/>
      <c r="G36" s="2"/>
    </row>
    <row r="37" spans="1:10" ht="13.2">
      <c r="A37" s="2"/>
      <c r="B37" s="2"/>
      <c r="C37" s="2"/>
      <c r="D37" s="2"/>
      <c r="E37" s="2"/>
      <c r="F37" s="2"/>
      <c r="G37" s="2"/>
    </row>
    <row r="38" spans="1:10" ht="13.2">
      <c r="A38" s="2"/>
      <c r="B38" s="2"/>
      <c r="C38" s="2"/>
      <c r="D38" s="2"/>
      <c r="E38" s="2"/>
      <c r="F38" s="2"/>
      <c r="G38" s="2"/>
    </row>
    <row r="39" spans="1:10" ht="13.2">
      <c r="A39" s="2"/>
      <c r="B39" s="2"/>
      <c r="C39" s="2"/>
      <c r="D39" s="2"/>
      <c r="E39" s="2"/>
      <c r="F39" s="2"/>
      <c r="G39" s="2"/>
    </row>
    <row r="40" spans="1:10" ht="13.2">
      <c r="A40" s="2"/>
      <c r="B40" s="2"/>
      <c r="C40" s="2"/>
      <c r="D40" s="2"/>
      <c r="E40" s="2"/>
      <c r="F40" s="2"/>
      <c r="G40" s="2"/>
      <c r="H40" s="2"/>
    </row>
    <row r="41" spans="1:10" ht="13.2">
      <c r="A41" s="2"/>
      <c r="B41" s="2"/>
      <c r="C41" s="2"/>
      <c r="D41" s="2"/>
      <c r="E41" s="2"/>
      <c r="F41" s="2"/>
      <c r="G41" s="2"/>
      <c r="H41" s="2"/>
    </row>
    <row r="42" spans="1:10" ht="13.2">
      <c r="A42" s="2"/>
      <c r="B42" s="2"/>
      <c r="C42" s="2"/>
      <c r="D42" s="2"/>
      <c r="E42" s="2"/>
      <c r="F42" s="2"/>
      <c r="G42" s="2"/>
      <c r="H42" s="2"/>
    </row>
    <row r="43" spans="1:10" ht="13.2">
      <c r="A43" s="2"/>
      <c r="B43" s="2"/>
      <c r="C43" s="2"/>
      <c r="D43" s="2"/>
      <c r="E43" s="2"/>
      <c r="F43" s="2"/>
      <c r="G43" s="2"/>
      <c r="H43" s="2"/>
    </row>
    <row r="44" spans="1:10" ht="13.2">
      <c r="A44" s="2"/>
      <c r="B44" s="2"/>
      <c r="C44" s="2"/>
      <c r="D44" s="2"/>
      <c r="E44" s="2"/>
      <c r="F44" s="2"/>
      <c r="G44" s="2"/>
      <c r="H44" s="2"/>
    </row>
    <row r="45" spans="1:10" ht="13.2">
      <c r="A45" s="2"/>
      <c r="B45" s="2"/>
      <c r="C45" s="2"/>
      <c r="D45" s="2"/>
      <c r="E45" s="2"/>
      <c r="F45" s="2"/>
      <c r="G45" s="2"/>
      <c r="H45" s="2"/>
    </row>
    <row r="46" spans="1:10" ht="13.2">
      <c r="A46" s="2"/>
      <c r="B46" s="2"/>
      <c r="C46" s="2"/>
      <c r="D46" s="2"/>
      <c r="E46" s="2"/>
      <c r="F46" s="2"/>
      <c r="G46" s="2"/>
      <c r="H46" s="2"/>
    </row>
    <row r="47" spans="1:10" ht="13.2">
      <c r="A47" s="2"/>
      <c r="B47" s="2"/>
      <c r="C47" s="2"/>
      <c r="D47" s="2"/>
      <c r="E47" s="2"/>
      <c r="F47" s="2"/>
      <c r="G47" s="2"/>
      <c r="H47" s="38"/>
      <c r="I47" s="39"/>
      <c r="J47" s="38"/>
    </row>
    <row r="48" spans="1:10" ht="13.2">
      <c r="A48" s="2"/>
      <c r="B48" s="2"/>
      <c r="C48" s="2"/>
      <c r="D48" s="2"/>
      <c r="E48" s="2"/>
      <c r="F48" s="2"/>
      <c r="G48" s="2"/>
      <c r="H48" s="2"/>
    </row>
    <row r="49" spans="1:8" ht="13.2">
      <c r="A49" s="2"/>
      <c r="B49" s="2"/>
      <c r="C49" s="2"/>
      <c r="D49" s="2"/>
      <c r="E49" s="2"/>
      <c r="F49" s="2"/>
      <c r="G49" s="2"/>
      <c r="H49" s="2"/>
    </row>
    <row r="50" spans="1:8" ht="13.2">
      <c r="A50" s="2"/>
      <c r="B50" s="2"/>
      <c r="C50" s="2"/>
      <c r="D50" s="2"/>
      <c r="E50" s="2"/>
      <c r="F50" s="2"/>
      <c r="G50" s="2"/>
      <c r="H50" s="2"/>
    </row>
    <row r="51" spans="1:8" ht="13.2">
      <c r="A51" s="2"/>
      <c r="B51" s="2"/>
      <c r="C51" s="2"/>
      <c r="D51" s="2"/>
      <c r="E51" s="2"/>
      <c r="F51" s="2"/>
      <c r="G51" s="2"/>
      <c r="H51" s="2"/>
    </row>
    <row r="52" spans="1:8" ht="13.2">
      <c r="A52" s="2"/>
      <c r="B52" s="2"/>
      <c r="C52" s="2"/>
      <c r="D52" s="2"/>
      <c r="E52" s="2"/>
      <c r="F52" s="2"/>
      <c r="G52" s="2"/>
      <c r="H52" s="2"/>
    </row>
    <row r="53" spans="1:8" ht="13.2">
      <c r="A53" s="2"/>
      <c r="B53" s="2"/>
      <c r="C53" s="2"/>
      <c r="D53" s="2"/>
      <c r="E53" s="2"/>
      <c r="F53" s="2"/>
      <c r="G53" s="2"/>
      <c r="H53" s="2"/>
    </row>
    <row r="54" spans="1:8" ht="13.2">
      <c r="A54" s="2"/>
      <c r="B54" s="2"/>
      <c r="C54" s="2"/>
      <c r="D54" s="2"/>
      <c r="E54" s="2"/>
      <c r="F54" s="2"/>
      <c r="G54" s="2"/>
      <c r="H54" s="2"/>
    </row>
    <row r="55" spans="1:8" ht="13.2">
      <c r="A55" s="2"/>
      <c r="B55" s="2"/>
      <c r="C55" s="2"/>
      <c r="D55" s="2"/>
      <c r="E55" s="2"/>
      <c r="F55" s="2"/>
      <c r="G55" s="2"/>
      <c r="H55" s="2"/>
    </row>
    <row r="56" spans="1:8" ht="13.2">
      <c r="A56" s="2"/>
      <c r="B56" s="2"/>
      <c r="C56" s="2"/>
      <c r="D56" s="2"/>
      <c r="E56" s="2"/>
      <c r="F56" s="2"/>
      <c r="G56" s="2"/>
    </row>
    <row r="57" spans="1:8" ht="13.2">
      <c r="A57" s="2"/>
      <c r="B57" s="2"/>
      <c r="C57" s="2"/>
      <c r="D57" s="2"/>
      <c r="E57" s="2"/>
      <c r="F57" s="2"/>
      <c r="G57" s="2"/>
    </row>
    <row r="58" spans="1:8" ht="13.2">
      <c r="A58" s="2"/>
      <c r="B58" s="2"/>
      <c r="C58" s="2"/>
      <c r="D58" s="2"/>
      <c r="E58" s="2"/>
      <c r="F58" s="2"/>
      <c r="G58" s="2"/>
    </row>
    <row r="59" spans="1:8" ht="13.2">
      <c r="A59" s="2"/>
      <c r="B59" s="2"/>
      <c r="C59" s="2"/>
      <c r="D59" s="2"/>
      <c r="E59" s="2"/>
      <c r="F59" s="2"/>
      <c r="G59" s="2"/>
    </row>
    <row r="60" spans="1:8" ht="13.2">
      <c r="A60" s="2"/>
      <c r="B60" s="2"/>
      <c r="C60" s="2"/>
      <c r="D60" s="2"/>
      <c r="E60" s="2"/>
      <c r="F60" s="2"/>
      <c r="G60" s="2"/>
    </row>
    <row r="61" spans="1:8" ht="13.2">
      <c r="A61" s="2"/>
      <c r="B61" s="2"/>
      <c r="C61" s="2"/>
      <c r="D61" s="2"/>
      <c r="E61" s="2"/>
      <c r="F61" s="2"/>
      <c r="G61" s="2"/>
    </row>
  </sheetData>
  <mergeCells count="1">
    <mergeCell ref="B1:D1"/>
  </mergeCells>
  <phoneticPr fontId="3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1"/>
  <sheetViews>
    <sheetView showGridLines="0" workbookViewId="0">
      <selection activeCell="F23" sqref="F23"/>
    </sheetView>
  </sheetViews>
  <sheetFormatPr defaultColWidth="12.6640625" defaultRowHeight="15.75" customHeight="1"/>
  <cols>
    <col min="1" max="1" width="15.21875" bestFit="1" customWidth="1"/>
  </cols>
  <sheetData>
    <row r="1" spans="2:3">
      <c r="B1" s="43" t="s">
        <v>68</v>
      </c>
      <c r="C1" s="43" t="s">
        <v>69</v>
      </c>
    </row>
    <row r="2" spans="2:3">
      <c r="B2" s="43">
        <v>0</v>
      </c>
      <c r="C2" s="43">
        <f t="shared" ref="C2:C17" ca="1" si="0">COS(B2)+RAND()*100</f>
        <v>83.030578700721293</v>
      </c>
    </row>
    <row r="3" spans="2:3">
      <c r="B3" s="43">
        <f t="shared" ref="B3:B17" si="1">B2+100</f>
        <v>100</v>
      </c>
      <c r="C3" s="43">
        <f t="shared" ca="1" si="0"/>
        <v>69.42594255831311</v>
      </c>
    </row>
    <row r="4" spans="2:3">
      <c r="B4" s="43">
        <f t="shared" si="1"/>
        <v>200</v>
      </c>
      <c r="C4" s="43">
        <f t="shared" ca="1" si="0"/>
        <v>80.232288575505066</v>
      </c>
    </row>
    <row r="5" spans="2:3">
      <c r="B5" s="43">
        <f t="shared" si="1"/>
        <v>300</v>
      </c>
      <c r="C5" s="43">
        <f t="shared" ca="1" si="0"/>
        <v>79.969956890093343</v>
      </c>
    </row>
    <row r="6" spans="2:3">
      <c r="B6" s="43">
        <f t="shared" si="1"/>
        <v>400</v>
      </c>
      <c r="C6" s="43">
        <f t="shared" ca="1" si="0"/>
        <v>84.450293208329043</v>
      </c>
    </row>
    <row r="7" spans="2:3">
      <c r="B7" s="43">
        <f t="shared" si="1"/>
        <v>500</v>
      </c>
      <c r="C7" s="43">
        <f t="shared" ca="1" si="0"/>
        <v>13.355143249860927</v>
      </c>
    </row>
    <row r="8" spans="2:3">
      <c r="B8" s="43">
        <f t="shared" si="1"/>
        <v>600</v>
      </c>
      <c r="C8" s="43">
        <f t="shared" ca="1" si="0"/>
        <v>90.723525171836528</v>
      </c>
    </row>
    <row r="9" spans="2:3">
      <c r="B9" s="43">
        <f t="shared" si="1"/>
        <v>700</v>
      </c>
      <c r="C9" s="43">
        <f t="shared" ca="1" si="0"/>
        <v>81.778932804873051</v>
      </c>
    </row>
    <row r="10" spans="2:3">
      <c r="B10" s="43">
        <f t="shared" si="1"/>
        <v>800</v>
      </c>
      <c r="C10" s="43">
        <f t="shared" ca="1" si="0"/>
        <v>64.5691642983344</v>
      </c>
    </row>
    <row r="11" spans="2:3">
      <c r="B11" s="43">
        <f t="shared" si="1"/>
        <v>900</v>
      </c>
      <c r="C11" s="43">
        <f t="shared" ca="1" si="0"/>
        <v>68.398702191734415</v>
      </c>
    </row>
    <row r="12" spans="2:3">
      <c r="B12" s="43">
        <f t="shared" si="1"/>
        <v>1000</v>
      </c>
      <c r="C12" s="43">
        <f t="shared" ca="1" si="0"/>
        <v>86.546837236144441</v>
      </c>
    </row>
    <row r="13" spans="2:3">
      <c r="B13" s="43">
        <f t="shared" si="1"/>
        <v>1100</v>
      </c>
      <c r="C13" s="43">
        <f t="shared" ca="1" si="0"/>
        <v>3.1960182781006505</v>
      </c>
    </row>
    <row r="14" spans="2:3">
      <c r="B14" s="43">
        <f t="shared" si="1"/>
        <v>1200</v>
      </c>
      <c r="C14" s="43">
        <f t="shared" ca="1" si="0"/>
        <v>33.278994214006396</v>
      </c>
    </row>
    <row r="15" spans="2:3">
      <c r="B15" s="43">
        <f t="shared" si="1"/>
        <v>1300</v>
      </c>
      <c r="C15" s="43">
        <f t="shared" ca="1" si="0"/>
        <v>57.05743758548617</v>
      </c>
    </row>
    <row r="16" spans="2:3">
      <c r="B16" s="43">
        <f t="shared" si="1"/>
        <v>1400</v>
      </c>
      <c r="C16" s="43">
        <f t="shared" ca="1" si="0"/>
        <v>38.715675210772417</v>
      </c>
    </row>
    <row r="17" spans="1:3">
      <c r="B17" s="43">
        <f t="shared" si="1"/>
        <v>1500</v>
      </c>
      <c r="C17" s="43">
        <f t="shared" ca="1" si="0"/>
        <v>84.247980561997736</v>
      </c>
    </row>
    <row r="18" spans="1:3">
      <c r="B18" s="43"/>
      <c r="C18" s="43"/>
    </row>
    <row r="19" spans="1:3">
      <c r="A19" s="4" t="s">
        <v>70</v>
      </c>
      <c r="B19" s="4" t="s">
        <v>71</v>
      </c>
    </row>
    <row r="20" spans="1:3">
      <c r="A20" s="4" t="s">
        <v>72</v>
      </c>
      <c r="B20" s="4" t="s">
        <v>73</v>
      </c>
    </row>
    <row r="21" spans="1:3">
      <c r="A21" s="4" t="s">
        <v>74</v>
      </c>
      <c r="B21" s="4" t="s">
        <v>75</v>
      </c>
    </row>
  </sheetData>
  <phoneticPr fontId="3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18"/>
  <sheetViews>
    <sheetView showGridLines="0" workbookViewId="0">
      <selection activeCell="J20" sqref="J20"/>
    </sheetView>
  </sheetViews>
  <sheetFormatPr defaultColWidth="12.6640625" defaultRowHeight="15.75" customHeight="1"/>
  <sheetData>
    <row r="1" spans="1:4">
      <c r="B1" s="216" t="s">
        <v>76</v>
      </c>
      <c r="C1" s="215"/>
      <c r="D1" s="2"/>
    </row>
    <row r="2" spans="1:4">
      <c r="B2" s="2"/>
      <c r="C2" s="2"/>
      <c r="D2" s="2"/>
    </row>
    <row r="3" spans="1:4">
      <c r="B3" s="44" t="s">
        <v>77</v>
      </c>
      <c r="C3" s="44" t="s">
        <v>78</v>
      </c>
      <c r="D3" s="44" t="s">
        <v>79</v>
      </c>
    </row>
    <row r="4" spans="1:4">
      <c r="B4" s="3">
        <v>-5</v>
      </c>
      <c r="C4" s="45">
        <f t="shared" ref="C4:C14" si="0">1/(1+EXP(-B4))</f>
        <v>6.6928509242848554E-3</v>
      </c>
      <c r="D4" s="45">
        <f t="shared" ref="D4:D14" si="1">EXP(-B4) / (1+EXP(-B4))^2</f>
        <v>6.6480566707901546E-3</v>
      </c>
    </row>
    <row r="5" spans="1:4">
      <c r="B5" s="3">
        <v>-4</v>
      </c>
      <c r="C5" s="45">
        <f t="shared" si="0"/>
        <v>1.7986209962091559E-2</v>
      </c>
      <c r="D5" s="45">
        <f t="shared" si="1"/>
        <v>1.7662706213291118E-2</v>
      </c>
    </row>
    <row r="6" spans="1:4">
      <c r="B6" s="3">
        <v>-3</v>
      </c>
      <c r="C6" s="45">
        <f t="shared" si="0"/>
        <v>4.7425873177566781E-2</v>
      </c>
      <c r="D6" s="45">
        <f t="shared" si="1"/>
        <v>4.517665973091213E-2</v>
      </c>
    </row>
    <row r="7" spans="1:4">
      <c r="B7" s="3">
        <v>-2</v>
      </c>
      <c r="C7" s="45">
        <f t="shared" si="0"/>
        <v>0.11920292202211755</v>
      </c>
      <c r="D7" s="45">
        <f t="shared" si="1"/>
        <v>0.10499358540350652</v>
      </c>
    </row>
    <row r="8" spans="1:4">
      <c r="B8" s="3">
        <v>-1</v>
      </c>
      <c r="C8" s="45">
        <f t="shared" si="0"/>
        <v>0.2689414213699951</v>
      </c>
      <c r="D8" s="45">
        <f t="shared" si="1"/>
        <v>0.19661193324148185</v>
      </c>
    </row>
    <row r="9" spans="1:4">
      <c r="B9" s="3">
        <v>0</v>
      </c>
      <c r="C9" s="45">
        <f t="shared" si="0"/>
        <v>0.5</v>
      </c>
      <c r="D9" s="45">
        <f t="shared" si="1"/>
        <v>0.25</v>
      </c>
    </row>
    <row r="10" spans="1:4">
      <c r="B10" s="3">
        <v>1</v>
      </c>
      <c r="C10" s="45">
        <f t="shared" si="0"/>
        <v>0.7310585786300049</v>
      </c>
      <c r="D10" s="45">
        <f t="shared" si="1"/>
        <v>0.19661193324148188</v>
      </c>
    </row>
    <row r="11" spans="1:4">
      <c r="B11" s="3">
        <v>2</v>
      </c>
      <c r="C11" s="45">
        <f t="shared" si="0"/>
        <v>0.88079707797788231</v>
      </c>
      <c r="D11" s="45">
        <f t="shared" si="1"/>
        <v>0.10499358540350651</v>
      </c>
    </row>
    <row r="12" spans="1:4">
      <c r="B12" s="3">
        <v>3</v>
      </c>
      <c r="C12" s="45">
        <f t="shared" si="0"/>
        <v>0.95257412682243336</v>
      </c>
      <c r="D12" s="45">
        <f t="shared" si="1"/>
        <v>4.5176659730912144E-2</v>
      </c>
    </row>
    <row r="13" spans="1:4">
      <c r="B13" s="3">
        <v>4</v>
      </c>
      <c r="C13" s="45">
        <f t="shared" si="0"/>
        <v>0.98201379003790845</v>
      </c>
      <c r="D13" s="45">
        <f t="shared" si="1"/>
        <v>1.7662706213291114E-2</v>
      </c>
    </row>
    <row r="14" spans="1:4">
      <c r="B14" s="3">
        <v>5</v>
      </c>
      <c r="C14" s="45">
        <f t="shared" si="0"/>
        <v>0.99330714907571527</v>
      </c>
      <c r="D14" s="45">
        <f t="shared" si="1"/>
        <v>6.6480566707901563E-3</v>
      </c>
    </row>
    <row r="16" spans="1:4">
      <c r="A16" s="46"/>
    </row>
    <row r="18" spans="7:7">
      <c r="G18" s="47"/>
    </row>
  </sheetData>
  <mergeCells count="1">
    <mergeCell ref="B1:C1"/>
  </mergeCells>
  <phoneticPr fontId="3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50"/>
  <sheetViews>
    <sheetView showGridLines="0" topLeftCell="A18" workbookViewId="0">
      <selection activeCell="L27" sqref="L27"/>
    </sheetView>
  </sheetViews>
  <sheetFormatPr defaultColWidth="12.6640625" defaultRowHeight="15.75" customHeight="1"/>
  <cols>
    <col min="1" max="6" width="11.33203125" customWidth="1"/>
    <col min="7" max="7" width="14.109375" customWidth="1"/>
    <col min="8" max="9" width="11.33203125" customWidth="1"/>
  </cols>
  <sheetData>
    <row r="1" spans="1:10" ht="13.2">
      <c r="A1" s="214" t="s">
        <v>80</v>
      </c>
      <c r="B1" s="215"/>
      <c r="C1" s="215"/>
    </row>
    <row r="2" spans="1:10" ht="13.2">
      <c r="A2" s="2"/>
      <c r="B2" s="2"/>
      <c r="C2" s="2"/>
    </row>
    <row r="3" spans="1:10" ht="13.2">
      <c r="A3" s="2"/>
      <c r="B3" s="2"/>
      <c r="C3" s="2"/>
    </row>
    <row r="4" spans="1:10" ht="13.2">
      <c r="A4" s="1" t="s">
        <v>48</v>
      </c>
      <c r="B4" s="2"/>
      <c r="C4" s="2"/>
      <c r="D4" s="48" t="s">
        <v>30</v>
      </c>
      <c r="E4" s="48" t="s">
        <v>31</v>
      </c>
      <c r="F4" s="48" t="s">
        <v>81</v>
      </c>
      <c r="G4" s="47" t="s">
        <v>82</v>
      </c>
      <c r="H4" s="47"/>
      <c r="I4" s="47"/>
      <c r="J4" s="47"/>
    </row>
    <row r="5" spans="1:10" ht="13.2">
      <c r="A5" s="49" t="s">
        <v>66</v>
      </c>
      <c r="B5" s="49" t="s">
        <v>67</v>
      </c>
      <c r="C5" s="50" t="s">
        <v>69</v>
      </c>
      <c r="D5" s="51">
        <v>-29</v>
      </c>
      <c r="E5" s="52">
        <f>C31</f>
        <v>13.43934906918097</v>
      </c>
      <c r="F5" s="53">
        <f>C32</f>
        <v>-10.844867723007766</v>
      </c>
      <c r="G5" s="54" t="s">
        <v>83</v>
      </c>
      <c r="H5" s="55" t="s">
        <v>84</v>
      </c>
      <c r="I5" s="49" t="s">
        <v>85</v>
      </c>
      <c r="J5" s="56" t="s">
        <v>86</v>
      </c>
    </row>
    <row r="6" spans="1:10" ht="13.2">
      <c r="A6" s="57">
        <v>2.7810836000000001</v>
      </c>
      <c r="B6" s="57">
        <v>2.5505369999999998</v>
      </c>
      <c r="C6" s="58">
        <v>0</v>
      </c>
      <c r="D6" s="59">
        <f t="shared" ref="D6:D15" si="0">D5</f>
        <v>-29</v>
      </c>
      <c r="E6" s="59">
        <f t="shared" ref="E6:F6" si="1">E$5*A6</f>
        <v>37.375953290974465</v>
      </c>
      <c r="F6" s="59">
        <f t="shared" si="1"/>
        <v>-27.660236387637056</v>
      </c>
      <c r="G6" s="60">
        <f t="shared" ref="G6:G15" si="2">(1/(1+EXP(-SUM(D6:F6))))</f>
        <v>4.2164044384738778E-9</v>
      </c>
      <c r="H6" s="61">
        <f t="shared" ref="H6:H15" si="3">IF(C6 = 1, -C6*LOG(G6), -(1-C6)*LOG((1-G6)))</f>
        <v>1.8311611890166283E-9</v>
      </c>
      <c r="I6" s="62">
        <f t="shared" ref="I6:I15" si="4">IF(G6&gt;= 0.5, 1, 0)</f>
        <v>0</v>
      </c>
      <c r="J6" s="59">
        <f t="shared" ref="J6:J15" si="5">C6-I6</f>
        <v>0</v>
      </c>
    </row>
    <row r="7" spans="1:10" ht="13.2">
      <c r="A7" s="57">
        <v>1.46548937</v>
      </c>
      <c r="B7" s="57">
        <v>2.3621250800000002</v>
      </c>
      <c r="C7" s="58">
        <v>0</v>
      </c>
      <c r="D7" s="59">
        <f t="shared" si="0"/>
        <v>-29</v>
      </c>
      <c r="E7" s="59">
        <f t="shared" ref="E7:F7" si="6">E$5*A7</f>
        <v>19.695223200604108</v>
      </c>
      <c r="F7" s="59">
        <f t="shared" si="6"/>
        <v>-25.61693403779914</v>
      </c>
      <c r="G7" s="60">
        <f t="shared" si="2"/>
        <v>6.8185759884735208E-16</v>
      </c>
      <c r="H7" s="61">
        <f t="shared" si="3"/>
        <v>2.8929823996598625E-16</v>
      </c>
      <c r="I7" s="62">
        <f t="shared" si="4"/>
        <v>0</v>
      </c>
      <c r="J7" s="59">
        <f t="shared" si="5"/>
        <v>0</v>
      </c>
    </row>
    <row r="8" spans="1:10" ht="13.2">
      <c r="A8" s="57">
        <v>3.39656169</v>
      </c>
      <c r="B8" s="57">
        <v>4.4002935299999999</v>
      </c>
      <c r="C8" s="58">
        <v>0</v>
      </c>
      <c r="D8" s="59">
        <f t="shared" si="0"/>
        <v>-29</v>
      </c>
      <c r="E8" s="59">
        <f t="shared" ref="E8:F8" si="7">E$5*A8</f>
        <v>45.647578186917244</v>
      </c>
      <c r="F8" s="59">
        <f t="shared" si="7"/>
        <v>-47.720601275256904</v>
      </c>
      <c r="G8" s="60">
        <f t="shared" si="2"/>
        <v>3.2000556925526819E-14</v>
      </c>
      <c r="H8" s="61">
        <f t="shared" si="3"/>
        <v>1.3886315518367557E-14</v>
      </c>
      <c r="I8" s="62">
        <f t="shared" si="4"/>
        <v>0</v>
      </c>
      <c r="J8" s="59">
        <f t="shared" si="5"/>
        <v>0</v>
      </c>
    </row>
    <row r="9" spans="1:10" ht="13.2">
      <c r="A9" s="57">
        <v>1.3880701900000001</v>
      </c>
      <c r="B9" s="57">
        <v>1.85022032</v>
      </c>
      <c r="C9" s="58">
        <v>0</v>
      </c>
      <c r="D9" s="59">
        <f t="shared" si="0"/>
        <v>-29</v>
      </c>
      <c r="E9" s="59">
        <f t="shared" ref="E9:F9" si="8">E$5*A9</f>
        <v>18.654759815934355</v>
      </c>
      <c r="F9" s="59">
        <f t="shared" si="8"/>
        <v>-20.0653946288211</v>
      </c>
      <c r="G9" s="60">
        <f t="shared" si="2"/>
        <v>6.2062477671063883E-14</v>
      </c>
      <c r="H9" s="61">
        <f t="shared" si="3"/>
        <v>2.6952952690165211E-14</v>
      </c>
      <c r="I9" s="62">
        <f t="shared" si="4"/>
        <v>0</v>
      </c>
      <c r="J9" s="59">
        <f t="shared" si="5"/>
        <v>0</v>
      </c>
    </row>
    <row r="10" spans="1:10" ht="13.2">
      <c r="A10" s="57">
        <v>3.0640723200000002</v>
      </c>
      <c r="B10" s="57">
        <v>3.0053059700000002</v>
      </c>
      <c r="C10" s="58">
        <v>0</v>
      </c>
      <c r="D10" s="59">
        <f t="shared" si="0"/>
        <v>-29</v>
      </c>
      <c r="E10" s="59">
        <f t="shared" ref="E10:F10" si="9">E$5*A10</f>
        <v>41.179137481695179</v>
      </c>
      <c r="F10" s="59">
        <f t="shared" si="9"/>
        <v>-32.592145711815547</v>
      </c>
      <c r="G10" s="60">
        <f t="shared" si="2"/>
        <v>1.3637763851316906E-9</v>
      </c>
      <c r="H10" s="61">
        <f t="shared" si="3"/>
        <v>5.9228057638447248E-10</v>
      </c>
      <c r="I10" s="62">
        <f t="shared" si="4"/>
        <v>0</v>
      </c>
      <c r="J10" s="59">
        <f t="shared" si="5"/>
        <v>0</v>
      </c>
    </row>
    <row r="11" spans="1:10" ht="13.2">
      <c r="A11" s="57">
        <v>7.6275312099999999</v>
      </c>
      <c r="B11" s="57">
        <v>2.75926224</v>
      </c>
      <c r="C11" s="58">
        <v>1</v>
      </c>
      <c r="D11" s="59">
        <f t="shared" si="0"/>
        <v>-29</v>
      </c>
      <c r="E11" s="59">
        <f t="shared" ref="E11:F11" si="10">E$5*A11</f>
        <v>102.5090544672623</v>
      </c>
      <c r="F11" s="59">
        <f t="shared" si="10"/>
        <v>-29.923834005890107</v>
      </c>
      <c r="G11" s="60">
        <f t="shared" si="2"/>
        <v>1</v>
      </c>
      <c r="H11" s="61">
        <f t="shared" si="3"/>
        <v>0</v>
      </c>
      <c r="I11" s="62">
        <f t="shared" si="4"/>
        <v>1</v>
      </c>
      <c r="J11" s="59">
        <f t="shared" si="5"/>
        <v>0</v>
      </c>
    </row>
    <row r="12" spans="1:10" ht="13.2">
      <c r="A12" s="57">
        <v>5.3324412499999996</v>
      </c>
      <c r="B12" s="57">
        <v>2.0886267799999998</v>
      </c>
      <c r="C12" s="58">
        <v>1</v>
      </c>
      <c r="D12" s="59">
        <f t="shared" si="0"/>
        <v>-29</v>
      </c>
      <c r="E12" s="59">
        <f t="shared" ref="E12:F12" si="11">E$5*A12</f>
        <v>71.664539349649701</v>
      </c>
      <c r="F12" s="59">
        <f t="shared" si="11"/>
        <v>-22.650881151831641</v>
      </c>
      <c r="G12" s="60">
        <f t="shared" si="2"/>
        <v>0.99999999796680661</v>
      </c>
      <c r="H12" s="61">
        <f t="shared" si="3"/>
        <v>8.8300467143629488E-10</v>
      </c>
      <c r="I12" s="62">
        <f t="shared" si="4"/>
        <v>1</v>
      </c>
      <c r="J12" s="59">
        <f t="shared" si="5"/>
        <v>0</v>
      </c>
    </row>
    <row r="13" spans="1:10" ht="13.2">
      <c r="A13" s="57">
        <v>6.9225967199999996</v>
      </c>
      <c r="B13" s="57">
        <v>1.77106367</v>
      </c>
      <c r="C13" s="58">
        <v>1</v>
      </c>
      <c r="D13" s="59">
        <f t="shared" si="0"/>
        <v>-29</v>
      </c>
      <c r="E13" s="59">
        <f t="shared" ref="E13:F13" si="12">E$5*A13</f>
        <v>93.03519378524723</v>
      </c>
      <c r="F13" s="59">
        <f t="shared" si="12"/>
        <v>-19.206951230174678</v>
      </c>
      <c r="G13" s="60">
        <f t="shared" si="2"/>
        <v>1</v>
      </c>
      <c r="H13" s="61">
        <f t="shared" si="3"/>
        <v>0</v>
      </c>
      <c r="I13" s="62">
        <f t="shared" si="4"/>
        <v>1</v>
      </c>
      <c r="J13" s="59">
        <f t="shared" si="5"/>
        <v>0</v>
      </c>
    </row>
    <row r="14" spans="1:10" ht="13.2">
      <c r="A14" s="57">
        <v>8.6754186499999992</v>
      </c>
      <c r="B14" s="57">
        <v>-0.2420687</v>
      </c>
      <c r="C14" s="58">
        <v>1</v>
      </c>
      <c r="D14" s="59">
        <f t="shared" si="0"/>
        <v>-29</v>
      </c>
      <c r="E14" s="59">
        <f t="shared" ref="E14:F14" si="13">E$5*A14</f>
        <v>116.59197955863272</v>
      </c>
      <c r="F14" s="59">
        <f t="shared" si="13"/>
        <v>2.6252030313804502</v>
      </c>
      <c r="G14" s="60">
        <f t="shared" si="2"/>
        <v>1</v>
      </c>
      <c r="H14" s="61">
        <f t="shared" si="3"/>
        <v>0</v>
      </c>
      <c r="I14" s="62">
        <f t="shared" si="4"/>
        <v>1</v>
      </c>
      <c r="J14" s="59">
        <f t="shared" si="5"/>
        <v>0</v>
      </c>
    </row>
    <row r="15" spans="1:10" ht="13.2">
      <c r="A15" s="57">
        <v>7.6737564699999998</v>
      </c>
      <c r="B15" s="57">
        <v>3.50856301</v>
      </c>
      <c r="C15" s="63">
        <v>1</v>
      </c>
      <c r="D15" s="59">
        <f t="shared" si="0"/>
        <v>-29</v>
      </c>
      <c r="E15" s="59">
        <f t="shared" ref="E15:F15" si="14">E$5*A15</f>
        <v>103.13029187221595</v>
      </c>
      <c r="F15" s="59">
        <f t="shared" si="14"/>
        <v>-38.049901741287975</v>
      </c>
      <c r="G15" s="64">
        <f t="shared" si="2"/>
        <v>0.99999999999999978</v>
      </c>
      <c r="H15" s="61">
        <f t="shared" si="3"/>
        <v>9.6432746655328721E-17</v>
      </c>
      <c r="I15" s="62">
        <f t="shared" si="4"/>
        <v>1</v>
      </c>
      <c r="J15" s="59">
        <f t="shared" si="5"/>
        <v>0</v>
      </c>
    </row>
    <row r="16" spans="1:10" ht="21.75" customHeight="1">
      <c r="G16" s="59"/>
      <c r="H16" s="65">
        <f>SUM(H6:H15)</f>
        <v>3.3064876618365909E-9</v>
      </c>
      <c r="I16" s="66" t="s">
        <v>87</v>
      </c>
      <c r="J16" s="47"/>
    </row>
    <row r="17" spans="2:10" ht="13.2">
      <c r="B17" s="3"/>
      <c r="C17" s="3"/>
      <c r="D17" s="3"/>
    </row>
    <row r="21" spans="2:10" ht="13.2">
      <c r="B21" s="4" t="s">
        <v>88</v>
      </c>
    </row>
    <row r="23" spans="2:10" ht="13.2">
      <c r="B23" s="4" t="s">
        <v>89</v>
      </c>
    </row>
    <row r="24" spans="2:10" ht="13.2">
      <c r="B24" s="4" t="s">
        <v>90</v>
      </c>
      <c r="C24" s="4">
        <v>13.862943574539571</v>
      </c>
    </row>
    <row r="25" spans="2:10" ht="13.2">
      <c r="B25" s="4" t="s">
        <v>91</v>
      </c>
      <c r="C25" s="4">
        <v>3.6659335645122039E-8</v>
      </c>
    </row>
    <row r="26" spans="2:10" ht="13.2">
      <c r="B26" s="4" t="s">
        <v>92</v>
      </c>
      <c r="C26" s="4">
        <v>21</v>
      </c>
    </row>
    <row r="27" spans="2:10" ht="13.2">
      <c r="B27" s="4" t="s">
        <v>93</v>
      </c>
      <c r="C27" s="4">
        <v>10</v>
      </c>
    </row>
    <row r="29" spans="2:10" ht="13.2">
      <c r="C29" s="4" t="s">
        <v>94</v>
      </c>
      <c r="D29" s="4" t="s">
        <v>95</v>
      </c>
      <c r="E29" s="4" t="s">
        <v>96</v>
      </c>
      <c r="F29" s="4" t="s">
        <v>97</v>
      </c>
      <c r="G29" s="4" t="s">
        <v>98</v>
      </c>
      <c r="H29" s="4" t="s">
        <v>99</v>
      </c>
      <c r="I29" s="4" t="s">
        <v>98</v>
      </c>
      <c r="J29" s="4" t="s">
        <v>99</v>
      </c>
    </row>
    <row r="30" spans="2:10" ht="13.2">
      <c r="B30" s="4" t="s">
        <v>100</v>
      </c>
      <c r="C30" s="4">
        <v>-29.548609217957456</v>
      </c>
      <c r="D30" s="4">
        <v>159347.64379951035</v>
      </c>
      <c r="E30" s="4">
        <v>0.99985204438301734</v>
      </c>
      <c r="F30" s="4">
        <v>1.4696098993270711E-13</v>
      </c>
      <c r="G30" s="4">
        <v>0</v>
      </c>
      <c r="H30" s="4" t="s">
        <v>101</v>
      </c>
      <c r="I30" s="4">
        <v>0</v>
      </c>
      <c r="J30" s="4" t="s">
        <v>101</v>
      </c>
    </row>
    <row r="31" spans="2:10" ht="13.2">
      <c r="B31" s="4" t="s">
        <v>66</v>
      </c>
      <c r="C31" s="4">
        <v>13.43934906918097</v>
      </c>
      <c r="D31" s="4">
        <v>12195.419443845152</v>
      </c>
      <c r="E31" s="4">
        <v>0.99912073159856751</v>
      </c>
      <c r="F31" s="4">
        <v>686491.4634192657</v>
      </c>
      <c r="G31" s="4">
        <v>0</v>
      </c>
      <c r="H31" s="4" t="s">
        <v>101</v>
      </c>
      <c r="I31" s="4">
        <v>0</v>
      </c>
      <c r="J31" s="4" t="s">
        <v>101</v>
      </c>
    </row>
    <row r="32" spans="2:10" ht="13.2">
      <c r="B32" s="4" t="s">
        <v>67</v>
      </c>
      <c r="C32" s="4">
        <v>-10.844867723007766</v>
      </c>
      <c r="D32" s="4">
        <v>47874.894454413145</v>
      </c>
      <c r="E32" s="4">
        <v>0.99981925908046909</v>
      </c>
      <c r="F32" s="4">
        <v>1.9504453711569063E-5</v>
      </c>
      <c r="G32" s="4">
        <v>0</v>
      </c>
      <c r="H32" s="4" t="s">
        <v>101</v>
      </c>
      <c r="I32" s="4">
        <v>0</v>
      </c>
      <c r="J32" s="4" t="s">
        <v>101</v>
      </c>
    </row>
    <row r="39" spans="2:10" ht="13.2">
      <c r="B39" s="4" t="s">
        <v>88</v>
      </c>
    </row>
    <row r="41" spans="2:10" ht="13.2">
      <c r="B41" s="4" t="s">
        <v>89</v>
      </c>
    </row>
    <row r="42" spans="2:10" ht="13.2">
      <c r="B42" s="4" t="s">
        <v>90</v>
      </c>
      <c r="C42" s="4">
        <v>13.862943574539571</v>
      </c>
    </row>
    <row r="43" spans="2:10" ht="13.2">
      <c r="B43" s="4" t="s">
        <v>91</v>
      </c>
      <c r="C43" s="4">
        <v>3.6659335645122039E-8</v>
      </c>
    </row>
    <row r="44" spans="2:10" ht="13.2">
      <c r="B44" s="4" t="s">
        <v>92</v>
      </c>
      <c r="C44" s="4">
        <v>21</v>
      </c>
    </row>
    <row r="45" spans="2:10" ht="13.2">
      <c r="B45" s="4" t="s">
        <v>93</v>
      </c>
      <c r="C45" s="4">
        <v>10</v>
      </c>
    </row>
    <row r="47" spans="2:10" ht="13.2">
      <c r="C47" s="4" t="s">
        <v>94</v>
      </c>
      <c r="D47" s="4" t="s">
        <v>95</v>
      </c>
      <c r="E47" s="4" t="s">
        <v>96</v>
      </c>
      <c r="F47" s="4" t="s">
        <v>97</v>
      </c>
      <c r="G47" s="4" t="s">
        <v>98</v>
      </c>
      <c r="H47" s="4" t="s">
        <v>99</v>
      </c>
      <c r="I47" s="4" t="s">
        <v>98</v>
      </c>
      <c r="J47" s="4" t="s">
        <v>99</v>
      </c>
    </row>
    <row r="48" spans="2:10" ht="13.2">
      <c r="B48" s="4" t="s">
        <v>100</v>
      </c>
      <c r="C48" s="4">
        <v>-29.548609217957456</v>
      </c>
      <c r="D48" s="4">
        <v>159347.64379951035</v>
      </c>
      <c r="E48" s="4">
        <v>0.99985204438301734</v>
      </c>
      <c r="F48" s="4">
        <v>1.4696098993270711E-13</v>
      </c>
      <c r="G48" s="4">
        <v>0</v>
      </c>
      <c r="H48" s="4" t="s">
        <v>101</v>
      </c>
      <c r="I48" s="4">
        <v>0</v>
      </c>
      <c r="J48" s="4" t="s">
        <v>101</v>
      </c>
    </row>
    <row r="49" spans="2:10" ht="13.2">
      <c r="B49" s="4" t="s">
        <v>102</v>
      </c>
      <c r="C49" s="4">
        <v>13.43934906918097</v>
      </c>
      <c r="D49" s="4">
        <v>12195.419443845152</v>
      </c>
      <c r="E49" s="4">
        <v>0.99912073159856751</v>
      </c>
      <c r="F49" s="4">
        <v>686491.4634192657</v>
      </c>
      <c r="G49" s="4">
        <v>0</v>
      </c>
      <c r="H49" s="4" t="s">
        <v>101</v>
      </c>
      <c r="I49" s="4">
        <v>0</v>
      </c>
      <c r="J49" s="4" t="s">
        <v>101</v>
      </c>
    </row>
    <row r="50" spans="2:10" ht="13.2">
      <c r="B50" s="4" t="s">
        <v>103</v>
      </c>
      <c r="C50" s="4">
        <v>-10.844867723007766</v>
      </c>
      <c r="D50" s="4">
        <v>47874.894454413145</v>
      </c>
      <c r="E50" s="4">
        <v>0.99981925908046909</v>
      </c>
      <c r="F50" s="4">
        <v>1.9504453711569063E-5</v>
      </c>
      <c r="G50" s="4">
        <v>0</v>
      </c>
      <c r="H50" s="4" t="s">
        <v>101</v>
      </c>
      <c r="I50" s="4">
        <v>0</v>
      </c>
      <c r="J50" s="4" t="s">
        <v>101</v>
      </c>
    </row>
  </sheetData>
  <mergeCells count="1">
    <mergeCell ref="A1:C1"/>
  </mergeCells>
  <phoneticPr fontId="3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23</vt:i4>
      </vt:variant>
    </vt:vector>
  </HeadingPairs>
  <TitlesOfParts>
    <vt:vector size="23" baseType="lpstr">
      <vt:lpstr>crash course</vt:lpstr>
      <vt:lpstr>covarianc_correlation</vt:lpstr>
      <vt:lpstr>linear regression</vt:lpstr>
      <vt:lpstr>__Solver__</vt:lpstr>
      <vt:lpstr>__Solver___conflict482289707</vt:lpstr>
      <vt:lpstr>simple linear regression</vt:lpstr>
      <vt:lpstr>bias_variance</vt:lpstr>
      <vt:lpstr>logistic function</vt:lpstr>
      <vt:lpstr>logistic regression</vt:lpstr>
      <vt:lpstr>KNN_classification</vt:lpstr>
      <vt:lpstr>gini</vt:lpstr>
      <vt:lpstr>confusion matrix</vt:lpstr>
      <vt:lpstr>loss function_logloss</vt:lpstr>
      <vt:lpstr>log loss plot</vt:lpstr>
      <vt:lpstr>PCA</vt:lpstr>
      <vt:lpstr>Hierachy Clustering</vt:lpstr>
      <vt:lpstr>KNN_clustering</vt:lpstr>
      <vt:lpstr>Lift curve</vt:lpstr>
      <vt:lpstr>Association Rule_01</vt:lpstr>
      <vt:lpstr>Association Rule_02</vt:lpstr>
      <vt:lpstr>log</vt:lpstr>
      <vt:lpstr>__OpenSolverCache__</vt:lpstr>
      <vt:lpstr>__OpenSolver__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ancestor9</dc:creator>
  <cp:lastModifiedBy>Sanggoo Cho</cp:lastModifiedBy>
  <dcterms:created xsi:type="dcterms:W3CDTF">2023-10-24T10:08:00Z</dcterms:created>
  <dcterms:modified xsi:type="dcterms:W3CDTF">2024-06-20T12:30:29Z</dcterms:modified>
</cp:coreProperties>
</file>